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fileSharing readOnlyRecommended="1"/>
  <workbookPr filterPrivacy="1" updateLinks="always" codeName="ThisWorkbook" defaultThemeVersion="124226"/>
  <xr:revisionPtr revIDLastSave="0" documentId="13_ncr:1_{CDC5E812-CF63-4EBB-980B-57E98EC50E7B}" xr6:coauthVersionLast="46" xr6:coauthVersionMax="46" xr10:uidLastSave="{00000000-0000-0000-0000-000000000000}"/>
  <bookViews>
    <workbookView xWindow="28680" yWindow="-120" windowWidth="19440" windowHeight="15000" tabRatio="772" activeTab="5" xr2:uid="{00000000-000D-0000-FFFF-FFFF00000000}"/>
  </bookViews>
  <sheets>
    <sheet name="Contents" sheetId="64" r:id="rId1"/>
    <sheet name="F-1 Rev Req" sheetId="57" r:id="rId2"/>
    <sheet name="F-2 TFO Rev Req" sheetId="65" r:id="rId3"/>
    <sheet name="F-3 Allocation" sheetId="23" r:id="rId4"/>
    <sheet name="F-4 Offsets" sheetId="24" r:id="rId5"/>
    <sheet name="F-5 DTS Classification" sheetId="25" r:id="rId6"/>
    <sheet name="F-6 POD Classification" sheetId="26" r:id="rId7"/>
    <sheet name="F-7 DTS Costs" sheetId="27" r:id="rId8"/>
    <sheet name="F-8 DTS Rate" sheetId="28" r:id="rId9"/>
    <sheet name="F-9 STS Classification" sheetId="29" r:id="rId10"/>
    <sheet name="F-10 STS Rate" sheetId="30" r:id="rId11"/>
    <sheet name="F-11 Other Rates" sheetId="31" r:id="rId12"/>
    <sheet name="F-12 Determinants" sheetId="32" r:id="rId13"/>
    <sheet name="F-13 Impact" sheetId="33" r:id="rId14"/>
    <sheet name="F-14 FTS Rate" sheetId="34" r:id="rId15"/>
    <sheet name="F-15 FTS Determinants" sheetId="35" r:id="rId16"/>
    <sheet name="F-16 Bill Estimator" sheetId="60" r:id="rId17"/>
  </sheets>
  <definedNames>
    <definedName name="Applicant">"Alberta Electric System Operator"</definedName>
    <definedName name="Application">"Bulk and Regional Tariff Design Application"</definedName>
    <definedName name="ApplicationSection">"Appendix F — 2019 Test Year Proposed Rate Calculations"</definedName>
    <definedName name="_xlnm.Print_Area" localSheetId="0">Contents!$A$1:$B$27</definedName>
    <definedName name="_xlnm.Print_Area" localSheetId="1">'F-1 Rev Req'!$A$1:$H$91</definedName>
    <definedName name="_xlnm.Print_Area" localSheetId="10">'F-10 STS Rate'!$A$1:$U$19</definedName>
    <definedName name="_xlnm.Print_Area" localSheetId="11">'F-11 Other Rates'!$A$1:$P$37</definedName>
    <definedName name="_xlnm.Print_Area" localSheetId="12">'F-12 Determinants'!$A$1:$K$27</definedName>
    <definedName name="_xlnm.Print_Area" localSheetId="13">'F-13 Impact'!$A$1:$R$36</definedName>
    <definedName name="_xlnm.Print_Area" localSheetId="14">'F-14 FTS Rate'!$A$1:$Q$37</definedName>
    <definedName name="_xlnm.Print_Area" localSheetId="15">'F-15 FTS Determinants'!$A$1:$G$17</definedName>
    <definedName name="_xlnm.Print_Area" localSheetId="16">'F-16 Bill Estimator'!$A$1:$H$93</definedName>
    <definedName name="_xlnm.Print_Area" localSheetId="2">'F-2 TFO Rev Req'!$A$1:$M$23</definedName>
    <definedName name="_xlnm.Print_Area" localSheetId="3">'F-3 Allocation'!$A$1:$P$38</definedName>
    <definedName name="_xlnm.Print_Area" localSheetId="4">'F-4 Offsets'!$A$1:$O$41</definedName>
    <definedName name="_xlnm.Print_Area" localSheetId="5">'F-5 DTS Classification'!$A$1:$Z$35</definedName>
    <definedName name="_xlnm.Print_Area" localSheetId="6">'F-6 POD Classification'!$A$1:$U$24</definedName>
    <definedName name="_xlnm.Print_Area" localSheetId="7">'F-7 DTS Costs'!$A$1:$X$36</definedName>
    <definedName name="_xlnm.Print_Area" localSheetId="8">'F-8 DTS Rate'!$A$1:$U$35</definedName>
    <definedName name="_xlnm.Print_Area" localSheetId="9">'F-9 STS Classification'!$A$1:$Z$34</definedName>
    <definedName name="_xlnm.Print_Titles" localSheetId="1">'F-1 Rev Req'!$9:$13</definedName>
    <definedName name="_xlnm.Print_Titles" localSheetId="16">'F-16 Bill Estimator'!$1:$8</definedName>
    <definedName name="TableDate">"October 15, 2021"</definedName>
    <definedName name="TableGroup1">"Appendix F — 2019 Test Year Proposed Rate Calculations"</definedName>
    <definedName name="TablePrefix">"Table "</definedName>
    <definedName name="TableSuffix">""</definedName>
    <definedName name="TotalPage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5" l="1"/>
  <c r="D35" i="28"/>
  <c r="C17" i="30"/>
  <c r="D27" i="32"/>
  <c r="D35" i="33"/>
  <c r="D37" i="34"/>
  <c r="N18" i="24" l="1"/>
  <c r="N31" i="24"/>
  <c r="N26" i="24" l="1"/>
  <c r="Q27" i="25"/>
  <c r="I27" i="25"/>
  <c r="K1" i="32" l="1"/>
  <c r="Q26" i="24"/>
  <c r="H27" i="57" l="1"/>
  <c r="H26" i="57"/>
  <c r="H25" i="57"/>
  <c r="H24" i="57"/>
  <c r="H23" i="57"/>
  <c r="H22" i="57"/>
  <c r="H21" i="57"/>
  <c r="H20" i="57"/>
  <c r="H17" i="57"/>
  <c r="H16" i="57"/>
  <c r="D76" i="60" l="1"/>
  <c r="D75" i="60"/>
  <c r="D73" i="60"/>
  <c r="J14" i="34"/>
  <c r="J15" i="34"/>
  <c r="J12" i="34"/>
  <c r="N14" i="34"/>
  <c r="N15" i="34"/>
  <c r="N12" i="34"/>
  <c r="M15" i="34"/>
  <c r="M14" i="34"/>
  <c r="M12" i="34"/>
  <c r="M15" i="33"/>
  <c r="M14" i="33"/>
  <c r="M13" i="33"/>
  <c r="H15" i="33"/>
  <c r="I15" i="33" s="1"/>
  <c r="H14" i="33"/>
  <c r="I14" i="33" s="1"/>
  <c r="H13" i="33"/>
  <c r="I13" i="33" s="1"/>
  <c r="K13" i="31" l="1"/>
  <c r="K31" i="31" s="1"/>
  <c r="K14" i="31"/>
  <c r="K32" i="31" s="1"/>
  <c r="J12" i="31"/>
  <c r="J30" i="31" s="1"/>
  <c r="J21" i="31" l="1"/>
  <c r="N21" i="31"/>
  <c r="K23" i="31"/>
  <c r="O23" i="31"/>
  <c r="K22" i="31"/>
  <c r="O22" i="31"/>
  <c r="O16" i="28" l="1"/>
  <c r="O15" i="28"/>
  <c r="O13" i="28"/>
  <c r="N16" i="28"/>
  <c r="N15" i="28"/>
  <c r="N13" i="28"/>
  <c r="O12" i="23" l="1"/>
  <c r="O13" i="23"/>
  <c r="O14" i="23"/>
  <c r="F16" i="23"/>
  <c r="A12" i="34" l="1"/>
  <c r="A13" i="34" s="1"/>
  <c r="A14" i="34" s="1"/>
  <c r="A15" i="34" s="1"/>
  <c r="A12" i="31"/>
  <c r="A13" i="31" s="1"/>
  <c r="A14" i="31" s="1"/>
  <c r="A15" i="31" s="1"/>
  <c r="A16" i="34" l="1"/>
  <c r="A17" i="34" s="1"/>
  <c r="A18" i="34" s="1"/>
  <c r="A19" i="34" s="1"/>
  <c r="A20" i="34" s="1"/>
  <c r="A21" i="34" s="1"/>
  <c r="A22" i="34" s="1"/>
  <c r="A23" i="34" s="1"/>
  <c r="A24" i="34" s="1"/>
  <c r="A16" i="31"/>
  <c r="A17" i="31" s="1"/>
  <c r="A18" i="31" s="1"/>
  <c r="A19" i="31" s="1"/>
  <c r="A20" i="31" s="1"/>
  <c r="A21" i="31" s="1"/>
  <c r="A22" i="31" s="1"/>
  <c r="A23" i="31" s="1"/>
  <c r="A24" i="31" s="1"/>
  <c r="A13" i="29"/>
  <c r="A14" i="29" s="1"/>
  <c r="A15" i="29" s="1"/>
  <c r="A16" i="29" s="1"/>
  <c r="A13" i="28"/>
  <c r="A14" i="28" s="1"/>
  <c r="A15" i="28" s="1"/>
  <c r="A16" i="28" s="1"/>
  <c r="A17" i="28" s="1"/>
  <c r="A13" i="25"/>
  <c r="A14" i="25" s="1"/>
  <c r="A15" i="25" s="1"/>
  <c r="A16" i="25" s="1"/>
  <c r="A12" i="23"/>
  <c r="A13" i="23" s="1"/>
  <c r="A14" i="23" s="1"/>
  <c r="A15" i="23" s="1"/>
  <c r="A17" i="25" l="1"/>
  <c r="A18" i="25" s="1"/>
  <c r="A19" i="25" s="1"/>
  <c r="A20" i="25" s="1"/>
  <c r="A21" i="25" s="1"/>
  <c r="A22" i="25" s="1"/>
  <c r="A23" i="25" s="1"/>
  <c r="A24" i="25" s="1"/>
  <c r="A25" i="25" s="1"/>
  <c r="A26" i="25" s="1"/>
  <c r="A27" i="25" s="1"/>
  <c r="A28" i="25" s="1"/>
  <c r="A29" i="25" s="1"/>
  <c r="A30" i="25" s="1"/>
  <c r="A31" i="25" s="1"/>
  <c r="A32" i="25" s="1"/>
  <c r="A33" i="25" s="1"/>
  <c r="A34" i="25" s="1"/>
  <c r="A35" i="25" s="1"/>
  <c r="A16" i="23"/>
  <c r="A17" i="23" s="1"/>
  <c r="A18" i="23" s="1"/>
  <c r="A19" i="23" s="1"/>
  <c r="A20" i="23" s="1"/>
  <c r="A21" i="23" s="1"/>
  <c r="A22" i="23" s="1"/>
  <c r="A23" i="23" s="1"/>
  <c r="A24" i="23" s="1"/>
  <c r="A25" i="23" s="1"/>
  <c r="A26" i="23" s="1"/>
  <c r="A27" i="23" s="1"/>
  <c r="A28" i="23" s="1"/>
  <c r="A29" i="23" s="1"/>
  <c r="A30" i="23" s="1"/>
  <c r="A31" i="23" s="1"/>
  <c r="A32" i="23" s="1"/>
  <c r="A33" i="23" s="1"/>
  <c r="A34" i="23" s="1"/>
  <c r="A35" i="23" s="1"/>
  <c r="A17" i="29"/>
  <c r="A18" i="29" s="1"/>
  <c r="A19" i="29" s="1"/>
  <c r="A20" i="29" s="1"/>
  <c r="A21" i="29" s="1"/>
  <c r="A22" i="29" s="1"/>
  <c r="A23" i="29" s="1"/>
  <c r="A24" i="29" s="1"/>
  <c r="A25" i="29" s="1"/>
  <c r="A26" i="29" s="1"/>
  <c r="A27" i="29" s="1"/>
  <c r="A28" i="29" s="1"/>
  <c r="A29" i="29" s="1"/>
  <c r="A30" i="29" s="1"/>
  <c r="A31" i="29" s="1"/>
  <c r="A32" i="29" s="1"/>
  <c r="A33" i="29" s="1"/>
  <c r="A34" i="29" s="1"/>
  <c r="A25" i="31"/>
  <c r="A26" i="31" s="1"/>
  <c r="A27" i="31" s="1"/>
  <c r="A28" i="31" s="1"/>
  <c r="A29" i="31" s="1"/>
  <c r="A30" i="31" s="1"/>
  <c r="A31" i="31" s="1"/>
  <c r="A32" i="31" s="1"/>
  <c r="A33" i="31" s="1"/>
  <c r="A4" i="23"/>
  <c r="A4" i="24"/>
  <c r="A4" i="25"/>
  <c r="A4" i="26"/>
  <c r="A4" i="27"/>
  <c r="A4" i="28"/>
  <c r="A4" i="29"/>
  <c r="A4" i="30"/>
  <c r="A4" i="31"/>
  <c r="A4" i="33"/>
  <c r="A4" i="34"/>
  <c r="A4" i="35"/>
  <c r="D4" i="60"/>
  <c r="A4" i="32"/>
  <c r="A34" i="31" l="1"/>
  <c r="A35" i="31" s="1"/>
  <c r="A36" i="31" s="1"/>
  <c r="A37" i="31" s="1"/>
  <c r="M23" i="34" l="1"/>
  <c r="H80" i="57" l="1"/>
  <c r="I12" i="26" l="1"/>
  <c r="A2" i="60" l="1"/>
  <c r="Q39" i="24" l="1"/>
  <c r="H19" i="57" l="1"/>
  <c r="Q12" i="24"/>
  <c r="F15" i="35" l="1"/>
  <c r="H28" i="57" l="1"/>
  <c r="H33" i="57"/>
  <c r="H42" i="57"/>
  <c r="H47" i="57"/>
  <c r="H49" i="57" l="1"/>
  <c r="H34" i="57"/>
  <c r="X19" i="27"/>
  <c r="C34" i="27" l="1"/>
  <c r="F29" i="24" l="1"/>
  <c r="H71" i="57" l="1"/>
  <c r="H85" i="57"/>
  <c r="H86" i="57" s="1"/>
  <c r="H88" i="57" l="1"/>
  <c r="R28" i="24"/>
  <c r="R19" i="24"/>
  <c r="Q18" i="24"/>
  <c r="R18" i="24" s="1"/>
  <c r="Q15" i="24"/>
  <c r="R15" i="24" s="1"/>
  <c r="R12" i="24"/>
  <c r="H31" i="23" l="1"/>
  <c r="L12" i="26"/>
  <c r="I16" i="26" s="1"/>
  <c r="D86" i="60"/>
  <c r="J18" i="32" l="1"/>
  <c r="N12" i="30" s="1"/>
  <c r="F40" i="24" l="1"/>
  <c r="I12" i="24" l="1"/>
  <c r="H65" i="57" l="1"/>
  <c r="F30" i="60" l="1"/>
  <c r="K15" i="31"/>
  <c r="K33" i="31" s="1"/>
  <c r="F41" i="24"/>
  <c r="L40" i="24"/>
  <c r="H29" i="23"/>
  <c r="N19" i="34"/>
  <c r="M19" i="34"/>
  <c r="A16" i="26"/>
  <c r="A17" i="26" s="1"/>
  <c r="A18" i="26" s="1"/>
  <c r="A19" i="26" s="1"/>
  <c r="M23" i="33"/>
  <c r="H23" i="33"/>
  <c r="I23" i="33" s="1"/>
  <c r="O26" i="28"/>
  <c r="N26" i="28"/>
  <c r="S26" i="28" s="1"/>
  <c r="H27" i="23"/>
  <c r="L27" i="23" s="1"/>
  <c r="F28" i="25" s="1"/>
  <c r="V28" i="25" s="1"/>
  <c r="H24" i="23"/>
  <c r="H23" i="23"/>
  <c r="H22" i="23"/>
  <c r="I13" i="24"/>
  <c r="I14" i="24"/>
  <c r="I15" i="24"/>
  <c r="I16" i="24"/>
  <c r="I17" i="24"/>
  <c r="I18" i="24"/>
  <c r="I19" i="24"/>
  <c r="I20" i="24"/>
  <c r="I21" i="24"/>
  <c r="I22" i="24"/>
  <c r="I23" i="24"/>
  <c r="I24" i="24"/>
  <c r="I25" i="24"/>
  <c r="I26" i="24"/>
  <c r="I27" i="24"/>
  <c r="I28" i="24"/>
  <c r="M1" i="65"/>
  <c r="H1" i="57"/>
  <c r="O26" i="23"/>
  <c r="H26" i="23"/>
  <c r="L26" i="23" s="1"/>
  <c r="F27" i="25" s="1"/>
  <c r="J27" i="25" s="1"/>
  <c r="O1" i="24"/>
  <c r="L39" i="24"/>
  <c r="L29" i="24"/>
  <c r="K29" i="24" s="1"/>
  <c r="K38" i="24"/>
  <c r="L38" i="24" s="1"/>
  <c r="K37" i="24"/>
  <c r="L37" i="24" s="1"/>
  <c r="K36" i="24"/>
  <c r="L36" i="24" s="1"/>
  <c r="K34" i="24"/>
  <c r="L34" i="24" s="1"/>
  <c r="K33" i="24"/>
  <c r="L33" i="24" s="1"/>
  <c r="H2" i="60"/>
  <c r="H1" i="60"/>
  <c r="A1" i="60"/>
  <c r="J12" i="26"/>
  <c r="K12" i="26"/>
  <c r="M12" i="26"/>
  <c r="N12" i="26"/>
  <c r="P12" i="26"/>
  <c r="Q12" i="26"/>
  <c r="R12" i="26"/>
  <c r="L16" i="26"/>
  <c r="J36" i="27"/>
  <c r="K36" i="27"/>
  <c r="M36" i="27"/>
  <c r="N36" i="27"/>
  <c r="P36" i="27"/>
  <c r="Q36" i="27"/>
  <c r="S36" i="27"/>
  <c r="T36" i="27"/>
  <c r="V36" i="27"/>
  <c r="W36" i="27"/>
  <c r="O18" i="23"/>
  <c r="H21" i="23"/>
  <c r="H20" i="23"/>
  <c r="O25" i="23"/>
  <c r="H25" i="23"/>
  <c r="L25" i="23" s="1"/>
  <c r="F26" i="25" s="1"/>
  <c r="M29" i="33"/>
  <c r="P1" i="23"/>
  <c r="U1" i="28"/>
  <c r="X1" i="27"/>
  <c r="M28" i="33"/>
  <c r="H28" i="33"/>
  <c r="H2" i="57"/>
  <c r="A2" i="57"/>
  <c r="A1" i="57"/>
  <c r="Z1" i="25"/>
  <c r="U1" i="26"/>
  <c r="Z1" i="29"/>
  <c r="U1" i="30"/>
  <c r="P1" i="31"/>
  <c r="P34" i="23"/>
  <c r="F33" i="29" s="1"/>
  <c r="J33" i="29" s="1"/>
  <c r="B13" i="64"/>
  <c r="L17" i="26"/>
  <c r="I17" i="26"/>
  <c r="I18" i="26" s="1"/>
  <c r="N17" i="26"/>
  <c r="P17" i="26"/>
  <c r="R17" i="26"/>
  <c r="N22" i="28"/>
  <c r="N20" i="28"/>
  <c r="N19" i="28"/>
  <c r="N18" i="28"/>
  <c r="N21" i="28"/>
  <c r="M16" i="33"/>
  <c r="M17" i="33"/>
  <c r="M18" i="33"/>
  <c r="M19" i="33"/>
  <c r="M20" i="33"/>
  <c r="H16" i="33"/>
  <c r="I16" i="33" s="1"/>
  <c r="H17" i="33"/>
  <c r="I17" i="33" s="1"/>
  <c r="H18" i="33"/>
  <c r="I18" i="33" s="1"/>
  <c r="H19" i="33"/>
  <c r="I19" i="33" s="1"/>
  <c r="H20" i="33"/>
  <c r="I20" i="33" s="1"/>
  <c r="M22" i="33"/>
  <c r="H22" i="33"/>
  <c r="I22" i="33" s="1"/>
  <c r="N28" i="28"/>
  <c r="S28" i="28" s="1"/>
  <c r="M24" i="33"/>
  <c r="H24" i="33"/>
  <c r="I24" i="33" s="1"/>
  <c r="N30" i="28"/>
  <c r="S30" i="28" s="1"/>
  <c r="M25" i="33"/>
  <c r="H25" i="33"/>
  <c r="I25" i="33" s="1"/>
  <c r="G2" i="35"/>
  <c r="G1" i="35"/>
  <c r="Q2" i="34"/>
  <c r="Q1" i="34"/>
  <c r="R2" i="33"/>
  <c r="R1" i="33"/>
  <c r="K2" i="32"/>
  <c r="P2" i="31"/>
  <c r="U2" i="30"/>
  <c r="Z2" i="29"/>
  <c r="U2" i="28"/>
  <c r="X2" i="27"/>
  <c r="U2" i="26"/>
  <c r="Z2" i="25"/>
  <c r="O2" i="24"/>
  <c r="P2" i="23"/>
  <c r="M2" i="65"/>
  <c r="A18" i="28"/>
  <c r="A19" i="28" s="1"/>
  <c r="A20" i="28" s="1"/>
  <c r="A21" i="28" s="1"/>
  <c r="A22" i="28" s="1"/>
  <c r="A23" i="28" s="1"/>
  <c r="A24" i="28" s="1"/>
  <c r="A25" i="28" s="1"/>
  <c r="A26" i="28" s="1"/>
  <c r="A27" i="28" s="1"/>
  <c r="A28" i="28" s="1"/>
  <c r="A29" i="28" s="1"/>
  <c r="A30" i="28" s="1"/>
  <c r="A31" i="28" s="1"/>
  <c r="A12" i="33"/>
  <c r="A13" i="33" s="1"/>
  <c r="A14" i="33" s="1"/>
  <c r="A15" i="33" s="1"/>
  <c r="A16" i="33" s="1"/>
  <c r="A17" i="33" s="1"/>
  <c r="A18" i="33" s="1"/>
  <c r="A19" i="33" s="1"/>
  <c r="A20" i="33" s="1"/>
  <c r="A2" i="65"/>
  <c r="A1" i="65"/>
  <c r="A4" i="57"/>
  <c r="A2" i="35"/>
  <c r="A2" i="34"/>
  <c r="A2" i="33"/>
  <c r="A2" i="32"/>
  <c r="A2" i="31"/>
  <c r="A2" i="30"/>
  <c r="A2" i="29"/>
  <c r="A2" i="28"/>
  <c r="A2" i="27"/>
  <c r="A2" i="26"/>
  <c r="A2" i="25"/>
  <c r="A2" i="24"/>
  <c r="A2" i="23"/>
  <c r="A6" i="64"/>
  <c r="A4" i="64"/>
  <c r="A3" i="64"/>
  <c r="H29" i="33"/>
  <c r="I29" i="33" s="1"/>
  <c r="A17" i="57"/>
  <c r="A18" i="57" s="1"/>
  <c r="A19" i="57" s="1"/>
  <c r="A20" i="57" s="1"/>
  <c r="A21" i="57" s="1"/>
  <c r="A22" i="57" s="1"/>
  <c r="A23" i="57" s="1"/>
  <c r="A24" i="57" s="1"/>
  <c r="A25" i="57" s="1"/>
  <c r="A26" i="57" s="1"/>
  <c r="A27" i="57" s="1"/>
  <c r="A28" i="57" s="1"/>
  <c r="O15" i="23"/>
  <c r="O30" i="23"/>
  <c r="O31" i="23"/>
  <c r="O20" i="23"/>
  <c r="O21" i="23"/>
  <c r="O22" i="23"/>
  <c r="O23" i="23"/>
  <c r="O24" i="23"/>
  <c r="U25" i="29"/>
  <c r="O29" i="23"/>
  <c r="K31" i="24"/>
  <c r="L31" i="24" s="1"/>
  <c r="J20" i="32"/>
  <c r="F23" i="60"/>
  <c r="F28" i="60"/>
  <c r="F25" i="60"/>
  <c r="D79" i="60"/>
  <c r="D80" i="60"/>
  <c r="D81" i="60"/>
  <c r="D82" i="60"/>
  <c r="D78" i="60"/>
  <c r="F78" i="60"/>
  <c r="D84" i="60"/>
  <c r="D88" i="60"/>
  <c r="D90" i="60"/>
  <c r="F90" i="60"/>
  <c r="F51" i="60"/>
  <c r="F63" i="60"/>
  <c r="G18" i="31"/>
  <c r="K18" i="31" s="1"/>
  <c r="K36" i="31" s="1"/>
  <c r="J16" i="31"/>
  <c r="J34" i="31" s="1"/>
  <c r="J17" i="31"/>
  <c r="J35" i="31" s="1"/>
  <c r="M28" i="34"/>
  <c r="M29" i="34"/>
  <c r="M17" i="34"/>
  <c r="M21" i="34"/>
  <c r="N14" i="30"/>
  <c r="R14" i="30" s="1"/>
  <c r="A2" i="64"/>
  <c r="A1" i="23"/>
  <c r="A1" i="24"/>
  <c r="A12" i="24"/>
  <c r="A13" i="24" s="1"/>
  <c r="A16" i="24" s="1"/>
  <c r="A19" i="24" s="1"/>
  <c r="A20" i="24" s="1"/>
  <c r="A26" i="24" s="1"/>
  <c r="A27" i="24" s="1"/>
  <c r="A28" i="24" s="1"/>
  <c r="A29" i="24" s="1"/>
  <c r="A30" i="24" s="1"/>
  <c r="A31" i="24" s="1"/>
  <c r="A32" i="24" s="1"/>
  <c r="A35" i="24" s="1"/>
  <c r="A40" i="24" s="1"/>
  <c r="A41" i="24" s="1"/>
  <c r="A1" i="25"/>
  <c r="A1" i="26"/>
  <c r="A1" i="27"/>
  <c r="A13" i="27"/>
  <c r="A14" i="27" s="1"/>
  <c r="A15" i="27" s="1"/>
  <c r="A16" i="27" s="1"/>
  <c r="A17" i="27" s="1"/>
  <c r="A19" i="27" s="1"/>
  <c r="A1" i="28"/>
  <c r="O19" i="28"/>
  <c r="O20" i="28"/>
  <c r="O21" i="28"/>
  <c r="O22" i="28"/>
  <c r="O18" i="28"/>
  <c r="N24" i="28"/>
  <c r="O24" i="28"/>
  <c r="S24" i="28"/>
  <c r="O28" i="28"/>
  <c r="O30" i="28"/>
  <c r="A1" i="29"/>
  <c r="Q25" i="29"/>
  <c r="I32" i="29"/>
  <c r="M32" i="29"/>
  <c r="Q32" i="29"/>
  <c r="A1" i="30"/>
  <c r="A12" i="30"/>
  <c r="A13" i="30" s="1"/>
  <c r="A14" i="30" s="1"/>
  <c r="A15" i="30" s="1"/>
  <c r="O14" i="30"/>
  <c r="A1" i="31"/>
  <c r="A1" i="32"/>
  <c r="A12" i="32"/>
  <c r="A13" i="32" s="1"/>
  <c r="A14" i="32" s="1"/>
  <c r="A15" i="32" s="1"/>
  <c r="A16" i="32" s="1"/>
  <c r="A17" i="32" s="1"/>
  <c r="A18" i="32" s="1"/>
  <c r="A19" i="32" s="1"/>
  <c r="A20" i="32" s="1"/>
  <c r="A21" i="32" s="1"/>
  <c r="A1" i="33"/>
  <c r="A1" i="34"/>
  <c r="N17" i="34"/>
  <c r="N21" i="34"/>
  <c r="N23" i="34"/>
  <c r="N28" i="34"/>
  <c r="N29" i="34"/>
  <c r="A1" i="35"/>
  <c r="A12" i="35"/>
  <c r="A13" i="35" s="1"/>
  <c r="A14" i="35" s="1"/>
  <c r="A15" i="35" s="1"/>
  <c r="A21" i="33" l="1"/>
  <c r="A22" i="33" s="1"/>
  <c r="A23" i="33" s="1"/>
  <c r="A24" i="33" s="1"/>
  <c r="A25" i="33" s="1"/>
  <c r="A26" i="33" s="1"/>
  <c r="A27" i="33" s="1"/>
  <c r="A28" i="33" s="1"/>
  <c r="A29" i="33" s="1"/>
  <c r="A30" i="33" s="1"/>
  <c r="A31" i="33" s="1"/>
  <c r="I21" i="33"/>
  <c r="I26" i="33" s="1"/>
  <c r="J26" i="31"/>
  <c r="N26" i="31"/>
  <c r="J25" i="31"/>
  <c r="N25" i="31"/>
  <c r="K27" i="31"/>
  <c r="O27" i="31"/>
  <c r="K24" i="31"/>
  <c r="O24" i="31"/>
  <c r="F49" i="60"/>
  <c r="F76" i="60"/>
  <c r="H76" i="60" s="1"/>
  <c r="F86" i="60"/>
  <c r="H86" i="60" s="1"/>
  <c r="F73" i="60"/>
  <c r="H73" i="60" s="1"/>
  <c r="F46" i="60"/>
  <c r="F75" i="60"/>
  <c r="H75" i="60" s="1"/>
  <c r="F48" i="60"/>
  <c r="A20" i="27"/>
  <c r="A21" i="27" s="1"/>
  <c r="A22" i="27" s="1"/>
  <c r="A23" i="27" s="1"/>
  <c r="A24" i="27" s="1"/>
  <c r="A25" i="27" s="1"/>
  <c r="A26" i="27" s="1"/>
  <c r="A27" i="27" s="1"/>
  <c r="A28" i="27" s="1"/>
  <c r="A29" i="27" s="1"/>
  <c r="A30" i="27" s="1"/>
  <c r="A31" i="27" s="1"/>
  <c r="A32" i="27" s="1"/>
  <c r="F54" i="60"/>
  <c r="F59" i="60"/>
  <c r="F88" i="60"/>
  <c r="H88" i="60" s="1"/>
  <c r="F52" i="60"/>
  <c r="R16" i="26"/>
  <c r="R18" i="26" s="1"/>
  <c r="P22" i="23"/>
  <c r="F23" i="29" s="1"/>
  <c r="Y23" i="29" s="1"/>
  <c r="Z23" i="29" s="1"/>
  <c r="H90" i="60"/>
  <c r="P21" i="23"/>
  <c r="F22" i="29" s="1"/>
  <c r="R22" i="29" s="1"/>
  <c r="F61" i="60"/>
  <c r="P16" i="26"/>
  <c r="P18" i="26" s="1"/>
  <c r="P24" i="23"/>
  <c r="F25" i="29" s="1"/>
  <c r="R25" i="29" s="1"/>
  <c r="F57" i="60"/>
  <c r="F84" i="60"/>
  <c r="H84" i="60" s="1"/>
  <c r="H78" i="60"/>
  <c r="F82" i="60"/>
  <c r="H82" i="60" s="1"/>
  <c r="F79" i="60"/>
  <c r="H79" i="60" s="1"/>
  <c r="F55" i="60"/>
  <c r="F81" i="60"/>
  <c r="H81" i="60" s="1"/>
  <c r="F53" i="60"/>
  <c r="F80" i="60"/>
  <c r="H80" i="60" s="1"/>
  <c r="G13" i="60"/>
  <c r="G12" i="60"/>
  <c r="N16" i="26"/>
  <c r="N18" i="26" s="1"/>
  <c r="L18" i="26"/>
  <c r="Q31" i="24"/>
  <c r="A31" i="57"/>
  <c r="A32" i="57" s="1"/>
  <c r="A33" i="57" s="1"/>
  <c r="A34" i="57" s="1"/>
  <c r="A39" i="57" s="1"/>
  <c r="A40" i="57" s="1"/>
  <c r="A41" i="57" s="1"/>
  <c r="A42" i="57" s="1"/>
  <c r="A44" i="57" s="1"/>
  <c r="A45" i="57" s="1"/>
  <c r="A46" i="57" s="1"/>
  <c r="A47" i="57" s="1"/>
  <c r="A48" i="57" s="1"/>
  <c r="A49" i="57" s="1"/>
  <c r="A52" i="57" s="1"/>
  <c r="A53" i="57" s="1"/>
  <c r="A54" i="57" s="1"/>
  <c r="A55" i="57" s="1"/>
  <c r="A56" i="57" s="1"/>
  <c r="A57" i="57" s="1"/>
  <c r="A58" i="57" s="1"/>
  <c r="A59" i="57" s="1"/>
  <c r="A60" i="57" s="1"/>
  <c r="A61" i="57" s="1"/>
  <c r="A64" i="57" s="1"/>
  <c r="A65" i="57" s="1"/>
  <c r="A68" i="57" s="1"/>
  <c r="A69" i="57" s="1"/>
  <c r="A70" i="57" s="1"/>
  <c r="A71" i="57" s="1"/>
  <c r="A75" i="57" s="1"/>
  <c r="A76" i="57" s="1"/>
  <c r="A77" i="57" s="1"/>
  <c r="A78" i="57" s="1"/>
  <c r="A79" i="57" s="1"/>
  <c r="A80" i="57" s="1"/>
  <c r="R39" i="24"/>
  <c r="Q34" i="24"/>
  <c r="R34" i="24" s="1"/>
  <c r="Q38" i="24"/>
  <c r="R38" i="24" s="1"/>
  <c r="Q33" i="24"/>
  <c r="R33" i="24" s="1"/>
  <c r="Q37" i="24"/>
  <c r="R37" i="24" s="1"/>
  <c r="Q36" i="24"/>
  <c r="R36" i="24" s="1"/>
  <c r="V26" i="25"/>
  <c r="N26" i="25"/>
  <c r="L33" i="27" s="1"/>
  <c r="I34" i="27"/>
  <c r="I20" i="27"/>
  <c r="I28" i="33"/>
  <c r="I30" i="33" s="1"/>
  <c r="L41" i="24"/>
  <c r="P33" i="23" s="1"/>
  <c r="F32" i="29" s="1"/>
  <c r="Y32" i="29" s="1"/>
  <c r="Z32" i="29" s="1"/>
  <c r="H60" i="57"/>
  <c r="H61" i="57" s="1"/>
  <c r="H30" i="23"/>
  <c r="P30" i="23" s="1"/>
  <c r="F29" i="29" s="1"/>
  <c r="Y29" i="29" s="1"/>
  <c r="Z29" i="29" s="1"/>
  <c r="N33" i="29"/>
  <c r="J14" i="30" s="1"/>
  <c r="L22" i="23"/>
  <c r="F23" i="25" s="1"/>
  <c r="N23" i="25" s="1"/>
  <c r="L24" i="23"/>
  <c r="F25" i="25" s="1"/>
  <c r="Y25" i="25" s="1"/>
  <c r="Z25" i="25" s="1"/>
  <c r="L21" i="23"/>
  <c r="F22" i="25" s="1"/>
  <c r="N22" i="25" s="1"/>
  <c r="L31" i="27" s="1"/>
  <c r="I29" i="24"/>
  <c r="I41" i="24" s="1"/>
  <c r="H41" i="24" s="1"/>
  <c r="P31" i="23"/>
  <c r="F30" i="29" s="1"/>
  <c r="P29" i="23"/>
  <c r="F28" i="29" s="1"/>
  <c r="L29" i="23"/>
  <c r="F30" i="25" s="1"/>
  <c r="L20" i="23"/>
  <c r="F21" i="25" s="1"/>
  <c r="P20" i="23"/>
  <c r="F21" i="29" s="1"/>
  <c r="V27" i="25"/>
  <c r="Z27" i="25"/>
  <c r="N27" i="25"/>
  <c r="L20" i="27" s="1"/>
  <c r="R27" i="25"/>
  <c r="P23" i="23"/>
  <c r="F24" i="29" s="1"/>
  <c r="L23" i="23"/>
  <c r="F24" i="25" s="1"/>
  <c r="H18" i="23"/>
  <c r="A83" i="57" l="1"/>
  <c r="A84" i="57" s="1"/>
  <c r="A85" i="57" s="1"/>
  <c r="A86" i="57" s="1"/>
  <c r="A88" i="57" s="1"/>
  <c r="A90" i="57" s="1"/>
  <c r="A33" i="27"/>
  <c r="A34" i="27" s="1"/>
  <c r="A35" i="27" s="1"/>
  <c r="A36" i="27" s="1"/>
  <c r="H92" i="60"/>
  <c r="H93" i="60" s="1"/>
  <c r="H90" i="57"/>
  <c r="G14" i="60"/>
  <c r="G15" i="60" s="1"/>
  <c r="V25" i="29"/>
  <c r="R23" i="29"/>
  <c r="N23" i="29"/>
  <c r="Y22" i="29"/>
  <c r="Z22" i="29" s="1"/>
  <c r="J23" i="29"/>
  <c r="J22" i="29"/>
  <c r="N22" i="29"/>
  <c r="V22" i="29"/>
  <c r="V23" i="29"/>
  <c r="J25" i="29"/>
  <c r="N25" i="29"/>
  <c r="Y25" i="29"/>
  <c r="Z25" i="29" s="1"/>
  <c r="U18" i="26"/>
  <c r="P19" i="26" s="1"/>
  <c r="R31" i="24"/>
  <c r="Q40" i="24"/>
  <c r="N25" i="25"/>
  <c r="O34" i="27"/>
  <c r="O20" i="27"/>
  <c r="U34" i="27"/>
  <c r="U20" i="27"/>
  <c r="R34" i="27"/>
  <c r="R20" i="27"/>
  <c r="J25" i="25"/>
  <c r="N32" i="29"/>
  <c r="K41" i="24"/>
  <c r="J32" i="29"/>
  <c r="R32" i="29"/>
  <c r="V32" i="29"/>
  <c r="J12" i="30" s="1"/>
  <c r="J15" i="30" s="1"/>
  <c r="I31" i="33"/>
  <c r="L30" i="23"/>
  <c r="F31" i="25" s="1"/>
  <c r="J23" i="25"/>
  <c r="R23" i="25"/>
  <c r="T14" i="30"/>
  <c r="K14" i="30"/>
  <c r="Y23" i="25"/>
  <c r="Z23" i="25" s="1"/>
  <c r="V23" i="25"/>
  <c r="R28" i="27" s="1"/>
  <c r="X28" i="27" s="1"/>
  <c r="L31" i="23"/>
  <c r="F32" i="25" s="1"/>
  <c r="R22" i="25"/>
  <c r="O31" i="27" s="1"/>
  <c r="I28" i="28" s="1"/>
  <c r="Y22" i="25"/>
  <c r="Z22" i="25" s="1"/>
  <c r="U31" i="27" s="1"/>
  <c r="J22" i="25"/>
  <c r="I31" i="27" s="1"/>
  <c r="V22" i="25"/>
  <c r="R31" i="27" s="1"/>
  <c r="V25" i="25"/>
  <c r="R30" i="27" s="1"/>
  <c r="R25" i="25"/>
  <c r="L33" i="23"/>
  <c r="F34" i="25" s="1"/>
  <c r="Y30" i="29"/>
  <c r="Z30" i="29" s="1"/>
  <c r="J30" i="25"/>
  <c r="R30" i="25"/>
  <c r="Y30" i="25"/>
  <c r="Z30" i="25" s="1"/>
  <c r="N30" i="25"/>
  <c r="V30" i="25"/>
  <c r="N28" i="29"/>
  <c r="J28" i="29"/>
  <c r="V28" i="29"/>
  <c r="Y28" i="29"/>
  <c r="Z28" i="29" s="1"/>
  <c r="R28" i="29"/>
  <c r="J24" i="25"/>
  <c r="I33" i="27" s="1"/>
  <c r="I35" i="27" s="1"/>
  <c r="Y24" i="25"/>
  <c r="Z24" i="25" s="1"/>
  <c r="U33" i="27" s="1"/>
  <c r="N24" i="25"/>
  <c r="L34" i="27" s="1"/>
  <c r="R24" i="25"/>
  <c r="O33" i="27" s="1"/>
  <c r="V24" i="25"/>
  <c r="R33" i="27" s="1"/>
  <c r="Y24" i="29"/>
  <c r="Z24" i="29" s="1"/>
  <c r="R24" i="29"/>
  <c r="J24" i="29"/>
  <c r="N24" i="29"/>
  <c r="V24" i="29"/>
  <c r="Y21" i="25"/>
  <c r="Z21" i="25" s="1"/>
  <c r="U27" i="27" s="1"/>
  <c r="V21" i="25"/>
  <c r="R27" i="27" s="1"/>
  <c r="R21" i="25"/>
  <c r="O27" i="27" s="1"/>
  <c r="N21" i="25"/>
  <c r="L27" i="27" s="1"/>
  <c r="J21" i="25"/>
  <c r="I27" i="27" s="1"/>
  <c r="J21" i="29"/>
  <c r="V21" i="29"/>
  <c r="R21" i="29"/>
  <c r="N21" i="29"/>
  <c r="Y21" i="29"/>
  <c r="Z21" i="29" s="1"/>
  <c r="H28" i="23"/>
  <c r="L18" i="23"/>
  <c r="P18" i="23"/>
  <c r="F12" i="60" l="1"/>
  <c r="H12" i="60" s="1"/>
  <c r="I19" i="26"/>
  <c r="R19" i="26"/>
  <c r="N19" i="26"/>
  <c r="L19" i="26"/>
  <c r="X31" i="27"/>
  <c r="X20" i="27"/>
  <c r="X34" i="27"/>
  <c r="X33" i="27"/>
  <c r="X30" i="27"/>
  <c r="I26" i="28"/>
  <c r="X27" i="27"/>
  <c r="R35" i="27"/>
  <c r="S12" i="30"/>
  <c r="O35" i="27"/>
  <c r="R26" i="24"/>
  <c r="L29" i="33"/>
  <c r="N29" i="33" s="1"/>
  <c r="Q29" i="33" s="1"/>
  <c r="R29" i="33" s="1"/>
  <c r="H16" i="23"/>
  <c r="U35" i="27"/>
  <c r="R28" i="28"/>
  <c r="K28" i="28"/>
  <c r="L35" i="27"/>
  <c r="I30" i="28" s="1"/>
  <c r="F19" i="29"/>
  <c r="P28" i="23"/>
  <c r="O28" i="23" s="1"/>
  <c r="L28" i="23"/>
  <c r="K28" i="23" s="1"/>
  <c r="F19" i="25"/>
  <c r="H32" i="23" l="1"/>
  <c r="H12" i="23"/>
  <c r="H13" i="23"/>
  <c r="H14" i="23"/>
  <c r="U19" i="26"/>
  <c r="M16" i="25"/>
  <c r="Y16" i="25"/>
  <c r="H15" i="23"/>
  <c r="X35" i="27"/>
  <c r="R26" i="28"/>
  <c r="K26" i="28"/>
  <c r="T26" i="28" s="1"/>
  <c r="T28" i="28"/>
  <c r="G17" i="31"/>
  <c r="R30" i="28"/>
  <c r="K30" i="28"/>
  <c r="J19" i="29"/>
  <c r="J27" i="29" s="1"/>
  <c r="R19" i="29"/>
  <c r="R27" i="29" s="1"/>
  <c r="Y19" i="29"/>
  <c r="Z19" i="29" s="1"/>
  <c r="Z27" i="29" s="1"/>
  <c r="N19" i="29"/>
  <c r="N27" i="29" s="1"/>
  <c r="V19" i="29"/>
  <c r="V27" i="29" s="1"/>
  <c r="F27" i="29"/>
  <c r="J19" i="25"/>
  <c r="R19" i="25"/>
  <c r="F29" i="25"/>
  <c r="Y19" i="25"/>
  <c r="Z19" i="25" s="1"/>
  <c r="V19" i="25"/>
  <c r="N19" i="25"/>
  <c r="L12" i="23" l="1"/>
  <c r="F13" i="25" s="1"/>
  <c r="P12" i="23"/>
  <c r="F13" i="29" s="1"/>
  <c r="L13" i="23"/>
  <c r="F14" i="25" s="1"/>
  <c r="P13" i="23"/>
  <c r="F14" i="29" s="1"/>
  <c r="L14" i="23"/>
  <c r="F15" i="25" s="1"/>
  <c r="P14" i="23"/>
  <c r="F15" i="29" s="1"/>
  <c r="L23" i="33"/>
  <c r="I19" i="34"/>
  <c r="Q19" i="34" s="1"/>
  <c r="P15" i="23"/>
  <c r="L15" i="23"/>
  <c r="F16" i="25" s="1"/>
  <c r="V16" i="25" s="1"/>
  <c r="K17" i="31"/>
  <c r="K35" i="31" s="1"/>
  <c r="H17" i="31"/>
  <c r="I21" i="34"/>
  <c r="Q21" i="34" s="1"/>
  <c r="L24" i="33"/>
  <c r="F18" i="31"/>
  <c r="T30" i="28"/>
  <c r="V29" i="25"/>
  <c r="U29" i="25" s="1"/>
  <c r="R26" i="27"/>
  <c r="R29" i="27" s="1"/>
  <c r="I24" i="28" s="1"/>
  <c r="R29" i="25"/>
  <c r="Q29" i="25" s="1"/>
  <c r="O26" i="27"/>
  <c r="O29" i="27" s="1"/>
  <c r="Z29" i="25"/>
  <c r="Y29" i="25" s="1"/>
  <c r="U26" i="27"/>
  <c r="U29" i="27" s="1"/>
  <c r="J29" i="25"/>
  <c r="I29" i="25" s="1"/>
  <c r="I26" i="27"/>
  <c r="I27" i="29"/>
  <c r="U27" i="29"/>
  <c r="Y27" i="29"/>
  <c r="M27" i="29"/>
  <c r="Q27" i="29"/>
  <c r="N29" i="25"/>
  <c r="M29" i="25" s="1"/>
  <c r="L26" i="27"/>
  <c r="L17" i="31" l="1"/>
  <c r="L35" i="31"/>
  <c r="K26" i="31"/>
  <c r="L26" i="31" s="1"/>
  <c r="O26" i="31"/>
  <c r="P26" i="31" s="1"/>
  <c r="R15" i="29"/>
  <c r="N15" i="29"/>
  <c r="V15" i="29"/>
  <c r="Z15" i="29"/>
  <c r="J15" i="29"/>
  <c r="V13" i="29"/>
  <c r="N13" i="29"/>
  <c r="Z13" i="29"/>
  <c r="R13" i="29"/>
  <c r="J13" i="29"/>
  <c r="Z14" i="29"/>
  <c r="R14" i="29"/>
  <c r="V14" i="29"/>
  <c r="N14" i="29"/>
  <c r="J14" i="29"/>
  <c r="F17" i="25"/>
  <c r="Y13" i="25"/>
  <c r="Z13" i="25" s="1"/>
  <c r="U14" i="27" s="1"/>
  <c r="Y14" i="25"/>
  <c r="Z14" i="25" s="1"/>
  <c r="U15" i="27" s="1"/>
  <c r="Y15" i="25"/>
  <c r="Z15" i="25" s="1"/>
  <c r="U16" i="27" s="1"/>
  <c r="R15" i="25"/>
  <c r="O16" i="27" s="1"/>
  <c r="V15" i="25"/>
  <c r="R16" i="27" s="1"/>
  <c r="R14" i="25"/>
  <c r="O15" i="27" s="1"/>
  <c r="V14" i="25"/>
  <c r="R15" i="27" s="1"/>
  <c r="R13" i="25"/>
  <c r="O14" i="27" s="1"/>
  <c r="I13" i="28" s="1"/>
  <c r="V13" i="25"/>
  <c r="R14" i="27" s="1"/>
  <c r="J13" i="25"/>
  <c r="I14" i="27" s="1"/>
  <c r="N13" i="25"/>
  <c r="L14" i="27" s="1"/>
  <c r="J14" i="25"/>
  <c r="I15" i="27" s="1"/>
  <c r="I15" i="28" s="1"/>
  <c r="N14" i="25"/>
  <c r="L15" i="27" s="1"/>
  <c r="J15" i="25"/>
  <c r="I16" i="27" s="1"/>
  <c r="N15" i="25"/>
  <c r="L16" i="27" s="1"/>
  <c r="I16" i="28" s="1"/>
  <c r="L16" i="23"/>
  <c r="I29" i="27"/>
  <c r="X26" i="27"/>
  <c r="X29" i="27" s="1"/>
  <c r="N23" i="33"/>
  <c r="Q23" i="33" s="1"/>
  <c r="R23" i="33" s="1"/>
  <c r="D59" i="60"/>
  <c r="F16" i="29"/>
  <c r="F17" i="29" s="1"/>
  <c r="Q29" i="34"/>
  <c r="P16" i="23"/>
  <c r="Z16" i="25"/>
  <c r="U17" i="27" s="1"/>
  <c r="J16" i="25"/>
  <c r="R16" i="25"/>
  <c r="O17" i="27" s="1"/>
  <c r="N16" i="25"/>
  <c r="L17" i="27" s="1"/>
  <c r="N24" i="33"/>
  <c r="Q24" i="33" s="1"/>
  <c r="R24" i="33" s="1"/>
  <c r="D61" i="60"/>
  <c r="I23" i="34"/>
  <c r="Q23" i="34" s="1"/>
  <c r="L25" i="33"/>
  <c r="H18" i="31"/>
  <c r="J18" i="31"/>
  <c r="J36" i="31" s="1"/>
  <c r="L29" i="27"/>
  <c r="R24" i="28"/>
  <c r="K24" i="28"/>
  <c r="L18" i="31" l="1"/>
  <c r="J27" i="31"/>
  <c r="N27" i="31"/>
  <c r="P27" i="31" s="1"/>
  <c r="R13" i="28"/>
  <c r="R16" i="28"/>
  <c r="I28" i="34" s="1"/>
  <c r="Q28" i="34" s="1"/>
  <c r="Q30" i="34" s="1"/>
  <c r="R15" i="28"/>
  <c r="X16" i="27"/>
  <c r="X15" i="27"/>
  <c r="X14" i="27"/>
  <c r="Z17" i="25"/>
  <c r="V17" i="25"/>
  <c r="R17" i="25"/>
  <c r="N17" i="25"/>
  <c r="J17" i="25"/>
  <c r="I17" i="27"/>
  <c r="R17" i="27"/>
  <c r="H59" i="60"/>
  <c r="H61" i="60"/>
  <c r="V16" i="29"/>
  <c r="V17" i="29" s="1"/>
  <c r="Y16" i="29"/>
  <c r="Z16" i="29" s="1"/>
  <c r="Z17" i="29" s="1"/>
  <c r="J16" i="29"/>
  <c r="J17" i="29" s="1"/>
  <c r="R16" i="29"/>
  <c r="R17" i="29" s="1"/>
  <c r="N16" i="29"/>
  <c r="N17" i="29" s="1"/>
  <c r="P32" i="23"/>
  <c r="O16" i="23"/>
  <c r="F33" i="25"/>
  <c r="F35" i="25" s="1"/>
  <c r="L32" i="23"/>
  <c r="K32" i="23" s="1"/>
  <c r="K16" i="23"/>
  <c r="D63" i="60"/>
  <c r="N25" i="33"/>
  <c r="Q25" i="33" s="1"/>
  <c r="R25" i="33" s="1"/>
  <c r="G16" i="31"/>
  <c r="T24" i="28"/>
  <c r="M36" i="34" l="1"/>
  <c r="I36" i="34"/>
  <c r="I35" i="34"/>
  <c r="L36" i="31"/>
  <c r="L27" i="31"/>
  <c r="X17" i="27"/>
  <c r="I20" i="28" s="1"/>
  <c r="R20" i="28" s="1"/>
  <c r="H63" i="60"/>
  <c r="Z31" i="29"/>
  <c r="L35" i="23"/>
  <c r="O32" i="23"/>
  <c r="P35" i="23"/>
  <c r="M17" i="25"/>
  <c r="M32" i="25" s="1"/>
  <c r="N32" i="25" s="1"/>
  <c r="L22" i="27" s="1"/>
  <c r="Q17" i="29"/>
  <c r="I17" i="29"/>
  <c r="F31" i="29"/>
  <c r="F34" i="29" s="1"/>
  <c r="M17" i="29"/>
  <c r="U17" i="29"/>
  <c r="Y17" i="29"/>
  <c r="Q17" i="25"/>
  <c r="Q34" i="25" s="1"/>
  <c r="R34" i="25" s="1"/>
  <c r="O23" i="27" s="1"/>
  <c r="K16" i="31"/>
  <c r="K34" i="31" s="1"/>
  <c r="H16" i="31"/>
  <c r="I17" i="34"/>
  <c r="Q17" i="34" s="1"/>
  <c r="L22" i="33"/>
  <c r="K25" i="31" l="1"/>
  <c r="L25" i="31" s="1"/>
  <c r="O25" i="31"/>
  <c r="I21" i="28"/>
  <c r="R21" i="28" s="1"/>
  <c r="I19" i="28"/>
  <c r="R19" i="28" s="1"/>
  <c r="I18" i="28"/>
  <c r="I22" i="28"/>
  <c r="R22" i="28" s="1"/>
  <c r="I17" i="25"/>
  <c r="I31" i="25" s="1"/>
  <c r="J31" i="25" s="1"/>
  <c r="Q31" i="25"/>
  <c r="R31" i="25" s="1"/>
  <c r="O21" i="27" s="1"/>
  <c r="Q32" i="25"/>
  <c r="R32" i="25" s="1"/>
  <c r="O22" i="27" s="1"/>
  <c r="M34" i="25"/>
  <c r="N34" i="25" s="1"/>
  <c r="L23" i="27" s="1"/>
  <c r="I29" i="29"/>
  <c r="J29" i="29" s="1"/>
  <c r="I30" i="29"/>
  <c r="J30" i="29" s="1"/>
  <c r="U29" i="29"/>
  <c r="V29" i="29" s="1"/>
  <c r="U30" i="29"/>
  <c r="V30" i="29" s="1"/>
  <c r="U33" i="29"/>
  <c r="V33" i="29" s="1"/>
  <c r="M31" i="25"/>
  <c r="N31" i="25" s="1"/>
  <c r="L21" i="27" s="1"/>
  <c r="M30" i="29"/>
  <c r="N30" i="29" s="1"/>
  <c r="M29" i="29"/>
  <c r="N29" i="29" s="1"/>
  <c r="Q29" i="29"/>
  <c r="R29" i="29" s="1"/>
  <c r="Q33" i="29"/>
  <c r="Q30" i="29"/>
  <c r="R30" i="29" s="1"/>
  <c r="Y31" i="29"/>
  <c r="P25" i="31"/>
  <c r="L16" i="31"/>
  <c r="L34" i="31"/>
  <c r="D57" i="60"/>
  <c r="N22" i="33"/>
  <c r="Q22" i="33" s="1"/>
  <c r="R22" i="33" s="1"/>
  <c r="J22" i="28" l="1"/>
  <c r="J21" i="28"/>
  <c r="J20" i="28"/>
  <c r="J19" i="28"/>
  <c r="J13" i="28"/>
  <c r="J16" i="28"/>
  <c r="R18" i="28"/>
  <c r="I31" i="28"/>
  <c r="O24" i="27"/>
  <c r="O36" i="27" s="1"/>
  <c r="L24" i="27"/>
  <c r="L36" i="27" s="1"/>
  <c r="H57" i="60"/>
  <c r="I34" i="25"/>
  <c r="J34" i="25" s="1"/>
  <c r="I23" i="27" s="1"/>
  <c r="I32" i="25"/>
  <c r="J32" i="25" s="1"/>
  <c r="I22" i="27" s="1"/>
  <c r="R33" i="25"/>
  <c r="Q33" i="25" s="1"/>
  <c r="N31" i="29"/>
  <c r="M31" i="29" s="1"/>
  <c r="R31" i="29"/>
  <c r="Q31" i="29" s="1"/>
  <c r="V31" i="29"/>
  <c r="U31" i="29" s="1"/>
  <c r="N33" i="25"/>
  <c r="M33" i="25" s="1"/>
  <c r="Y33" i="29"/>
  <c r="Z33" i="29" s="1"/>
  <c r="Z34" i="29" s="1"/>
  <c r="Y34" i="29" s="1"/>
  <c r="R33" i="29"/>
  <c r="J31" i="29"/>
  <c r="I21" i="27"/>
  <c r="S16" i="28" l="1"/>
  <c r="J35" i="34" s="1"/>
  <c r="K16" i="28"/>
  <c r="S13" i="28"/>
  <c r="K13" i="28"/>
  <c r="J15" i="28"/>
  <c r="I24" i="27"/>
  <c r="I36" i="27" s="1"/>
  <c r="J33" i="25"/>
  <c r="J35" i="25" s="1"/>
  <c r="I35" i="25" s="1"/>
  <c r="R35" i="25"/>
  <c r="Q35" i="25" s="1"/>
  <c r="R34" i="29"/>
  <c r="Q34" i="29" s="1"/>
  <c r="V34" i="29"/>
  <c r="U34" i="29" s="1"/>
  <c r="N34" i="29"/>
  <c r="M34" i="29" s="1"/>
  <c r="I12" i="30"/>
  <c r="R12" i="30" s="1"/>
  <c r="N35" i="25"/>
  <c r="M35" i="25" s="1"/>
  <c r="J34" i="29"/>
  <c r="I34" i="29" s="1"/>
  <c r="I31" i="29"/>
  <c r="S22" i="28"/>
  <c r="K22" i="28"/>
  <c r="S21" i="28"/>
  <c r="K21" i="28"/>
  <c r="S19" i="28"/>
  <c r="K19" i="28"/>
  <c r="S20" i="28"/>
  <c r="K20" i="28"/>
  <c r="G12" i="31" l="1"/>
  <c r="T13" i="28"/>
  <c r="F14" i="31"/>
  <c r="T16" i="28"/>
  <c r="M35" i="34" s="1"/>
  <c r="S15" i="28"/>
  <c r="K15" i="28"/>
  <c r="T20" i="28"/>
  <c r="V20" i="28" s="1"/>
  <c r="T22" i="28"/>
  <c r="V22" i="28" s="1"/>
  <c r="T21" i="28"/>
  <c r="V21" i="28" s="1"/>
  <c r="I33" i="25"/>
  <c r="I15" i="30"/>
  <c r="K12" i="30"/>
  <c r="T12" i="30" s="1"/>
  <c r="L28" i="33" s="1"/>
  <c r="T19" i="28"/>
  <c r="F15" i="31"/>
  <c r="O23" i="24" l="1"/>
  <c r="Q23" i="24" s="1"/>
  <c r="R23" i="24" s="1"/>
  <c r="O25" i="24"/>
  <c r="Q25" i="24" s="1"/>
  <c r="R25" i="24" s="1"/>
  <c r="O24" i="24"/>
  <c r="Q24" i="24" s="1"/>
  <c r="R24" i="24" s="1"/>
  <c r="I15" i="34"/>
  <c r="Q15" i="34" s="1"/>
  <c r="L15" i="33"/>
  <c r="L13" i="33"/>
  <c r="N13" i="33" s="1"/>
  <c r="I12" i="34"/>
  <c r="Q12" i="34" s="1"/>
  <c r="H12" i="31"/>
  <c r="K12" i="31"/>
  <c r="G19" i="31"/>
  <c r="F13" i="31"/>
  <c r="T15" i="28"/>
  <c r="H14" i="31"/>
  <c r="J14" i="31"/>
  <c r="J32" i="31" s="1"/>
  <c r="N28" i="33"/>
  <c r="N30" i="33" s="1"/>
  <c r="L20" i="33"/>
  <c r="D55" i="60" s="1"/>
  <c r="L18" i="33"/>
  <c r="N18" i="33" s="1"/>
  <c r="Q18" i="33" s="1"/>
  <c r="R18" i="33" s="1"/>
  <c r="L19" i="33"/>
  <c r="D54" i="60" s="1"/>
  <c r="K15" i="30"/>
  <c r="H15" i="31"/>
  <c r="J15" i="31"/>
  <c r="J33" i="31" s="1"/>
  <c r="V19" i="28"/>
  <c r="L17" i="33"/>
  <c r="O22" i="24" l="1"/>
  <c r="Q22" i="24" s="1"/>
  <c r="R22" i="24" s="1"/>
  <c r="L15" i="31"/>
  <c r="J24" i="31"/>
  <c r="N24" i="31"/>
  <c r="P24" i="31" s="1"/>
  <c r="J23" i="31"/>
  <c r="N23" i="31"/>
  <c r="P23" i="31" s="1"/>
  <c r="K30" i="31"/>
  <c r="K21" i="31"/>
  <c r="L21" i="31" s="1"/>
  <c r="O21" i="31"/>
  <c r="I14" i="34"/>
  <c r="Q14" i="34" s="1"/>
  <c r="L14" i="33"/>
  <c r="D46" i="60"/>
  <c r="H46" i="60" s="1"/>
  <c r="Q13" i="33"/>
  <c r="R13" i="33" s="1"/>
  <c r="D49" i="60"/>
  <c r="H49" i="60" s="1"/>
  <c r="N15" i="33"/>
  <c r="Q15" i="33" s="1"/>
  <c r="R15" i="33" s="1"/>
  <c r="L14" i="31"/>
  <c r="F19" i="31"/>
  <c r="H13" i="31"/>
  <c r="H19" i="31" s="1"/>
  <c r="J13" i="31"/>
  <c r="J31" i="31" s="1"/>
  <c r="J37" i="31" s="1"/>
  <c r="K19" i="31"/>
  <c r="L12" i="31"/>
  <c r="Q28" i="33"/>
  <c r="Q30" i="33" s="1"/>
  <c r="R30" i="33" s="1"/>
  <c r="N20" i="33"/>
  <c r="Q20" i="33" s="1"/>
  <c r="R20" i="33" s="1"/>
  <c r="D53" i="60"/>
  <c r="H53" i="60" s="1"/>
  <c r="N19" i="33"/>
  <c r="Q19" i="33" s="1"/>
  <c r="R19" i="33" s="1"/>
  <c r="H54" i="60"/>
  <c r="H55" i="60"/>
  <c r="Q24" i="34"/>
  <c r="Q27" i="24" s="1"/>
  <c r="R27" i="24" s="1"/>
  <c r="D52" i="60"/>
  <c r="N17" i="33"/>
  <c r="Q17" i="33" s="1"/>
  <c r="R17" i="33" s="1"/>
  <c r="L30" i="31" l="1"/>
  <c r="K37" i="31"/>
  <c r="L32" i="31"/>
  <c r="L23" i="31"/>
  <c r="L33" i="31"/>
  <c r="L24" i="31"/>
  <c r="J22" i="31"/>
  <c r="N22" i="31"/>
  <c r="D48" i="60"/>
  <c r="H48" i="60" s="1"/>
  <c r="N14" i="33"/>
  <c r="K28" i="31"/>
  <c r="L13" i="31"/>
  <c r="L19" i="31" s="1"/>
  <c r="J19" i="31"/>
  <c r="O28" i="31"/>
  <c r="P21" i="31"/>
  <c r="R28" i="33"/>
  <c r="H52" i="60"/>
  <c r="Q14" i="33" l="1"/>
  <c r="R14" i="33" s="1"/>
  <c r="L31" i="31"/>
  <c r="L37" i="31" s="1"/>
  <c r="L22" i="31"/>
  <c r="L28" i="31" s="1"/>
  <c r="J28" i="31"/>
  <c r="Q14" i="24"/>
  <c r="R14" i="24" s="1"/>
  <c r="P22" i="31"/>
  <c r="P28" i="31" s="1"/>
  <c r="N28" i="31"/>
  <c r="Q17" i="24"/>
  <c r="R17" i="24" s="1"/>
  <c r="U17" i="25" l="1"/>
  <c r="U31" i="25" s="1"/>
  <c r="U32" i="25" l="1"/>
  <c r="U34" i="25"/>
  <c r="Y31" i="25"/>
  <c r="Z31" i="25" s="1"/>
  <c r="U21" i="27" s="1"/>
  <c r="V31" i="25"/>
  <c r="Y17" i="25"/>
  <c r="V34" i="25" l="1"/>
  <c r="R23" i="27" s="1"/>
  <c r="Y34" i="25"/>
  <c r="Z34" i="25" s="1"/>
  <c r="U23" i="27" s="1"/>
  <c r="V32" i="25"/>
  <c r="R22" i="27" s="1"/>
  <c r="Y32" i="25"/>
  <c r="Z32" i="25" s="1"/>
  <c r="U22" i="27" s="1"/>
  <c r="R21" i="27"/>
  <c r="R24" i="27" l="1"/>
  <c r="R36" i="27" s="1"/>
  <c r="U24" i="27"/>
  <c r="U36" i="27" s="1"/>
  <c r="V33" i="25"/>
  <c r="U33" i="25" s="1"/>
  <c r="X23" i="27"/>
  <c r="J18" i="28"/>
  <c r="X22" i="27"/>
  <c r="Z33" i="25"/>
  <c r="Z35" i="25" s="1"/>
  <c r="Y35" i="25" s="1"/>
  <c r="X21" i="27"/>
  <c r="S18" i="28" l="1"/>
  <c r="J31" i="28"/>
  <c r="X24" i="27"/>
  <c r="X36" i="27" s="1"/>
  <c r="V35" i="25"/>
  <c r="U35" i="25" s="1"/>
  <c r="K18" i="28"/>
  <c r="Y33" i="25"/>
  <c r="K31" i="28" l="1"/>
  <c r="T18" i="28"/>
  <c r="L16" i="33" l="1"/>
  <c r="V18" i="28"/>
  <c r="O21" i="24" l="1"/>
  <c r="Q21" i="24" s="1"/>
  <c r="N16" i="33"/>
  <c r="N21" i="33" s="1"/>
  <c r="D51" i="60"/>
  <c r="R21" i="24" l="1"/>
  <c r="Q29" i="24"/>
  <c r="H51" i="60"/>
  <c r="Q16" i="33"/>
  <c r="R16" i="33" s="1"/>
  <c r="H65" i="60" l="1"/>
  <c r="H66" i="60" s="1"/>
  <c r="N26" i="33"/>
  <c r="N31" i="33" s="1"/>
  <c r="Q21" i="33"/>
  <c r="F13" i="60" l="1"/>
  <c r="F14" i="60" s="1"/>
  <c r="H14" i="60" s="1"/>
  <c r="H15" i="60" s="1"/>
  <c r="R21" i="33"/>
  <c r="Q26" i="33"/>
  <c r="F15" i="60" l="1"/>
  <c r="H13" i="60"/>
  <c r="Q31" i="33"/>
  <c r="R31" i="33" s="1"/>
  <c r="R26" i="33"/>
</calcChain>
</file>

<file path=xl/sharedStrings.xml><?xml version="1.0" encoding="utf-8"?>
<sst xmlns="http://schemas.openxmlformats.org/spreadsheetml/2006/main" count="1092" uniqueCount="535">
  <si>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</si>
  <si>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</si>
  <si>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</si>
  <si>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</si>
  <si>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</si>
  <si>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</si>
  <si>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</si>
  <si>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</si>
  <si>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</si>
  <si>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</si>
  <si>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</si>
  <si>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</si>
  <si>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</si>
  <si>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</si>
  <si>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</si>
  <si>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</si>
  <si>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</si>
  <si>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</si>
  <si>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</si>
  <si>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</si>
  <si>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</si>
  <si>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</si>
  <si>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</si>
  <si>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</si>
  <si>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</si>
  <si>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</si>
  <si>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</si>
  <si>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</si>
  <si>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</si>
  <si>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</si>
  <si>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</si>
  <si>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</si>
  <si>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</si>
  <si>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</si>
  <si>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</si>
  <si>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</si>
  <si>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</si>
  <si>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</si>
  <si>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</si>
  <si>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</si>
  <si>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</si>
  <si>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</si>
  <si>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</si>
  <si>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</si>
  <si>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</si>
  <si>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</si>
  <si>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</si>
  <si>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</si>
  <si>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</si>
  <si>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</si>
  <si>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</si>
  <si>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</si>
  <si>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</si>
  <si>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</si>
  <si>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</si>
  <si>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</si>
  <si>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</si>
  <si>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</si>
  <si>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</si>
  <si>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</si>
  <si>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</si>
  <si>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</si>
  <si>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</si>
  <si>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</si>
  <si>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</si>
  <si>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</si>
  <si>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</si>
  <si>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</si>
  <si>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</si>
  <si>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</si>
  <si>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</si>
  <si>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</si>
  <si>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</si>
  <si>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</si>
  <si>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</si>
  <si>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</si>
  <si>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</si>
  <si>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</si>
  <si>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</si>
  <si>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</si>
  <si>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</si>
  <si>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</si>
  <si>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</si>
  <si>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</si>
  <si>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</si>
  <si>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</si>
  <si>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</si>
  <si>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</si>
  <si>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</si>
  <si>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</si>
  <si>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</si>
  <si>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</si>
  <si>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</si>
  <si>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</si>
  <si>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</si>
  <si>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</si>
  <si>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</si>
  <si>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</si>
  <si>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</si>
  <si>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18</t>
  </si>
  <si>
    <t>Demand Transmission Service Cost Recovery</t>
  </si>
  <si>
    <t>Non-Coincident</t>
  </si>
  <si>
    <t>Flat</t>
  </si>
  <si>
    <t>Usage</t>
  </si>
  <si>
    <t>Varying</t>
  </si>
  <si>
    <t>/MW</t>
  </si>
  <si>
    <t>Billing Determinant</t>
  </si>
  <si>
    <t>Rate</t>
  </si>
  <si>
    <t>customer-months</t>
  </si>
  <si>
    <t>/month</t>
  </si>
  <si>
    <t>Quantity</t>
  </si>
  <si>
    <t>Flat Usage Charge</t>
  </si>
  <si>
    <t>Varying Usage Charge</t>
  </si>
  <si>
    <t>Non-Wires</t>
  </si>
  <si>
    <t>Wires</t>
  </si>
  <si>
    <t>DTS Voltage Control (TMR) Charge</t>
  </si>
  <si>
    <t>Total DTS Cost Recovery</t>
  </si>
  <si>
    <t>Reference</t>
  </si>
  <si>
    <t>Total</t>
  </si>
  <si>
    <t>Losses Charge</t>
  </si>
  <si>
    <t>Other</t>
  </si>
  <si>
    <t>RGU Connection Costs (Note 3)</t>
  </si>
  <si>
    <t>Total STS Cost Recovery</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</si>
  <si>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</si>
  <si>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</si>
  <si>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</si>
  <si>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</si>
  <si>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</si>
  <si>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</si>
  <si>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</si>
  <si>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</si>
  <si>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</si>
  <si>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</si>
  <si>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</si>
  <si>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</si>
  <si>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</si>
  <si>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</si>
  <si>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</si>
  <si>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</si>
  <si>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</si>
  <si>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</si>
  <si>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</si>
  <si>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</si>
  <si>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</si>
  <si>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</si>
  <si>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</si>
  <si>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</si>
  <si>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</si>
  <si>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</si>
  <si>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</si>
  <si>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</si>
  <si>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</si>
  <si>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</si>
  <si>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</si>
  <si>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</si>
  <si>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</si>
  <si>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</si>
  <si>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</si>
  <si>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</si>
  <si>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Coincident Metered Demand</t>
  </si>
  <si>
    <t>FTS Coincident Metered Demand</t>
  </si>
  <si>
    <t>Data Points (MW)</t>
  </si>
  <si>
    <t>Intercept and Slopes ($ 000 000)</t>
  </si>
  <si>
    <t>Lines 1 and 2</t>
  </si>
  <si>
    <t>Lines 2 and 3</t>
  </si>
  <si>
    <t>POD Cost Classification</t>
  </si>
  <si>
    <t>POD Cost Function and POD Cost Classification</t>
  </si>
  <si>
    <t>DTS Revenue Requirement</t>
  </si>
  <si>
    <t>Calculated Values ($ 000 000)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</si>
  <si>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</si>
  <si>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</si>
  <si>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</si>
  <si>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</si>
  <si>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</si>
  <si>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</si>
  <si>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</si>
  <si>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</si>
  <si>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</si>
  <si>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</si>
  <si>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</si>
  <si>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</si>
  <si>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</si>
  <si>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</si>
  <si>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</si>
  <si>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</si>
  <si>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</si>
  <si>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</si>
  <si>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</si>
  <si>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</si>
  <si>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</si>
  <si>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</si>
  <si>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</si>
  <si>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</si>
  <si>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</si>
  <si>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Bulk System Charge</t>
  </si>
  <si>
    <t>Coincident Metered Demand</t>
  </si>
  <si>
    <t>Load Factor</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</si>
  <si>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</si>
  <si>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</si>
  <si>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</si>
  <si>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</si>
  <si>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</si>
  <si>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</si>
  <si>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</si>
  <si>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</si>
  <si>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</si>
  <si>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</si>
  <si>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</si>
  <si>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</si>
  <si>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</si>
  <si>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</si>
  <si>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</si>
  <si>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</si>
  <si>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</si>
  <si>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</si>
  <si>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</si>
  <si>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</si>
  <si>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</si>
  <si>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</si>
  <si>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</si>
  <si>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</si>
  <si>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</si>
  <si>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</si>
  <si>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</si>
  <si>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</si>
  <si>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</si>
  <si>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</si>
  <si>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</si>
  <si>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</si>
  <si>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</si>
  <si>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</si>
  <si>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</si>
  <si>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</si>
  <si>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</si>
  <si>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</si>
  <si>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</si>
  <si>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</si>
  <si>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</si>
  <si>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</si>
  <si>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</si>
  <si>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</si>
  <si>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</si>
  <si>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</si>
  <si>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</si>
  <si>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</si>
  <si>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</si>
  <si>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</si>
  <si>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</si>
  <si>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</si>
  <si>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</si>
  <si>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</si>
  <si>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</si>
  <si>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</si>
  <si>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</si>
  <si>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</si>
  <si>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</si>
  <si>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</si>
  <si>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</si>
  <si>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</si>
  <si>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</si>
  <si>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</si>
  <si>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</si>
  <si>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</si>
  <si>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</si>
  <si>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</si>
  <si>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</si>
  <si>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</si>
  <si>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</si>
  <si>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</si>
  <si>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</si>
  <si>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</si>
  <si>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</si>
  <si>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</si>
  <si>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</si>
  <si>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</si>
  <si>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</si>
  <si>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</si>
  <si>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</si>
  <si>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</si>
  <si>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</si>
  <si>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</si>
  <si>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</si>
  <si>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</si>
  <si>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</si>
  <si>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</si>
  <si>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</si>
  <si>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</si>
  <si>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</si>
  <si>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</si>
  <si>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</si>
  <si>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</si>
  <si>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</si>
  <si>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</si>
  <si>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</si>
  <si>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</si>
  <si>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</si>
  <si>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</si>
  <si>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</si>
  <si>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</si>
  <si>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</si>
  <si>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</si>
  <si>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</si>
  <si>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</si>
  <si>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</si>
  <si>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</si>
  <si>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</si>
  <si>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</si>
  <si>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</si>
  <si>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</si>
  <si>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</si>
  <si>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</si>
  <si>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</si>
  <si>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</si>
  <si>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</si>
  <si>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</si>
  <si>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</si>
  <si>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</si>
  <si>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</si>
  <si>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</si>
  <si>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</si>
  <si>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</si>
  <si>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</si>
  <si>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</si>
  <si>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</si>
  <si>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</si>
  <si>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</si>
  <si>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</si>
  <si>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</si>
  <si>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</si>
  <si>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</si>
  <si>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</si>
  <si>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</si>
  <si>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</si>
  <si>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</si>
  <si>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</si>
  <si>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</si>
  <si>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</si>
  <si>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</si>
  <si>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</si>
  <si>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</si>
  <si>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</si>
  <si>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</si>
  <si>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</si>
  <si>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</si>
  <si>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</si>
  <si>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</si>
  <si>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</si>
  <si>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</si>
  <si>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</si>
  <si>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</si>
  <si>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</si>
  <si>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</si>
  <si>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XOS/XOM, $/MWh</t>
  </si>
  <si>
    <t>Export Opportunity Service (XOS/XOM) Rates</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</si>
  <si>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</si>
  <si>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</si>
  <si>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</si>
  <si>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</si>
  <si>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</si>
  <si>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</si>
  <si>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</si>
  <si>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</si>
  <si>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POD</t>
  </si>
  <si>
    <t>Connection Charge</t>
  </si>
  <si>
    <t>costs or the actual cost of the AE line providing service to Fort Nelson.” Based on the Rate DTS Regional System Charge from Table D-6:</t>
  </si>
  <si>
    <t>Line 17</t>
  </si>
  <si>
    <t>Varying Usage Charge (Note 2)</t>
  </si>
  <si>
    <t>Line 21</t>
  </si>
  <si>
    <t>“SF” refers to substation fraction; the charges provided in lines 8 to 12 are applied to billing capacity within the bounds defined as amounts multiplied by the substation fraction for</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</si>
  <si>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</si>
  <si>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</si>
  <si>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</si>
  <si>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</si>
  <si>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</si>
  <si>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</si>
  <si>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</si>
  <si>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</si>
  <si>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</si>
  <si>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</si>
  <si>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Type</t>
  </si>
  <si>
    <t>Proceeding ID</t>
  </si>
  <si>
    <t>Basis</t>
  </si>
  <si>
    <t>Note: “NA” means not applicable</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</si>
  <si>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</si>
  <si>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</si>
  <si>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</si>
  <si>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</si>
  <si>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</si>
  <si>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</si>
  <si>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</si>
  <si>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</si>
  <si>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</si>
  <si>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</si>
  <si>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</si>
  <si>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</si>
  <si>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Transmission Constraint Rebalancing (TCR)</t>
  </si>
  <si>
    <t>Share of Commission Costs</t>
  </si>
  <si>
    <t>Facilities</t>
  </si>
  <si>
    <t>Source</t>
  </si>
  <si>
    <t>Transmission Constraint Rebalacing Charge</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</si>
  <si>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</si>
  <si>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</si>
  <si>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</si>
  <si>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</si>
  <si>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</si>
  <si>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</si>
  <si>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</si>
  <si>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22</t>
  </si>
  <si>
    <t>FTS Transmission Constraint Rebalancing Charge</t>
  </si>
  <si>
    <t>Transmission Constraint Rebalancing Charge</t>
  </si>
  <si>
    <t>(7)</t>
  </si>
  <si>
    <t>DTS Transmission Constraint Rebalancing Charge</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</si>
  <si>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</si>
  <si>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</si>
  <si>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</si>
  <si>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</si>
  <si>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</si>
  <si>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Variance</t>
  </si>
  <si>
    <t>Forecast 
$ 000 000</t>
  </si>
  <si>
    <t>$ 000 000</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</si>
  <si>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</si>
  <si>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</si>
  <si>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</si>
  <si>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</si>
  <si>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</si>
  <si>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</si>
  <si>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</si>
  <si>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Alberta PowerLine L.P.</t>
  </si>
  <si>
    <t>22942-D02-2019</t>
  </si>
  <si>
    <t>FTS Highest Metered Demand</t>
  </si>
  <si>
    <t>Row
No.</t>
  </si>
  <si>
    <r>
      <t>Functionalization Ratio</t>
    </r>
    <r>
      <rPr>
        <vertAlign val="superscript"/>
        <sz val="8"/>
        <rFont val="Arial Narrow"/>
        <family val="2"/>
      </rPr>
      <t>1</t>
    </r>
  </si>
  <si>
    <r>
      <t>Classification to Rate Component</t>
    </r>
    <r>
      <rPr>
        <b/>
        <vertAlign val="superscript"/>
        <sz val="8"/>
        <rFont val="Arial Narrow"/>
        <family val="2"/>
      </rPr>
      <t>1</t>
    </r>
  </si>
  <si>
    <r>
      <t xml:space="preserve">  Power Function</t>
    </r>
    <r>
      <rPr>
        <vertAlign val="superscript"/>
        <sz val="8"/>
        <rFont val="Arial Narrow"/>
        <family val="2"/>
      </rPr>
      <t>1</t>
    </r>
  </si>
  <si>
    <t xml:space="preserve">  and approved in Decision 22942-D02-2019, Alberta Electric System Operator, 2018 Independent System Operator Tariff, para 201.</t>
  </si>
  <si>
    <t>The Power Function as described in Exhibit 22942.X0018.03, Appendix G - Options for POD Cost Function Workbook, Tab 'Option 2 Investment Proposed', Cells C11 to G11</t>
  </si>
  <si>
    <t>AltaLink</t>
  </si>
  <si>
    <t>Final approval</t>
  </si>
  <si>
    <t>ENMAX</t>
  </si>
  <si>
    <t>EPCOR</t>
  </si>
  <si>
    <t>TransAlta Corporation</t>
  </si>
  <si>
    <t>Approved 2018</t>
  </si>
  <si>
    <t>2018 Final Approved</t>
  </si>
  <si>
    <t>24509-D01-2019</t>
  </si>
  <si>
    <t>FortisAlberta</t>
  </si>
  <si>
    <t>Alberta PowerLine</t>
  </si>
  <si>
    <t>Filed All Years</t>
  </si>
  <si>
    <t>Decision 23161-D01-2018</t>
  </si>
  <si>
    <t>Energy Charge</t>
  </si>
  <si>
    <t>Demand Charge</t>
  </si>
  <si>
    <t>Energy</t>
  </si>
  <si>
    <t>Demand - Bulk System</t>
  </si>
  <si>
    <t>Demand - Regional System</t>
  </si>
  <si>
    <t>DTS Energy Charge</t>
  </si>
  <si>
    <t>DTS Demand Charge</t>
  </si>
  <si>
    <t>Energy Charge - Usage</t>
  </si>
  <si>
    <t>Bulk System Charge - Demand</t>
  </si>
  <si>
    <t>Regional System Charge _Demand</t>
  </si>
  <si>
    <t>2</t>
  </si>
  <si>
    <t>Line 5</t>
  </si>
  <si>
    <t>Line 23</t>
  </si>
  <si>
    <t>Line 13</t>
  </si>
  <si>
    <t>Line 19</t>
  </si>
  <si>
    <t>AESO 2019 Actual Revenue Requirement, $ 000 000</t>
  </si>
  <si>
    <t>BC Hydro</t>
  </si>
  <si>
    <t>Approved 2019</t>
  </si>
  <si>
    <t>2019 Final Approved</t>
  </si>
  <si>
    <t>25870-D01-2020</t>
  </si>
  <si>
    <t>24805-D01-2020</t>
  </si>
  <si>
    <t>25738-D01-2020</t>
  </si>
  <si>
    <t xml:space="preserve"> 24058-D01-2018 </t>
  </si>
  <si>
    <t>24451-D01-2019</t>
  </si>
  <si>
    <t>24876-D01-2019</t>
  </si>
  <si>
    <t>23701-D01-2018</t>
  </si>
  <si>
    <t>As per Approved Payment Schedule plus other Adjustments</t>
  </si>
  <si>
    <t>25570-D01-2020</t>
  </si>
  <si>
    <t>2019 DTS Costs, $ 000 000</t>
  </si>
  <si>
    <t>2019 DTS Rates, $/MWh</t>
  </si>
  <si>
    <t>2019 Fort Nelson Billing Determinants</t>
  </si>
  <si>
    <t>2019 Billing Determinants</t>
  </si>
  <si>
    <t>2019
Determinant</t>
  </si>
  <si>
    <t>Current</t>
  </si>
  <si>
    <t>Proposed</t>
  </si>
  <si>
    <t>2019 Test Rates with Current Functionalization</t>
  </si>
  <si>
    <t>2019 Test Rates with Proposed Functionalization</t>
  </si>
  <si>
    <r>
      <rPr>
        <vertAlign val="superscript"/>
        <sz val="10"/>
        <rFont val="Arial Narrow"/>
        <family val="2"/>
      </rPr>
      <t xml:space="preserve">1 </t>
    </r>
    <r>
      <rPr>
        <sz val="10"/>
        <rFont val="Arial Narrow"/>
        <family val="2"/>
      </rPr>
      <t xml:space="preserve"> Numbers may not add due to rounding</t>
    </r>
  </si>
  <si>
    <r>
      <rPr>
        <vertAlign val="superscript"/>
        <sz val="10"/>
        <rFont val="Arial Narrow"/>
        <family val="2"/>
      </rPr>
      <t>2</t>
    </r>
    <r>
      <rPr>
        <sz val="10"/>
        <rFont val="Arial Narrow"/>
        <family val="2"/>
      </rPr>
      <t xml:space="preserve"> 2019 recorded costs as per 2020 DAR - Exhibit 26541_X0038 Appendix K and Exhibit 26541_X0007 Appendix D-5</t>
    </r>
  </si>
  <si>
    <r>
      <t>Costs</t>
    </r>
    <r>
      <rPr>
        <b/>
        <vertAlign val="superscript"/>
        <sz val="10"/>
        <rFont val="Arial Narrow"/>
        <family val="2"/>
      </rPr>
      <t>2</t>
    </r>
  </si>
  <si>
    <t>2019 TFO Revenue Requirement Actual / Forecast</t>
  </si>
  <si>
    <t>2019 Forecast Transmission Facility Owner Wires Costs</t>
  </si>
  <si>
    <t>2019 TEST RATES AS PER PROPOSED FUNCTIONALIZATION</t>
  </si>
  <si>
    <t>2019 TEST RATES AS PER CURRENT FUNCTIONALIZATION</t>
  </si>
  <si>
    <t>Coincidence Factor with 1-hour system peak (5-year average)</t>
  </si>
  <si>
    <t>AESO 2019 Forecast Revenue Requirement</t>
  </si>
  <si>
    <t>2019 Test Rates BILL ESTIMATES (MONTHLY)</t>
  </si>
  <si>
    <t>Lines 3, 8-11</t>
  </si>
  <si>
    <t>Lines 4, 8-11</t>
  </si>
  <si>
    <t>Lines 5, 8-11</t>
  </si>
  <si>
    <t>Lines 6, 8-11</t>
  </si>
  <si>
    <t>Line 8</t>
  </si>
  <si>
    <t>Line 11</t>
  </si>
  <si>
    <t>Lines 17, 21</t>
  </si>
  <si>
    <t>“SF” refers to substation fraction; the tiers provided in lines 6 through 10 are within bounds defined by amounts multiplied by the substation fraction for each Rate DTS</t>
  </si>
  <si>
    <t>F-1</t>
  </si>
  <si>
    <t>F-2</t>
  </si>
  <si>
    <t>F-3</t>
  </si>
  <si>
    <t>F-4</t>
  </si>
  <si>
    <t>F-5</t>
  </si>
  <si>
    <t>F-6</t>
  </si>
  <si>
    <t>F-7</t>
  </si>
  <si>
    <t>F-8</t>
  </si>
  <si>
    <t>F-9</t>
  </si>
  <si>
    <t>F-10</t>
  </si>
  <si>
    <t>F-11</t>
  </si>
  <si>
    <t>F-12</t>
  </si>
  <si>
    <t>F-13</t>
  </si>
  <si>
    <t>F-14</t>
  </si>
  <si>
    <t>F-15</t>
  </si>
  <si>
    <t>F-16</t>
  </si>
  <si>
    <t>Appendix F</t>
  </si>
  <si>
    <t>1. Appendix D - NERA Report - AESO Bulk and Regional Tariff Design:Expert Report</t>
  </si>
  <si>
    <t>[Table F-3]
$ 000 000</t>
  </si>
  <si>
    <t>Table F-5 Reference</t>
  </si>
  <si>
    <t>Amount
[F-5 Col C]
$ 000 000</t>
  </si>
  <si>
    <t>Amount
[F-5 Col E]
$ 000 000</t>
  </si>
  <si>
    <t>Amount
[F-5 Col G]
$ 000 000</t>
  </si>
  <si>
    <t>Amount
[F-5 Col I]
$ 000 000</t>
  </si>
  <si>
    <t>Amount
[F-5 Col K]
$ 000 000</t>
  </si>
  <si>
    <t>Table F-7</t>
  </si>
  <si>
    <t>[Table F-5]
$ 000 000</t>
  </si>
  <si>
    <t>Table F-9</t>
  </si>
  <si>
    <t>Table F-8</t>
  </si>
  <si>
    <t>2019 Test Year Proposed Rate Calculations</t>
  </si>
  <si>
    <t>Rate Change Impact Compared to 2019 Test Year Current Rates</t>
  </si>
  <si>
    <t>1. Appendix D - NERA Report - AESO Bulk and Regional Tariff Design:Expert Report Attachment 3A: Tariff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</si>
</sst>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0.0_);\(#,##0.0\)"/>
    <numFmt numFmtId="180" formatCode="&quot;DTS (&quot;#,##0.0&quot; GWh)&quot;"/>
    <numFmt numFmtId="181" formatCode="_(&quot;$&quot;* #,##0.000_);_(&quot;$&quot;* \(#,##0.000\);_(&quot;$&quot;* &quot;-&quot;?_);_(@_)"/>
    <numFmt numFmtId="182" formatCode="_(* #,##0.000_);_(* \(#,##0.000\);_(* &quot;-&quot;_0_);_(@_)"/>
    <numFmt numFmtId="183" formatCode="_(&quot;$&quot;* #,##0.000_);_(&quot;$&quot;* \(#,##0.000\);_(&quot;$&quot;* &quot;-&quot;???_);_(@_)"/>
    <numFmt numFmtId="184" formatCode="0.0&quot; MW&quot;"/>
    <numFmt numFmtId="185" formatCode="0&quot; MW&quot;"/>
    <numFmt numFmtId="186" formatCode="[$-409]d/mmm/yyyy;@"/>
    <numFmt numFmtId="187" formatCode="0.000"/>
    <numFmt numFmtId="188" formatCode="0.0"/>
    <numFmt numFmtId="189" formatCode="0.00000"/>
    <numFmt numFmtId="190" formatCode="0.0%_);\(0.0%\)"/>
    <numFmt numFmtId="191" formatCode="#,##0.0_);\(#,##0.0\);&quot;-&quot;_0_)"/>
    <numFmt numFmtId="192" formatCode="0_);\(0\)"/>
    <numFmt numFmtId="193" formatCode="_(* #,##0.000_);_(* \(#,##0.000\);_(* &quot;-&quot;??_);_(@_)"/>
    <numFmt numFmtId="194" formatCode="&quot;error&quot;;&quot;error&quot;;&quot;OK&quot;;&quot;  &quot;@"/>
    <numFmt numFmtId="195" formatCode="#,##0\ ;[Red]\(#,##0\)"/>
    <numFmt numFmtId="196" formatCode="m/d/yy\ h:mm"/>
    <numFmt numFmtId="197" formatCode="#,##0_);\(#,##0\);&quot;- &quot;;&quot;  &quot;@"/>
    <numFmt numFmtId="198" formatCode="#,##0.0000_);\(#,##0.0000\);&quot;- &quot;;&quot;  &quot;@"/>
    <numFmt numFmtId="199" formatCode="_ * #,##0.00_ ;_ * \-#,##0.00_ ;_ * &quot;-&quot;??_ ;_ @_ "/>
    <numFmt numFmtId="200" formatCode="#,##0.0\ \ \ \ ;[Red]\(#,##0.0\)\ \ "/>
    <numFmt numFmtId="201" formatCode="0.0\ \ \ \ \ \ ;[Red]\(0.0\)\ \ \ \ "/>
    <numFmt numFmtId="202" formatCode="0.0\ \ \ \ \ \ \ \ ;[Red]\(0.0\)\ \ \ \ \ \ "/>
    <numFmt numFmtId="203" formatCode="mmm\ dd\,\ yyyy"/>
    <numFmt numFmtId="204" formatCode="mmm\-yyyy"/>
    <numFmt numFmtId="205" formatCode="yyyy"/>
    <numFmt numFmtId="206" formatCode=";;&quot;zero&quot;;&quot;  &quot;@"/>
    <numFmt numFmtId="207" formatCode="0.0_)\%;\(0.0\)\%;0.0_)\%;@_)_%"/>
    <numFmt numFmtId="208" formatCode="#,##0.0_)_%;\(#,##0.0\)_%;0.0_)_%;@_)_%"/>
    <numFmt numFmtId="209" formatCode="#,##0.0_);\(#,##0.0\);#,##0.0_);@_)"/>
    <numFmt numFmtId="210" formatCode="&quot;$&quot;_(#,##0.00_);&quot;$&quot;\(#,##0.00\);&quot;$&quot;_(0.00_);@_)"/>
    <numFmt numFmtId="211" formatCode="#,##0.00_);\(#,##0.00\);0.00_);@_)"/>
    <numFmt numFmtId="212" formatCode="\€_(#,##0.00_);\€\(#,##0.00\);\€_(0.00_);@_)"/>
    <numFmt numFmtId="213" formatCode="#,##0_)\x;\(#,##0\)\x;0_)\x;@_)_x"/>
    <numFmt numFmtId="214" formatCode="#,##0_)_x;\(#,##0\)_x;0_)_x;@_)_x"/>
    <numFmt numFmtId="215" formatCode="&quot;$&quot;#,##0.0;[Red]\-&quot;$&quot;#,##0.0"/>
    <numFmt numFmtId="216" formatCode="#,##0.0_);[Red]\(#,##0.0\)"/>
    <numFmt numFmtId="217" formatCode="#,##0."/>
    <numFmt numFmtId="218" formatCode="\$#."/>
    <numFmt numFmtId="219" formatCode="_([$€-2]* #,##0.00_);_([$€-2]* \(#,##0.00\);_([$€-2]* &quot;-&quot;??_)"/>
    <numFmt numFmtId="220" formatCode="_-* #,##0.0_-;\-* #,##0.0_-;_-* &quot;-&quot;??_-;_-@_-"/>
    <numFmt numFmtId="221" formatCode="#,##0__;[Red]\(#,##0\)_]"/>
    <numFmt numFmtId="222" formatCode="#,##0.00&quot; $&quot;;\-#,##0.00&quot; $&quot;"/>
    <numFmt numFmtId="223" formatCode="_-* #,##0\ _$_-;\-* #,##0\ _$_-;_-* &quot;-&quot;\ _$_-;_-@_-"/>
    <numFmt numFmtId="224" formatCode="_(&quot;N$&quot;* #,##0_);_(&quot;N$&quot;* \(#,##0\);_(&quot;N$&quot;* &quot;-&quot;_);_(@_)"/>
    <numFmt numFmtId="225" formatCode="_(&quot;N$&quot;* #,##0.00_);_(&quot;N$&quot;* \(#,##0.00\);_(&quot;N$&quot;* &quot;-&quot;??_);_(@_)"/>
    <numFmt numFmtId="226" formatCode="_-* #,##0\ &quot;$&quot;_-;\-* #,##0\ &quot;$&quot;_-;_-* &quot;-&quot;\ &quot;$&quot;_-;_-@_-"/>
    <numFmt numFmtId="227" formatCode="_-* #,##0.00\ &quot;$&quot;_-;\-* #,##0.00\ &quot;$&quot;_-;_-* &quot;-&quot;??\ &quot;$&quot;_-;_-@_-"/>
    <numFmt numFmtId="228" formatCode="#,##0.0000\ ;[Red]\(#,##0.0000\)"/>
    <numFmt numFmtId="229" formatCode="&quot;$&quot;\ #,###,###,##0_);\(&quot;$&quot;\ #,###,###,##0\)_);&quot;&quot;_)"/>
    <numFmt numFmtId="230" formatCode="%#."/>
    <numFmt numFmtId="231" formatCode="&quot;$&quot;\ #,###,##0_);\(&quot;$&quot;\ #,###,##0\)_)"/>
    <numFmt numFmtId="232" formatCode="#,###,###,##0_);\(#,###,###,##0\)_)"/>
    <numFmt numFmtId="233" formatCode="0.00\ ;\-0.00\ ;&quot;- &quot;"/>
    <numFmt numFmtId="234" formatCode="#,###,##0.0_)"/>
    <numFmt numFmtId="235" formatCode="#,##0.00;[Red]#,##0.00"/>
    <numFmt numFmtId="236" formatCode="_(* #,##0_);_(* \(#,##0\);_(* &quot;-&quot;??_);_(@_)"/>
    <numFmt numFmtId="237" formatCode="_(* #,##0.0_);_(* \(#,##0.0\);_(* &quot;-&quot;??_);_(@_)"/>
    <numFmt numFmtId="238" formatCode="_(* #,##0_);_(* \(#,##0\);_(* &quot;-&quot;_0_);_(@_)"/>
    <numFmt numFmtId="239" formatCode="0.0%"/>
    <numFmt numFmtId="240" formatCode="_-&quot;$&quot;* #,##0.00_-;\-&quot;$&quot;* #,##0.00_-;_-&quot;$&quot;* &quot;-&quot;??_-;_-@_-"/>
    <numFmt numFmtId="241" formatCode="_-* #,##0.00_-;\-* #,##0.00_-;_-* &quot;-&quot;??_-;_-@_-"/>
    <numFmt numFmtId="242" formatCode="0.00_)%;\(0.00\)%;\-"/>
    <numFmt numFmtId="243" formatCode="_-* #,##0.00\ _D_M_-;\-* #,##0.00\ _D_M_-;_-* &quot;-&quot;??\ _D_M_-;_-@_-"/>
    <numFmt numFmtId="244" formatCode="[$-409]dd/mmm/yy;@"/>
    <numFmt numFmtId="245" formatCode="#,##0.0\ ;\(#,##0.0\)"/>
    <numFmt numFmtId="246" formatCode="#,##0.000\ ;\(#,##0.000\)"/>
    <numFmt numFmtId="247" formatCode="#,##0.00\ ;\ \(#,##0.00\)"/>
    <numFmt numFmtId="248" formatCode="#,##0\ ;\(#,##0\)"/>
    <numFmt numFmtId="249" formatCode="_(&quot;$&quot;* #,##0.0_);_(&quot;$&quot;* \(#,##0.0\);_(&quot;$&quot;* &quot;-&quot;??_);_(@_)"/>
    <numFmt numFmtId="250" formatCode="_(* #,##0.00_);_(* \(#,##0.00\);_(* &quot;-&quot;?_);_(@_)"/>
    <numFmt numFmtId="251" formatCode="_-* #,##0.000000_-;\-* #,##0.000000_-;_-* &quot;-&quot;?_-;_-@_-"/>
    <numFmt numFmtId="252" formatCode="_-* #,##0.0000_-;\-* #,##0.0000_-;_-* &quot;-&quot;?_-;_-@_-"/>
    <numFmt numFmtId="253" formatCode="_-* #,##0\ _D_M_-;\-* #,##0\ _D_M_-;_-* &quot;-&quot;\ _D_M_-;_-@_-"/>
    <numFmt numFmtId="254" formatCode="_-* #,##0\ &quot;DM&quot;_-;\-* #,##0\ &quot;DM&quot;_-;_-* &quot;-&quot;\ &quot;DM&quot;_-;_-@_-"/>
    <numFmt numFmtId="255" formatCode="_-* #,##0.00\ &quot;DM&quot;_-;\-* #,##0.00\ &quot;DM&quot;_-;_-* &quot;-&quot;??\ &quot;DM&quot;_-;_-@_-"/>
    <numFmt numFmtId="256" formatCode="0.000%_);\(0.000%\);&quot;-&quot;_%_)"/>
    <numFmt numFmtId="257" formatCode="_(* #,##0_);_(* \(#,##0\);_(* &quot;-&quot;?_);_(@_)"/>
    <numFmt numFmtId="258" formatCode="_-* #,##0_-;\-* #,##0_-;_-* &quot;-&quot;?_-;_-@_-"/>
    <numFmt numFmtId="259" formatCode="_-* #,##0.00_-;\-* #,##0.00_-;_-* &quot;-&quot;?_-;_-@_-"/>
    <numFmt numFmtId="260" formatCode="m\-d\-yy"/>
    <numFmt numFmtId="261" formatCode="_-* #,##0.00_$_-;\-* #,##0.00_$_-;_-* &quot;-&quot;??_$_-;_-@_-"/>
    <numFmt numFmtId="262" formatCode="_-* #,##0.00&quot;$&quot;_-;\-* #,##0.00&quot;$&quot;_-;_-* &quot;-&quot;??&quot;$&quot;_-;_-@_-"/>
    <numFmt numFmtId="263" formatCode="&quot;$&quot;#,##0\ ;\(&quot;$&quot;#,##0\)"/>
    <numFmt numFmtId="264" formatCode="#.00"/>
    <numFmt numFmtId="265" formatCode="0.00_)"/>
    <numFmt numFmtId="266" formatCode="0.000000"/>
    <numFmt numFmtId="267" formatCode="General_)"/>
    <numFmt numFmtId="268" formatCode="&quot;$&quot;0.00\ \ &quot;MWh&quot;"/>
    <numFmt numFmtId="269" formatCode="_-* #,##0\ _P_t_s_-;\-* #,##0\ _P_t_s_-;_-* &quot;-&quot;\ _P_t_s_-;_-@_-"/>
    <numFmt numFmtId="270" formatCode="_-* #,##0.00\ _P_t_s_-;\-* #,##0.00\ _P_t_s_-;_-* &quot;-&quot;??\ _P_t_s_-;_-@_-"/>
    <numFmt numFmtId="271" formatCode="0.0\ \ &quot;MW&quot;"/>
    <numFmt numFmtId="272" formatCode="0.0\ \ &quot;MWh&quot;"/>
    <numFmt numFmtId="273" formatCode="#,##0,_);\(#,##0,\)"/>
    <numFmt numFmtId="274" formatCode="#,###,;\(#,###,\)"/>
    <numFmt numFmtId="275" formatCode="_(&quot;$&quot;* #,##0.000_);_(&quot;$&quot;* \(#,##0.000\);_(&quot;$&quot;* &quot;-&quot;??_);_(@_)"/>
    <numFmt numFmtId="276" formatCode="&quot;$&quot;#,##0.000"/>
    <numFmt numFmtId="277" formatCode="#,##0.0000000000000_);\(#,##0.0000000000000\)"/>
    <numFmt numFmtId="278" formatCode="#,##0.000000000000_);\(#,##0.000000000000\)"/>
  </numFmts>
  <fonts count="224">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vertAlign val="superscript"/>
      <sz val="10"/>
      <name val="Arial Narrow"/>
      <family val="2"/>
    </font>
  </fonts>
  <fills count="114">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s>
  <borders count="182">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5359">
    <xf numFmtId="164" fontId="0" fillId="0" borderId="0"/>
    <xf numFmtId="207"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208" fontId="11" fillId="0" borderId="0" applyFont="0" applyFill="0" applyBorder="0" applyAlignment="0" applyProtection="0"/>
    <xf numFmtId="208" fontId="1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1" fillId="0" borderId="0" applyFont="0" applyFill="0" applyBorder="0" applyAlignment="0" applyProtection="0"/>
    <xf numFmtId="209" fontId="11"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8" fillId="2" borderId="0" applyNumberFormat="0" applyFont="0" applyAlignment="0" applyProtection="0"/>
    <xf numFmtId="0" fontId="18" fillId="2" borderId="0" applyNumberFormat="0" applyFont="0" applyAlignment="0" applyProtection="0"/>
    <xf numFmtId="0" fontId="18" fillId="2" borderId="0" applyNumberFormat="0" applyFont="0" applyAlignment="0" applyProtection="0"/>
    <xf numFmtId="0" fontId="11" fillId="2" borderId="0" applyNumberFormat="0" applyFont="0" applyAlignment="0" applyProtection="0"/>
    <xf numFmtId="0" fontId="11" fillId="2" borderId="0" applyNumberFormat="0" applyFont="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8" fillId="0" borderId="0" applyFont="0" applyFill="0" applyBorder="0" applyProtection="0">
      <alignment horizontal="right"/>
    </xf>
    <xf numFmtId="214" fontId="18" fillId="0" borderId="0" applyFont="0" applyFill="0" applyBorder="0" applyProtection="0">
      <alignment horizontal="right"/>
    </xf>
    <xf numFmtId="214" fontId="18" fillId="0" borderId="0" applyFont="0" applyFill="0" applyBorder="0" applyProtection="0">
      <alignment horizontal="right"/>
    </xf>
    <xf numFmtId="214" fontId="11" fillId="0" borderId="0" applyFont="0" applyFill="0" applyBorder="0" applyProtection="0">
      <alignment horizontal="right"/>
    </xf>
    <xf numFmtId="214" fontId="11" fillId="0" borderId="0" applyFont="0" applyFill="0" applyBorder="0" applyProtection="0">
      <alignment horizontal="right"/>
    </xf>
    <xf numFmtId="0" fontId="65" fillId="0" borderId="0" applyNumberFormat="0" applyFill="0" applyBorder="0" applyProtection="0">
      <alignment vertical="top"/>
    </xf>
    <xf numFmtId="0" fontId="65" fillId="0" borderId="0" applyNumberFormat="0" applyFill="0" applyBorder="0" applyProtection="0">
      <alignment vertical="top"/>
    </xf>
    <xf numFmtId="0" fontId="65" fillId="0" borderId="0" applyNumberFormat="0" applyFill="0" applyBorder="0" applyProtection="0">
      <alignment vertical="top"/>
    </xf>
    <xf numFmtId="0" fontId="118" fillId="0" borderId="0" applyNumberFormat="0" applyFill="0" applyBorder="0" applyProtection="0">
      <alignment vertical="top"/>
    </xf>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119" fillId="0" borderId="1" applyNumberFormat="0" applyFill="0" applyAlignment="0" applyProtection="0"/>
    <xf numFmtId="0" fontId="67" fillId="0" borderId="2" applyNumberFormat="0" applyFill="0" applyProtection="0">
      <alignment horizontal="center"/>
    </xf>
    <xf numFmtId="0" fontId="67" fillId="0" borderId="2" applyNumberFormat="0" applyFill="0" applyProtection="0">
      <alignment horizontal="center"/>
    </xf>
    <xf numFmtId="0" fontId="67" fillId="0" borderId="2" applyNumberFormat="0" applyFill="0" applyProtection="0">
      <alignment horizontal="center"/>
    </xf>
    <xf numFmtId="0" fontId="120" fillId="0" borderId="2" applyNumberFormat="0" applyFill="0" applyProtection="0">
      <alignment horizontal="center"/>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120" fillId="0" borderId="0" applyNumberFormat="0" applyFill="0" applyBorder="0" applyProtection="0">
      <alignment horizontal="left"/>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121" fillId="0" borderId="0" applyNumberFormat="0" applyFill="0" applyBorder="0" applyProtection="0">
      <alignment horizontal="centerContinuous"/>
    </xf>
    <xf numFmtId="0" fontId="39" fillId="4"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42"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2" fillId="5"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2" fillId="6" borderId="0" applyNumberFormat="0" applyBorder="0" applyAlignment="0" applyProtection="0"/>
    <xf numFmtId="0" fontId="39" fillId="5"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42" fillId="5" borderId="0" applyNumberFormat="0" applyBorder="0" applyAlignment="0" applyProtection="0"/>
    <xf numFmtId="193" fontId="69" fillId="0" borderId="0" applyFont="0" applyFill="0" applyBorder="0" applyAlignment="0">
      <alignment horizontal="right"/>
    </xf>
    <xf numFmtId="0" fontId="39" fillId="15"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2" fillId="7"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39" fillId="16"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17" borderId="0" applyNumberFormat="0" applyBorder="0" applyAlignment="0" applyProtection="0"/>
    <xf numFmtId="0" fontId="39" fillId="2" borderId="0" applyNumberFormat="0" applyBorder="0" applyAlignment="0" applyProtection="0"/>
    <xf numFmtId="0" fontId="39" fillId="17" borderId="0" applyNumberFormat="0" applyBorder="0" applyAlignment="0" applyProtection="0"/>
    <xf numFmtId="0" fontId="42" fillId="5"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8" borderId="0" applyNumberFormat="0" applyBorder="0" applyAlignment="0" applyProtection="0"/>
    <xf numFmtId="0" fontId="43" fillId="7" borderId="0" applyNumberFormat="0" applyBorder="0" applyAlignment="0" applyProtection="0"/>
    <xf numFmtId="0" fontId="38" fillId="16" borderId="0" applyNumberFormat="0" applyBorder="0" applyAlignment="0" applyProtection="0"/>
    <xf numFmtId="0" fontId="38" fillId="2"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14"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3" borderId="0" applyNumberFormat="0" applyBorder="0" applyAlignment="0" applyProtection="0"/>
    <xf numFmtId="0" fontId="38" fillId="8" borderId="0" applyNumberFormat="0" applyBorder="0" applyAlignment="0" applyProtection="0"/>
    <xf numFmtId="0" fontId="43" fillId="5" borderId="0" applyNumberFormat="0" applyBorder="0" applyAlignment="0" applyProtection="0"/>
    <xf numFmtId="0" fontId="38" fillId="24"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5" borderId="0" applyNumberFormat="0" applyBorder="0" applyAlignment="0" applyProtection="0"/>
    <xf numFmtId="0" fontId="4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18" borderId="0" applyNumberFormat="0" applyBorder="0" applyAlignment="0" applyProtection="0"/>
    <xf numFmtId="0" fontId="38" fillId="29" borderId="0" applyNumberFormat="0" applyBorder="0" applyAlignment="0" applyProtection="0"/>
    <xf numFmtId="0" fontId="38" fillId="23" borderId="0" applyNumberFormat="0" applyBorder="0" applyAlignment="0" applyProtection="0"/>
    <xf numFmtId="0" fontId="43" fillId="30" borderId="0" applyNumberFormat="0" applyBorder="0" applyAlignment="0" applyProtection="0"/>
    <xf numFmtId="215" fontId="69" fillId="31" borderId="3">
      <alignment horizontal="center" vertical="center"/>
    </xf>
    <xf numFmtId="0" fontId="15" fillId="32" borderId="0" applyNumberFormat="0" applyFont="0" applyAlignment="0">
      <alignment vertical="top"/>
    </xf>
    <xf numFmtId="0" fontId="18" fillId="32" borderId="0" applyNumberFormat="0" applyFont="0" applyAlignment="0">
      <alignment vertical="top" wrapText="1"/>
    </xf>
    <xf numFmtId="0" fontId="18" fillId="32" borderId="0" applyNumberFormat="0" applyFont="0" applyAlignment="0">
      <alignment vertical="top" wrapText="1"/>
    </xf>
    <xf numFmtId="0" fontId="70" fillId="7" borderId="0" applyNumberFormat="0" applyBorder="0" applyAlignment="0" applyProtection="0"/>
    <xf numFmtId="0" fontId="44" fillId="11" borderId="0" applyNumberFormat="0" applyBorder="0" applyAlignment="0" applyProtection="0"/>
    <xf numFmtId="1" fontId="71" fillId="33" borderId="4" applyNumberFormat="0" applyBorder="0" applyAlignment="0">
      <alignment horizontal="center" vertical="top" wrapText="1"/>
      <protection hidden="1"/>
    </xf>
    <xf numFmtId="216" fontId="72" fillId="0" borderId="0" applyNumberFormat="0" applyFill="0" applyBorder="0" applyAlignment="0" applyProtection="0">
      <alignment horizontal="center"/>
      <protection locked="0"/>
    </xf>
    <xf numFmtId="193" fontId="19" fillId="0" borderId="4" applyNumberFormat="0" applyFill="0" applyBorder="0" applyAlignment="0" applyProtection="0">
      <alignment horizontal="center"/>
    </xf>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1" fillId="0" borderId="0" applyNumberFormat="0" applyFill="0" applyBorder="0" applyAlignment="0"/>
    <xf numFmtId="0" fontId="11" fillId="0" borderId="0" applyNumberFormat="0" applyFill="0" applyBorder="0" applyAlignment="0"/>
    <xf numFmtId="0" fontId="32" fillId="14" borderId="5" applyNumberFormat="0" applyAlignment="0" applyProtection="0"/>
    <xf numFmtId="0" fontId="132" fillId="3" borderId="5" applyNumberFormat="0" applyAlignment="0" applyProtection="0"/>
    <xf numFmtId="0" fontId="45" fillId="12" borderId="5" applyNumberFormat="0" applyAlignment="0" applyProtection="0"/>
    <xf numFmtId="194" fontId="18" fillId="0" borderId="0" applyFont="0" applyFill="0" applyBorder="0" applyAlignment="0" applyProtection="0"/>
    <xf numFmtId="0" fontId="34" fillId="12" borderId="6" applyNumberFormat="0" applyAlignment="0" applyProtection="0"/>
    <xf numFmtId="0" fontId="34" fillId="34" borderId="7" applyNumberFormat="0" applyAlignment="0" applyProtection="0"/>
    <xf numFmtId="0" fontId="46" fillId="35" borderId="6" applyNumberFormat="0" applyAlignment="0" applyProtection="0"/>
    <xf numFmtId="188" fontId="40" fillId="0" borderId="0" applyBorder="0">
      <alignment horizontal="right"/>
    </xf>
    <xf numFmtId="188" fontId="40" fillId="0" borderId="8" applyAlignment="0">
      <alignment horizontal="right"/>
    </xf>
    <xf numFmtId="43" fontId="11" fillId="0" borderId="0" applyFont="0" applyFill="0" applyBorder="0" applyAlignment="0" applyProtection="0"/>
    <xf numFmtId="41" fontId="11" fillId="0" borderId="0" applyFont="0" applyFill="0" applyBorder="0" applyAlignment="0" applyProtection="0"/>
    <xf numFmtId="38" fontId="47" fillId="0" borderId="0" applyFont="0" applyFill="0" applyBorder="0" applyAlignment="0" applyProtection="0"/>
    <xf numFmtId="41" fontId="18"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77" fontId="12" fillId="0" borderId="0" applyFont="0" applyFill="0" applyBorder="0" applyAlignment="0" applyProtection="0">
      <alignment vertical="center"/>
    </xf>
    <xf numFmtId="4" fontId="74" fillId="0" borderId="9" applyFont="0" applyFill="0" applyBorder="0" applyAlignment="0">
      <alignment horizontal="center" vertical="center"/>
    </xf>
    <xf numFmtId="0" fontId="75" fillId="0" borderId="0" applyFont="0" applyFill="0" applyBorder="0" applyAlignment="0" applyProtection="0">
      <alignment horizontal="right"/>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0" fontId="75" fillId="0" borderId="0" applyFon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1" fillId="0" borderId="0" applyFont="0" applyFill="0" applyBorder="0" applyAlignment="0" applyProtection="0"/>
    <xf numFmtId="43" fontId="122" fillId="0" borderId="0" applyFont="0" applyFill="0" applyBorder="0" applyAlignment="0" applyProtection="0">
      <alignment vertical="top"/>
    </xf>
    <xf numFmtId="43" fontId="140" fillId="0" borderId="0" applyFont="0" applyFill="0" applyBorder="0" applyAlignment="0" applyProtection="0"/>
    <xf numFmtId="43" fontId="18"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195" fontId="47" fillId="0" borderId="0" applyFont="0" applyFill="0" applyBorder="0" applyAlignment="0" applyProtection="0"/>
    <xf numFmtId="3" fontId="48" fillId="0" borderId="0" applyFont="0" applyFill="0" applyBorder="0" applyAlignment="0" applyProtection="0"/>
    <xf numFmtId="0" fontId="77" fillId="0" borderId="0"/>
    <xf numFmtId="0" fontId="78" fillId="0" borderId="0"/>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123"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175"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5" fontId="124"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124" fillId="0" borderId="0" applyFont="0" applyFill="0" applyBorder="0" applyAlignment="0" applyProtection="0"/>
    <xf numFmtId="37" fontId="79" fillId="0" borderId="0" applyFill="0" applyBorder="0" applyAlignment="0" applyProtection="0"/>
    <xf numFmtId="0" fontId="80" fillId="0" borderId="0"/>
    <xf numFmtId="0" fontId="80" fillId="0" borderId="0"/>
    <xf numFmtId="0" fontId="80" fillId="0" borderId="0"/>
    <xf numFmtId="0" fontId="125" fillId="0" borderId="0"/>
    <xf numFmtId="0" fontId="81" fillId="0" borderId="0" applyFill="0" applyBorder="0" applyProtection="0"/>
    <xf numFmtId="0" fontId="81" fillId="0" borderId="0" applyFill="0" applyBorder="0" applyProtection="0"/>
    <xf numFmtId="0" fontId="81" fillId="0" borderId="0" applyFill="0" applyBorder="0" applyProtection="0"/>
    <xf numFmtId="0" fontId="126" fillId="0" borderId="0" applyFill="0" applyBorder="0" applyProtection="0"/>
    <xf numFmtId="44" fontId="11" fillId="0" borderId="0" applyFont="0" applyFill="0" applyBorder="0" applyAlignment="0" applyProtection="0"/>
    <xf numFmtId="169" fontId="13" fillId="0" borderId="0" applyFont="0" applyBorder="0" applyAlignment="0">
      <alignment vertical="center"/>
    </xf>
    <xf numFmtId="169" fontId="13" fillId="0" borderId="0" applyFont="0" applyBorder="0" applyAlignment="0">
      <alignment vertical="center"/>
    </xf>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48" fillId="0" borderId="0" applyFont="0" applyFill="0" applyBorder="0" applyAlignment="0" applyProtection="0"/>
    <xf numFmtId="218" fontId="76" fillId="0" borderId="0">
      <protection locked="0"/>
    </xf>
    <xf numFmtId="218" fontId="76" fillId="0" borderId="0">
      <protection locked="0"/>
    </xf>
    <xf numFmtId="218" fontId="123" fillId="0" borderId="0">
      <protection locked="0"/>
    </xf>
    <xf numFmtId="218" fontId="76" fillId="0" borderId="0">
      <protection locked="0"/>
    </xf>
    <xf numFmtId="0" fontId="48" fillId="0" borderId="0" applyFont="0" applyFill="0" applyBorder="0" applyAlignment="0" applyProtection="0"/>
    <xf numFmtId="15" fontId="40" fillId="0" borderId="0" applyFill="0" applyBorder="0" applyAlignment="0" applyProtection="0"/>
    <xf numFmtId="6" fontId="82" fillId="0" borderId="0">
      <protection locked="0"/>
    </xf>
    <xf numFmtId="0" fontId="75" fillId="0" borderId="0" applyFont="0" applyFill="0" applyBorder="0" applyAlignment="0" applyProtection="0"/>
    <xf numFmtId="6" fontId="82" fillId="0" borderId="0">
      <protection locked="0"/>
    </xf>
    <xf numFmtId="15" fontId="83" fillId="0" borderId="0" applyFont="0" applyFill="0" applyBorder="0" applyAlignment="0" applyProtection="0">
      <alignment horizontal="center"/>
    </xf>
    <xf numFmtId="196" fontId="11" fillId="0" borderId="0" applyFont="0" applyFill="0" applyBorder="0" applyAlignment="0" applyProtection="0">
      <alignment wrapText="1"/>
    </xf>
    <xf numFmtId="196" fontId="11" fillId="0" borderId="0" applyFont="0" applyFill="0" applyBorder="0" applyAlignment="0" applyProtection="0">
      <alignment wrapText="1"/>
    </xf>
    <xf numFmtId="196" fontId="18" fillId="0" borderId="0" applyFont="0" applyFill="0" applyBorder="0" applyAlignment="0" applyProtection="0">
      <alignment wrapText="1"/>
    </xf>
    <xf numFmtId="196" fontId="11" fillId="0" borderId="0" applyFont="0" applyFill="0" applyBorder="0" applyAlignment="0" applyProtection="0">
      <alignment wrapText="1"/>
    </xf>
    <xf numFmtId="196" fontId="11" fillId="0" borderId="0" applyFont="0" applyFill="0" applyBorder="0" applyAlignment="0" applyProtection="0">
      <alignment wrapText="1"/>
    </xf>
    <xf numFmtId="196" fontId="18" fillId="0" borderId="0" applyFont="0" applyFill="0" applyBorder="0" applyAlignment="0" applyProtection="0">
      <alignment wrapText="1"/>
    </xf>
    <xf numFmtId="196" fontId="11" fillId="0" borderId="0" applyFont="0" applyFill="0" applyBorder="0" applyAlignment="0" applyProtection="0">
      <alignment wrapText="1"/>
    </xf>
    <xf numFmtId="196" fontId="11" fillId="0" borderId="0" applyFont="0" applyFill="0" applyBorder="0" applyAlignment="0" applyProtection="0">
      <alignment wrapText="1"/>
    </xf>
    <xf numFmtId="196" fontId="11" fillId="0" borderId="0" applyFont="0" applyFill="0" applyBorder="0" applyAlignment="0" applyProtection="0">
      <alignment wrapText="1"/>
    </xf>
    <xf numFmtId="196" fontId="18" fillId="0" borderId="0" applyFont="0" applyFill="0" applyBorder="0" applyAlignment="0" applyProtection="0">
      <alignment wrapText="1"/>
    </xf>
    <xf numFmtId="197" fontId="15" fillId="36" borderId="0" applyNumberFormat="0" applyBorder="0" applyAlignment="0" applyProtection="0"/>
    <xf numFmtId="16" fontId="41" fillId="0" borderId="0">
      <alignment horizontal="right"/>
    </xf>
    <xf numFmtId="15" fontId="41" fillId="0" borderId="0">
      <alignment horizontal="right"/>
    </xf>
    <xf numFmtId="0" fontId="75" fillId="0" borderId="10" applyNumberFormat="0" applyFont="0" applyFill="0" applyAlignment="0" applyProtection="0"/>
    <xf numFmtId="192" fontId="41" fillId="0" borderId="0" applyFont="0" applyFill="0" applyBorder="0" applyAlignment="0" applyProtection="0"/>
    <xf numFmtId="192" fontId="41" fillId="0" borderId="0" applyFont="0" applyFill="0" applyBorder="0" applyAlignment="0" applyProtection="0"/>
    <xf numFmtId="219" fontId="18" fillId="0" borderId="0" applyFont="0" applyFill="0" applyBorder="0" applyAlignment="0" applyProtection="0"/>
    <xf numFmtId="219" fontId="18" fillId="0" borderId="0" applyFont="0" applyFill="0" applyBorder="0" applyAlignment="0" applyProtection="0"/>
    <xf numFmtId="219" fontId="18"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198" fontId="18" fillId="0" borderId="0" applyFont="0" applyFill="0" applyBorder="0" applyAlignment="0" applyProtection="0"/>
    <xf numFmtId="1" fontId="84" fillId="37" borderId="11" applyNumberFormat="0" applyBorder="0" applyAlignment="0">
      <alignment horizontal="centerContinuous" vertical="center"/>
      <protection locked="0"/>
    </xf>
    <xf numFmtId="2" fontId="48" fillId="0" borderId="0" applyFont="0" applyFill="0" applyBorder="0" applyAlignment="0" applyProtection="0"/>
    <xf numFmtId="220" fontId="18" fillId="0" borderId="0">
      <protection locked="0"/>
    </xf>
    <xf numFmtId="220" fontId="18" fillId="0" borderId="0">
      <protection locked="0"/>
    </xf>
    <xf numFmtId="220" fontId="11" fillId="0" borderId="0">
      <protection locked="0"/>
    </xf>
    <xf numFmtId="220" fontId="11" fillId="0" borderId="0">
      <protection locked="0"/>
    </xf>
    <xf numFmtId="220" fontId="18" fillId="0" borderId="0">
      <protection locked="0"/>
    </xf>
    <xf numFmtId="0" fontId="85" fillId="0" borderId="0"/>
    <xf numFmtId="0" fontId="86" fillId="0" borderId="0" applyFill="0" applyBorder="0" applyProtection="0">
      <alignment horizontal="left"/>
    </xf>
    <xf numFmtId="197" fontId="50" fillId="0" borderId="0" applyNumberFormat="0" applyFill="0" applyBorder="0" applyAlignment="0" applyProtection="0"/>
    <xf numFmtId="221" fontId="26" fillId="0" borderId="0">
      <alignment vertical="center"/>
    </xf>
    <xf numFmtId="0" fontId="28" fillId="10" borderId="0" applyNumberFormat="0" applyBorder="0" applyAlignment="0" applyProtection="0"/>
    <xf numFmtId="0" fontId="51" fillId="10" borderId="0" applyNumberFormat="0" applyBorder="0" applyAlignment="0" applyProtection="0"/>
    <xf numFmtId="38" fontId="41" fillId="38" borderId="0" applyNumberFormat="0" applyBorder="0" applyAlignment="0" applyProtection="0"/>
    <xf numFmtId="38" fontId="41" fillId="38" borderId="0" applyNumberFormat="0" applyBorder="0" applyAlignment="0" applyProtection="0"/>
    <xf numFmtId="0" fontId="75" fillId="0" borderId="0" applyFont="0" applyFill="0" applyBorder="0" applyAlignment="0" applyProtection="0">
      <alignment horizontal="right"/>
    </xf>
    <xf numFmtId="0" fontId="87" fillId="0" borderId="0" applyNumberFormat="0" applyFill="0" applyBorder="0" applyAlignment="0" applyProtection="0"/>
    <xf numFmtId="0" fontId="88" fillId="33" borderId="0" applyNumberFormat="0" applyBorder="0" applyAlignment="0">
      <protection hidden="1"/>
    </xf>
    <xf numFmtId="0" fontId="53" fillId="0" borderId="0" applyNumberFormat="0" applyFont="0" applyFill="0" applyAlignment="0" applyProtection="0"/>
    <xf numFmtId="0" fontId="133" fillId="0" borderId="12" applyNumberFormat="0" applyFill="0" applyAlignment="0" applyProtection="0"/>
    <xf numFmtId="0" fontId="53" fillId="0" borderId="0" applyNumberFormat="0" applyFont="0" applyFill="0" applyAlignment="0" applyProtection="0"/>
    <xf numFmtId="0" fontId="89" fillId="0" borderId="13" applyNumberFormat="0" applyFill="0" applyAlignment="0" applyProtection="0"/>
    <xf numFmtId="0" fontId="52" fillId="0" borderId="14" applyNumberFormat="0" applyFill="0" applyAlignment="0" applyProtection="0"/>
    <xf numFmtId="0" fontId="55" fillId="0" borderId="0" applyNumberFormat="0" applyFont="0" applyFill="0" applyAlignment="0" applyProtection="0"/>
    <xf numFmtId="0" fontId="134" fillId="0" borderId="15" applyNumberFormat="0" applyFill="0" applyAlignment="0" applyProtection="0"/>
    <xf numFmtId="0" fontId="55" fillId="0" borderId="0" applyNumberFormat="0" applyFont="0" applyFill="0" applyAlignment="0" applyProtection="0"/>
    <xf numFmtId="0" fontId="90" fillId="0" borderId="15" applyNumberFormat="0" applyFill="0" applyAlignment="0" applyProtection="0"/>
    <xf numFmtId="0" fontId="54" fillId="0" borderId="14" applyNumberFormat="0" applyFill="0" applyAlignment="0" applyProtection="0"/>
    <xf numFmtId="0" fontId="91" fillId="0" borderId="16" applyNumberFormat="0" applyFill="0" applyAlignment="0" applyProtection="0"/>
    <xf numFmtId="0" fontId="135" fillId="0" borderId="17" applyNumberFormat="0" applyFill="0" applyAlignment="0" applyProtection="0"/>
    <xf numFmtId="0" fontId="56" fillId="0" borderId="18" applyNumberFormat="0" applyFill="0" applyAlignment="0" applyProtection="0"/>
    <xf numFmtId="0" fontId="91" fillId="0" borderId="0" applyNumberFormat="0" applyFill="0" applyBorder="0" applyAlignment="0" applyProtection="0"/>
    <xf numFmtId="0" fontId="135" fillId="0" borderId="0" applyNumberFormat="0" applyFill="0" applyBorder="0" applyAlignment="0" applyProtection="0"/>
    <xf numFmtId="0" fontId="56" fillId="0" borderId="0" applyNumberFormat="0" applyFill="0" applyBorder="0" applyAlignment="0" applyProtection="0"/>
    <xf numFmtId="222" fontId="18" fillId="0" borderId="0">
      <protection locked="0"/>
    </xf>
    <xf numFmtId="222" fontId="18" fillId="0" borderId="0">
      <protection locked="0"/>
    </xf>
    <xf numFmtId="222" fontId="18" fillId="0" borderId="0">
      <protection locked="0"/>
    </xf>
    <xf numFmtId="222" fontId="11" fillId="0" borderId="0">
      <protection locked="0"/>
    </xf>
    <xf numFmtId="222" fontId="11" fillId="0" borderId="0">
      <protection locked="0"/>
    </xf>
    <xf numFmtId="222" fontId="18" fillId="0" borderId="0">
      <protection locked="0"/>
    </xf>
    <xf numFmtId="222" fontId="18" fillId="0" borderId="0">
      <protection locked="0"/>
    </xf>
    <xf numFmtId="222" fontId="18" fillId="0" borderId="0">
      <protection locked="0"/>
    </xf>
    <xf numFmtId="222" fontId="11" fillId="0" borderId="0">
      <protection locked="0"/>
    </xf>
    <xf numFmtId="222" fontId="11" fillId="0" borderId="0">
      <protection locked="0"/>
    </xf>
    <xf numFmtId="1" fontId="92" fillId="0" borderId="0" applyFill="0" applyBorder="0" applyProtection="0">
      <alignment horizontal="center"/>
    </xf>
    <xf numFmtId="1" fontId="92" fillId="0" borderId="0" applyFill="0" applyBorder="0">
      <alignment horizontal="center"/>
    </xf>
    <xf numFmtId="0" fontId="50" fillId="0" borderId="19"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41" fillId="39" borderId="20" applyNumberFormat="0" applyBorder="0" applyAlignment="0" applyProtection="0"/>
    <xf numFmtId="10" fontId="41" fillId="39" borderId="20" applyNumberFormat="0" applyBorder="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199" fontId="50" fillId="0" borderId="20">
      <protection locked="0"/>
    </xf>
    <xf numFmtId="0" fontId="136" fillId="2"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30"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10" fontId="41" fillId="39" borderId="0">
      <protection locked="0"/>
    </xf>
    <xf numFmtId="10" fontId="41" fillId="39" borderId="0">
      <protection locked="0"/>
    </xf>
    <xf numFmtId="0" fontId="23" fillId="40" borderId="0" applyNumberFormat="0" applyBorder="0" applyAlignment="0"/>
    <xf numFmtId="0" fontId="33" fillId="0" borderId="21" applyNumberFormat="0" applyFill="0" applyAlignment="0" applyProtection="0"/>
    <xf numFmtId="0" fontId="137" fillId="0" borderId="22" applyNumberFormat="0" applyFill="0" applyAlignment="0" applyProtection="0"/>
    <xf numFmtId="0" fontId="59" fillId="0" borderId="21" applyNumberFormat="0" applyFill="0" applyAlignment="0" applyProtection="0"/>
    <xf numFmtId="216" fontId="41" fillId="0" borderId="0" applyNumberFormat="0" applyFont="0" applyFill="0" applyBorder="0" applyAlignment="0">
      <protection hidden="1"/>
    </xf>
    <xf numFmtId="216" fontId="41" fillId="0" borderId="0" applyNumberFormat="0" applyFont="0" applyFill="0" applyBorder="0" applyAlignment="0">
      <protection hidden="1"/>
    </xf>
    <xf numFmtId="223" fontId="18" fillId="0" borderId="0" applyFont="0" applyFill="0" applyBorder="0" applyAlignment="0" applyProtection="0"/>
    <xf numFmtId="0" fontId="18" fillId="0" borderId="0" applyFont="0" applyFill="0" applyBorder="0" applyAlignment="0" applyProtection="0"/>
    <xf numFmtId="224" fontId="18" fillId="0" borderId="0" applyFont="0" applyFill="0" applyBorder="0" applyAlignment="0" applyProtection="0"/>
    <xf numFmtId="225" fontId="18" fillId="0" borderId="0" applyFont="0" applyFill="0" applyBorder="0" applyAlignment="0" applyProtection="0"/>
    <xf numFmtId="226" fontId="18" fillId="0" borderId="0" applyFont="0" applyFill="0" applyBorder="0" applyAlignment="0" applyProtection="0"/>
    <xf numFmtId="227" fontId="18" fillId="0" borderId="0" applyFont="0" applyFill="0" applyBorder="0" applyAlignment="0" applyProtection="0"/>
    <xf numFmtId="204" fontId="41" fillId="39" borderId="0">
      <alignment horizontal="center"/>
    </xf>
    <xf numFmtId="204" fontId="41" fillId="39" borderId="0">
      <alignment horizontal="center"/>
    </xf>
    <xf numFmtId="0" fontId="75" fillId="0" borderId="0" applyFont="0" applyFill="0" applyBorder="0" applyAlignment="0" applyProtection="0">
      <alignment horizontal="right"/>
    </xf>
    <xf numFmtId="0" fontId="29" fillId="2" borderId="0" applyNumberFormat="0" applyBorder="0" applyAlignment="0" applyProtection="0"/>
    <xf numFmtId="0" fontId="138" fillId="2" borderId="0" applyNumberFormat="0" applyBorder="0" applyAlignment="0" applyProtection="0"/>
    <xf numFmtId="0" fontId="60" fillId="2" borderId="0" applyNumberFormat="0" applyBorder="0" applyAlignment="0" applyProtection="0"/>
    <xf numFmtId="221" fontId="26" fillId="0" borderId="0" applyAlignment="0">
      <alignment vertical="center"/>
    </xf>
    <xf numFmtId="37" fontId="93" fillId="0" borderId="0"/>
    <xf numFmtId="37" fontId="93" fillId="0" borderId="0"/>
    <xf numFmtId="37" fontId="93" fillId="0" borderId="0"/>
    <xf numFmtId="37" fontId="127" fillId="0" borderId="0"/>
    <xf numFmtId="228" fontId="69" fillId="0" borderId="0"/>
    <xf numFmtId="0" fontId="18" fillId="0" borderId="0"/>
    <xf numFmtId="0" fontId="18" fillId="0" borderId="0"/>
    <xf numFmtId="0" fontId="18"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0" fontId="141" fillId="0" borderId="0"/>
    <xf numFmtId="0" fontId="141" fillId="0" borderId="0"/>
    <xf numFmtId="164" fontId="12" fillId="0" borderId="0"/>
    <xf numFmtId="0" fontId="11" fillId="0" borderId="0"/>
    <xf numFmtId="0" fontId="18"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41" fillId="0" borderId="0"/>
    <xf numFmtId="0" fontId="141" fillId="0" borderId="0"/>
    <xf numFmtId="0" fontId="18" fillId="0" borderId="0"/>
    <xf numFmtId="0" fontId="18" fillId="0" borderId="0"/>
    <xf numFmtId="0" fontId="39" fillId="0" borderId="0"/>
    <xf numFmtId="0" fontId="39" fillId="0" borderId="0"/>
    <xf numFmtId="175" fontId="12" fillId="0" borderId="0"/>
    <xf numFmtId="0" fontId="128" fillId="0" borderId="0"/>
    <xf numFmtId="0" fontId="128" fillId="0" borderId="0"/>
    <xf numFmtId="0" fontId="128" fillId="0" borderId="0"/>
    <xf numFmtId="0" fontId="11" fillId="0" borderId="0"/>
    <xf numFmtId="0" fontId="11" fillId="0" borderId="0"/>
    <xf numFmtId="0" fontId="128" fillId="0" borderId="0"/>
    <xf numFmtId="164" fontId="12" fillId="0" borderId="0"/>
    <xf numFmtId="0" fontId="128" fillId="0" borderId="0"/>
    <xf numFmtId="164" fontId="12" fillId="0" borderId="0"/>
    <xf numFmtId="0" fontId="128" fillId="0" borderId="0"/>
    <xf numFmtId="0" fontId="61" fillId="0" borderId="0"/>
    <xf numFmtId="0" fontId="39" fillId="0" borderId="0"/>
    <xf numFmtId="0" fontId="39" fillId="0" borderId="0"/>
    <xf numFmtId="0" fontId="122" fillId="0" borderId="0">
      <alignment vertical="top"/>
    </xf>
    <xf numFmtId="0" fontId="141" fillId="0" borderId="0"/>
    <xf numFmtId="0" fontId="128" fillId="0" borderId="0"/>
    <xf numFmtId="0" fontId="141" fillId="0" borderId="0"/>
    <xf numFmtId="0" fontId="128" fillId="0" borderId="0"/>
    <xf numFmtId="0" fontId="141" fillId="0" borderId="0"/>
    <xf numFmtId="0" fontId="128" fillId="0" borderId="0"/>
    <xf numFmtId="0" fontId="18" fillId="0" borderId="0"/>
    <xf numFmtId="0" fontId="18" fillId="0" borderId="0"/>
    <xf numFmtId="0" fontId="141" fillId="0" borderId="0"/>
    <xf numFmtId="0" fontId="128" fillId="0" borderId="0"/>
    <xf numFmtId="0" fontId="141" fillId="0" borderId="0"/>
    <xf numFmtId="0" fontId="128" fillId="0" borderId="0"/>
    <xf numFmtId="0" fontId="141" fillId="0" borderId="0"/>
    <xf numFmtId="0" fontId="128" fillId="0" borderId="0"/>
    <xf numFmtId="0" fontId="141" fillId="0" borderId="0"/>
    <xf numFmtId="0" fontId="128" fillId="0" borderId="0"/>
    <xf numFmtId="0" fontId="141" fillId="0" borderId="0"/>
    <xf numFmtId="0" fontId="128" fillId="0" borderId="0"/>
    <xf numFmtId="0" fontId="141" fillId="0" borderId="0"/>
    <xf numFmtId="0" fontId="18" fillId="0" borderId="0"/>
    <xf numFmtId="0" fontId="39" fillId="0" borderId="0"/>
    <xf numFmtId="0" fontId="39" fillId="0" borderId="0"/>
    <xf numFmtId="0" fontId="141" fillId="0" borderId="0"/>
    <xf numFmtId="0" fontId="141" fillId="0" borderId="0"/>
    <xf numFmtId="0" fontId="128" fillId="0" borderId="0"/>
    <xf numFmtId="0" fontId="128" fillId="0" borderId="0"/>
    <xf numFmtId="0" fontId="128"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 fillId="0" borderId="0"/>
    <xf numFmtId="0" fontId="39" fillId="0" borderId="0"/>
    <xf numFmtId="0" fontId="3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28"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8" fillId="0" borderId="0"/>
    <xf numFmtId="0" fontId="39" fillId="0" borderId="0"/>
    <xf numFmtId="0" fontId="39" fillId="0" borderId="0"/>
    <xf numFmtId="216" fontId="40" fillId="0" borderId="0" applyNumberFormat="0" applyFill="0" applyBorder="0" applyAlignment="0" applyProtection="0"/>
    <xf numFmtId="164" fontId="12" fillId="0" borderId="0"/>
    <xf numFmtId="3" fontId="11" fillId="0" borderId="0"/>
    <xf numFmtId="164" fontId="12" fillId="0" borderId="0"/>
    <xf numFmtId="0" fontId="11" fillId="0" borderId="0"/>
    <xf numFmtId="0" fontId="11" fillId="0" borderId="0"/>
    <xf numFmtId="0" fontId="94" fillId="0" borderId="0"/>
    <xf numFmtId="0" fontId="18" fillId="9" borderId="23" applyNumberFormat="0" applyFont="0" applyAlignment="0" applyProtection="0"/>
    <xf numFmtId="0" fontId="122" fillId="9" borderId="23" applyNumberFormat="0" applyFont="0" applyAlignment="0" applyProtection="0"/>
    <xf numFmtId="0" fontId="18"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8" fillId="9" borderId="23" applyNumberFormat="0" applyFont="0" applyAlignment="0" applyProtection="0"/>
    <xf numFmtId="0" fontId="18" fillId="9" borderId="5" applyNumberFormat="0" applyFont="0" applyAlignment="0" applyProtection="0"/>
    <xf numFmtId="41" fontId="95" fillId="0" borderId="0" applyFont="0" applyFill="0" applyBorder="0" applyAlignment="0" applyProtection="0"/>
    <xf numFmtId="0" fontId="31" fillId="14" borderId="24" applyNumberFormat="0" applyAlignment="0" applyProtection="0"/>
    <xf numFmtId="0" fontId="130" fillId="3" borderId="25" applyNumberFormat="0" applyAlignment="0" applyProtection="0"/>
    <xf numFmtId="0" fontId="62" fillId="12" borderId="24" applyNumberFormat="0" applyAlignment="0" applyProtection="0"/>
    <xf numFmtId="229" fontId="18" fillId="0" borderId="0">
      <protection hidden="1"/>
    </xf>
    <xf numFmtId="229" fontId="18" fillId="0" borderId="0">
      <protection hidden="1"/>
    </xf>
    <xf numFmtId="1" fontId="96" fillId="0" borderId="0" applyProtection="0">
      <alignment horizontal="right" vertical="center"/>
    </xf>
    <xf numFmtId="166" fontId="11"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230" fontId="76" fillId="0" borderId="0">
      <protection locked="0"/>
    </xf>
    <xf numFmtId="230" fontId="76" fillId="0" borderId="0">
      <protection locked="0"/>
    </xf>
    <xf numFmtId="230" fontId="76" fillId="0" borderId="0">
      <protection locked="0"/>
    </xf>
    <xf numFmtId="230" fontId="123" fillId="0" borderId="0">
      <protection locked="0"/>
    </xf>
    <xf numFmtId="0" fontId="97" fillId="0" borderId="0" applyNumberFormat="0" applyFill="0" applyBorder="0" applyAlignment="0" applyProtection="0"/>
    <xf numFmtId="231" fontId="18" fillId="0" borderId="0"/>
    <xf numFmtId="231" fontId="18" fillId="0" borderId="0"/>
    <xf numFmtId="232" fontId="15" fillId="0" borderId="0"/>
    <xf numFmtId="233" fontId="98" fillId="38" borderId="0" applyBorder="0" applyAlignment="0">
      <protection hidden="1"/>
    </xf>
    <xf numFmtId="1" fontId="98" fillId="38" borderId="0">
      <alignment horizontal="center"/>
    </xf>
    <xf numFmtId="3" fontId="99" fillId="0" borderId="26" applyBorder="0">
      <alignment horizontal="right" wrapText="1"/>
    </xf>
    <xf numFmtId="4" fontId="99" fillId="0" borderId="27" applyBorder="0">
      <alignment horizontal="right" wrapText="1"/>
    </xf>
    <xf numFmtId="0" fontId="100" fillId="0" borderId="0">
      <alignment horizontal="left" vertical="center"/>
    </xf>
    <xf numFmtId="4" fontId="18" fillId="41" borderId="20" applyNumberFormat="0" applyProtection="0">
      <alignment vertical="center"/>
    </xf>
    <xf numFmtId="4" fontId="18" fillId="41" borderId="20" applyNumberFormat="0" applyProtection="0">
      <alignment vertical="center"/>
    </xf>
    <xf numFmtId="4" fontId="101" fillId="42" borderId="0" applyNumberFormat="0" applyProtection="0">
      <alignment horizontal="left" vertical="center" indent="1"/>
    </xf>
    <xf numFmtId="4" fontId="102" fillId="43" borderId="0" applyNumberFormat="0" applyProtection="0">
      <alignment vertical="center"/>
    </xf>
    <xf numFmtId="4" fontId="18" fillId="0" borderId="20" applyNumberFormat="0" applyProtection="0">
      <alignment horizontal="right" vertical="center"/>
    </xf>
    <xf numFmtId="4" fontId="18" fillId="0" borderId="20" applyNumberFormat="0" applyProtection="0">
      <alignment horizontal="right" vertical="center"/>
    </xf>
    <xf numFmtId="4" fontId="73" fillId="44" borderId="20" applyNumberFormat="0" applyProtection="0">
      <alignment horizontal="right" vertical="center"/>
    </xf>
    <xf numFmtId="4" fontId="73" fillId="44" borderId="20" applyNumberFormat="0" applyProtection="0">
      <alignment horizontal="right" vertical="center"/>
    </xf>
    <xf numFmtId="4" fontId="18" fillId="45" borderId="0" applyNumberFormat="0" applyProtection="0">
      <alignment horizontal="left" vertical="center"/>
    </xf>
    <xf numFmtId="4" fontId="18" fillId="45" borderId="0" applyNumberFormat="0" applyProtection="0">
      <alignment horizontal="left" vertical="center"/>
    </xf>
    <xf numFmtId="0" fontId="103" fillId="46" borderId="0"/>
    <xf numFmtId="0" fontId="47" fillId="47" borderId="0" applyNumberFormat="0" applyFont="0" applyBorder="0" applyAlignment="0" applyProtection="0"/>
    <xf numFmtId="0" fontId="47" fillId="48" borderId="0" applyNumberFormat="0" applyFont="0" applyBorder="0" applyAlignment="0" applyProtection="0"/>
    <xf numFmtId="0" fontId="47" fillId="1" borderId="0" applyNumberFormat="0" applyFont="0" applyBorder="0" applyAlignment="0" applyProtection="0"/>
    <xf numFmtId="200" fontId="47" fillId="0" borderId="0" applyFont="0" applyFill="0" applyBorder="0" applyAlignment="0" applyProtection="0"/>
    <xf numFmtId="201" fontId="47" fillId="0" borderId="0" applyFont="0" applyFill="0" applyBorder="0" applyAlignment="0" applyProtection="0"/>
    <xf numFmtId="202" fontId="47" fillId="0" borderId="0" applyFont="0" applyFill="0" applyBorder="0" applyAlignment="0" applyProtection="0"/>
    <xf numFmtId="1" fontId="69" fillId="0" borderId="0" applyBorder="0">
      <alignment horizontal="left" vertical="top" wrapText="1"/>
    </xf>
    <xf numFmtId="1" fontId="69" fillId="0" borderId="0" applyBorder="0">
      <alignment horizontal="left" vertical="top" wrapText="1"/>
    </xf>
    <xf numFmtId="1" fontId="69" fillId="0" borderId="0" applyBorder="0">
      <alignment horizontal="left" vertical="top" wrapText="1"/>
    </xf>
    <xf numFmtId="1" fontId="124" fillId="0" borderId="0" applyBorder="0">
      <alignment horizontal="left" vertical="top" wrapText="1"/>
    </xf>
    <xf numFmtId="0" fontId="73" fillId="0" borderId="0">
      <alignment vertical="top"/>
    </xf>
    <xf numFmtId="0" fontId="73" fillId="0" borderId="0">
      <alignment vertical="top"/>
    </xf>
    <xf numFmtId="0" fontId="73" fillId="0" borderId="0">
      <alignment vertical="top"/>
    </xf>
    <xf numFmtId="0" fontId="122" fillId="0" borderId="0">
      <alignment vertical="top"/>
    </xf>
    <xf numFmtId="0" fontId="21" fillId="49" borderId="28" applyNumberFormat="0" applyProtection="0">
      <alignment horizontal="center" wrapText="1"/>
    </xf>
    <xf numFmtId="0" fontId="15" fillId="49" borderId="28" applyNumberFormat="0" applyProtection="0">
      <alignment horizontal="center" wrapText="1"/>
    </xf>
    <xf numFmtId="0" fontId="15" fillId="49" borderId="28" applyNumberFormat="0" applyProtection="0">
      <alignment horizontal="center" wrapText="1"/>
    </xf>
    <xf numFmtId="0" fontId="21" fillId="49" borderId="28" applyNumberFormat="0" applyProtection="0">
      <alignment horizontal="center" wrapText="1"/>
    </xf>
    <xf numFmtId="0" fontId="15" fillId="49" borderId="28" applyNumberFormat="0" applyProtection="0">
      <alignment horizontal="center" wrapText="1"/>
    </xf>
    <xf numFmtId="0" fontId="21" fillId="49" borderId="29" applyNumberFormat="0" applyAlignment="0" applyProtection="0">
      <alignment wrapText="1"/>
    </xf>
    <xf numFmtId="0" fontId="15" fillId="49" borderId="29" applyNumberFormat="0" applyAlignment="0" applyProtection="0">
      <alignment wrapText="1"/>
    </xf>
    <xf numFmtId="0" fontId="15" fillId="49" borderId="29" applyNumberFormat="0" applyAlignment="0" applyProtection="0">
      <alignment wrapText="1"/>
    </xf>
    <xf numFmtId="0" fontId="21" fillId="49" borderId="29" applyNumberFormat="0" applyAlignment="0" applyProtection="0">
      <alignment wrapText="1"/>
    </xf>
    <xf numFmtId="0" fontId="15" fillId="49" borderId="29" applyNumberFormat="0" applyAlignment="0" applyProtection="0">
      <alignment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8"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8"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8"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8"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8"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8" fillId="0" borderId="0" applyFill="0" applyBorder="0" applyAlignment="0" applyProtection="0">
      <alignment wrapText="1"/>
    </xf>
    <xf numFmtId="205" fontId="11" fillId="0" borderId="0" applyFill="0" applyBorder="0" applyAlignment="0" applyProtection="0">
      <alignment wrapText="1"/>
    </xf>
    <xf numFmtId="205" fontId="11" fillId="0" borderId="0" applyFill="0" applyBorder="0" applyAlignment="0" applyProtection="0">
      <alignment wrapText="1"/>
    </xf>
    <xf numFmtId="205" fontId="18" fillId="0" borderId="0" applyFill="0" applyBorder="0" applyAlignment="0" applyProtection="0">
      <alignment wrapText="1"/>
    </xf>
    <xf numFmtId="205" fontId="11" fillId="0" borderId="0" applyFill="0" applyBorder="0" applyAlignment="0" applyProtection="0">
      <alignment wrapText="1"/>
    </xf>
    <xf numFmtId="205" fontId="11" fillId="0" borderId="0" applyFill="0" applyBorder="0" applyAlignment="0" applyProtection="0">
      <alignment wrapText="1"/>
    </xf>
    <xf numFmtId="205" fontId="18" fillId="0" borderId="0" applyFill="0" applyBorder="0" applyAlignment="0" applyProtection="0">
      <alignment wrapText="1"/>
    </xf>
    <xf numFmtId="205" fontId="11" fillId="0" borderId="0" applyFill="0" applyBorder="0" applyAlignment="0" applyProtection="0">
      <alignment wrapText="1"/>
    </xf>
    <xf numFmtId="205" fontId="11" fillId="0" borderId="0" applyFill="0" applyBorder="0" applyAlignment="0" applyProtection="0">
      <alignment wrapText="1"/>
    </xf>
    <xf numFmtId="205" fontId="11" fillId="0" borderId="0" applyFill="0" applyBorder="0" applyAlignment="0" applyProtection="0">
      <alignment wrapText="1"/>
    </xf>
    <xf numFmtId="205" fontId="18"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0" fontId="63" fillId="0" borderId="0" applyNumberFormat="0" applyFill="0" applyBorder="0">
      <alignment horizontal="left" wrapText="1"/>
    </xf>
    <xf numFmtId="0" fontId="55" fillId="0" borderId="0" applyNumberFormat="0" applyFill="0" applyBorder="0">
      <alignment horizontal="left" wrapText="1"/>
    </xf>
    <xf numFmtId="0" fontId="55" fillId="0" borderId="0" applyNumberFormat="0" applyFill="0" applyBorder="0">
      <alignment horizontal="left" wrapText="1"/>
    </xf>
    <xf numFmtId="0" fontId="63" fillId="0" borderId="0" applyNumberFormat="0" applyFill="0" applyBorder="0">
      <alignment horizontal="left" wrapText="1"/>
    </xf>
    <xf numFmtId="0" fontId="55" fillId="0" borderId="0" applyNumberFormat="0" applyFill="0" applyBorder="0">
      <alignment horizontal="left"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8" fillId="0" borderId="30"/>
    <xf numFmtId="0" fontId="18" fillId="0" borderId="30"/>
    <xf numFmtId="0" fontId="18" fillId="0" borderId="30"/>
    <xf numFmtId="0" fontId="11" fillId="0" borderId="30"/>
    <xf numFmtId="0" fontId="11" fillId="0" borderId="30"/>
    <xf numFmtId="0" fontId="104" fillId="0" borderId="0" applyNumberFormat="0" applyFill="0" applyBorder="0" applyProtection="0">
      <alignment horizontal="centerContinuous"/>
    </xf>
    <xf numFmtId="0" fontId="105" fillId="0" borderId="0" applyBorder="0" applyProtection="0">
      <alignment vertical="center"/>
    </xf>
    <xf numFmtId="0" fontId="105" fillId="0" borderId="31" applyBorder="0" applyProtection="0">
      <alignment horizontal="right" vertical="center"/>
    </xf>
    <xf numFmtId="0" fontId="106" fillId="51" borderId="0" applyBorder="0" applyProtection="0">
      <alignment horizontal="centerContinuous" vertical="center"/>
    </xf>
    <xf numFmtId="0" fontId="106" fillId="52" borderId="31" applyBorder="0" applyProtection="0">
      <alignment horizontal="centerContinuous" vertical="center"/>
    </xf>
    <xf numFmtId="0" fontId="107" fillId="0" borderId="0" applyFill="0" applyBorder="0" applyProtection="0">
      <alignment horizontal="left"/>
    </xf>
    <xf numFmtId="0" fontId="86" fillId="0" borderId="4" applyFill="0" applyBorder="0" applyProtection="0">
      <alignment horizontal="left" vertical="top"/>
    </xf>
    <xf numFmtId="0" fontId="108" fillId="53" borderId="0" applyNumberFormat="0" applyBorder="0" applyAlignment="0"/>
    <xf numFmtId="0" fontId="47" fillId="0" borderId="0" applyNumberFormat="0" applyFont="0" applyFill="0" applyBorder="0" applyProtection="0">
      <alignment horizontal="center" wrapText="1"/>
    </xf>
    <xf numFmtId="0" fontId="47" fillId="0" borderId="0" applyNumberFormat="0" applyFont="0" applyFill="0" applyBorder="0" applyProtection="0">
      <alignment horizontal="centerContinuous" vertical="center" wrapText="1"/>
    </xf>
    <xf numFmtId="0" fontId="47" fillId="0" borderId="0" applyNumberFormat="0" applyFont="0" applyFill="0" applyBorder="0" applyProtection="0">
      <alignment wrapText="1"/>
    </xf>
    <xf numFmtId="1" fontId="109" fillId="0" borderId="0" applyFill="0" applyBorder="0">
      <alignment horizontal="left"/>
    </xf>
    <xf numFmtId="0" fontId="110" fillId="0" borderId="0" applyNumberFormat="0" applyFill="0" applyBorder="0" applyAlignment="0" applyProtection="0"/>
    <xf numFmtId="0" fontId="139" fillId="0" borderId="0" applyNumberFormat="0" applyFill="0" applyBorder="0" applyAlignment="0" applyProtection="0"/>
    <xf numFmtId="0" fontId="27" fillId="0" borderId="0" applyNumberFormat="0" applyFill="0" applyBorder="0" applyAlignment="0" applyProtection="0"/>
    <xf numFmtId="188" fontId="25" fillId="0" borderId="0"/>
    <xf numFmtId="197" fontId="20" fillId="0" borderId="0" applyNumberFormat="0" applyFill="0" applyBorder="0" applyAlignment="0" applyProtection="0"/>
    <xf numFmtId="0" fontId="37" fillId="0" borderId="32" applyNumberFormat="0" applyFill="0" applyAlignment="0" applyProtection="0"/>
    <xf numFmtId="0" fontId="37" fillId="0" borderId="33" applyNumberFormat="0" applyFill="0" applyAlignment="0" applyProtection="0"/>
    <xf numFmtId="0" fontId="62" fillId="0" borderId="34" applyNumberFormat="0" applyFill="0" applyAlignment="0" applyProtection="0"/>
    <xf numFmtId="188" fontId="40" fillId="0" borderId="35"/>
    <xf numFmtId="232" fontId="50" fillId="0" borderId="36">
      <protection locked="0"/>
    </xf>
    <xf numFmtId="49" fontId="50" fillId="0" borderId="20">
      <alignment vertical="top"/>
      <protection locked="0"/>
    </xf>
    <xf numFmtId="234" fontId="50" fillId="0" borderId="36">
      <protection locked="0"/>
    </xf>
    <xf numFmtId="49" fontId="50" fillId="0" borderId="36">
      <protection locked="0"/>
    </xf>
    <xf numFmtId="37" fontId="41" fillId="32" borderId="0" applyNumberFormat="0" applyBorder="0" applyAlignment="0" applyProtection="0"/>
    <xf numFmtId="37" fontId="41" fillId="32" borderId="0" applyNumberFormat="0" applyBorder="0" applyAlignment="0" applyProtection="0"/>
    <xf numFmtId="37" fontId="41" fillId="0" borderId="0"/>
    <xf numFmtId="37" fontId="41" fillId="0" borderId="0"/>
    <xf numFmtId="37" fontId="41" fillId="0" borderId="0"/>
    <xf numFmtId="37" fontId="17" fillId="0" borderId="0"/>
    <xf numFmtId="3" fontId="111" fillId="0" borderId="19" applyProtection="0"/>
    <xf numFmtId="233" fontId="98" fillId="38" borderId="4" applyBorder="0">
      <alignment horizontal="right" vertical="center"/>
      <protection locked="0"/>
    </xf>
    <xf numFmtId="0" fontId="112" fillId="0" borderId="31">
      <alignment horizontal="centerContinuous" vertical="center"/>
    </xf>
    <xf numFmtId="0" fontId="113" fillId="0" borderId="0"/>
    <xf numFmtId="0" fontId="47" fillId="0" borderId="0" applyNumberFormat="0" applyFont="0" applyFill="0" applyBorder="0" applyProtection="0"/>
    <xf numFmtId="0" fontId="47" fillId="0" borderId="0" applyNumberFormat="0" applyFont="0" applyFill="0" applyBorder="0" applyProtection="0">
      <alignment vertical="center"/>
    </xf>
    <xf numFmtId="0" fontId="47" fillId="0" borderId="0" applyNumberFormat="0" applyFont="0" applyFill="0" applyBorder="0" applyProtection="0">
      <alignment vertical="top"/>
    </xf>
    <xf numFmtId="0" fontId="114" fillId="0" borderId="37" applyNumberFormat="0" applyAlignment="0"/>
    <xf numFmtId="0" fontId="35" fillId="0" borderId="0" applyNumberFormat="0" applyFill="0" applyBorder="0" applyAlignment="0" applyProtection="0"/>
    <xf numFmtId="0" fontId="20" fillId="0" borderId="0" applyNumberFormat="0" applyFill="0" applyBorder="0" applyAlignment="0" applyProtection="0"/>
    <xf numFmtId="0" fontId="18" fillId="16" borderId="0" applyNumberFormat="0" applyBorder="0" applyAlignment="0" applyProtection="0"/>
    <xf numFmtId="1" fontId="98" fillId="38" borderId="0">
      <alignment horizontal="center"/>
    </xf>
    <xf numFmtId="235" fontId="41" fillId="0" borderId="20" applyFont="0" applyFill="0" applyBorder="0" applyAlignment="0" applyProtection="0"/>
    <xf numFmtId="235" fontId="41" fillId="0" borderId="20" applyFont="0" applyFill="0" applyBorder="0" applyAlignment="0" applyProtection="0"/>
    <xf numFmtId="206" fontId="18"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6" fillId="54"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 fillId="0" borderId="0"/>
    <xf numFmtId="0" fontId="30" fillId="5" borderId="55" applyNumberFormat="0" applyAlignment="0" applyProtection="0"/>
    <xf numFmtId="0" fontId="38" fillId="29" borderId="0" applyNumberFormat="0" applyBorder="0" applyAlignment="0" applyProtection="0"/>
    <xf numFmtId="4" fontId="73" fillId="69" borderId="82" applyNumberFormat="0" applyProtection="0">
      <alignment horizontal="left" vertical="center" indent="1"/>
    </xf>
    <xf numFmtId="0" fontId="11" fillId="15" borderId="70" applyNumberFormat="0" applyProtection="0">
      <alignment horizontal="left" vertical="top" indent="1"/>
    </xf>
    <xf numFmtId="4" fontId="73" fillId="44" borderId="60" applyNumberFormat="0" applyProtection="0">
      <alignment horizontal="right" vertical="center"/>
    </xf>
    <xf numFmtId="0" fontId="38" fillId="29" borderId="0" applyNumberFormat="0" applyBorder="0" applyAlignment="0" applyProtection="0"/>
    <xf numFmtId="0" fontId="38" fillId="21" borderId="0" applyNumberFormat="0" applyBorder="0" applyAlignment="0" applyProtection="0"/>
    <xf numFmtId="0" fontId="66" fillId="0" borderId="64" applyNumberFormat="0" applyFill="0" applyAlignment="0" applyProtection="0"/>
    <xf numFmtId="9" fontId="11" fillId="0" borderId="0" applyFont="0" applyFill="0" applyBorder="0" applyAlignment="0" applyProtection="0"/>
    <xf numFmtId="0" fontId="129" fillId="72" borderId="82" applyNumberFormat="0" applyProtection="0">
      <alignment horizontal="left" vertical="center" indent="1"/>
    </xf>
    <xf numFmtId="0" fontId="11" fillId="0" borderId="0"/>
    <xf numFmtId="10" fontId="17" fillId="39" borderId="60" applyNumberFormat="0" applyBorder="0" applyAlignment="0" applyProtection="0"/>
    <xf numFmtId="0" fontId="38" fillId="29" borderId="0" applyNumberFormat="0" applyBorder="0" applyAlignment="0" applyProtection="0"/>
    <xf numFmtId="0" fontId="66" fillId="0" borderId="66" applyNumberFormat="0" applyFill="0" applyAlignment="0" applyProtection="0"/>
    <xf numFmtId="217" fontId="76" fillId="0" borderId="0">
      <protection locked="0"/>
    </xf>
    <xf numFmtId="6" fontId="82" fillId="0" borderId="0">
      <protection locked="0"/>
    </xf>
    <xf numFmtId="0" fontId="38" fillId="18" borderId="0" applyNumberFormat="0" applyBorder="0" applyAlignment="0" applyProtection="0"/>
    <xf numFmtId="0" fontId="38" fillId="21" borderId="0" applyNumberFormat="0" applyBorder="0" applyAlignment="0" applyProtection="0"/>
    <xf numFmtId="0" fontId="11" fillId="32" borderId="0" applyNumberFormat="0" applyFont="0" applyAlignment="0">
      <alignment vertical="top" wrapText="1"/>
    </xf>
    <xf numFmtId="4" fontId="73" fillId="69" borderId="70" applyNumberFormat="0" applyProtection="0">
      <alignment horizontal="right" vertical="center"/>
    </xf>
    <xf numFmtId="217" fontId="76" fillId="0" borderId="0">
      <protection locked="0"/>
    </xf>
    <xf numFmtId="6" fontId="82" fillId="0" borderId="0">
      <protection locked="0"/>
    </xf>
    <xf numFmtId="4" fontId="73" fillId="44" borderId="77" applyNumberFormat="0" applyProtection="0">
      <alignment horizontal="right" vertical="center"/>
    </xf>
    <xf numFmtId="0" fontId="11" fillId="0" borderId="0"/>
    <xf numFmtId="4" fontId="152" fillId="9" borderId="82" applyNumberFormat="0" applyProtection="0">
      <alignment vertical="center"/>
    </xf>
    <xf numFmtId="217" fontId="76" fillId="0" borderId="0">
      <protection locked="0"/>
    </xf>
    <xf numFmtId="9" fontId="11" fillId="0" borderId="0" applyFont="0" applyFill="0" applyBorder="0" applyAlignment="0" applyProtection="0"/>
    <xf numFmtId="4" fontId="73" fillId="23" borderId="82" applyNumberFormat="0" applyProtection="0">
      <alignment horizontal="right" vertical="center"/>
    </xf>
    <xf numFmtId="37" fontId="112" fillId="0" borderId="0" applyFill="0" applyBorder="0" applyAlignment="0" applyProtection="0"/>
    <xf numFmtId="6" fontId="82" fillId="0" borderId="0">
      <protection locked="0"/>
    </xf>
    <xf numFmtId="0" fontId="38" fillId="25" borderId="0" applyNumberFormat="0" applyBorder="0" applyAlignment="0" applyProtection="0"/>
    <xf numFmtId="0" fontId="11" fillId="0" borderId="0"/>
    <xf numFmtId="0" fontId="11" fillId="0" borderId="0"/>
    <xf numFmtId="192" fontId="17" fillId="0" borderId="0" applyFont="0" applyFill="0" applyBorder="0" applyAlignment="0" applyProtection="0"/>
    <xf numFmtId="0" fontId="11" fillId="22" borderId="70" applyNumberFormat="0" applyProtection="0">
      <alignment horizontal="left" vertical="center" indent="1"/>
    </xf>
    <xf numFmtId="0" fontId="66" fillId="0" borderId="64" applyNumberFormat="0" applyFill="0" applyAlignment="0" applyProtection="0"/>
    <xf numFmtId="0" fontId="38" fillId="25" borderId="0" applyNumberFormat="0" applyBorder="0" applyAlignment="0" applyProtection="0"/>
    <xf numFmtId="38" fontId="17" fillId="38" borderId="0" applyNumberFormat="0" applyBorder="0" applyAlignment="0" applyProtection="0"/>
    <xf numFmtId="0" fontId="73" fillId="69" borderId="70" applyNumberFormat="0" applyProtection="0">
      <alignment horizontal="left" vertical="top" indent="1"/>
    </xf>
    <xf numFmtId="0" fontId="11" fillId="22" borderId="82" applyNumberFormat="0" applyProtection="0">
      <alignment horizontal="left" vertical="center" indent="1"/>
    </xf>
    <xf numFmtId="0" fontId="73" fillId="9" borderId="82" applyNumberFormat="0" applyProtection="0">
      <alignment horizontal="left" vertical="top" indent="1"/>
    </xf>
    <xf numFmtId="49" fontId="50" fillId="0" borderId="63">
      <protection locked="0"/>
    </xf>
    <xf numFmtId="234" fontId="50" fillId="0" borderId="63">
      <protection locked="0"/>
    </xf>
    <xf numFmtId="232" fontId="50" fillId="0" borderId="63">
      <protection locked="0"/>
    </xf>
    <xf numFmtId="4" fontId="11" fillId="41" borderId="77" applyNumberFormat="0" applyProtection="0">
      <alignment vertical="center"/>
    </xf>
    <xf numFmtId="0" fontId="66" fillId="0" borderId="67" applyNumberFormat="0" applyFill="0" applyAlignment="0" applyProtection="0"/>
    <xf numFmtId="6" fontId="82" fillId="0" borderId="0">
      <protection locked="0"/>
    </xf>
    <xf numFmtId="0" fontId="38" fillId="24" borderId="0" applyNumberFormat="0" applyBorder="0" applyAlignment="0" applyProtection="0"/>
    <xf numFmtId="0" fontId="38" fillId="25" borderId="0" applyNumberFormat="0" applyBorder="0" applyAlignment="0" applyProtection="0"/>
    <xf numFmtId="0" fontId="30" fillId="5" borderId="5" applyNumberFormat="0" applyAlignment="0" applyProtection="0"/>
    <xf numFmtId="10" fontId="17" fillId="39" borderId="20" applyNumberFormat="0" applyBorder="0" applyAlignment="0" applyProtection="0"/>
    <xf numFmtId="10" fontId="17" fillId="39" borderId="0">
      <protection locked="0"/>
    </xf>
    <xf numFmtId="0" fontId="38" fillId="27" borderId="0" applyNumberFormat="0" applyBorder="0" applyAlignment="0" applyProtection="0"/>
    <xf numFmtId="0" fontId="38" fillId="21" borderId="0" applyNumberFormat="0" applyBorder="0" applyAlignment="0" applyProtection="0"/>
    <xf numFmtId="216" fontId="17" fillId="0" borderId="0" applyNumberFormat="0" applyFont="0" applyFill="0" applyBorder="0" applyAlignment="0">
      <protection hidden="1"/>
    </xf>
    <xf numFmtId="204" fontId="17" fillId="39" borderId="0">
      <alignment horizontal="center"/>
    </xf>
    <xf numFmtId="0" fontId="38" fillId="29" borderId="0" applyNumberFormat="0" applyBorder="0" applyAlignment="0" applyProtection="0"/>
    <xf numFmtId="6" fontId="82" fillId="0" borderId="0">
      <protection locked="0"/>
    </xf>
    <xf numFmtId="0" fontId="11" fillId="0" borderId="0"/>
    <xf numFmtId="0" fontId="11" fillId="0" borderId="0"/>
    <xf numFmtId="4" fontId="11" fillId="0" borderId="60" applyNumberFormat="0" applyProtection="0">
      <alignment horizontal="right" vertical="center"/>
    </xf>
    <xf numFmtId="0" fontId="38" fillId="27" borderId="0" applyNumberFormat="0" applyBorder="0" applyAlignment="0" applyProtection="0"/>
    <xf numFmtId="188" fontId="40" fillId="0" borderId="79"/>
    <xf numFmtId="0" fontId="38" fillId="29" borderId="0" applyNumberFormat="0" applyBorder="0" applyAlignment="0" applyProtection="0"/>
    <xf numFmtId="9" fontId="11" fillId="0" borderId="0" applyFont="0" applyFill="0" applyBorder="0" applyAlignment="0" applyProtection="0"/>
    <xf numFmtId="229" fontId="11" fillId="0" borderId="0">
      <protection hidden="1"/>
    </xf>
    <xf numFmtId="0" fontId="30" fillId="5" borderId="55" applyNumberFormat="0" applyAlignment="0" applyProtection="0"/>
    <xf numFmtId="9" fontId="11" fillId="0" borderId="0" applyFont="0" applyFill="0" applyBorder="0" applyAlignment="0" applyProtection="0"/>
    <xf numFmtId="0" fontId="38" fillId="29" borderId="0" applyNumberFormat="0" applyBorder="0" applyAlignment="0" applyProtection="0"/>
    <xf numFmtId="231" fontId="11" fillId="0" borderId="0"/>
    <xf numFmtId="0" fontId="66" fillId="0" borderId="69" applyNumberFormat="0" applyFill="0" applyAlignment="0" applyProtection="0"/>
    <xf numFmtId="4" fontId="20" fillId="72" borderId="70" applyNumberFormat="0" applyProtection="0">
      <alignment horizontal="right" vertical="center"/>
    </xf>
    <xf numFmtId="4" fontId="11" fillId="41" borderId="20" applyNumberFormat="0" applyProtection="0">
      <alignment vertical="center"/>
    </xf>
    <xf numFmtId="4" fontId="11" fillId="0" borderId="20" applyNumberFormat="0" applyProtection="0">
      <alignment horizontal="right" vertical="center"/>
    </xf>
    <xf numFmtId="9" fontId="11" fillId="0" borderId="0" applyFont="0" applyFill="0" applyBorder="0" applyAlignment="0" applyProtection="0"/>
    <xf numFmtId="4" fontId="11" fillId="45" borderId="0" applyNumberFormat="0" applyProtection="0">
      <alignment horizontal="left" vertical="center"/>
    </xf>
    <xf numFmtId="10" fontId="17" fillId="39" borderId="60" applyNumberFormat="0" applyBorder="0" applyAlignment="0" applyProtection="0"/>
    <xf numFmtId="0" fontId="30" fillId="5" borderId="55" applyNumberFormat="0" applyAlignment="0" applyProtection="0"/>
    <xf numFmtId="49" fontId="50" fillId="0" borderId="77">
      <alignment vertical="top"/>
      <protection locked="0"/>
    </xf>
    <xf numFmtId="235" fontId="17" fillId="0" borderId="77" applyFont="0" applyFill="0" applyBorder="0" applyAlignment="0" applyProtection="0"/>
    <xf numFmtId="0" fontId="11" fillId="69" borderId="82" applyNumberFormat="0" applyProtection="0">
      <alignment horizontal="left" vertical="top" indent="1"/>
    </xf>
    <xf numFmtId="6" fontId="82" fillId="0" borderId="0">
      <protection locked="0"/>
    </xf>
    <xf numFmtId="217" fontId="76" fillId="0" borderId="0">
      <protection locked="0"/>
    </xf>
    <xf numFmtId="4" fontId="74" fillId="0" borderId="54" applyFont="0" applyFill="0" applyBorder="0" applyAlignment="0">
      <alignment horizontal="center" vertical="center"/>
    </xf>
    <xf numFmtId="0" fontId="38" fillId="18" borderId="0" applyNumberFormat="0" applyBorder="0" applyAlignment="0" applyProtection="0"/>
    <xf numFmtId="0" fontId="38" fillId="25" borderId="0" applyNumberFormat="0" applyBorder="0" applyAlignment="0" applyProtection="0"/>
    <xf numFmtId="4" fontId="74" fillId="0" borderId="71" applyFont="0" applyFill="0" applyBorder="0" applyAlignment="0">
      <alignment horizontal="center" vertical="center"/>
    </xf>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4" fontId="150" fillId="2" borderId="82" applyNumberFormat="0" applyProtection="0">
      <alignment vertical="center"/>
    </xf>
    <xf numFmtId="0" fontId="142" fillId="0" borderId="0" applyNumberFormat="0" applyFont="0" applyFill="0" applyBorder="0" applyProtection="0">
      <alignment horizontal="center" wrapText="1"/>
    </xf>
    <xf numFmtId="0" fontId="11" fillId="15" borderId="82" applyNumberFormat="0" applyProtection="0">
      <alignment horizontal="left" vertical="center" indent="1"/>
    </xf>
    <xf numFmtId="37" fontId="17" fillId="32" borderId="0" applyNumberFormat="0" applyBorder="0" applyAlignment="0" applyProtection="0"/>
    <xf numFmtId="0" fontId="38" fillId="29" borderId="0" applyNumberFormat="0" applyBorder="0" applyAlignment="0" applyProtection="0"/>
    <xf numFmtId="0" fontId="11" fillId="0" borderId="0"/>
    <xf numFmtId="0" fontId="11" fillId="15" borderId="70" applyNumberFormat="0" applyProtection="0">
      <alignment horizontal="left" vertical="center" indent="1"/>
    </xf>
    <xf numFmtId="235" fontId="17" fillId="0" borderId="20" applyFont="0" applyFill="0" applyBorder="0" applyAlignment="0" applyProtection="0"/>
    <xf numFmtId="0" fontId="11" fillId="0" borderId="0"/>
    <xf numFmtId="207" fontId="11"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208" fontId="11" fillId="0" borderId="0" applyFont="0" applyFill="0" applyBorder="0" applyAlignment="0" applyProtection="0"/>
    <xf numFmtId="209" fontId="11" fillId="0" borderId="0" applyFont="0" applyFill="0" applyBorder="0" applyAlignment="0" applyProtection="0"/>
    <xf numFmtId="209"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4" fontId="11" fillId="0" borderId="60" applyNumberFormat="0" applyProtection="0">
      <alignment horizontal="right" vertical="center"/>
    </xf>
    <xf numFmtId="4" fontId="11" fillId="41" borderId="60" applyNumberFormat="0" applyProtection="0">
      <alignment vertical="center"/>
    </xf>
    <xf numFmtId="0" fontId="11" fillId="2" borderId="0" applyNumberFormat="0" applyFont="0" applyAlignment="0" applyProtection="0"/>
    <xf numFmtId="0" fontId="11" fillId="2" borderId="0" applyNumberFormat="0" applyFont="0" applyAlignment="0" applyProtection="0"/>
    <xf numFmtId="213"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Protection="0">
      <alignment horizontal="right"/>
    </xf>
    <xf numFmtId="214" fontId="11" fillId="0" borderId="0" applyFont="0" applyFill="0" applyBorder="0" applyProtection="0">
      <alignment horizontal="right"/>
    </xf>
    <xf numFmtId="0" fontId="11" fillId="0" borderId="0"/>
    <xf numFmtId="0" fontId="11" fillId="0" borderId="0"/>
    <xf numFmtId="0" fontId="38" fillId="21" borderId="0" applyNumberFormat="0" applyBorder="0" applyAlignment="0" applyProtection="0"/>
    <xf numFmtId="0" fontId="66" fillId="0" borderId="69" applyNumberFormat="0" applyFill="0" applyAlignment="0" applyProtection="0"/>
    <xf numFmtId="0" fontId="66" fillId="0" borderId="64" applyNumberFormat="0" applyFill="0" applyAlignment="0" applyProtection="0"/>
    <xf numFmtId="4" fontId="73" fillId="27" borderId="70" applyNumberFormat="0" applyProtection="0">
      <alignment horizontal="right" vertical="center"/>
    </xf>
    <xf numFmtId="0" fontId="11" fillId="9" borderId="56" applyNumberFormat="0" applyFont="0" applyAlignment="0" applyProtection="0"/>
    <xf numFmtId="0" fontId="11" fillId="9" borderId="73" applyNumberFormat="0" applyFont="0" applyAlignment="0" applyProtection="0"/>
    <xf numFmtId="0" fontId="38" fillId="29" borderId="0" applyNumberFormat="0" applyBorder="0" applyAlignment="0" applyProtection="0"/>
    <xf numFmtId="0" fontId="11" fillId="32" borderId="0" applyNumberFormat="0" applyFont="0" applyAlignment="0">
      <alignment vertical="top" wrapText="1"/>
    </xf>
    <xf numFmtId="0" fontId="11" fillId="0" borderId="0" applyNumberFormat="0" applyFill="0" applyBorder="0" applyAlignment="0"/>
    <xf numFmtId="0" fontId="11" fillId="0" borderId="0" applyNumberFormat="0" applyFill="0" applyBorder="0" applyAlignment="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8" fillId="27" borderId="0" applyNumberFormat="0" applyBorder="0" applyAlignment="0" applyProtection="0"/>
    <xf numFmtId="9" fontId="11" fillId="0" borderId="0" applyFont="0" applyFill="0" applyBorder="0" applyAlignment="0" applyProtection="0"/>
    <xf numFmtId="0" fontId="66" fillId="0" borderId="66" applyNumberFormat="0" applyFill="0" applyAlignment="0" applyProtection="0"/>
    <xf numFmtId="232" fontId="50" fillId="0" borderId="80">
      <protection locked="0"/>
    </xf>
    <xf numFmtId="0" fontId="11" fillId="69" borderId="70" applyNumberFormat="0" applyProtection="0">
      <alignment horizontal="left" vertical="top" indent="1"/>
    </xf>
    <xf numFmtId="0" fontId="11" fillId="69" borderId="70" applyNumberFormat="0" applyProtection="0">
      <alignment horizontal="left" vertical="center" indent="1"/>
    </xf>
    <xf numFmtId="0" fontId="38" fillId="21" borderId="0" applyNumberFormat="0" applyBorder="0" applyAlignment="0" applyProtection="0"/>
    <xf numFmtId="0" fontId="38" fillId="27" borderId="0" applyNumberFormat="0" applyBorder="0" applyAlignment="0" applyProtection="0"/>
    <xf numFmtId="0" fontId="66" fillId="0" borderId="81"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0" fontId="38" fillId="18" borderId="0" applyNumberFormat="0" applyBorder="0" applyAlignment="0" applyProtection="0"/>
    <xf numFmtId="192" fontId="17"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20" fontId="11" fillId="0" borderId="0">
      <protection locked="0"/>
    </xf>
    <xf numFmtId="220" fontId="11" fillId="0" borderId="0">
      <protection locked="0"/>
    </xf>
    <xf numFmtId="38" fontId="17" fillId="38" borderId="0" applyNumberFormat="0" applyBorder="0" applyAlignment="0" applyProtection="0"/>
    <xf numFmtId="222" fontId="11" fillId="0" borderId="0">
      <protection locked="0"/>
    </xf>
    <xf numFmtId="222" fontId="11" fillId="0" borderId="0">
      <protection locked="0"/>
    </xf>
    <xf numFmtId="222" fontId="11" fillId="0" borderId="0">
      <protection locked="0"/>
    </xf>
    <xf numFmtId="222" fontId="11" fillId="0" borderId="0">
      <protection locked="0"/>
    </xf>
    <xf numFmtId="10" fontId="17" fillId="39" borderId="20" applyNumberFormat="0" applyBorder="0" applyAlignment="0" applyProtection="0"/>
    <xf numFmtId="10" fontId="17" fillId="39" borderId="0">
      <protection locked="0"/>
    </xf>
    <xf numFmtId="216" fontId="17" fillId="0" borderId="0" applyNumberFormat="0" applyFont="0" applyFill="0" applyBorder="0" applyAlignment="0">
      <protection hidden="1"/>
    </xf>
    <xf numFmtId="204" fontId="17" fillId="39" borderId="0">
      <alignment horizontal="center"/>
    </xf>
    <xf numFmtId="0" fontId="11" fillId="0" borderId="0"/>
    <xf numFmtId="0" fontId="32" fillId="14" borderId="72" applyNumberFormat="0" applyAlignment="0" applyProtection="0"/>
    <xf numFmtId="0" fontId="11" fillId="0" borderId="0"/>
    <xf numFmtId="4" fontId="73" fillId="44" borderId="60" applyNumberFormat="0" applyProtection="0">
      <alignment horizontal="right" vertical="center"/>
    </xf>
    <xf numFmtId="4" fontId="11" fillId="41" borderId="60" applyNumberFormat="0" applyProtection="0">
      <alignment vertical="center"/>
    </xf>
    <xf numFmtId="4" fontId="99" fillId="0" borderId="61" applyBorder="0">
      <alignment horizontal="right" wrapText="1"/>
    </xf>
    <xf numFmtId="0" fontId="11" fillId="9" borderId="23" applyNumberFormat="0" applyFont="0" applyAlignment="0" applyProtection="0"/>
    <xf numFmtId="0" fontId="11" fillId="9" borderId="23" applyNumberFormat="0" applyFont="0" applyAlignment="0" applyProtection="0"/>
    <xf numFmtId="229" fontId="11" fillId="0" borderId="0">
      <protection hidden="1"/>
    </xf>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81" applyNumberFormat="0" applyFill="0" applyAlignment="0" applyProtection="0"/>
    <xf numFmtId="9" fontId="11" fillId="0" borderId="0" applyFont="0" applyFill="0" applyBorder="0" applyAlignment="0" applyProtection="0"/>
    <xf numFmtId="217" fontId="76" fillId="0" borderId="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3" fillId="9" borderId="70" applyNumberFormat="0" applyProtection="0">
      <alignment horizontal="left" vertical="top" indent="1"/>
    </xf>
    <xf numFmtId="10" fontId="17" fillId="39" borderId="77" applyNumberFormat="0" applyBorder="0" applyAlignment="0" applyProtection="0"/>
    <xf numFmtId="231" fontId="11" fillId="0" borderId="0"/>
    <xf numFmtId="4" fontId="11" fillId="41" borderId="20" applyNumberFormat="0" applyProtection="0">
      <alignment vertical="center"/>
    </xf>
    <xf numFmtId="4" fontId="11" fillId="0" borderId="20" applyNumberFormat="0" applyProtection="0">
      <alignment horizontal="right" vertical="center"/>
    </xf>
    <xf numFmtId="0" fontId="38" fillId="18" borderId="0" applyNumberFormat="0" applyBorder="0" applyAlignment="0" applyProtection="0"/>
    <xf numFmtId="4" fontId="11" fillId="45" borderId="0" applyNumberFormat="0" applyProtection="0">
      <alignment horizontal="left" vertical="center"/>
    </xf>
    <xf numFmtId="0" fontId="66" fillId="0" borderId="66" applyNumberFormat="0" applyFill="0" applyAlignment="0" applyProtection="0"/>
    <xf numFmtId="217" fontId="76" fillId="0" borderId="0">
      <protection locked="0"/>
    </xf>
    <xf numFmtId="0" fontId="11" fillId="72" borderId="70" applyNumberFormat="0" applyProtection="0">
      <alignment horizontal="left" vertical="top" indent="1"/>
    </xf>
    <xf numFmtId="6" fontId="82" fillId="0" borderId="0">
      <protection locked="0"/>
    </xf>
    <xf numFmtId="0" fontId="38" fillId="25" borderId="0" applyNumberFormat="0" applyBorder="0" applyAlignment="0" applyProtection="0"/>
    <xf numFmtId="0" fontId="11" fillId="9" borderId="73" applyNumberFormat="0" applyFont="0" applyAlignment="0" applyProtection="0"/>
    <xf numFmtId="217" fontId="76" fillId="0" borderId="0">
      <protection locked="0"/>
    </xf>
    <xf numFmtId="6" fontId="82" fillId="0" borderId="0">
      <protection locked="0"/>
    </xf>
    <xf numFmtId="4" fontId="101" fillId="2" borderId="82" applyNumberFormat="0" applyProtection="0">
      <alignment vertical="center"/>
    </xf>
    <xf numFmtId="0" fontId="11" fillId="72" borderId="82" applyNumberFormat="0" applyProtection="0">
      <alignment horizontal="left" vertical="top" indent="1"/>
    </xf>
    <xf numFmtId="0" fontId="66" fillId="0" borderId="81" applyNumberFormat="0" applyFill="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11" fillId="0" borderId="30"/>
    <xf numFmtId="0" fontId="11" fillId="0" borderId="30"/>
    <xf numFmtId="37" fontId="17" fillId="32" borderId="0" applyNumberFormat="0" applyBorder="0" applyAlignment="0" applyProtection="0"/>
    <xf numFmtId="37" fontId="17" fillId="0" borderId="0"/>
    <xf numFmtId="37" fontId="17" fillId="0" borderId="0"/>
    <xf numFmtId="235" fontId="17" fillId="0" borderId="2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1" fontId="11" fillId="0" borderId="0" applyFont="0" applyFill="0" applyBorder="0" applyAlignment="0" applyProtection="0"/>
    <xf numFmtId="217" fontId="76" fillId="0" borderId="0">
      <protection locked="0"/>
    </xf>
    <xf numFmtId="0" fontId="30" fillId="5" borderId="55" applyNumberFormat="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64" fillId="0" borderId="0" applyNumberFormat="0" applyFill="0" applyBorder="0" applyAlignment="0" applyProtection="0"/>
    <xf numFmtId="0" fontId="38" fillId="25" borderId="0" applyNumberFormat="0" applyBorder="0" applyAlignment="0" applyProtection="0"/>
    <xf numFmtId="0" fontId="65" fillId="0" borderId="0" applyNumberFormat="0" applyFill="0" applyBorder="0" applyProtection="0">
      <alignment vertical="top"/>
    </xf>
    <xf numFmtId="0" fontId="66" fillId="0" borderId="1" applyNumberFormat="0" applyFill="0" applyAlignment="0" applyProtection="0"/>
    <xf numFmtId="0" fontId="67" fillId="0" borderId="2" applyNumberFormat="0" applyFill="0" applyProtection="0">
      <alignment horizontal="center"/>
    </xf>
    <xf numFmtId="0" fontId="67" fillId="0" borderId="0" applyNumberFormat="0" applyFill="0" applyBorder="0" applyProtection="0">
      <alignment horizontal="left"/>
    </xf>
    <xf numFmtId="0" fontId="68" fillId="0" borderId="0" applyNumberFormat="0" applyFill="0" applyBorder="0" applyProtection="0">
      <alignment horizontal="centerContinuous"/>
    </xf>
    <xf numFmtId="217" fontId="76" fillId="0" borderId="0">
      <protection locked="0"/>
    </xf>
    <xf numFmtId="175" fontId="69" fillId="0" borderId="0" applyFont="0" applyFill="0" applyBorder="0" applyAlignment="0" applyProtection="0"/>
    <xf numFmtId="4" fontId="69" fillId="0" borderId="0" applyFont="0" applyFill="0" applyBorder="0" applyAlignment="0" applyProtection="0"/>
    <xf numFmtId="0" fontId="80" fillId="0" borderId="0"/>
    <xf numFmtId="0" fontId="81" fillId="0" borderId="0" applyFill="0" applyBorder="0" applyProtection="0"/>
    <xf numFmtId="218" fontId="76" fillId="0" borderId="0">
      <protection locked="0"/>
    </xf>
    <xf numFmtId="235" fontId="17" fillId="0" borderId="60" applyFont="0" applyFill="0" applyBorder="0" applyAlignment="0" applyProtection="0"/>
    <xf numFmtId="0" fontId="11" fillId="0" borderId="0"/>
    <xf numFmtId="9" fontId="11" fillId="0" borderId="0" applyFont="0" applyFill="0" applyBorder="0" applyAlignment="0" applyProtection="0"/>
    <xf numFmtId="37" fontId="93" fillId="0" borderId="0"/>
    <xf numFmtId="0" fontId="38" fillId="29" borderId="0" applyNumberFormat="0" applyBorder="0" applyAlignment="0" applyProtection="0"/>
    <xf numFmtId="230" fontId="76" fillId="0" borderId="0">
      <protection locked="0"/>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1" fontId="84" fillId="37" borderId="59" applyNumberFormat="0" applyBorder="0" applyAlignment="0">
      <alignment horizontal="centerContinuous" vertical="center"/>
      <protection locked="0"/>
    </xf>
    <xf numFmtId="0" fontId="11" fillId="72" borderId="70" applyNumberFormat="0" applyProtection="0">
      <alignment horizontal="left" vertical="center" indent="1"/>
    </xf>
    <xf numFmtId="0" fontId="129" fillId="72" borderId="70" applyNumberFormat="0" applyProtection="0">
      <alignment horizontal="left" vertical="center" indent="1"/>
    </xf>
    <xf numFmtId="49" fontId="50" fillId="0" borderId="80">
      <protection locked="0"/>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38" fillId="24" borderId="0" applyNumberFormat="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 fontId="17" fillId="0" borderId="0">
      <alignment horizontal="right"/>
    </xf>
    <xf numFmtId="16" fontId="17" fillId="0" borderId="0">
      <alignment horizontal="right"/>
    </xf>
    <xf numFmtId="16" fontId="17" fillId="0" borderId="0">
      <alignment horizontal="right"/>
    </xf>
    <xf numFmtId="16" fontId="17" fillId="0" borderId="0">
      <alignment horizontal="right"/>
    </xf>
    <xf numFmtId="15" fontId="17" fillId="0" borderId="0">
      <alignment horizontal="right"/>
    </xf>
    <xf numFmtId="15" fontId="17" fillId="0" borderId="0">
      <alignment horizontal="right"/>
    </xf>
    <xf numFmtId="15" fontId="17" fillId="0" borderId="0">
      <alignment horizontal="right"/>
    </xf>
    <xf numFmtId="15" fontId="17" fillId="0" borderId="0">
      <alignment horizontal="right"/>
    </xf>
    <xf numFmtId="0" fontId="12" fillId="0" borderId="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30" fillId="5" borderId="55"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44" fillId="0" borderId="0"/>
    <xf numFmtId="0" fontId="85" fillId="0" borderId="0" applyFont="0" applyBorder="0">
      <alignment horizontal="right"/>
    </xf>
    <xf numFmtId="0" fontId="39" fillId="56" borderId="0" applyNumberFormat="0" applyBorder="0" applyAlignment="0" applyProtection="0"/>
    <xf numFmtId="0" fontId="39" fillId="57"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9" fillId="41" borderId="0" applyNumberFormat="0" applyBorder="0" applyAlignment="0" applyProtection="0"/>
    <xf numFmtId="0" fontId="39" fillId="62" borderId="0" applyNumberFormat="0" applyBorder="0" applyAlignment="0" applyProtection="0"/>
    <xf numFmtId="0" fontId="38" fillId="63"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8" fillId="63"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8" fillId="57" borderId="0" applyNumberFormat="0" applyBorder="0" applyAlignment="0" applyProtection="0"/>
    <xf numFmtId="0" fontId="39" fillId="64" borderId="0" applyNumberFormat="0" applyBorder="0" applyAlignment="0" applyProtection="0"/>
    <xf numFmtId="0" fontId="39" fillId="60" borderId="0" applyNumberFormat="0" applyBorder="0" applyAlignment="0" applyProtection="0"/>
    <xf numFmtId="0" fontId="38" fillId="65" borderId="0" applyNumberFormat="0" applyBorder="0" applyAlignment="0" applyProtection="0"/>
    <xf numFmtId="0" fontId="146" fillId="0" borderId="51">
      <alignment horizontal="center"/>
    </xf>
    <xf numFmtId="43" fontId="145" fillId="0" borderId="0" applyFont="0" applyFill="0" applyBorder="0" applyAlignment="0" applyProtection="0"/>
    <xf numFmtId="43" fontId="145" fillId="0" borderId="0" applyFont="0" applyFill="0" applyBorder="0" applyAlignment="0" applyProtection="0"/>
    <xf numFmtId="241" fontId="147" fillId="0" borderId="0" applyFont="0" applyFill="0" applyBorder="0" applyAlignment="0" applyProtection="0"/>
    <xf numFmtId="242" fontId="147" fillId="0" borderId="0" applyFont="0" applyFill="0" applyBorder="0" applyAlignment="0" applyProtection="0"/>
    <xf numFmtId="242" fontId="147"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0" fontId="11" fillId="0" borderId="0"/>
    <xf numFmtId="43" fontId="157" fillId="0" borderId="0" applyFont="0" applyFill="0" applyBorder="0" applyAlignment="0" applyProtection="0"/>
    <xf numFmtId="242" fontId="147" fillId="0" borderId="0" applyFont="0" applyFill="0" applyBorder="0" applyAlignment="0" applyProtection="0"/>
    <xf numFmtId="242" fontId="14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5" fillId="0" borderId="0" applyFont="0" applyFill="0" applyBorder="0" applyAlignment="0" applyProtection="0"/>
    <xf numFmtId="240" fontId="11" fillId="0" borderId="0" applyFont="0" applyFill="0" applyBorder="0" applyAlignment="0" applyProtection="0"/>
    <xf numFmtId="243" fontId="11" fillId="0" borderId="0" applyFont="0" applyFill="0" applyBorder="0" applyAlignment="0" applyProtection="0"/>
    <xf numFmtId="43" fontId="145"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4" fontId="145" fillId="0" borderId="0" applyFont="0" applyFill="0" applyBorder="0" applyAlignment="0" applyProtection="0"/>
    <xf numFmtId="44" fontId="157" fillId="0" borderId="0" applyFont="0" applyFill="0" applyBorder="0" applyAlignment="0" applyProtection="0"/>
    <xf numFmtId="44" fontId="73" fillId="0" borderId="0" applyFont="0" applyFill="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85" fillId="0" borderId="0"/>
    <xf numFmtId="0" fontId="149" fillId="0" borderId="0" applyNumberFormat="0" applyFill="0" applyBorder="0" applyAlignment="0" applyProtection="0">
      <alignment vertical="top"/>
      <protection locked="0"/>
    </xf>
    <xf numFmtId="0" fontId="50" fillId="0" borderId="0" applyNumberFormat="0" applyFill="0" applyAlignment="0" applyProtection="0">
      <alignment vertical="top"/>
      <protection locked="0"/>
    </xf>
    <xf numFmtId="0" fontId="144" fillId="0" borderId="0"/>
    <xf numFmtId="0" fontId="144" fillId="0" borderId="0"/>
    <xf numFmtId="0" fontId="144" fillId="0" borderId="0"/>
    <xf numFmtId="0" fontId="145" fillId="0" borderId="0"/>
    <xf numFmtId="0" fontId="145" fillId="0" borderId="0"/>
    <xf numFmtId="0" fontId="145" fillId="0" borderId="0"/>
    <xf numFmtId="244" fontId="11" fillId="0" borderId="0"/>
    <xf numFmtId="0" fontId="147" fillId="0" borderId="0"/>
    <xf numFmtId="0" fontId="73" fillId="0" borderId="0"/>
    <xf numFmtId="0" fontId="145" fillId="0" borderId="0"/>
    <xf numFmtId="0" fontId="144" fillId="0" borderId="0"/>
    <xf numFmtId="0" fontId="12" fillId="0" borderId="0"/>
    <xf numFmtId="0" fontId="143" fillId="0" borderId="0"/>
    <xf numFmtId="0" fontId="145" fillId="0" borderId="0"/>
    <xf numFmtId="0" fontId="11" fillId="0" borderId="0"/>
    <xf numFmtId="0" fontId="145" fillId="0" borderId="0"/>
    <xf numFmtId="0" fontId="12" fillId="0" borderId="0"/>
    <xf numFmtId="0" fontId="144" fillId="0" borderId="0"/>
    <xf numFmtId="0" fontId="144" fillId="0" borderId="0"/>
    <xf numFmtId="0" fontId="144" fillId="0" borderId="0"/>
    <xf numFmtId="0" fontId="145" fillId="0" borderId="0"/>
    <xf numFmtId="0" fontId="145" fillId="0" borderId="0"/>
    <xf numFmtId="0" fontId="147" fillId="0" borderId="0"/>
    <xf numFmtId="0" fontId="73" fillId="55" borderId="49" applyNumberFormat="0" applyFont="0" applyAlignment="0" applyProtection="0"/>
    <xf numFmtId="0" fontId="12" fillId="0" borderId="0" applyFill="0" applyBorder="0" applyProtection="0">
      <alignment horizontal="centerContinuous"/>
    </xf>
    <xf numFmtId="245" fontId="85" fillId="0" borderId="0"/>
    <xf numFmtId="9" fontId="73" fillId="0" borderId="0" applyFont="0" applyFill="0" applyBorder="0" applyAlignment="0" applyProtection="0"/>
    <xf numFmtId="9" fontId="145" fillId="0" borderId="0" applyFont="0" applyFill="0" applyBorder="0" applyAlignment="0" applyProtection="0"/>
    <xf numFmtId="10" fontId="12" fillId="0" borderId="0" applyFill="0" applyBorder="0" applyProtection="0">
      <alignment horizontal="center"/>
    </xf>
    <xf numFmtId="9" fontId="157"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7" fillId="0" borderId="0" applyFont="0" applyFill="0" applyBorder="0" applyAlignment="0" applyProtection="0"/>
    <xf numFmtId="10" fontId="11" fillId="0" borderId="0" applyFont="0" applyFill="0" applyBorder="0" applyAlignment="0" applyProtection="0"/>
    <xf numFmtId="0" fontId="20" fillId="0" borderId="0" applyNumberFormat="0" applyFill="0" applyBorder="0" applyAlignment="0" applyProtection="0"/>
    <xf numFmtId="4" fontId="101" fillId="2" borderId="52" applyNumberFormat="0" applyProtection="0">
      <alignment vertical="center"/>
    </xf>
    <xf numFmtId="4" fontId="150" fillId="2" borderId="52" applyNumberFormat="0" applyProtection="0">
      <alignment vertical="center"/>
    </xf>
    <xf numFmtId="4" fontId="101" fillId="2" borderId="52" applyNumberFormat="0" applyProtection="0">
      <alignment horizontal="left" vertical="center" indent="1"/>
    </xf>
    <xf numFmtId="0" fontId="101" fillId="2" borderId="52" applyNumberFormat="0" applyProtection="0">
      <alignment horizontal="left" vertical="top" indent="1"/>
    </xf>
    <xf numFmtId="4" fontId="101" fillId="69" borderId="0" applyNumberFormat="0" applyProtection="0">
      <alignment horizontal="left" vertical="center" indent="1"/>
    </xf>
    <xf numFmtId="4" fontId="73" fillId="7" borderId="52" applyNumberFormat="0" applyProtection="0">
      <alignment horizontal="right" vertical="center"/>
    </xf>
    <xf numFmtId="4" fontId="73" fillId="8" borderId="52" applyNumberFormat="0" applyProtection="0">
      <alignment horizontal="right" vertical="center"/>
    </xf>
    <xf numFmtId="4" fontId="73" fillId="25" borderId="52" applyNumberFormat="0" applyProtection="0">
      <alignment horizontal="right" vertical="center"/>
    </xf>
    <xf numFmtId="4" fontId="73" fillId="17" borderId="52" applyNumberFormat="0" applyProtection="0">
      <alignment horizontal="right" vertical="center"/>
    </xf>
    <xf numFmtId="4" fontId="73" fillId="23" borderId="52" applyNumberFormat="0" applyProtection="0">
      <alignment horizontal="right" vertical="center"/>
    </xf>
    <xf numFmtId="4" fontId="73" fillId="29" borderId="52" applyNumberFormat="0" applyProtection="0">
      <alignment horizontal="right" vertical="center"/>
    </xf>
    <xf numFmtId="4" fontId="73" fillId="27" borderId="52" applyNumberFormat="0" applyProtection="0">
      <alignment horizontal="right" vertical="center"/>
    </xf>
    <xf numFmtId="4" fontId="73" fillId="70" borderId="52" applyNumberFormat="0" applyProtection="0">
      <alignment horizontal="right" vertical="center"/>
    </xf>
    <xf numFmtId="4" fontId="73" fillId="16" borderId="52" applyNumberFormat="0" applyProtection="0">
      <alignment horizontal="right" vertical="center"/>
    </xf>
    <xf numFmtId="4" fontId="101" fillId="71" borderId="53" applyNumberFormat="0" applyProtection="0">
      <alignment horizontal="left" vertical="center" indent="1"/>
    </xf>
    <xf numFmtId="4" fontId="73" fillId="72" borderId="0" applyNumberFormat="0" applyProtection="0">
      <alignment horizontal="left" vertical="center" indent="1"/>
    </xf>
    <xf numFmtId="4" fontId="151" fillId="22" borderId="0" applyNumberFormat="0" applyProtection="0">
      <alignment horizontal="left" vertical="center" indent="1"/>
    </xf>
    <xf numFmtId="4" fontId="73" fillId="69" borderId="52" applyNumberFormat="0" applyProtection="0">
      <alignment horizontal="right" vertical="center"/>
    </xf>
    <xf numFmtId="4" fontId="73" fillId="72" borderId="0" applyNumberFormat="0" applyProtection="0">
      <alignment horizontal="left" vertical="center" indent="1"/>
    </xf>
    <xf numFmtId="4" fontId="73" fillId="69" borderId="0"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top" indent="1"/>
    </xf>
    <xf numFmtId="0" fontId="11" fillId="69" borderId="52" applyNumberFormat="0" applyProtection="0">
      <alignment horizontal="left" vertical="center" indent="1"/>
    </xf>
    <xf numFmtId="0" fontId="11" fillId="69" borderId="52" applyNumberFormat="0" applyProtection="0">
      <alignment horizontal="left" vertical="center" indent="1"/>
    </xf>
    <xf numFmtId="0" fontId="11" fillId="69" borderId="52" applyNumberFormat="0" applyProtection="0">
      <alignment horizontal="left" vertical="top" indent="1"/>
    </xf>
    <xf numFmtId="0" fontId="11" fillId="15" borderId="52" applyNumberFormat="0" applyProtection="0">
      <alignment horizontal="left" vertical="center" indent="1"/>
    </xf>
    <xf numFmtId="0" fontId="11" fillId="15" borderId="52" applyNumberFormat="0" applyProtection="0">
      <alignment horizontal="left" vertical="center" indent="1"/>
    </xf>
    <xf numFmtId="0" fontId="11" fillId="15" borderId="52" applyNumberFormat="0" applyProtection="0">
      <alignment horizontal="left" vertical="top"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29" fillId="72" borderId="52" applyNumberFormat="0" applyProtection="0">
      <alignment horizontal="left" vertical="center" indent="1"/>
    </xf>
    <xf numFmtId="0" fontId="11" fillId="72" borderId="52" applyNumberFormat="0" applyProtection="0">
      <alignment horizontal="left" vertical="top" indent="1"/>
    </xf>
    <xf numFmtId="0" fontId="11" fillId="3" borderId="20" applyNumberFormat="0">
      <protection locked="0"/>
    </xf>
    <xf numFmtId="4" fontId="73" fillId="9" borderId="52" applyNumberFormat="0" applyProtection="0">
      <alignment vertical="center"/>
    </xf>
    <xf numFmtId="4" fontId="152" fillId="9" borderId="52" applyNumberFormat="0" applyProtection="0">
      <alignment vertical="center"/>
    </xf>
    <xf numFmtId="4" fontId="73" fillId="9" borderId="52" applyNumberFormat="0" applyProtection="0">
      <alignment horizontal="left" vertical="center" indent="1"/>
    </xf>
    <xf numFmtId="0" fontId="73" fillId="9" borderId="52" applyNumberFormat="0" applyProtection="0">
      <alignment horizontal="left" vertical="top" indent="1"/>
    </xf>
    <xf numFmtId="4" fontId="73" fillId="72" borderId="52" applyNumberFormat="0" applyProtection="0">
      <alignment horizontal="right" vertical="center"/>
    </xf>
    <xf numFmtId="4" fontId="152" fillId="72" borderId="52" applyNumberFormat="0" applyProtection="0">
      <alignment horizontal="right" vertical="center"/>
    </xf>
    <xf numFmtId="4" fontId="73" fillId="69" borderId="52" applyNumberFormat="0" applyProtection="0">
      <alignment horizontal="left" vertical="center" indent="1"/>
    </xf>
    <xf numFmtId="0" fontId="73" fillId="69" borderId="52" applyNumberFormat="0" applyProtection="0">
      <alignment horizontal="left" vertical="top" indent="1"/>
    </xf>
    <xf numFmtId="4" fontId="153" fillId="73" borderId="0" applyNumberFormat="0" applyProtection="0">
      <alignment horizontal="left" vertical="center" indent="1"/>
    </xf>
    <xf numFmtId="4" fontId="20" fillId="72" borderId="52" applyNumberFormat="0" applyProtection="0">
      <alignment horizontal="right" vertical="center"/>
    </xf>
    <xf numFmtId="0" fontId="27" fillId="0" borderId="0" applyNumberFormat="0" applyFill="0" applyBorder="0" applyAlignment="0" applyProtection="0"/>
    <xf numFmtId="0" fontId="154" fillId="0" borderId="0"/>
    <xf numFmtId="0" fontId="13" fillId="0" borderId="0">
      <alignment horizontal="centerContinuous"/>
    </xf>
    <xf numFmtId="0" fontId="13" fillId="0" borderId="0" applyFill="0" applyBorder="0" applyProtection="0">
      <alignment horizontal="centerContinuous" wrapText="1"/>
    </xf>
    <xf numFmtId="246" fontId="85" fillId="0" borderId="0"/>
    <xf numFmtId="247" fontId="85" fillId="0" borderId="0"/>
    <xf numFmtId="0" fontId="155" fillId="0" borderId="0" applyNumberFormat="0" applyFill="0" applyBorder="0" applyAlignment="0" applyProtection="0"/>
    <xf numFmtId="0" fontId="156" fillId="0" borderId="0" applyNumberFormat="0" applyFont="0" applyFill="0" applyBorder="0" applyAlignment="0"/>
    <xf numFmtId="248" fontId="85" fillId="0" borderId="0"/>
    <xf numFmtId="43" fontId="145" fillId="0" borderId="0" applyFont="0" applyFill="0" applyBorder="0" applyAlignment="0" applyProtection="0"/>
    <xf numFmtId="9" fontId="73" fillId="0" borderId="0" applyFont="0" applyFill="0" applyBorder="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8" fillId="27" borderId="0" applyNumberFormat="0" applyBorder="0" applyAlignment="0" applyProtection="0"/>
    <xf numFmtId="0" fontId="30" fillId="5" borderId="55" applyNumberFormat="0" applyAlignment="0" applyProtection="0"/>
    <xf numFmtId="217" fontId="76" fillId="0" borderId="0">
      <protection locked="0"/>
    </xf>
    <xf numFmtId="6" fontId="82" fillId="0" borderId="0">
      <protection locked="0"/>
    </xf>
    <xf numFmtId="0" fontId="32" fillId="14" borderId="55" applyNumberFormat="0" applyAlignment="0" applyProtection="0"/>
    <xf numFmtId="0" fontId="89" fillId="0" borderId="13" applyNumberFormat="0" applyFill="0" applyAlignment="0" applyProtection="0"/>
    <xf numFmtId="0" fontId="90" fillId="0" borderId="15" applyNumberFormat="0" applyFill="0" applyAlignment="0" applyProtection="0"/>
    <xf numFmtId="49" fontId="50" fillId="0" borderId="60">
      <alignment vertical="top"/>
      <protection locked="0"/>
    </xf>
    <xf numFmtId="188" fontId="40" fillId="0" borderId="62"/>
    <xf numFmtId="0" fontId="30" fillId="5" borderId="55" applyNumberFormat="0" applyAlignment="0" applyProtection="0"/>
    <xf numFmtId="0" fontId="38" fillId="18" borderId="0" applyNumberFormat="0" applyBorder="0" applyAlignment="0" applyProtection="0"/>
    <xf numFmtId="0" fontId="11" fillId="9" borderId="56" applyNumberFormat="0" applyFont="0" applyAlignment="0" applyProtection="0"/>
    <xf numFmtId="0" fontId="31" fillId="14" borderId="57" applyNumberFormat="0" applyAlignment="0" applyProtection="0"/>
    <xf numFmtId="0" fontId="37" fillId="0" borderId="58" applyNumberFormat="0" applyFill="0" applyAlignment="0" applyProtection="0"/>
    <xf numFmtId="0" fontId="30" fillId="5" borderId="55" applyNumberFormat="0" applyAlignment="0" applyProtection="0"/>
    <xf numFmtId="9" fontId="11" fillId="0" borderId="0" applyFont="0" applyFill="0" applyBorder="0" applyAlignment="0" applyProtection="0"/>
    <xf numFmtId="0" fontId="38" fillId="27" borderId="0" applyNumberFormat="0" applyBorder="0" applyAlignment="0" applyProtection="0"/>
    <xf numFmtId="6" fontId="82" fillId="0" borderId="0">
      <protection locked="0"/>
    </xf>
    <xf numFmtId="4" fontId="150" fillId="2" borderId="70" applyNumberFormat="0" applyProtection="0">
      <alignment vertical="center"/>
    </xf>
    <xf numFmtId="0" fontId="38" fillId="21" borderId="0" applyNumberFormat="0" applyBorder="0" applyAlignment="0" applyProtection="0"/>
    <xf numFmtId="217" fontId="76" fillId="0" borderId="0">
      <protection locked="0"/>
    </xf>
    <xf numFmtId="4" fontId="73" fillId="69" borderId="70" applyNumberFormat="0" applyProtection="0">
      <alignment horizontal="left" vertical="center" indent="1"/>
    </xf>
    <xf numFmtId="4" fontId="73" fillId="29" borderId="82" applyNumberFormat="0" applyProtection="0">
      <alignment horizontal="right" vertical="center"/>
    </xf>
    <xf numFmtId="0" fontId="38" fillId="27" borderId="0" applyNumberFormat="0" applyBorder="0" applyAlignment="0" applyProtection="0"/>
    <xf numFmtId="235" fontId="17" fillId="0" borderId="60" applyFont="0" applyFill="0" applyBorder="0" applyAlignment="0" applyProtection="0"/>
    <xf numFmtId="4" fontId="20" fillId="72" borderId="82" applyNumberFormat="0" applyProtection="0">
      <alignment horizontal="right" vertical="center"/>
    </xf>
    <xf numFmtId="4" fontId="73" fillId="7" borderId="70" applyNumberFormat="0" applyProtection="0">
      <alignment horizontal="right" vertical="center"/>
    </xf>
    <xf numFmtId="217" fontId="76" fillId="0" borderId="0">
      <protection locked="0"/>
    </xf>
    <xf numFmtId="0" fontId="11" fillId="72" borderId="82" applyNumberFormat="0" applyProtection="0">
      <alignment horizontal="left" vertical="center" indent="1"/>
    </xf>
    <xf numFmtId="0" fontId="38" fillId="29" borderId="0" applyNumberFormat="0" applyBorder="0" applyAlignment="0" applyProtection="0"/>
    <xf numFmtId="0" fontId="30" fillId="5" borderId="55" applyNumberFormat="0" applyAlignment="0" applyProtection="0"/>
    <xf numFmtId="0" fontId="38" fillId="29" borderId="0" applyNumberFormat="0" applyBorder="0" applyAlignment="0" applyProtection="0"/>
    <xf numFmtId="0" fontId="38" fillId="27" borderId="0" applyNumberFormat="0" applyBorder="0" applyAlignment="0" applyProtection="0"/>
    <xf numFmtId="9" fontId="11" fillId="0" borderId="0" applyFont="0" applyFill="0" applyBorder="0" applyAlignment="0" applyProtection="0"/>
    <xf numFmtId="4" fontId="73" fillId="16" borderId="82" applyNumberFormat="0" applyProtection="0">
      <alignment horizontal="right" vertical="center"/>
    </xf>
    <xf numFmtId="0" fontId="11" fillId="15" borderId="70" applyNumberFormat="0" applyProtection="0">
      <alignment horizontal="left" vertical="center" indent="1"/>
    </xf>
    <xf numFmtId="1" fontId="84" fillId="37" borderId="76" applyNumberFormat="0" applyBorder="0" applyAlignment="0">
      <alignment horizontal="centerContinuous" vertical="center"/>
      <protection locked="0"/>
    </xf>
    <xf numFmtId="0" fontId="66" fillId="0" borderId="68" applyNumberFormat="0" applyFill="0" applyAlignment="0" applyProtection="0"/>
    <xf numFmtId="0" fontId="11" fillId="69" borderId="82" applyNumberFormat="0" applyProtection="0">
      <alignment horizontal="left" vertical="center" indent="1"/>
    </xf>
    <xf numFmtId="0" fontId="66" fillId="0" borderId="68" applyNumberFormat="0" applyFill="0" applyAlignment="0" applyProtection="0"/>
    <xf numFmtId="0" fontId="11" fillId="9" borderId="56" applyNumberFormat="0" applyFont="0" applyAlignment="0" applyProtection="0"/>
    <xf numFmtId="0" fontId="38" fillId="27" borderId="0" applyNumberFormat="0" applyBorder="0" applyAlignment="0" applyProtection="0"/>
    <xf numFmtId="4" fontId="73" fillId="9" borderId="70" applyNumberFormat="0" applyProtection="0">
      <alignment vertical="center"/>
    </xf>
    <xf numFmtId="4" fontId="101" fillId="2" borderId="70" applyNumberFormat="0" applyProtection="0">
      <alignment vertical="center"/>
    </xf>
    <xf numFmtId="217" fontId="76" fillId="0" borderId="0">
      <protection locked="0"/>
    </xf>
    <xf numFmtId="0" fontId="66" fillId="0" borderId="65" applyNumberFormat="0" applyFill="0" applyAlignment="0" applyProtection="0"/>
    <xf numFmtId="0" fontId="66" fillId="0" borderId="67" applyNumberFormat="0" applyFill="0" applyAlignment="0" applyProtection="0"/>
    <xf numFmtId="4" fontId="73" fillId="16" borderId="70" applyNumberFormat="0" applyProtection="0">
      <alignment horizontal="right" vertical="center"/>
    </xf>
    <xf numFmtId="0" fontId="11" fillId="9" borderId="73" applyNumberFormat="0" applyFont="0" applyAlignment="0" applyProtection="0"/>
    <xf numFmtId="0" fontId="38" fillId="25" borderId="0" applyNumberFormat="0" applyBorder="0" applyAlignment="0" applyProtection="0"/>
    <xf numFmtId="0" fontId="11" fillId="0" borderId="0"/>
    <xf numFmtId="4" fontId="73" fillId="69" borderId="82" applyNumberFormat="0" applyProtection="0">
      <alignment horizontal="right" vertical="center"/>
    </xf>
    <xf numFmtId="0" fontId="66" fillId="0" borderId="64" applyNumberFormat="0" applyFill="0" applyAlignment="0" applyProtection="0"/>
    <xf numFmtId="0" fontId="38" fillId="18" borderId="0" applyNumberFormat="0" applyBorder="0" applyAlignment="0" applyProtection="0"/>
    <xf numFmtId="4" fontId="73" fillId="8" borderId="70" applyNumberFormat="0" applyProtection="0">
      <alignment horizontal="right" vertical="center"/>
    </xf>
    <xf numFmtId="0" fontId="66" fillId="0" borderId="65" applyNumberFormat="0" applyFill="0" applyAlignment="0" applyProtection="0"/>
    <xf numFmtId="217" fontId="76" fillId="0" borderId="0">
      <protection locked="0"/>
    </xf>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9" fontId="11" fillId="0" borderId="0" applyFont="0" applyFill="0" applyBorder="0" applyAlignment="0" applyProtection="0"/>
    <xf numFmtId="217" fontId="76" fillId="0" borderId="0">
      <protection locked="0"/>
    </xf>
    <xf numFmtId="0" fontId="38" fillId="18" borderId="0" applyNumberFormat="0" applyBorder="0" applyAlignment="0" applyProtection="0"/>
    <xf numFmtId="0" fontId="38" fillId="27" borderId="0" applyNumberFormat="0" applyBorder="0" applyAlignment="0" applyProtection="0"/>
    <xf numFmtId="0" fontId="30" fillId="5" borderId="55" applyNumberFormat="0" applyAlignment="0" applyProtection="0"/>
    <xf numFmtId="0" fontId="38" fillId="27" borderId="0" applyNumberFormat="0" applyBorder="0" applyAlignment="0" applyProtection="0"/>
    <xf numFmtId="0" fontId="66" fillId="0" borderId="65" applyNumberFormat="0" applyFill="0" applyAlignment="0" applyProtection="0"/>
    <xf numFmtId="6" fontId="82" fillId="0" borderId="0">
      <protection locked="0"/>
    </xf>
    <xf numFmtId="9" fontId="11" fillId="0" borderId="0" applyFont="0" applyFill="0" applyBorder="0" applyAlignment="0" applyProtection="0"/>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0" fontId="66" fillId="0" borderId="69" applyNumberFormat="0" applyFill="0" applyAlignment="0" applyProtection="0"/>
    <xf numFmtId="0" fontId="11" fillId="15" borderId="82" applyNumberFormat="0" applyProtection="0">
      <alignment horizontal="left" vertical="top" indent="1"/>
    </xf>
    <xf numFmtId="0" fontId="38" fillId="18" borderId="0" applyNumberFormat="0" applyBorder="0" applyAlignment="0" applyProtection="0"/>
    <xf numFmtId="4" fontId="73" fillId="17" borderId="82" applyNumberFormat="0" applyProtection="0">
      <alignment horizontal="right" vertical="center"/>
    </xf>
    <xf numFmtId="4" fontId="73" fillId="29" borderId="70" applyNumberFormat="0" applyProtection="0">
      <alignment horizontal="right" vertical="center"/>
    </xf>
    <xf numFmtId="0" fontId="38" fillId="18" borderId="0" applyNumberFormat="0" applyBorder="0" applyAlignment="0" applyProtection="0"/>
    <xf numFmtId="6" fontId="82" fillId="0" borderId="0">
      <protection locked="0"/>
    </xf>
    <xf numFmtId="4" fontId="73" fillId="70" borderId="82" applyNumberFormat="0" applyProtection="0">
      <alignment horizontal="right" vertical="center"/>
    </xf>
    <xf numFmtId="0" fontId="30" fillId="5" borderId="55" applyNumberFormat="0" applyAlignment="0" applyProtection="0"/>
    <xf numFmtId="0" fontId="30" fillId="5" borderId="72" applyNumberFormat="0" applyAlignment="0" applyProtection="0"/>
    <xf numFmtId="217" fontId="76" fillId="0" borderId="0">
      <protection locked="0"/>
    </xf>
    <xf numFmtId="0" fontId="38" fillId="24" borderId="0" applyNumberFormat="0" applyBorder="0" applyAlignment="0" applyProtection="0"/>
    <xf numFmtId="235" fontId="17" fillId="0" borderId="77" applyFont="0" applyFill="0" applyBorder="0" applyAlignment="0" applyProtection="0"/>
    <xf numFmtId="4" fontId="73" fillId="72" borderId="82" applyNumberFormat="0" applyProtection="0">
      <alignment horizontal="right" vertical="center"/>
    </xf>
    <xf numFmtId="0" fontId="11" fillId="72" borderId="82" applyNumberFormat="0" applyProtection="0">
      <alignment horizontal="left" vertical="center" indent="1"/>
    </xf>
    <xf numFmtId="4" fontId="73" fillId="7" borderId="82" applyNumberFormat="0" applyProtection="0">
      <alignment horizontal="right" vertical="center"/>
    </xf>
    <xf numFmtId="0" fontId="38" fillId="29" borderId="0" applyNumberFormat="0" applyBorder="0" applyAlignment="0" applyProtection="0"/>
    <xf numFmtId="4" fontId="73" fillId="44" borderId="77" applyNumberFormat="0" applyProtection="0">
      <alignment horizontal="right" vertical="center"/>
    </xf>
    <xf numFmtId="6" fontId="82" fillId="0" borderId="0">
      <protection locked="0"/>
    </xf>
    <xf numFmtId="0" fontId="11" fillId="22" borderId="82" applyNumberFormat="0" applyProtection="0">
      <alignment horizontal="left" vertical="top" indent="1"/>
    </xf>
    <xf numFmtId="4" fontId="152" fillId="72" borderId="82" applyNumberFormat="0" applyProtection="0">
      <alignment horizontal="right" vertical="center"/>
    </xf>
    <xf numFmtId="6" fontId="82" fillId="0" borderId="0">
      <protection locked="0"/>
    </xf>
    <xf numFmtId="0" fontId="11" fillId="9" borderId="73" applyNumberFormat="0" applyFont="0" applyAlignment="0" applyProtection="0"/>
    <xf numFmtId="0" fontId="38" fillId="18" borderId="0" applyNumberFormat="0" applyBorder="0" applyAlignment="0" applyProtection="0"/>
    <xf numFmtId="0" fontId="11" fillId="72" borderId="82" applyNumberFormat="0" applyProtection="0">
      <alignment horizontal="left" vertical="center" indent="1"/>
    </xf>
    <xf numFmtId="0" fontId="66" fillId="0" borderId="66" applyNumberFormat="0" applyFill="0" applyAlignment="0" applyProtection="0"/>
    <xf numFmtId="0" fontId="38" fillId="27" borderId="0" applyNumberFormat="0" applyBorder="0" applyAlignment="0" applyProtection="0"/>
    <xf numFmtId="0" fontId="30" fillId="5" borderId="55" applyNumberFormat="0" applyAlignment="0" applyProtection="0"/>
    <xf numFmtId="6" fontId="82" fillId="0" borderId="0">
      <protection locked="0"/>
    </xf>
    <xf numFmtId="0" fontId="11" fillId="72" borderId="70" applyNumberFormat="0" applyProtection="0">
      <alignment horizontal="left" vertical="center" indent="1"/>
    </xf>
    <xf numFmtId="4" fontId="152" fillId="72" borderId="70" applyNumberFormat="0" applyProtection="0">
      <alignment horizontal="right" vertical="center"/>
    </xf>
    <xf numFmtId="9" fontId="11" fillId="0" borderId="0" applyFont="0" applyFill="0" applyBorder="0" applyAlignment="0" applyProtection="0"/>
    <xf numFmtId="0" fontId="11" fillId="9" borderId="73" applyNumberFormat="0" applyFont="0" applyAlignment="0" applyProtection="0"/>
    <xf numFmtId="0" fontId="38" fillId="27" borderId="0" applyNumberFormat="0" applyBorder="0" applyAlignment="0" applyProtection="0"/>
    <xf numFmtId="0" fontId="38" fillId="25" borderId="0" applyNumberFormat="0" applyBorder="0" applyAlignment="0" applyProtection="0"/>
    <xf numFmtId="4" fontId="11" fillId="41" borderId="77" applyNumberFormat="0" applyProtection="0">
      <alignment vertical="center"/>
    </xf>
    <xf numFmtId="0" fontId="66" fillId="0" borderId="68" applyNumberFormat="0" applyFill="0" applyAlignment="0" applyProtection="0"/>
    <xf numFmtId="0" fontId="11" fillId="0" borderId="0"/>
    <xf numFmtId="0" fontId="73" fillId="69" borderId="82" applyNumberFormat="0" applyProtection="0">
      <alignment horizontal="left" vertical="top" indent="1"/>
    </xf>
    <xf numFmtId="4" fontId="73" fillId="23" borderId="70" applyNumberFormat="0" applyProtection="0">
      <alignment horizontal="right" vertical="center"/>
    </xf>
    <xf numFmtId="9" fontId="11" fillId="0" borderId="0" applyFont="0" applyFill="0" applyBorder="0" applyAlignment="0" applyProtection="0"/>
    <xf numFmtId="0" fontId="66" fillId="0" borderId="81" applyNumberFormat="0" applyFill="0" applyAlignment="0" applyProtection="0"/>
    <xf numFmtId="0" fontId="11" fillId="3" borderId="60" applyNumberFormat="0">
      <protection locked="0"/>
    </xf>
    <xf numFmtId="4" fontId="73" fillId="25" borderId="82" applyNumberFormat="0" applyProtection="0">
      <alignment horizontal="right" vertical="center"/>
    </xf>
    <xf numFmtId="0" fontId="30" fillId="5" borderId="55" applyNumberFormat="0" applyAlignment="0" applyProtection="0"/>
    <xf numFmtId="4" fontId="11" fillId="0" borderId="77" applyNumberFormat="0" applyProtection="0">
      <alignment horizontal="right" vertical="center"/>
    </xf>
    <xf numFmtId="0" fontId="11" fillId="15" borderId="82" applyNumberFormat="0" applyProtection="0">
      <alignment horizontal="left" vertical="center" indent="1"/>
    </xf>
    <xf numFmtId="4" fontId="73" fillId="72" borderId="70" applyNumberFormat="0" applyProtection="0">
      <alignment horizontal="right" vertical="center"/>
    </xf>
    <xf numFmtId="0" fontId="66" fillId="0" borderId="65" applyNumberFormat="0" applyFill="0" applyAlignment="0" applyProtection="0"/>
    <xf numFmtId="0" fontId="38" fillId="18" borderId="0" applyNumberFormat="0" applyBorder="0" applyAlignment="0" applyProtection="0"/>
    <xf numFmtId="4" fontId="101" fillId="2" borderId="82" applyNumberFormat="0" applyProtection="0">
      <alignment horizontal="left" vertical="center" indent="1"/>
    </xf>
    <xf numFmtId="0" fontId="11" fillId="9" borderId="73" applyNumberFormat="0" applyFont="0" applyAlignment="0" applyProtection="0"/>
    <xf numFmtId="0" fontId="11" fillId="0" borderId="0"/>
    <xf numFmtId="0" fontId="11" fillId="9" borderId="73" applyNumberFormat="0" applyFont="0" applyAlignment="0" applyProtection="0"/>
    <xf numFmtId="0" fontId="11" fillId="22" borderId="70" applyNumberFormat="0" applyProtection="0">
      <alignment horizontal="left" vertical="top" indent="1"/>
    </xf>
    <xf numFmtId="4" fontId="73" fillId="25" borderId="70" applyNumberFormat="0" applyProtection="0">
      <alignment horizontal="right" vertical="center"/>
    </xf>
    <xf numFmtId="4" fontId="73" fillId="9" borderId="70" applyNumberFormat="0" applyProtection="0">
      <alignment horizontal="left" vertical="center" indent="1"/>
    </xf>
    <xf numFmtId="0" fontId="11" fillId="69" borderId="70" applyNumberFormat="0" applyProtection="0">
      <alignment horizontal="left" vertical="center" indent="1"/>
    </xf>
    <xf numFmtId="10" fontId="17" fillId="39" borderId="77"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9" fontId="11" fillId="0" borderId="0" applyFont="0" applyFill="0" applyBorder="0" applyAlignment="0" applyProtection="0"/>
    <xf numFmtId="0" fontId="38" fillId="29" borderId="0" applyNumberFormat="0" applyBorder="0" applyAlignment="0" applyProtection="0"/>
    <xf numFmtId="9" fontId="11" fillId="0" borderId="0" applyFont="0" applyFill="0" applyBorder="0" applyAlignment="0" applyProtection="0"/>
    <xf numFmtId="0" fontId="38" fillId="21" borderId="0" applyNumberFormat="0" applyBorder="0" applyAlignment="0" applyProtection="0"/>
    <xf numFmtId="0" fontId="66" fillId="0" borderId="67" applyNumberFormat="0" applyFill="0" applyAlignment="0" applyProtection="0"/>
    <xf numFmtId="4" fontId="101" fillId="2" borderId="70" applyNumberFormat="0" applyProtection="0">
      <alignment horizontal="left" vertical="center" indent="1"/>
    </xf>
    <xf numFmtId="0" fontId="38" fillId="18" borderId="0" applyNumberFormat="0" applyBorder="0" applyAlignment="0" applyProtection="0"/>
    <xf numFmtId="0" fontId="11" fillId="9" borderId="73" applyNumberFormat="0" applyFont="0" applyAlignment="0" applyProtection="0"/>
    <xf numFmtId="0" fontId="38" fillId="18" borderId="0" applyNumberFormat="0" applyBorder="0" applyAlignment="0" applyProtection="0"/>
    <xf numFmtId="0" fontId="11" fillId="22" borderId="82" applyNumberFormat="0" applyProtection="0">
      <alignment horizontal="left" vertical="center" indent="1"/>
    </xf>
    <xf numFmtId="234" fontId="50" fillId="0" borderId="80">
      <protection locked="0"/>
    </xf>
    <xf numFmtId="4" fontId="73" fillId="70" borderId="70" applyNumberFormat="0" applyProtection="0">
      <alignment horizontal="right" vertical="center"/>
    </xf>
    <xf numFmtId="0" fontId="11" fillId="0" borderId="0"/>
    <xf numFmtId="0" fontId="38" fillId="24" borderId="0" applyNumberFormat="0" applyBorder="0" applyAlignment="0" applyProtection="0"/>
    <xf numFmtId="0" fontId="38" fillId="25" borderId="0" applyNumberFormat="0" applyBorder="0" applyAlignment="0" applyProtection="0"/>
    <xf numFmtId="0" fontId="11" fillId="9" borderId="73" applyNumberFormat="0" applyFont="0" applyAlignment="0" applyProtection="0"/>
    <xf numFmtId="0" fontId="101" fillId="2" borderId="82" applyNumberFormat="0" applyProtection="0">
      <alignment horizontal="left" vertical="top" indent="1"/>
    </xf>
    <xf numFmtId="0" fontId="66" fillId="0" borderId="67"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 fontId="73" fillId="9" borderId="82" applyNumberFormat="0" applyProtection="0">
      <alignment vertical="center"/>
    </xf>
    <xf numFmtId="0" fontId="66" fillId="0" borderId="6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4" fontId="73" fillId="8" borderId="82" applyNumberFormat="0" applyProtection="0">
      <alignment horizontal="right" vertical="center"/>
    </xf>
    <xf numFmtId="0" fontId="38" fillId="24" borderId="0" applyNumberFormat="0" applyBorder="0" applyAlignment="0" applyProtection="0"/>
    <xf numFmtId="4" fontId="73" fillId="27" borderId="82" applyNumberFormat="0" applyProtection="0">
      <alignment horizontal="right" vertical="center"/>
    </xf>
    <xf numFmtId="0" fontId="38" fillId="25" borderId="0" applyNumberFormat="0" applyBorder="0" applyAlignment="0" applyProtection="0"/>
    <xf numFmtId="0" fontId="11" fillId="9" borderId="73" applyNumberFormat="0" applyFont="0" applyAlignment="0" applyProtection="0"/>
    <xf numFmtId="4" fontId="73" fillId="9" borderId="82" applyNumberFormat="0" applyProtection="0">
      <alignment horizontal="left" vertical="center" indent="1"/>
    </xf>
    <xf numFmtId="0" fontId="66" fillId="0" borderId="69" applyNumberFormat="0" applyFill="0" applyAlignment="0" applyProtection="0"/>
    <xf numFmtId="4" fontId="99" fillId="0" borderId="78" applyBorder="0">
      <alignment horizontal="right" wrapText="1"/>
    </xf>
    <xf numFmtId="0" fontId="38" fillId="24" borderId="0" applyNumberFormat="0" applyBorder="0" applyAlignment="0" applyProtection="0"/>
    <xf numFmtId="0" fontId="38" fillId="25" borderId="0" applyNumberFormat="0" applyBorder="0" applyAlignment="0" applyProtection="0"/>
    <xf numFmtId="4" fontId="152" fillId="9" borderId="70" applyNumberFormat="0" applyProtection="0">
      <alignment vertical="center"/>
    </xf>
    <xf numFmtId="0" fontId="38" fillId="24" borderId="0" applyNumberFormat="0" applyBorder="0" applyAlignment="0" applyProtection="0"/>
    <xf numFmtId="0" fontId="38" fillId="24" borderId="0" applyNumberFormat="0" applyBorder="0" applyAlignment="0" applyProtection="0"/>
    <xf numFmtId="0" fontId="11" fillId="22" borderId="70" applyNumberFormat="0" applyProtection="0">
      <alignment horizontal="left" vertical="center" indent="1"/>
    </xf>
    <xf numFmtId="0" fontId="30" fillId="5" borderId="72" applyNumberFormat="0" applyAlignment="0" applyProtection="0"/>
    <xf numFmtId="4" fontId="73" fillId="17" borderId="70" applyNumberFormat="0" applyProtection="0">
      <alignment horizontal="right" vertical="center"/>
    </xf>
    <xf numFmtId="0" fontId="101" fillId="2" borderId="70" applyNumberFormat="0" applyProtection="0">
      <alignment horizontal="left" vertical="top" indent="1"/>
    </xf>
    <xf numFmtId="0" fontId="38" fillId="24" borderId="0" applyNumberFormat="0" applyBorder="0" applyAlignment="0" applyProtection="0"/>
    <xf numFmtId="0" fontId="11" fillId="9" borderId="73" applyNumberFormat="0" applyFont="0" applyAlignment="0" applyProtection="0"/>
    <xf numFmtId="0" fontId="38" fillId="24" borderId="0" applyNumberFormat="0" applyBorder="0" applyAlignment="0" applyProtection="0"/>
    <xf numFmtId="0" fontId="11" fillId="69" borderId="82" applyNumberFormat="0" applyProtection="0">
      <alignment horizontal="left" vertical="center" indent="1"/>
    </xf>
    <xf numFmtId="0" fontId="11" fillId="72" borderId="70" applyNumberFormat="0" applyProtection="0">
      <alignment horizontal="left" vertical="center" indent="1"/>
    </xf>
    <xf numFmtId="0" fontId="11" fillId="9" borderId="73" applyNumberFormat="0" applyFont="0" applyAlignment="0" applyProtection="0"/>
    <xf numFmtId="0" fontId="11" fillId="9" borderId="73" applyNumberFormat="0" applyFont="0" applyAlignment="0" applyProtection="0"/>
    <xf numFmtId="0" fontId="38" fillId="24" borderId="0" applyNumberFormat="0" applyBorder="0" applyAlignment="0" applyProtection="0"/>
    <xf numFmtId="4" fontId="11" fillId="0" borderId="77" applyNumberFormat="0" applyProtection="0">
      <alignment horizontal="right" vertical="center"/>
    </xf>
    <xf numFmtId="0" fontId="30" fillId="5" borderId="72" applyNumberFormat="0" applyAlignment="0" applyProtection="0"/>
    <xf numFmtId="0" fontId="11" fillId="9" borderId="73" applyNumberFormat="0" applyFont="0" applyAlignment="0" applyProtection="0"/>
    <xf numFmtId="0" fontId="31" fillId="14" borderId="74" applyNumberFormat="0" applyAlignment="0" applyProtection="0"/>
    <xf numFmtId="0" fontId="37" fillId="0" borderId="75" applyNumberFormat="0" applyFill="0" applyAlignment="0" applyProtection="0"/>
    <xf numFmtId="0" fontId="11" fillId="3" borderId="77" applyNumberFormat="0">
      <protection locked="0"/>
    </xf>
    <xf numFmtId="0" fontId="32" fillId="14" borderId="83" applyNumberFormat="0" applyAlignment="0" applyProtection="0"/>
    <xf numFmtId="0" fontId="30" fillId="5" borderId="83" applyNumberFormat="0" applyAlignment="0" applyProtection="0"/>
    <xf numFmtId="0" fontId="11" fillId="9" borderId="84" applyNumberFormat="0" applyFont="0" applyAlignment="0" applyProtection="0"/>
    <xf numFmtId="0" fontId="31" fillId="14" borderId="85" applyNumberFormat="0" applyAlignment="0" applyProtection="0"/>
    <xf numFmtId="0" fontId="37" fillId="0" borderId="86" applyNumberFormat="0" applyFill="0" applyAlignment="0" applyProtection="0"/>
    <xf numFmtId="0" fontId="11" fillId="0" borderId="0"/>
    <xf numFmtId="0" fontId="11" fillId="9" borderId="108" applyNumberFormat="0" applyFont="0" applyAlignment="0" applyProtection="0"/>
    <xf numFmtId="4" fontId="73" fillId="72" borderId="94" applyNumberFormat="0" applyProtection="0">
      <alignment horizontal="right" vertical="center"/>
    </xf>
    <xf numFmtId="4" fontId="73" fillId="9" borderId="94" applyNumberFormat="0" applyProtection="0">
      <alignment vertical="center"/>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center" indent="1"/>
    </xf>
    <xf numFmtId="4" fontId="73" fillId="27" borderId="94" applyNumberFormat="0" applyProtection="0">
      <alignment horizontal="right" vertical="center"/>
    </xf>
    <xf numFmtId="4" fontId="73" fillId="25" borderId="94" applyNumberFormat="0" applyProtection="0">
      <alignment horizontal="right" vertical="center"/>
    </xf>
    <xf numFmtId="0" fontId="101" fillId="2" borderId="94" applyNumberFormat="0" applyProtection="0">
      <alignment horizontal="left" vertical="top" indent="1"/>
    </xf>
    <xf numFmtId="0" fontId="38" fillId="18" borderId="0" applyNumberFormat="0" applyBorder="0" applyAlignment="0" applyProtection="0"/>
    <xf numFmtId="4" fontId="74" fillId="0" borderId="106" applyFont="0" applyFill="0" applyBorder="0" applyAlignment="0">
      <alignment horizontal="center" vertical="center"/>
    </xf>
    <xf numFmtId="10" fontId="17" fillId="39" borderId="112" applyNumberFormat="0" applyBorder="0" applyAlignment="0" applyProtection="0"/>
    <xf numFmtId="0" fontId="30" fillId="5" borderId="96" applyNumberFormat="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11" fillId="9" borderId="108" applyNumberFormat="0" applyFont="0" applyAlignment="0" applyProtection="0"/>
    <xf numFmtId="0" fontId="11" fillId="9" borderId="89" applyNumberFormat="0" applyFont="0" applyAlignment="0" applyProtection="0"/>
    <xf numFmtId="217" fontId="76" fillId="0" borderId="0">
      <protection locked="0"/>
    </xf>
    <xf numFmtId="1" fontId="84" fillId="37" borderId="100" applyNumberFormat="0" applyBorder="0" applyAlignment="0">
      <alignment horizontal="centerContinuous" vertical="center"/>
      <protection locked="0"/>
    </xf>
    <xf numFmtId="0" fontId="11" fillId="9" borderId="89" applyNumberFormat="0" applyFont="0" applyAlignment="0" applyProtection="0"/>
    <xf numFmtId="6" fontId="82" fillId="0" borderId="0">
      <protection locked="0"/>
    </xf>
    <xf numFmtId="0" fontId="38" fillId="25" borderId="0" applyNumberFormat="0" applyBorder="0" applyAlignment="0" applyProtection="0"/>
    <xf numFmtId="0" fontId="38" fillId="25" borderId="0" applyNumberFormat="0" applyBorder="0" applyAlignment="0" applyProtection="0"/>
    <xf numFmtId="0" fontId="11" fillId="9" borderId="108" applyNumberFormat="0" applyFont="0" applyAlignment="0" applyProtection="0"/>
    <xf numFmtId="0" fontId="38" fillId="29" borderId="0" applyNumberFormat="0" applyBorder="0" applyAlignment="0" applyProtection="0"/>
    <xf numFmtId="0" fontId="30" fillId="5" borderId="83" applyNumberFormat="0" applyAlignment="0" applyProtection="0"/>
    <xf numFmtId="0" fontId="66" fillId="0" borderId="118" applyNumberFormat="0" applyFill="0" applyAlignment="0" applyProtection="0"/>
    <xf numFmtId="0" fontId="11" fillId="0" borderId="0"/>
    <xf numFmtId="9" fontId="11" fillId="0" borderId="0" applyFont="0" applyFill="0" applyBorder="0" applyAlignment="0" applyProtection="0"/>
    <xf numFmtId="0" fontId="11" fillId="9" borderId="89" applyNumberFormat="0" applyFont="0" applyAlignment="0" applyProtection="0"/>
    <xf numFmtId="0" fontId="38" fillId="29" borderId="0" applyNumberFormat="0" applyBorder="0" applyAlignment="0" applyProtection="0"/>
    <xf numFmtId="0" fontId="38" fillId="25" borderId="0" applyNumberFormat="0" applyBorder="0" applyAlignment="0" applyProtection="0"/>
    <xf numFmtId="0" fontId="38" fillId="21" borderId="0" applyNumberFormat="0" applyBorder="0" applyAlignment="0" applyProtection="0"/>
    <xf numFmtId="6" fontId="82" fillId="0" borderId="0">
      <protection locked="0"/>
    </xf>
    <xf numFmtId="0" fontId="11" fillId="9" borderId="97" applyNumberFormat="0" applyFont="0" applyAlignment="0" applyProtection="0"/>
    <xf numFmtId="9" fontId="11" fillId="0" borderId="0" applyFont="0" applyFill="0" applyBorder="0" applyAlignment="0" applyProtection="0"/>
    <xf numFmtId="4" fontId="73" fillId="44" borderId="112" applyNumberFormat="0" applyProtection="0">
      <alignment horizontal="right" vertical="center"/>
    </xf>
    <xf numFmtId="49" fontId="50" fillId="0" borderId="93">
      <protection locked="0"/>
    </xf>
    <xf numFmtId="232" fontId="50" fillId="0" borderId="93">
      <protection locked="0"/>
    </xf>
    <xf numFmtId="0" fontId="11" fillId="9" borderId="108" applyNumberFormat="0" applyFont="0" applyAlignment="0" applyProtection="0"/>
    <xf numFmtId="0" fontId="38" fillId="25" borderId="0" applyNumberFormat="0" applyBorder="0" applyAlignment="0" applyProtection="0"/>
    <xf numFmtId="235" fontId="17" fillId="0" borderId="112" applyFont="0" applyFill="0" applyBorder="0" applyAlignment="0" applyProtection="0"/>
    <xf numFmtId="4" fontId="99" fillId="0" borderId="113" applyBorder="0">
      <alignment horizontal="right" wrapText="1"/>
    </xf>
    <xf numFmtId="0" fontId="38" fillId="25" borderId="0" applyNumberFormat="0" applyBorder="0" applyAlignment="0" applyProtection="0"/>
    <xf numFmtId="217" fontId="76" fillId="0" borderId="0">
      <protection locked="0"/>
    </xf>
    <xf numFmtId="10" fontId="17" fillId="39" borderId="101" applyNumberFormat="0" applyBorder="0" applyAlignment="0" applyProtection="0"/>
    <xf numFmtId="6" fontId="82" fillId="0" borderId="0">
      <protection locked="0"/>
    </xf>
    <xf numFmtId="6" fontId="82" fillId="0" borderId="0">
      <protection locked="0"/>
    </xf>
    <xf numFmtId="217" fontId="76" fillId="0" borderId="0">
      <protection locked="0"/>
    </xf>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38" fillId="18"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18" borderId="0" applyNumberFormat="0" applyBorder="0" applyAlignment="0" applyProtection="0"/>
    <xf numFmtId="0" fontId="66" fillId="0" borderId="116" applyNumberFormat="0" applyFill="0" applyAlignment="0" applyProtection="0"/>
    <xf numFmtId="0" fontId="38" fillId="27" borderId="0" applyNumberFormat="0" applyBorder="0" applyAlignment="0" applyProtection="0"/>
    <xf numFmtId="217" fontId="76" fillId="0" borderId="0">
      <protection locked="0"/>
    </xf>
    <xf numFmtId="0" fontId="38" fillId="27" borderId="0" applyNumberFormat="0" applyBorder="0" applyAlignment="0" applyProtection="0"/>
    <xf numFmtId="0" fontId="11" fillId="9" borderId="108" applyNumberFormat="0" applyFont="0" applyAlignment="0" applyProtection="0"/>
    <xf numFmtId="6" fontId="82" fillId="0" borderId="0">
      <protection locked="0"/>
    </xf>
    <xf numFmtId="0" fontId="30" fillId="5" borderId="107" applyNumberFormat="0" applyAlignment="0" applyProtection="0"/>
    <xf numFmtId="0" fontId="38" fillId="25" borderId="0" applyNumberFormat="0" applyBorder="0" applyAlignment="0" applyProtection="0"/>
    <xf numFmtId="0" fontId="11" fillId="0" borderId="0"/>
    <xf numFmtId="0" fontId="73" fillId="69" borderId="94" applyNumberFormat="0" applyProtection="0">
      <alignment horizontal="left" vertical="top" indent="1"/>
    </xf>
    <xf numFmtId="4" fontId="73" fillId="69" borderId="94" applyNumberFormat="0" applyProtection="0">
      <alignment horizontal="left" vertical="center" indent="1"/>
    </xf>
    <xf numFmtId="0" fontId="73" fillId="9" borderId="94" applyNumberFormat="0" applyProtection="0">
      <alignment horizontal="left" vertical="top" indent="1"/>
    </xf>
    <xf numFmtId="4" fontId="73" fillId="9" borderId="94" applyNumberFormat="0" applyProtection="0">
      <alignment horizontal="left" vertical="center" indent="1"/>
    </xf>
    <xf numFmtId="0" fontId="11" fillId="72" borderId="94" applyNumberFormat="0" applyProtection="0">
      <alignment horizontal="left" vertical="top" indent="1"/>
    </xf>
    <xf numFmtId="0" fontId="11" fillId="72" borderId="94" applyNumberFormat="0" applyProtection="0">
      <alignment horizontal="left" vertical="center" indent="1"/>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top" indent="1"/>
    </xf>
    <xf numFmtId="0" fontId="11" fillId="22" borderId="94" applyNumberFormat="0" applyProtection="0">
      <alignment horizontal="left" vertical="top" indent="1"/>
    </xf>
    <xf numFmtId="0" fontId="11" fillId="22" borderId="94" applyNumberFormat="0" applyProtection="0">
      <alignment horizontal="left" vertical="center" indent="1"/>
    </xf>
    <xf numFmtId="4" fontId="73" fillId="69" borderId="94" applyNumberFormat="0" applyProtection="0">
      <alignment horizontal="right" vertical="center"/>
    </xf>
    <xf numFmtId="9" fontId="11" fillId="0" borderId="0" applyFont="0" applyFill="0" applyBorder="0" applyAlignment="0" applyProtection="0"/>
    <xf numFmtId="4" fontId="73" fillId="16" borderId="94" applyNumberFormat="0" applyProtection="0">
      <alignment horizontal="right" vertical="center"/>
    </xf>
    <xf numFmtId="4" fontId="73" fillId="29" borderId="94" applyNumberFormat="0" applyProtection="0">
      <alignment horizontal="right" vertical="center"/>
    </xf>
    <xf numFmtId="4" fontId="73" fillId="23" borderId="94" applyNumberFormat="0" applyProtection="0">
      <alignment horizontal="right" vertical="center"/>
    </xf>
    <xf numFmtId="4" fontId="73" fillId="8" borderId="94" applyNumberFormat="0" applyProtection="0">
      <alignment horizontal="right" vertical="center"/>
    </xf>
    <xf numFmtId="4" fontId="73" fillId="7" borderId="94" applyNumberFormat="0" applyProtection="0">
      <alignment horizontal="right" vertical="center"/>
    </xf>
    <xf numFmtId="4" fontId="101" fillId="2" borderId="94" applyNumberFormat="0" applyProtection="0">
      <alignment horizontal="left" vertical="center" indent="1"/>
    </xf>
    <xf numFmtId="4" fontId="150" fillId="2" borderId="94" applyNumberFormat="0" applyProtection="0">
      <alignment vertical="center"/>
    </xf>
    <xf numFmtId="4" fontId="73" fillId="44" borderId="112" applyNumberFormat="0" applyProtection="0">
      <alignment horizontal="right" vertical="center"/>
    </xf>
    <xf numFmtId="0" fontId="38" fillId="18" borderId="0" applyNumberFormat="0" applyBorder="0" applyAlignment="0" applyProtection="0"/>
    <xf numFmtId="0" fontId="38" fillId="27" borderId="0" applyNumberFormat="0" applyBorder="0" applyAlignment="0" applyProtection="0"/>
    <xf numFmtId="6" fontId="82" fillId="0" borderId="0">
      <protection locked="0"/>
    </xf>
    <xf numFmtId="0" fontId="38" fillId="21"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11" fillId="9" borderId="89" applyNumberFormat="0" applyFont="0" applyAlignment="0" applyProtection="0"/>
    <xf numFmtId="235" fontId="17" fillId="0" borderId="101" applyFont="0" applyFill="0" applyBorder="0" applyAlignment="0" applyProtection="0"/>
    <xf numFmtId="188" fontId="40" fillId="0" borderId="103"/>
    <xf numFmtId="10" fontId="17" fillId="39" borderId="112" applyNumberFormat="0" applyBorder="0" applyAlignment="0" applyProtection="0"/>
    <xf numFmtId="10" fontId="17" fillId="39" borderId="101" applyNumberFormat="0" applyBorder="0" applyAlignment="0" applyProtection="0"/>
    <xf numFmtId="4" fontId="73" fillId="44" borderId="101" applyNumberFormat="0" applyProtection="0">
      <alignment horizontal="right" vertical="center"/>
    </xf>
    <xf numFmtId="217" fontId="76" fillId="0" borderId="0">
      <protection locked="0"/>
    </xf>
    <xf numFmtId="0" fontId="11" fillId="0" borderId="0"/>
    <xf numFmtId="0" fontId="66" fillId="0" borderId="116" applyNumberFormat="0" applyFill="0" applyAlignment="0" applyProtection="0"/>
    <xf numFmtId="6" fontId="82" fillId="0" borderId="0">
      <protection locked="0"/>
    </xf>
    <xf numFmtId="0" fontId="11" fillId="9" borderId="108" applyNumberFormat="0" applyFont="0" applyAlignment="0" applyProtection="0"/>
    <xf numFmtId="0" fontId="38" fillId="18" borderId="0" applyNumberFormat="0" applyBorder="0" applyAlignment="0" applyProtection="0"/>
    <xf numFmtId="0" fontId="11" fillId="9" borderId="84" applyNumberFormat="0" applyFont="0" applyAlignment="0" applyProtection="0"/>
    <xf numFmtId="4" fontId="11" fillId="41" borderId="112" applyNumberFormat="0" applyProtection="0">
      <alignment vertical="center"/>
    </xf>
    <xf numFmtId="0" fontId="30" fillId="5" borderId="107" applyNumberFormat="0" applyAlignment="0" applyProtection="0"/>
    <xf numFmtId="6" fontId="82" fillId="0" borderId="0">
      <protection locked="0"/>
    </xf>
    <xf numFmtId="6" fontId="82" fillId="0" borderId="0">
      <protection locked="0"/>
    </xf>
    <xf numFmtId="234" fontId="50" fillId="0" borderId="93">
      <protection locked="0"/>
    </xf>
    <xf numFmtId="0" fontId="38" fillId="21" borderId="0" applyNumberFormat="0" applyBorder="0" applyAlignment="0" applyProtection="0"/>
    <xf numFmtId="9" fontId="11" fillId="0" borderId="0" applyFont="0" applyFill="0" applyBorder="0" applyAlignment="0" applyProtection="0"/>
    <xf numFmtId="0" fontId="11" fillId="0" borderId="0"/>
    <xf numFmtId="4" fontId="11" fillId="0" borderId="101" applyNumberFormat="0" applyProtection="0">
      <alignment horizontal="right" vertical="center"/>
    </xf>
    <xf numFmtId="4" fontId="73" fillId="44" borderId="101" applyNumberFormat="0" applyProtection="0">
      <alignment horizontal="right" vertical="center"/>
    </xf>
    <xf numFmtId="0" fontId="38" fillId="21" borderId="0" applyNumberFormat="0" applyBorder="0" applyAlignment="0" applyProtection="0"/>
    <xf numFmtId="4" fontId="11" fillId="41" borderId="112" applyNumberFormat="0" applyProtection="0">
      <alignment vertical="center"/>
    </xf>
    <xf numFmtId="0" fontId="11" fillId="9" borderId="89" applyNumberFormat="0" applyFont="0" applyAlignment="0" applyProtection="0"/>
    <xf numFmtId="0" fontId="66" fillId="0" borderId="105" applyNumberFormat="0" applyFill="0" applyAlignment="0" applyProtection="0"/>
    <xf numFmtId="0" fontId="11" fillId="9" borderId="89" applyNumberFormat="0" applyFont="0" applyAlignment="0" applyProtection="0"/>
    <xf numFmtId="4" fontId="152" fillId="72" borderId="94" applyNumberFormat="0" applyProtection="0">
      <alignment horizontal="right" vertical="center"/>
    </xf>
    <xf numFmtId="4" fontId="152" fillId="9" borderId="94" applyNumberFormat="0" applyProtection="0">
      <alignment vertical="center"/>
    </xf>
    <xf numFmtId="0" fontId="129" fillId="72" borderId="94" applyNumberFormat="0" applyProtection="0">
      <alignment horizontal="left" vertical="center" indent="1"/>
    </xf>
    <xf numFmtId="0" fontId="11" fillId="15" borderId="94" applyNumberFormat="0" applyProtection="0">
      <alignment horizontal="left" vertical="top" indent="1"/>
    </xf>
    <xf numFmtId="0" fontId="11" fillId="69" borderId="94" applyNumberFormat="0" applyProtection="0">
      <alignment horizontal="left" vertical="center" indent="1"/>
    </xf>
    <xf numFmtId="0" fontId="11" fillId="22" borderId="94" applyNumberFormat="0" applyProtection="0">
      <alignment horizontal="left" vertical="center" indent="1"/>
    </xf>
    <xf numFmtId="4" fontId="73" fillId="70" borderId="94" applyNumberFormat="0" applyProtection="0">
      <alignment horizontal="right" vertical="center"/>
    </xf>
    <xf numFmtId="4" fontId="73" fillId="17" borderId="94" applyNumberFormat="0" applyProtection="0">
      <alignment horizontal="right" vertical="center"/>
    </xf>
    <xf numFmtId="4" fontId="101" fillId="2" borderId="94" applyNumberFormat="0" applyProtection="0">
      <alignment vertical="center"/>
    </xf>
    <xf numFmtId="0" fontId="38" fillId="29" borderId="0" applyNumberFormat="0" applyBorder="0" applyAlignment="0" applyProtection="0"/>
    <xf numFmtId="0" fontId="11" fillId="9" borderId="89" applyNumberFormat="0" applyFont="0" applyAlignment="0" applyProtection="0"/>
    <xf numFmtId="232" fontId="50" fillId="0" borderId="104">
      <protection locked="0"/>
    </xf>
    <xf numFmtId="0" fontId="66" fillId="0" borderId="105" applyNumberFormat="0" applyFill="0" applyAlignment="0" applyProtection="0"/>
    <xf numFmtId="217" fontId="76" fillId="0" borderId="0">
      <protection locked="0"/>
    </xf>
    <xf numFmtId="0" fontId="11" fillId="9" borderId="84" applyNumberFormat="0" applyFont="0" applyAlignment="0" applyProtection="0"/>
    <xf numFmtId="0" fontId="30" fillId="5" borderId="107" applyNumberFormat="0" applyAlignment="0" applyProtection="0"/>
    <xf numFmtId="0" fontId="11" fillId="0" borderId="0"/>
    <xf numFmtId="234" fontId="50" fillId="0" borderId="115">
      <protection locked="0"/>
    </xf>
    <xf numFmtId="0" fontId="30" fillId="5" borderId="88" applyNumberFormat="0" applyAlignment="0" applyProtection="0"/>
    <xf numFmtId="0" fontId="11" fillId="9" borderId="108" applyNumberFormat="0" applyFont="0" applyAlignment="0" applyProtection="0"/>
    <xf numFmtId="0" fontId="66" fillId="0" borderId="105" applyNumberFormat="0" applyFill="0" applyAlignment="0" applyProtection="0"/>
    <xf numFmtId="0" fontId="11" fillId="0" borderId="0"/>
    <xf numFmtId="0" fontId="38" fillId="24" borderId="0" applyNumberFormat="0" applyBorder="0" applyAlignment="0" applyProtection="0"/>
    <xf numFmtId="0" fontId="66" fillId="0" borderId="117" applyNumberFormat="0" applyFill="0" applyAlignment="0" applyProtection="0"/>
    <xf numFmtId="4" fontId="74" fillId="0" borderId="87" applyFont="0" applyFill="0" applyBorder="0" applyAlignment="0">
      <alignment horizontal="center" vertical="center"/>
    </xf>
    <xf numFmtId="0" fontId="11" fillId="9" borderId="97" applyNumberFormat="0" applyFont="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234" fontId="50" fillId="0" borderId="104">
      <protection locked="0"/>
    </xf>
    <xf numFmtId="0" fontId="11" fillId="9" borderId="108"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1" fontId="84" fillId="37" borderId="111" applyNumberFormat="0" applyBorder="0" applyAlignment="0">
      <alignment horizontal="centerContinuous" vertical="center"/>
      <protection locked="0"/>
    </xf>
    <xf numFmtId="0" fontId="11" fillId="9" borderId="97" applyNumberFormat="0" applyFont="0" applyAlignment="0" applyProtection="0"/>
    <xf numFmtId="217" fontId="76" fillId="0" borderId="0">
      <protection locked="0"/>
    </xf>
    <xf numFmtId="0" fontId="30" fillId="5" borderId="107" applyNumberFormat="0" applyAlignment="0" applyProtection="0"/>
    <xf numFmtId="0" fontId="30" fillId="5" borderId="107" applyNumberFormat="0" applyAlignment="0" applyProtection="0"/>
    <xf numFmtId="235" fontId="17" fillId="0" borderId="101" applyFont="0" applyFill="0" applyBorder="0" applyAlignment="0" applyProtection="0"/>
    <xf numFmtId="4" fontId="11" fillId="0" borderId="112" applyNumberFormat="0" applyProtection="0">
      <alignment horizontal="right" vertical="center"/>
    </xf>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0" borderId="0"/>
    <xf numFmtId="9" fontId="9" fillId="0" borderId="0" applyFont="0" applyFill="0" applyBorder="0" applyAlignment="0" applyProtection="0"/>
    <xf numFmtId="49" fontId="50" fillId="0" borderId="104">
      <protection locked="0"/>
    </xf>
    <xf numFmtId="49" fontId="50" fillId="0" borderId="101">
      <alignment vertical="top"/>
      <protection locked="0"/>
    </xf>
    <xf numFmtId="217" fontId="76" fillId="0" borderId="0">
      <protection locked="0"/>
    </xf>
    <xf numFmtId="0" fontId="38" fillId="21" borderId="0" applyNumberFormat="0" applyBorder="0" applyAlignment="0" applyProtection="0"/>
    <xf numFmtId="0" fontId="38" fillId="29" borderId="0" applyNumberFormat="0" applyBorder="0" applyAlignment="0" applyProtection="0"/>
    <xf numFmtId="0" fontId="11" fillId="9" borderId="97" applyNumberFormat="0" applyFont="0" applyAlignment="0" applyProtection="0"/>
    <xf numFmtId="217" fontId="76" fillId="0" borderId="0">
      <protection locked="0"/>
    </xf>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6" fontId="82" fillId="0" borderId="0">
      <protection locked="0"/>
    </xf>
    <xf numFmtId="0" fontId="30" fillId="5" borderId="107" applyNumberFormat="0" applyAlignment="0" applyProtection="0"/>
    <xf numFmtId="0" fontId="66" fillId="0" borderId="117" applyNumberFormat="0" applyFill="0" applyAlignment="0" applyProtection="0"/>
    <xf numFmtId="0" fontId="11" fillId="9" borderId="97" applyNumberFormat="0" applyFont="0" applyAlignment="0" applyProtection="0"/>
    <xf numFmtId="0" fontId="38" fillId="25" borderId="0" applyNumberFormat="0" applyBorder="0" applyAlignment="0" applyProtection="0"/>
    <xf numFmtId="0" fontId="66" fillId="0" borderId="92" applyNumberFormat="0" applyFill="0" applyAlignment="0" applyProtection="0"/>
    <xf numFmtId="0" fontId="11" fillId="9" borderId="108" applyNumberFormat="0" applyFont="0" applyAlignment="0" applyProtection="0"/>
    <xf numFmtId="4" fontId="11" fillId="41" borderId="101" applyNumberFormat="0" applyProtection="0">
      <alignment vertical="center"/>
    </xf>
    <xf numFmtId="0" fontId="38" fillId="29" borderId="0" applyNumberFormat="0" applyBorder="0" applyAlignment="0" applyProtection="0"/>
    <xf numFmtId="0" fontId="30" fillId="5" borderId="107" applyNumberFormat="0" applyAlignment="0" applyProtection="0"/>
    <xf numFmtId="0" fontId="11" fillId="9" borderId="97" applyNumberFormat="0" applyFont="0" applyAlignment="0" applyProtection="0"/>
    <xf numFmtId="0" fontId="11" fillId="9" borderId="97" applyNumberFormat="0" applyFont="0" applyAlignment="0" applyProtection="0"/>
    <xf numFmtId="0" fontId="66" fillId="0" borderId="92" applyNumberFormat="0" applyFill="0" applyAlignment="0" applyProtection="0"/>
    <xf numFmtId="0" fontId="66" fillId="0" borderId="92" applyNumberFormat="0" applyFill="0" applyAlignment="0" applyProtection="0"/>
    <xf numFmtId="6" fontId="82" fillId="0" borderId="0">
      <protection locked="0"/>
    </xf>
    <xf numFmtId="0" fontId="38" fillId="18" borderId="0" applyNumberFormat="0" applyBorder="0" applyAlignment="0" applyProtection="0"/>
    <xf numFmtId="0" fontId="38" fillId="29" borderId="0" applyNumberFormat="0" applyBorder="0" applyAlignment="0" applyProtection="0"/>
    <xf numFmtId="4" fontId="74" fillId="0" borderId="95" applyFont="0" applyFill="0" applyBorder="0" applyAlignment="0">
      <alignment horizontal="center" vertical="center"/>
    </xf>
    <xf numFmtId="0" fontId="30" fillId="5" borderId="96" applyNumberFormat="0" applyAlignment="0" applyProtection="0"/>
    <xf numFmtId="9" fontId="11" fillId="0" borderId="0" applyFont="0" applyFill="0" applyBorder="0" applyAlignment="0" applyProtection="0"/>
    <xf numFmtId="0" fontId="38" fillId="29" borderId="0" applyNumberFormat="0" applyBorder="0" applyAlignment="0" applyProtection="0"/>
    <xf numFmtId="0" fontId="38" fillId="18" borderId="0" applyNumberFormat="0" applyBorder="0" applyAlignment="0" applyProtection="0"/>
    <xf numFmtId="0" fontId="66" fillId="0" borderId="118" applyNumberFormat="0" applyFill="0" applyAlignment="0" applyProtection="0"/>
    <xf numFmtId="4" fontId="99" fillId="0" borderId="102" applyBorder="0">
      <alignment horizontal="right" wrapText="1"/>
    </xf>
    <xf numFmtId="4" fontId="11" fillId="41" borderId="101" applyNumberFormat="0" applyProtection="0">
      <alignment vertical="center"/>
    </xf>
    <xf numFmtId="4" fontId="11" fillId="0" borderId="101" applyNumberFormat="0" applyProtection="0">
      <alignment horizontal="right" vertical="center"/>
    </xf>
    <xf numFmtId="9" fontId="11" fillId="0" borderId="0" applyFont="0" applyFill="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66" fillId="0" borderId="92" applyNumberFormat="0" applyFill="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17" fontId="76" fillId="0" borderId="0">
      <protection locked="0"/>
    </xf>
    <xf numFmtId="0" fontId="66" fillId="0" borderId="116" applyNumberFormat="0" applyFill="0" applyAlignment="0" applyProtection="0"/>
    <xf numFmtId="0" fontId="66" fillId="0" borderId="118" applyNumberFormat="0" applyFill="0" applyAlignment="0" applyProtection="0"/>
    <xf numFmtId="0" fontId="11" fillId="9" borderId="108" applyNumberFormat="0" applyFont="0" applyAlignment="0" applyProtection="0"/>
    <xf numFmtId="0" fontId="32" fillId="14" borderId="88" applyNumberFormat="0" applyAlignment="0" applyProtection="0"/>
    <xf numFmtId="0" fontId="30" fillId="5" borderId="88" applyNumberFormat="0" applyAlignment="0" applyProtection="0"/>
    <xf numFmtId="0" fontId="38" fillId="27" borderId="0" applyNumberFormat="0" applyBorder="0" applyAlignment="0" applyProtection="0"/>
    <xf numFmtId="0" fontId="11" fillId="9" borderId="89" applyNumberFormat="0" applyFont="0" applyAlignment="0" applyProtection="0"/>
    <xf numFmtId="0" fontId="31" fillId="14" borderId="90" applyNumberFormat="0" applyAlignment="0" applyProtection="0"/>
    <xf numFmtId="0" fontId="37" fillId="0" borderId="91" applyNumberFormat="0" applyFill="0" applyAlignment="0" applyProtection="0"/>
    <xf numFmtId="4" fontId="20" fillId="72" borderId="94" applyNumberFormat="0" applyProtection="0">
      <alignment horizontal="right" vertical="center"/>
    </xf>
    <xf numFmtId="0" fontId="38" fillId="27" borderId="0" applyNumberFormat="0" applyBorder="0" applyAlignment="0" applyProtection="0"/>
    <xf numFmtId="0" fontId="38" fillId="24" borderId="0" applyNumberFormat="0" applyBorder="0" applyAlignment="0" applyProtection="0"/>
    <xf numFmtId="0" fontId="11" fillId="9" borderId="108" applyNumberFormat="0" applyFont="0" applyAlignment="0" applyProtection="0"/>
    <xf numFmtId="0" fontId="11" fillId="0" borderId="0"/>
    <xf numFmtId="0" fontId="38" fillId="27" borderId="0" applyNumberFormat="0" applyBorder="0" applyAlignment="0" applyProtection="0"/>
    <xf numFmtId="0" fontId="11" fillId="9" borderId="108" applyNumberFormat="0" applyFont="0" applyAlignment="0" applyProtection="0"/>
    <xf numFmtId="0" fontId="11" fillId="9" borderId="97" applyNumberFormat="0" applyFont="0" applyAlignment="0" applyProtection="0"/>
    <xf numFmtId="0" fontId="32" fillId="14" borderId="96" applyNumberFormat="0" applyAlignment="0" applyProtection="0"/>
    <xf numFmtId="0" fontId="11" fillId="9" borderId="97" applyNumberFormat="0" applyFont="0" applyAlignment="0" applyProtection="0"/>
    <xf numFmtId="0" fontId="66" fillId="0" borderId="105" applyNumberFormat="0" applyFill="0" applyAlignment="0" applyProtection="0"/>
    <xf numFmtId="0" fontId="11" fillId="9" borderId="97" applyNumberFormat="0" applyFont="0" applyAlignment="0" applyProtection="0"/>
    <xf numFmtId="0" fontId="30" fillId="5" borderId="96" applyNumberFormat="0" applyAlignment="0" applyProtection="0"/>
    <xf numFmtId="0" fontId="38" fillId="24" borderId="0" applyNumberFormat="0" applyBorder="0" applyAlignment="0" applyProtection="0"/>
    <xf numFmtId="0" fontId="11" fillId="9" borderId="97" applyNumberFormat="0" applyFont="0" applyAlignment="0" applyProtection="0"/>
    <xf numFmtId="0" fontId="31" fillId="14" borderId="98" applyNumberFormat="0" applyAlignment="0" applyProtection="0"/>
    <xf numFmtId="0" fontId="37" fillId="0" borderId="99" applyNumberFormat="0" applyFill="0" applyAlignment="0" applyProtection="0"/>
    <xf numFmtId="0" fontId="38" fillId="21" borderId="0" applyNumberFormat="0" applyBorder="0" applyAlignment="0" applyProtection="0"/>
    <xf numFmtId="9" fontId="11" fillId="0" borderId="0" applyFont="0" applyFill="0" applyBorder="0" applyAlignment="0" applyProtection="0"/>
    <xf numFmtId="0" fontId="11" fillId="0" borderId="0"/>
    <xf numFmtId="188" fontId="40" fillId="0" borderId="114"/>
    <xf numFmtId="232" fontId="50" fillId="0" borderId="115">
      <protection locked="0"/>
    </xf>
    <xf numFmtId="49" fontId="50" fillId="0" borderId="112">
      <alignment vertical="top"/>
      <protection locked="0"/>
    </xf>
    <xf numFmtId="49" fontId="50" fillId="0" borderId="115">
      <protection locked="0"/>
    </xf>
    <xf numFmtId="9" fontId="11" fillId="0" borderId="0" applyFont="0" applyFill="0" applyBorder="0" applyAlignment="0" applyProtection="0"/>
    <xf numFmtId="0" fontId="11" fillId="3" borderId="101" applyNumberFormat="0">
      <protection locked="0"/>
    </xf>
    <xf numFmtId="0" fontId="11" fillId="9" borderId="108" applyNumberFormat="0" applyFont="0" applyAlignment="0" applyProtection="0"/>
    <xf numFmtId="0" fontId="38" fillId="18" borderId="0" applyNumberFormat="0" applyBorder="0" applyAlignment="0" applyProtection="0"/>
    <xf numFmtId="0" fontId="38" fillId="27" borderId="0" applyNumberFormat="0" applyBorder="0" applyAlignment="0" applyProtection="0"/>
    <xf numFmtId="0" fontId="11" fillId="3" borderId="112" applyNumberFormat="0">
      <protection locked="0"/>
    </xf>
    <xf numFmtId="9" fontId="11" fillId="0" borderId="0" applyFont="0" applyFill="0" applyBorder="0" applyAlignment="0" applyProtection="0"/>
    <xf numFmtId="235" fontId="17" fillId="0" borderId="112"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9" fontId="11" fillId="0" borderId="0" applyFont="0" applyFill="0" applyBorder="0" applyAlignment="0" applyProtection="0"/>
    <xf numFmtId="0" fontId="38" fillId="21" borderId="0" applyNumberFormat="0" applyBorder="0" applyAlignment="0" applyProtection="0"/>
    <xf numFmtId="9" fontId="11" fillId="0" borderId="0" applyFont="0" applyFill="0" applyBorder="0" applyAlignment="0" applyProtection="0"/>
    <xf numFmtId="217" fontId="76" fillId="0" borderId="0">
      <protection locked="0"/>
    </xf>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6" fillId="0" borderId="117" applyNumberFormat="0" applyFill="0" applyAlignment="0" applyProtection="0"/>
    <xf numFmtId="0" fontId="32" fillId="14" borderId="107" applyNumberFormat="0" applyAlignment="0" applyProtection="0"/>
    <xf numFmtId="0" fontId="30" fillId="5" borderId="107" applyNumberFormat="0" applyAlignment="0" applyProtection="0"/>
    <xf numFmtId="4" fontId="11" fillId="0" borderId="112" applyNumberFormat="0" applyProtection="0">
      <alignment horizontal="right" vertical="center"/>
    </xf>
    <xf numFmtId="0" fontId="11" fillId="9" borderId="108" applyNumberFormat="0" applyFont="0" applyAlignment="0" applyProtection="0"/>
    <xf numFmtId="0" fontId="31" fillId="14" borderId="109" applyNumberFormat="0" applyAlignment="0" applyProtection="0"/>
    <xf numFmtId="0" fontId="37" fillId="0" borderId="110" applyNumberFormat="0" applyFill="0" applyAlignment="0" applyProtection="0"/>
    <xf numFmtId="0" fontId="11" fillId="0" borderId="0"/>
    <xf numFmtId="0" fontId="38" fillId="18" borderId="0" applyNumberFormat="0" applyBorder="0" applyAlignment="0" applyProtection="0"/>
    <xf numFmtId="0" fontId="38" fillId="21" borderId="0" applyNumberFormat="0" applyBorder="0" applyAlignment="0" applyProtection="0"/>
    <xf numFmtId="0" fontId="66" fillId="0" borderId="116" applyNumberFormat="0" applyFill="0" applyAlignment="0" applyProtection="0"/>
    <xf numFmtId="0" fontId="66" fillId="0" borderId="117" applyNumberFormat="0" applyFill="0" applyAlignment="0" applyProtection="0"/>
    <xf numFmtId="0" fontId="38" fillId="29" borderId="0" applyNumberFormat="0" applyBorder="0" applyAlignment="0" applyProtection="0"/>
    <xf numFmtId="0" fontId="66" fillId="0" borderId="11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0" fillId="5" borderId="137" applyNumberFormat="0" applyAlignment="0" applyProtection="0"/>
    <xf numFmtId="235" fontId="17" fillId="0" borderId="128" applyFont="0" applyFill="0" applyBorder="0" applyAlignment="0" applyProtection="0"/>
    <xf numFmtId="4" fontId="101" fillId="2" borderId="146" applyNumberFormat="0" applyProtection="0">
      <alignment vertical="center"/>
    </xf>
    <xf numFmtId="0" fontId="11" fillId="9" borderId="138" applyNumberFormat="0" applyFont="0" applyAlignment="0" applyProtection="0"/>
    <xf numFmtId="4" fontId="11" fillId="41" borderId="128" applyNumberFormat="0" applyProtection="0">
      <alignment vertical="center"/>
    </xf>
    <xf numFmtId="10" fontId="17" fillId="39" borderId="142" applyNumberFormat="0" applyBorder="0" applyAlignment="0" applyProtection="0"/>
    <xf numFmtId="0" fontId="73" fillId="9" borderId="146" applyNumberFormat="0" applyProtection="0">
      <alignment horizontal="left" vertical="top" indent="1"/>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4" fontId="73" fillId="44" borderId="142" applyNumberFormat="0" applyProtection="0">
      <alignment horizontal="right" vertical="center"/>
    </xf>
    <xf numFmtId="0" fontId="32" fillId="14" borderId="137" applyNumberFormat="0" applyAlignment="0" applyProtection="0"/>
    <xf numFmtId="0" fontId="11" fillId="69" borderId="146" applyNumberFormat="0" applyProtection="0">
      <alignment horizontal="left" vertical="center" indent="1"/>
    </xf>
    <xf numFmtId="0" fontId="11" fillId="69" borderId="146" applyNumberFormat="0" applyProtection="0">
      <alignment horizontal="left" vertical="top" indent="1"/>
    </xf>
    <xf numFmtId="232" fontId="50" fillId="0" borderId="145">
      <protection locked="0"/>
    </xf>
    <xf numFmtId="0" fontId="11" fillId="9" borderId="138" applyNumberFormat="0" applyFont="0" applyAlignment="0" applyProtection="0"/>
    <xf numFmtId="0" fontId="11" fillId="9" borderId="138" applyNumberFormat="0" applyFont="0" applyAlignment="0" applyProtection="0"/>
    <xf numFmtId="4" fontId="73" fillId="27" borderId="146" applyNumberFormat="0" applyProtection="0">
      <alignment horizontal="right" vertical="center"/>
    </xf>
    <xf numFmtId="4" fontId="11" fillId="41" borderId="142" applyNumberFormat="0" applyProtection="0">
      <alignment vertical="center"/>
    </xf>
    <xf numFmtId="4" fontId="11" fillId="0" borderId="142" applyNumberFormat="0" applyProtection="0">
      <alignment horizontal="right" vertical="center"/>
    </xf>
    <xf numFmtId="235" fontId="17" fillId="0" borderId="128" applyFont="0" applyFill="0" applyBorder="0" applyAlignment="0" applyProtection="0"/>
    <xf numFmtId="0" fontId="11" fillId="15" borderId="146" applyNumberFormat="0" applyProtection="0">
      <alignment horizontal="left" vertical="center" indent="1"/>
    </xf>
    <xf numFmtId="0" fontId="11" fillId="69" borderId="146" applyNumberFormat="0" applyProtection="0">
      <alignment horizontal="left" vertical="top" indent="1"/>
    </xf>
    <xf numFmtId="235" fontId="17" fillId="0" borderId="142" applyFont="0" applyFill="0" applyBorder="0" applyAlignment="0" applyProtection="0"/>
    <xf numFmtId="4" fontId="11" fillId="0" borderId="142" applyNumberFormat="0" applyProtection="0">
      <alignment horizontal="right" vertical="center"/>
    </xf>
    <xf numFmtId="234" fontId="50" fillId="0" borderId="145">
      <protection locked="0"/>
    </xf>
    <xf numFmtId="49" fontId="50" fillId="0" borderId="145">
      <protection locked="0"/>
    </xf>
    <xf numFmtId="0" fontId="73" fillId="9" borderId="146" applyNumberFormat="0" applyProtection="0">
      <alignment horizontal="left" vertical="top" indent="1"/>
    </xf>
    <xf numFmtId="4" fontId="73" fillId="44" borderId="142" applyNumberFormat="0" applyProtection="0">
      <alignment horizontal="right" vertical="center"/>
    </xf>
    <xf numFmtId="4" fontId="73" fillId="69" borderId="146" applyNumberFormat="0" applyProtection="0">
      <alignment horizontal="left" vertical="center" indent="1"/>
    </xf>
    <xf numFmtId="0" fontId="30" fillId="5" borderId="137" applyNumberFormat="0" applyAlignment="0" applyProtection="0"/>
    <xf numFmtId="0" fontId="62" fillId="0" borderId="135" applyNumberFormat="0" applyFill="0" applyAlignment="0" applyProtection="0"/>
    <xf numFmtId="0" fontId="37" fillId="0" borderId="134" applyNumberFormat="0" applyFill="0" applyAlignment="0" applyProtection="0"/>
    <xf numFmtId="0" fontId="132" fillId="3" borderId="107" applyNumberFormat="0" applyAlignment="0" applyProtection="0"/>
    <xf numFmtId="0" fontId="45" fillId="12" borderId="107" applyNumberFormat="0" applyAlignment="0" applyProtection="0"/>
    <xf numFmtId="194" fontId="11" fillId="0" borderId="0" applyFont="0" applyFill="0" applyBorder="0" applyAlignment="0" applyProtection="0"/>
    <xf numFmtId="41"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6" fontId="11" fillId="0" borderId="0" applyFont="0" applyFill="0" applyBorder="0" applyAlignment="0" applyProtection="0">
      <alignment wrapText="1"/>
    </xf>
    <xf numFmtId="196" fontId="11" fillId="0" borderId="0" applyFont="0" applyFill="0" applyBorder="0" applyAlignment="0" applyProtection="0">
      <alignment wrapText="1"/>
    </xf>
    <xf numFmtId="196" fontId="11" fillId="0" borderId="0" applyFont="0" applyFill="0" applyBorder="0" applyAlignment="0" applyProtection="0">
      <alignment wrapText="1"/>
    </xf>
    <xf numFmtId="198" fontId="11" fillId="0" borderId="0" applyFont="0" applyFill="0" applyBorder="0" applyAlignment="0" applyProtection="0"/>
    <xf numFmtId="0" fontId="62" fillId="12" borderId="125" applyNumberFormat="0" applyAlignment="0" applyProtection="0"/>
    <xf numFmtId="0" fontId="11" fillId="9" borderId="123" applyNumberFormat="0" applyFont="0" applyAlignment="0" applyProtection="0"/>
    <xf numFmtId="220" fontId="11" fillId="0" borderId="0">
      <protection locked="0"/>
    </xf>
    <xf numFmtId="0" fontId="73" fillId="9" borderId="124" applyNumberFormat="0" applyFon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199" fontId="50" fillId="0" borderId="112">
      <protection locked="0"/>
    </xf>
    <xf numFmtId="0" fontId="136" fillId="2"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30"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8" fillId="0" borderId="0"/>
    <xf numFmtId="0" fontId="8" fillId="0" borderId="0"/>
    <xf numFmtId="0" fontId="7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30"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58" fillId="5" borderId="123" applyNumberFormat="0" applyAlignment="0" applyProtection="0"/>
    <xf numFmtId="0" fontId="136" fillId="2"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11" fillId="0" borderId="0"/>
    <xf numFmtId="0" fontId="73" fillId="9" borderId="108" applyNumberFormat="0" applyFont="0" applyAlignment="0" applyProtection="0"/>
    <xf numFmtId="0" fontId="11" fillId="9" borderId="107" applyNumberFormat="0" applyFont="0" applyAlignment="0" applyProtection="0"/>
    <xf numFmtId="0" fontId="130" fillId="3" borderId="119" applyNumberFormat="0" applyAlignment="0" applyProtection="0"/>
    <xf numFmtId="0" fontId="62" fillId="12" borderId="10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5" fillId="12" borderId="123" applyNumberFormat="0" applyAlignment="0" applyProtection="0"/>
    <xf numFmtId="0" fontId="132" fillId="3" borderId="123" applyNumberFormat="0" applyAlignment="0" applyProtection="0"/>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5" fontId="11" fillId="0" borderId="0" applyFill="0" applyBorder="0" applyAlignment="0" applyProtection="0">
      <alignment wrapText="1"/>
    </xf>
    <xf numFmtId="205" fontId="11" fillId="0" borderId="0" applyFill="0" applyBorder="0" applyAlignment="0" applyProtection="0">
      <alignment wrapText="1"/>
    </xf>
    <xf numFmtId="205" fontId="11"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37" fillId="0" borderId="120" applyNumberFormat="0" applyFill="0" applyAlignment="0" applyProtection="0"/>
    <xf numFmtId="0" fontId="62" fillId="0" borderId="121" applyNumberFormat="0" applyFill="0" applyAlignment="0" applyProtection="0"/>
    <xf numFmtId="0" fontId="11" fillId="16" borderId="0" applyNumberFormat="0" applyBorder="0" applyAlignment="0" applyProtection="0"/>
    <xf numFmtId="206" fontId="11" fillId="0" borderId="0" applyFont="0" applyFill="0" applyBorder="0" applyAlignment="0" applyProtection="0"/>
    <xf numFmtId="0" fontId="58" fillId="5" borderId="123" applyNumberFormat="0" applyAlignment="0" applyProtection="0"/>
    <xf numFmtId="0" fontId="30" fillId="5" borderId="123" applyNumberFormat="0" applyAlignment="0" applyProtection="0"/>
    <xf numFmtId="4" fontId="73" fillId="69" borderId="132" applyNumberFormat="0" applyProtection="0">
      <alignment horizontal="left" vertical="center" indent="1"/>
    </xf>
    <xf numFmtId="0" fontId="11" fillId="15" borderId="132" applyNumberFormat="0" applyProtection="0">
      <alignment horizontal="left" vertical="top" indent="1"/>
    </xf>
    <xf numFmtId="4" fontId="73" fillId="44" borderId="128" applyNumberFormat="0" applyProtection="0">
      <alignment horizontal="right" vertical="center"/>
    </xf>
    <xf numFmtId="0" fontId="66" fillId="0" borderId="118" applyNumberFormat="0" applyFill="0" applyAlignment="0" applyProtection="0"/>
    <xf numFmtId="0" fontId="129" fillId="72"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73" fillId="69" borderId="132" applyNumberFormat="0" applyProtection="0">
      <alignment horizontal="right" vertical="center"/>
    </xf>
    <xf numFmtId="4" fontId="73" fillId="44" borderId="128" applyNumberFormat="0" applyProtection="0">
      <alignment horizontal="right" vertical="center"/>
    </xf>
    <xf numFmtId="4" fontId="152" fillId="9" borderId="132" applyNumberFormat="0" applyProtection="0">
      <alignment vertical="center"/>
    </xf>
    <xf numFmtId="4" fontId="73" fillId="23" borderId="132" applyNumberFormat="0" applyProtection="0">
      <alignment horizontal="right" vertical="center"/>
    </xf>
    <xf numFmtId="0" fontId="11" fillId="22" borderId="132" applyNumberFormat="0" applyProtection="0">
      <alignment horizontal="left" vertical="center" indent="1"/>
    </xf>
    <xf numFmtId="0" fontId="66" fillId="0" borderId="118" applyNumberFormat="0" applyFill="0" applyAlignment="0" applyProtection="0"/>
    <xf numFmtId="0" fontId="73" fillId="69" borderId="132" applyNumberFormat="0" applyProtection="0">
      <alignment horizontal="left" vertical="top" indent="1"/>
    </xf>
    <xf numFmtId="0" fontId="11" fillId="22" borderId="132" applyNumberFormat="0" applyProtection="0">
      <alignment horizontal="left" vertical="center" indent="1"/>
    </xf>
    <xf numFmtId="0" fontId="73" fillId="9" borderId="132" applyNumberFormat="0" applyProtection="0">
      <alignment horizontal="left" vertical="top" indent="1"/>
    </xf>
    <xf numFmtId="49" fontId="50" fillId="0" borderId="131">
      <protection locked="0"/>
    </xf>
    <xf numFmtId="234" fontId="50" fillId="0" borderId="131">
      <protection locked="0"/>
    </xf>
    <xf numFmtId="232" fontId="50" fillId="0" borderId="131">
      <protection locked="0"/>
    </xf>
    <xf numFmtId="4" fontId="11" fillId="41" borderId="128" applyNumberFormat="0" applyProtection="0">
      <alignment vertical="center"/>
    </xf>
    <xf numFmtId="0" fontId="66" fillId="0" borderId="118" applyNumberFormat="0" applyFill="0" applyAlignment="0" applyProtection="0"/>
    <xf numFmtId="0" fontId="30" fillId="5" borderId="137" applyNumberFormat="0" applyAlignment="0" applyProtection="0"/>
    <xf numFmtId="0" fontId="30" fillId="5" borderId="107" applyNumberFormat="0" applyAlignment="0" applyProtection="0"/>
    <xf numFmtId="10" fontId="17" fillId="39" borderId="112" applyNumberFormat="0" applyBorder="0" applyAlignment="0" applyProtection="0"/>
    <xf numFmtId="0" fontId="73" fillId="69" borderId="146" applyNumberFormat="0" applyProtection="0">
      <alignment horizontal="left" vertical="top" indent="1"/>
    </xf>
    <xf numFmtId="4" fontId="11" fillId="0" borderId="128" applyNumberFormat="0" applyProtection="0">
      <alignment horizontal="right" vertical="center"/>
    </xf>
    <xf numFmtId="188" fontId="40" fillId="0" borderId="130"/>
    <xf numFmtId="0" fontId="30" fillId="5" borderId="123" applyNumberFormat="0" applyAlignment="0" applyProtection="0"/>
    <xf numFmtId="0" fontId="66" fillId="0" borderId="118" applyNumberFormat="0" applyFill="0" applyAlignment="0" applyProtection="0"/>
    <xf numFmtId="4" fontId="20" fillId="72" borderId="132" applyNumberFormat="0" applyProtection="0">
      <alignment horizontal="right" vertical="center"/>
    </xf>
    <xf numFmtId="4" fontId="11" fillId="41" borderId="112" applyNumberFormat="0" applyProtection="0">
      <alignment vertical="center"/>
    </xf>
    <xf numFmtId="4" fontId="11" fillId="0" borderId="112" applyNumberFormat="0" applyProtection="0">
      <alignment horizontal="right" vertical="center"/>
    </xf>
    <xf numFmtId="10" fontId="17" fillId="39" borderId="128" applyNumberFormat="0" applyBorder="0" applyAlignment="0" applyProtection="0"/>
    <xf numFmtId="0" fontId="30" fillId="5" borderId="123" applyNumberFormat="0" applyAlignment="0" applyProtection="0"/>
    <xf numFmtId="49" fontId="50" fillId="0" borderId="128">
      <alignment vertical="top"/>
      <protection locked="0"/>
    </xf>
    <xf numFmtId="235" fontId="17" fillId="0" borderId="128" applyFont="0" applyFill="0" applyBorder="0" applyAlignment="0" applyProtection="0"/>
    <xf numFmtId="0" fontId="11" fillId="69" borderId="132" applyNumberFormat="0" applyProtection="0">
      <alignment horizontal="left" vertical="top" indent="1"/>
    </xf>
    <xf numFmtId="4" fontId="74" fillId="0" borderId="122" applyFont="0" applyFill="0" applyBorder="0" applyAlignment="0">
      <alignment horizontal="center" vertical="center"/>
    </xf>
    <xf numFmtId="4" fontId="74" fillId="0" borderId="122" applyFont="0" applyFill="0" applyBorder="0" applyAlignment="0">
      <alignment horizontal="center" vertical="center"/>
    </xf>
    <xf numFmtId="0" fontId="11" fillId="9" borderId="124" applyNumberFormat="0" applyFont="0" applyAlignment="0" applyProtection="0"/>
    <xf numFmtId="4" fontId="152" fillId="9" borderId="146" applyNumberFormat="0" applyProtection="0">
      <alignment vertical="center"/>
    </xf>
    <xf numFmtId="4" fontId="150" fillId="2" borderId="132" applyNumberFormat="0" applyProtection="0">
      <alignment vertical="center"/>
    </xf>
    <xf numFmtId="0" fontId="11" fillId="15" borderId="132" applyNumberFormat="0" applyProtection="0">
      <alignment horizontal="left" vertical="center" indent="1"/>
    </xf>
    <xf numFmtId="0" fontId="11" fillId="15" borderId="132" applyNumberFormat="0" applyProtection="0">
      <alignment horizontal="left" vertical="center" indent="1"/>
    </xf>
    <xf numFmtId="235" fontId="17" fillId="0" borderId="112" applyFont="0" applyFill="0" applyBorder="0" applyAlignment="0" applyProtection="0"/>
    <xf numFmtId="0" fontId="11" fillId="72" borderId="146" applyNumberFormat="0" applyProtection="0">
      <alignment horizontal="left" vertical="top" indent="1"/>
    </xf>
    <xf numFmtId="4" fontId="11" fillId="0" borderId="128" applyNumberFormat="0" applyProtection="0">
      <alignment horizontal="right" vertical="center"/>
    </xf>
    <xf numFmtId="4" fontId="11" fillId="41" borderId="128" applyNumberFormat="0" applyProtection="0">
      <alignment vertical="center"/>
    </xf>
    <xf numFmtId="4" fontId="11" fillId="0" borderId="128" applyNumberFormat="0" applyProtection="0">
      <alignment horizontal="right" vertical="center"/>
    </xf>
    <xf numFmtId="0" fontId="66" fillId="0" borderId="118" applyNumberFormat="0" applyFill="0" applyAlignment="0" applyProtection="0"/>
    <xf numFmtId="0" fontId="66" fillId="0" borderId="118" applyNumberFormat="0" applyFill="0" applyAlignment="0" applyProtection="0"/>
    <xf numFmtId="4" fontId="73" fillId="27" borderId="132" applyNumberFormat="0" applyProtection="0">
      <alignment horizontal="right" vertical="center"/>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0" fontId="66" fillId="0" borderId="118" applyNumberFormat="0" applyFill="0" applyAlignment="0" applyProtection="0"/>
    <xf numFmtId="232" fontId="50" fillId="0" borderId="131">
      <protection locked="0"/>
    </xf>
    <xf numFmtId="0" fontId="11" fillId="69" borderId="132" applyNumberFormat="0" applyProtection="0">
      <alignment horizontal="left" vertical="top" indent="1"/>
    </xf>
    <xf numFmtId="0" fontId="11" fillId="69" borderId="132" applyNumberFormat="0" applyProtection="0">
      <alignment horizontal="left" vertical="center" indent="1"/>
    </xf>
    <xf numFmtId="0" fontId="66" fillId="0" borderId="118" applyNumberFormat="0" applyFill="0" applyAlignment="0" applyProtection="0"/>
    <xf numFmtId="0" fontId="130" fillId="3" borderId="133" applyNumberFormat="0" applyAlignment="0" applyProtection="0"/>
    <xf numFmtId="10" fontId="17" fillId="39" borderId="112" applyNumberFormat="0" applyBorder="0" applyAlignment="0" applyProtection="0"/>
    <xf numFmtId="0" fontId="32" fillId="14" borderId="123" applyNumberFormat="0" applyAlignment="0" applyProtection="0"/>
    <xf numFmtId="4" fontId="73" fillId="44" borderId="128" applyNumberFormat="0" applyProtection="0">
      <alignment horizontal="right" vertical="center"/>
    </xf>
    <xf numFmtId="4" fontId="11" fillId="41" borderId="128" applyNumberFormat="0" applyProtection="0">
      <alignment vertical="center"/>
    </xf>
    <xf numFmtId="4" fontId="99" fillId="0" borderId="129" applyBorder="0">
      <alignment horizontal="right" wrapText="1"/>
    </xf>
    <xf numFmtId="0" fontId="11" fillId="9" borderId="108" applyNumberFormat="0" applyFont="0" applyAlignment="0" applyProtection="0"/>
    <xf numFmtId="0" fontId="11" fillId="9" borderId="108" applyNumberFormat="0" applyFont="0" applyAlignment="0" applyProtection="0"/>
    <xf numFmtId="0" fontId="66" fillId="0" borderId="118" applyNumberFormat="0" applyFill="0" applyAlignment="0" applyProtection="0"/>
    <xf numFmtId="0" fontId="73" fillId="9" borderId="132" applyNumberFormat="0" applyProtection="0">
      <alignment horizontal="left" vertical="top" indent="1"/>
    </xf>
    <xf numFmtId="10" fontId="17" fillId="39" borderId="128" applyNumberFormat="0" applyBorder="0" applyAlignment="0" applyProtection="0"/>
    <xf numFmtId="4" fontId="11" fillId="41" borderId="112" applyNumberFormat="0" applyProtection="0">
      <alignment vertical="center"/>
    </xf>
    <xf numFmtId="4" fontId="11" fillId="0" borderId="112" applyNumberFormat="0" applyProtection="0">
      <alignment horizontal="right" vertical="center"/>
    </xf>
    <xf numFmtId="0" fontId="66" fillId="0" borderId="118" applyNumberFormat="0" applyFill="0" applyAlignment="0" applyProtection="0"/>
    <xf numFmtId="0" fontId="11" fillId="72" borderId="132" applyNumberFormat="0" applyProtection="0">
      <alignment horizontal="left" vertical="top" indent="1"/>
    </xf>
    <xf numFmtId="0" fontId="11" fillId="9" borderId="124" applyNumberFormat="0" applyFont="0" applyAlignment="0" applyProtection="0"/>
    <xf numFmtId="4" fontId="101" fillId="2" borderId="132" applyNumberFormat="0" applyProtection="0">
      <alignment vertical="center"/>
    </xf>
    <xf numFmtId="0" fontId="11" fillId="72" borderId="132" applyNumberFormat="0" applyProtection="0">
      <alignment horizontal="left" vertical="top" indent="1"/>
    </xf>
    <xf numFmtId="0" fontId="66" fillId="0" borderId="118" applyNumberFormat="0" applyFill="0" applyAlignment="0" applyProtection="0"/>
    <xf numFmtId="4" fontId="73" fillId="69" borderId="146" applyNumberFormat="0" applyProtection="0">
      <alignment horizontal="right" vertical="center"/>
    </xf>
    <xf numFmtId="0" fontId="11" fillId="22" borderId="146" applyNumberFormat="0" applyProtection="0">
      <alignment horizontal="left" vertical="center" indent="1"/>
    </xf>
    <xf numFmtId="235" fontId="17" fillId="0" borderId="112" applyFont="0" applyFill="0" applyBorder="0" applyAlignment="0" applyProtection="0"/>
    <xf numFmtId="0" fontId="30" fillId="5" borderId="123" applyNumberFormat="0" applyAlignment="0" applyProtection="0"/>
    <xf numFmtId="0" fontId="11" fillId="72" borderId="146" applyNumberFormat="0" applyProtection="0">
      <alignment horizontal="left" vertical="top" indent="1"/>
    </xf>
    <xf numFmtId="4" fontId="99" fillId="0" borderId="143" applyBorder="0">
      <alignment horizontal="right" wrapText="1"/>
    </xf>
    <xf numFmtId="0" fontId="66" fillId="0" borderId="118" applyNumberFormat="0" applyFill="0" applyAlignment="0" applyProtection="0"/>
    <xf numFmtId="10" fontId="17" fillId="39" borderId="128" applyNumberFormat="0" applyBorder="0" applyAlignment="0" applyProtection="0"/>
    <xf numFmtId="235" fontId="17" fillId="0" borderId="128" applyFont="0" applyFill="0" applyBorder="0" applyAlignment="0" applyProtection="0"/>
    <xf numFmtId="1" fontId="84" fillId="37" borderId="127" applyNumberFormat="0" applyBorder="0" applyAlignment="0">
      <alignment horizontal="centerContinuous" vertical="center"/>
      <protection locked="0"/>
    </xf>
    <xf numFmtId="0" fontId="11" fillId="72" borderId="132" applyNumberFormat="0" applyProtection="0">
      <alignment horizontal="left" vertical="center" indent="1"/>
    </xf>
    <xf numFmtId="0" fontId="129" fillId="72" borderId="132" applyNumberFormat="0" applyProtection="0">
      <alignment horizontal="left" vertical="center" indent="1"/>
    </xf>
    <xf numFmtId="49" fontId="50" fillId="0" borderId="131">
      <protection locked="0"/>
    </xf>
    <xf numFmtId="49" fontId="50" fillId="0" borderId="142">
      <alignment vertical="top"/>
      <protection locked="0"/>
    </xf>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0" fontId="30" fillId="5" borderId="123" applyNumberFormat="0" applyAlignment="0" applyProtection="0"/>
    <xf numFmtId="9" fontId="8" fillId="0" borderId="0" applyFont="0" applyFill="0" applyBorder="0" applyAlignment="0" applyProtection="0"/>
    <xf numFmtId="0" fontId="11" fillId="15" borderId="146" applyNumberFormat="0" applyProtection="0">
      <alignment horizontal="left" vertical="center" indent="1"/>
    </xf>
    <xf numFmtId="4" fontId="150" fillId="2" borderId="146" applyNumberFormat="0" applyProtection="0">
      <alignment vertical="center"/>
    </xf>
    <xf numFmtId="4" fontId="11" fillId="41" borderId="128" applyNumberFormat="0" applyProtection="0">
      <alignment vertical="center"/>
    </xf>
    <xf numFmtId="4" fontId="20" fillId="72" borderId="146" applyNumberFormat="0" applyProtection="0">
      <alignment horizontal="right" vertical="center"/>
    </xf>
    <xf numFmtId="10" fontId="17" fillId="39" borderId="142" applyNumberFormat="0" applyBorder="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199" fontId="50" fillId="0" borderId="128">
      <protection locked="0"/>
    </xf>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32" fontId="50" fillId="0" borderId="145">
      <protection locked="0"/>
    </xf>
    <xf numFmtId="0" fontId="30" fillId="5" borderId="123" applyNumberFormat="0" applyAlignment="0" applyProtection="0"/>
    <xf numFmtId="0" fontId="32" fillId="14" borderId="123" applyNumberFormat="0" applyAlignment="0" applyProtection="0"/>
    <xf numFmtId="49" fontId="50" fillId="0" borderId="128">
      <alignment vertical="top"/>
      <protection locked="0"/>
    </xf>
    <xf numFmtId="188" fontId="40" fillId="0" borderId="13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30" fillId="5" borderId="123" applyNumberFormat="0" applyAlignment="0" applyProtection="0"/>
    <xf numFmtId="0" fontId="30" fillId="5" borderId="123" applyNumberFormat="0" applyAlignment="0" applyProtection="0"/>
    <xf numFmtId="4" fontId="150" fillId="2" borderId="132" applyNumberFormat="0" applyProtection="0">
      <alignment vertical="center"/>
    </xf>
    <xf numFmtId="4" fontId="73" fillId="23" borderId="146" applyNumberFormat="0" applyProtection="0">
      <alignment horizontal="right" vertical="center"/>
    </xf>
    <xf numFmtId="4" fontId="73" fillId="69" borderId="132" applyNumberFormat="0" applyProtection="0">
      <alignment horizontal="left" vertical="center" indent="1"/>
    </xf>
    <xf numFmtId="4" fontId="73" fillId="29" borderId="132" applyNumberFormat="0" applyProtection="0">
      <alignment horizontal="right" vertical="center"/>
    </xf>
    <xf numFmtId="235" fontId="17" fillId="0" borderId="128" applyFont="0" applyFill="0" applyBorder="0" applyAlignment="0" applyProtection="0"/>
    <xf numFmtId="4" fontId="20" fillId="72" borderId="132" applyNumberFormat="0" applyProtection="0">
      <alignment horizontal="right" vertical="center"/>
    </xf>
    <xf numFmtId="4" fontId="73" fillId="7" borderId="132" applyNumberFormat="0" applyProtection="0">
      <alignment horizontal="right" vertical="center"/>
    </xf>
    <xf numFmtId="0" fontId="11" fillId="72" borderId="132" applyNumberFormat="0" applyProtection="0">
      <alignment horizontal="left" vertical="center" indent="1"/>
    </xf>
    <xf numFmtId="0" fontId="30" fillId="5" borderId="123" applyNumberFormat="0" applyAlignment="0" applyProtection="0"/>
    <xf numFmtId="4" fontId="73" fillId="16" borderId="132" applyNumberFormat="0" applyProtection="0">
      <alignment horizontal="right" vertical="center"/>
    </xf>
    <xf numFmtId="0" fontId="11" fillId="15" borderId="132" applyNumberFormat="0" applyProtection="0">
      <alignment horizontal="left" vertical="center" indent="1"/>
    </xf>
    <xf numFmtId="1" fontId="84" fillId="37" borderId="127" applyNumberFormat="0" applyBorder="0" applyAlignment="0">
      <alignment horizontal="centerContinuous" vertical="center"/>
      <protection locked="0"/>
    </xf>
    <xf numFmtId="0" fontId="66" fillId="0" borderId="118" applyNumberFormat="0" applyFill="0" applyAlignment="0" applyProtection="0"/>
    <xf numFmtId="0" fontId="11" fillId="69" borderId="132" applyNumberFormat="0" applyProtection="0">
      <alignment horizontal="left" vertical="center" indent="1"/>
    </xf>
    <xf numFmtId="0" fontId="66" fillId="0" borderId="118" applyNumberFormat="0" applyFill="0" applyAlignment="0" applyProtection="0"/>
    <xf numFmtId="0" fontId="11" fillId="9" borderId="124" applyNumberFormat="0" applyFont="0" applyAlignment="0" applyProtection="0"/>
    <xf numFmtId="0" fontId="11" fillId="22" borderId="146" applyNumberFormat="0" applyProtection="0">
      <alignment horizontal="left" vertical="center" indent="1"/>
    </xf>
    <xf numFmtId="4" fontId="73" fillId="9" borderId="132" applyNumberFormat="0" applyProtection="0">
      <alignment vertical="center"/>
    </xf>
    <xf numFmtId="4" fontId="101" fillId="2" borderId="132" applyNumberFormat="0" applyProtection="0">
      <alignment vertical="center"/>
    </xf>
    <xf numFmtId="0" fontId="66" fillId="0" borderId="118" applyNumberFormat="0" applyFill="0" applyAlignment="0" applyProtection="0"/>
    <xf numFmtId="0" fontId="66" fillId="0" borderId="118" applyNumberFormat="0" applyFill="0" applyAlignment="0" applyProtection="0"/>
    <xf numFmtId="4" fontId="73" fillId="16" borderId="132" applyNumberFormat="0" applyProtection="0">
      <alignment horizontal="right" vertical="center"/>
    </xf>
    <xf numFmtId="0" fontId="11" fillId="9" borderId="124" applyNumberFormat="0" applyFont="0" applyAlignment="0" applyProtection="0"/>
    <xf numFmtId="188" fontId="40" fillId="0" borderId="144"/>
    <xf numFmtId="4" fontId="73" fillId="69" borderId="132" applyNumberFormat="0" applyProtection="0">
      <alignment horizontal="right" vertical="center"/>
    </xf>
    <xf numFmtId="0" fontId="66" fillId="0" borderId="118" applyNumberFormat="0" applyFill="0" applyAlignment="0" applyProtection="0"/>
    <xf numFmtId="4" fontId="73" fillId="8" borderId="132" applyNumberFormat="0" applyProtection="0">
      <alignment horizontal="right" vertical="center"/>
    </xf>
    <xf numFmtId="0" fontId="66" fillId="0" borderId="118" applyNumberFormat="0" applyFill="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30" fillId="5" borderId="123" applyNumberFormat="0" applyAlignment="0" applyProtection="0"/>
    <xf numFmtId="10" fontId="17" fillId="39" borderId="128" applyNumberFormat="0" applyBorder="0" applyAlignment="0" applyProtection="0"/>
    <xf numFmtId="0" fontId="66" fillId="0" borderId="118" applyNumberFormat="0" applyFill="0" applyAlignment="0" applyProtection="0"/>
    <xf numFmtId="0" fontId="11" fillId="9" borderId="124" applyNumberFormat="0" applyFont="0" applyAlignment="0" applyProtection="0"/>
    <xf numFmtId="0" fontId="66" fillId="0" borderId="118" applyNumberFormat="0" applyFill="0" applyAlignment="0" applyProtection="0"/>
    <xf numFmtId="0" fontId="11" fillId="15" borderId="132" applyNumberFormat="0" applyProtection="0">
      <alignment horizontal="left" vertical="top" indent="1"/>
    </xf>
    <xf numFmtId="4" fontId="73" fillId="17" borderId="132" applyNumberFormat="0" applyProtection="0">
      <alignment horizontal="right" vertical="center"/>
    </xf>
    <xf numFmtId="4" fontId="73" fillId="29" borderId="132" applyNumberFormat="0" applyProtection="0">
      <alignment horizontal="right" vertical="center"/>
    </xf>
    <xf numFmtId="4" fontId="73" fillId="70" borderId="132" applyNumberFormat="0" applyProtection="0">
      <alignment horizontal="right" vertical="center"/>
    </xf>
    <xf numFmtId="0" fontId="30" fillId="5" borderId="123" applyNumberFormat="0" applyAlignment="0" applyProtection="0"/>
    <xf numFmtId="0" fontId="30" fillId="5" borderId="123" applyNumberFormat="0" applyAlignment="0" applyProtection="0"/>
    <xf numFmtId="235" fontId="17" fillId="0" borderId="128" applyFont="0" applyFill="0" applyBorder="0" applyAlignment="0" applyProtection="0"/>
    <xf numFmtId="4" fontId="73" fillId="72" borderId="132" applyNumberFormat="0" applyProtection="0">
      <alignment horizontal="right" vertical="center"/>
    </xf>
    <xf numFmtId="0" fontId="11" fillId="72" borderId="132" applyNumberFormat="0" applyProtection="0">
      <alignment horizontal="left" vertical="center" indent="1"/>
    </xf>
    <xf numFmtId="4" fontId="73" fillId="7" borderId="132" applyNumberFormat="0" applyProtection="0">
      <alignment horizontal="right" vertical="center"/>
    </xf>
    <xf numFmtId="4" fontId="73" fillId="44" borderId="128" applyNumberFormat="0" applyProtection="0">
      <alignment horizontal="right" vertical="center"/>
    </xf>
    <xf numFmtId="0" fontId="11" fillId="22" borderId="132" applyNumberFormat="0" applyProtection="0">
      <alignment horizontal="left" vertical="top" indent="1"/>
    </xf>
    <xf numFmtId="4" fontId="152" fillId="72" borderId="132" applyNumberFormat="0" applyProtection="0">
      <alignment horizontal="right" vertical="center"/>
    </xf>
    <xf numFmtId="0" fontId="11" fillId="9" borderId="124" applyNumberFormat="0" applyFont="0" applyAlignment="0" applyProtection="0"/>
    <xf numFmtId="4" fontId="73" fillId="44" borderId="142" applyNumberFormat="0" applyProtection="0">
      <alignment horizontal="right" vertical="center"/>
    </xf>
    <xf numFmtId="0" fontId="11" fillId="72" borderId="132" applyNumberFormat="0" applyProtection="0">
      <alignment horizontal="left" vertical="center" indent="1"/>
    </xf>
    <xf numFmtId="0" fontId="66" fillId="0" borderId="118" applyNumberFormat="0" applyFill="0" applyAlignment="0" applyProtection="0"/>
    <xf numFmtId="0" fontId="30" fillId="5" borderId="123" applyNumberFormat="0" applyAlignment="0" applyProtection="0"/>
    <xf numFmtId="0" fontId="11" fillId="72" borderId="132" applyNumberFormat="0" applyProtection="0">
      <alignment horizontal="left" vertical="center" indent="1"/>
    </xf>
    <xf numFmtId="4" fontId="152" fillId="72" borderId="132" applyNumberFormat="0" applyProtection="0">
      <alignment horizontal="right" vertical="center"/>
    </xf>
    <xf numFmtId="0" fontId="11" fillId="9" borderId="124" applyNumberFormat="0" applyFont="0" applyAlignment="0" applyProtection="0"/>
    <xf numFmtId="4" fontId="11" fillId="41" borderId="128" applyNumberFormat="0" applyProtection="0">
      <alignment vertical="center"/>
    </xf>
    <xf numFmtId="0" fontId="66" fillId="0" borderId="118" applyNumberFormat="0" applyFill="0" applyAlignment="0" applyProtection="0"/>
    <xf numFmtId="0" fontId="73" fillId="69" borderId="132" applyNumberFormat="0" applyProtection="0">
      <alignment horizontal="left" vertical="top" indent="1"/>
    </xf>
    <xf numFmtId="4" fontId="73" fillId="23" borderId="132" applyNumberFormat="0" applyProtection="0">
      <alignment horizontal="right" vertical="center"/>
    </xf>
    <xf numFmtId="0" fontId="66" fillId="0" borderId="118" applyNumberFormat="0" applyFill="0" applyAlignment="0" applyProtection="0"/>
    <xf numFmtId="0" fontId="11" fillId="3" borderId="128" applyNumberFormat="0">
      <protection locked="0"/>
    </xf>
    <xf numFmtId="4" fontId="73" fillId="25" borderId="132" applyNumberFormat="0" applyProtection="0">
      <alignment horizontal="right" vertical="center"/>
    </xf>
    <xf numFmtId="0" fontId="30" fillId="5" borderId="123" applyNumberFormat="0" applyAlignment="0" applyProtection="0"/>
    <xf numFmtId="4" fontId="11" fillId="0" borderId="128" applyNumberFormat="0" applyProtection="0">
      <alignment horizontal="right" vertical="center"/>
    </xf>
    <xf numFmtId="0" fontId="11" fillId="15" borderId="132" applyNumberFormat="0" applyProtection="0">
      <alignment horizontal="left" vertical="center" indent="1"/>
    </xf>
    <xf numFmtId="4" fontId="73" fillId="72" borderId="132" applyNumberFormat="0" applyProtection="0">
      <alignment horizontal="right" vertical="center"/>
    </xf>
    <xf numFmtId="0" fontId="66" fillId="0" borderId="118" applyNumberFormat="0" applyFill="0" applyAlignment="0" applyProtection="0"/>
    <xf numFmtId="0" fontId="129" fillId="72" borderId="146" applyNumberFormat="0" applyProtection="0">
      <alignment horizontal="left" vertical="center" indent="1"/>
    </xf>
    <xf numFmtId="4" fontId="101" fillId="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0" fontId="11" fillId="22" borderId="132" applyNumberFormat="0" applyProtection="0">
      <alignment horizontal="left" vertical="top" indent="1"/>
    </xf>
    <xf numFmtId="4" fontId="73" fillId="25" borderId="132" applyNumberFormat="0" applyProtection="0">
      <alignment horizontal="right" vertical="center"/>
    </xf>
    <xf numFmtId="4" fontId="73" fillId="9" borderId="132" applyNumberFormat="0" applyProtection="0">
      <alignment horizontal="left" vertical="center" indent="1"/>
    </xf>
    <xf numFmtId="0" fontId="11" fillId="69"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101" fillId="2" borderId="132" applyNumberFormat="0" applyProtection="0">
      <alignment horizontal="left" vertical="center" indent="1"/>
    </xf>
    <xf numFmtId="0" fontId="11" fillId="15" borderId="146" applyNumberFormat="0" applyProtection="0">
      <alignment horizontal="left" vertical="top" indent="1"/>
    </xf>
    <xf numFmtId="0" fontId="11" fillId="9" borderId="124" applyNumberFormat="0" applyFont="0" applyAlignment="0" applyProtection="0"/>
    <xf numFmtId="0" fontId="11" fillId="22" borderId="132" applyNumberFormat="0" applyProtection="0">
      <alignment horizontal="left" vertical="center" indent="1"/>
    </xf>
    <xf numFmtId="234" fontId="50" fillId="0" borderId="131">
      <protection locked="0"/>
    </xf>
    <xf numFmtId="4" fontId="73" fillId="70" borderId="132" applyNumberFormat="0" applyProtection="0">
      <alignment horizontal="right" vertical="center"/>
    </xf>
    <xf numFmtId="10" fontId="17" fillId="39" borderId="142" applyNumberFormat="0" applyBorder="0" applyAlignment="0" applyProtection="0"/>
    <xf numFmtId="0" fontId="11" fillId="9" borderId="124" applyNumberFormat="0" applyFont="0" applyAlignment="0" applyProtection="0"/>
    <xf numFmtId="0" fontId="101" fillId="2" borderId="132" applyNumberFormat="0" applyProtection="0">
      <alignment horizontal="left" vertical="top" indent="1"/>
    </xf>
    <xf numFmtId="0" fontId="66" fillId="0" borderId="118" applyNumberFormat="0" applyFill="0" applyAlignment="0" applyProtection="0"/>
    <xf numFmtId="4" fontId="73" fillId="9" borderId="132" applyNumberFormat="0" applyProtection="0">
      <alignment vertical="center"/>
    </xf>
    <xf numFmtId="0" fontId="66" fillId="0" borderId="118" applyNumberFormat="0" applyFill="0" applyAlignment="0" applyProtection="0"/>
    <xf numFmtId="4" fontId="11" fillId="0" borderId="128" applyNumberFormat="0" applyProtection="0">
      <alignment horizontal="right" vertical="center"/>
    </xf>
    <xf numFmtId="0" fontId="30" fillId="5" borderId="137" applyNumberFormat="0" applyAlignment="0" applyProtection="0"/>
    <xf numFmtId="4" fontId="73" fillId="8" borderId="132" applyNumberFormat="0" applyProtection="0">
      <alignment horizontal="right" vertical="center"/>
    </xf>
    <xf numFmtId="4" fontId="73" fillId="27" borderId="132" applyNumberFormat="0" applyProtection="0">
      <alignment horizontal="right" vertical="center"/>
    </xf>
    <xf numFmtId="0" fontId="11" fillId="9" borderId="124" applyNumberFormat="0" applyFont="0" applyAlignment="0" applyProtection="0"/>
    <xf numFmtId="4" fontId="73" fillId="9" borderId="132" applyNumberFormat="0" applyProtection="0">
      <alignment horizontal="left" vertical="center" indent="1"/>
    </xf>
    <xf numFmtId="0" fontId="66" fillId="0" borderId="118" applyNumberFormat="0" applyFill="0" applyAlignment="0" applyProtection="0"/>
    <xf numFmtId="4" fontId="99" fillId="0" borderId="129" applyBorder="0">
      <alignment horizontal="right" wrapText="1"/>
    </xf>
    <xf numFmtId="4" fontId="152" fillId="9" borderId="132" applyNumberFormat="0" applyProtection="0">
      <alignment vertical="center"/>
    </xf>
    <xf numFmtId="0" fontId="11" fillId="9" borderId="138" applyNumberFormat="0" applyFont="0" applyAlignment="0" applyProtection="0"/>
    <xf numFmtId="4" fontId="74" fillId="0" borderId="136" applyFont="0" applyFill="0" applyBorder="0" applyAlignment="0">
      <alignment horizontal="center" vertical="center"/>
    </xf>
    <xf numFmtId="0" fontId="11" fillId="22" borderId="132" applyNumberFormat="0" applyProtection="0">
      <alignment horizontal="left" vertical="center" indent="1"/>
    </xf>
    <xf numFmtId="0" fontId="30" fillId="5" borderId="123" applyNumberFormat="0" applyAlignment="0" applyProtection="0"/>
    <xf numFmtId="4" fontId="73" fillId="17" borderId="132" applyNumberFormat="0" applyProtection="0">
      <alignment horizontal="right" vertical="center"/>
    </xf>
    <xf numFmtId="0" fontId="101" fillId="2" borderId="132" applyNumberFormat="0" applyProtection="0">
      <alignment horizontal="left" vertical="top" indent="1"/>
    </xf>
    <xf numFmtId="4" fontId="74" fillId="0" borderId="136" applyFont="0" applyFill="0" applyBorder="0" applyAlignment="0">
      <alignment horizontal="center" vertical="center"/>
    </xf>
    <xf numFmtId="0" fontId="11" fillId="9" borderId="124" applyNumberFormat="0" applyFont="0" applyAlignment="0" applyProtection="0"/>
    <xf numFmtId="0" fontId="11" fillId="69" borderId="132" applyNumberFormat="0" applyProtection="0">
      <alignment horizontal="left" vertical="center" indent="1"/>
    </xf>
    <xf numFmtId="0" fontId="11" fillId="7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4" fontId="11" fillId="0" borderId="128" applyNumberFormat="0" applyProtection="0">
      <alignment horizontal="right" vertical="center"/>
    </xf>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11" fillId="3" borderId="128" applyNumberFormat="0">
      <protection locked="0"/>
    </xf>
    <xf numFmtId="0" fontId="32" fillId="14" borderId="123" applyNumberFormat="0" applyAlignment="0" applyProtection="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235" fontId="17" fillId="0" borderId="142" applyFont="0" applyFill="0" applyBorder="0" applyAlignment="0" applyProtection="0"/>
    <xf numFmtId="1" fontId="84" fillId="37" borderId="141" applyNumberFormat="0" applyBorder="0" applyAlignment="0">
      <alignment horizontal="centerContinuous" vertical="center"/>
      <protection locked="0"/>
    </xf>
    <xf numFmtId="0" fontId="11" fillId="72" borderId="146" applyNumberFormat="0" applyProtection="0">
      <alignment horizontal="left" vertical="center" indent="1"/>
    </xf>
    <xf numFmtId="0" fontId="129" fillId="72" borderId="146" applyNumberFormat="0" applyProtection="0">
      <alignment horizontal="left" vertical="center" indent="1"/>
    </xf>
    <xf numFmtId="49" fontId="50" fillId="0" borderId="145">
      <protection locked="0"/>
    </xf>
    <xf numFmtId="0" fontId="11" fillId="9" borderId="124" applyNumberFormat="0" applyFont="0" applyAlignment="0" applyProtection="0"/>
    <xf numFmtId="0" fontId="11" fillId="9" borderId="124" applyNumberFormat="0" applyFont="0" applyAlignment="0" applyProtection="0"/>
    <xf numFmtId="0" fontId="30" fillId="5" borderId="137" applyNumberFormat="0" applyAlignment="0" applyProtection="0"/>
    <xf numFmtId="0" fontId="30" fillId="5" borderId="137" applyNumberFormat="0" applyAlignment="0" applyProtection="0"/>
    <xf numFmtId="0" fontId="32" fillId="14" borderId="137" applyNumberFormat="0" applyAlignment="0" applyProtection="0"/>
    <xf numFmtId="49" fontId="50" fillId="0" borderId="142">
      <alignment vertical="top"/>
      <protection locked="0"/>
    </xf>
    <xf numFmtId="188" fontId="40" fillId="0" borderId="144"/>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30" fillId="5" borderId="137" applyNumberFormat="0" applyAlignment="0" applyProtection="0"/>
    <xf numFmtId="4" fontId="150" fillId="2" borderId="146" applyNumberFormat="0" applyProtection="0">
      <alignment vertical="center"/>
    </xf>
    <xf numFmtId="4" fontId="73" fillId="69" borderId="146" applyNumberFormat="0" applyProtection="0">
      <alignment horizontal="left" vertical="center" indent="1"/>
    </xf>
    <xf numFmtId="4" fontId="73" fillId="29" borderId="146" applyNumberFormat="0" applyProtection="0">
      <alignment horizontal="right" vertical="center"/>
    </xf>
    <xf numFmtId="235" fontId="17" fillId="0" borderId="142" applyFont="0" applyFill="0" applyBorder="0" applyAlignment="0" applyProtection="0"/>
    <xf numFmtId="4" fontId="20" fillId="72" borderId="146" applyNumberFormat="0" applyProtection="0">
      <alignment horizontal="right" vertical="center"/>
    </xf>
    <xf numFmtId="4" fontId="73" fillId="7" borderId="146" applyNumberFormat="0" applyProtection="0">
      <alignment horizontal="right" vertical="center"/>
    </xf>
    <xf numFmtId="0" fontId="11" fillId="72" borderId="146" applyNumberFormat="0" applyProtection="0">
      <alignment horizontal="left" vertical="center" indent="1"/>
    </xf>
    <xf numFmtId="0" fontId="30" fillId="5" borderId="137" applyNumberFormat="0" applyAlignment="0" applyProtection="0"/>
    <xf numFmtId="4" fontId="73" fillId="16" borderId="146" applyNumberFormat="0" applyProtection="0">
      <alignment horizontal="right" vertical="center"/>
    </xf>
    <xf numFmtId="0" fontId="11" fillId="15" borderId="146" applyNumberFormat="0" applyProtection="0">
      <alignment horizontal="left" vertical="center" indent="1"/>
    </xf>
    <xf numFmtId="1" fontId="84" fillId="37" borderId="141" applyNumberFormat="0" applyBorder="0" applyAlignment="0">
      <alignment horizontal="centerContinuous" vertical="center"/>
      <protection locked="0"/>
    </xf>
    <xf numFmtId="0" fontId="11" fillId="69" borderId="146" applyNumberFormat="0" applyProtection="0">
      <alignment horizontal="left" vertical="center" indent="1"/>
    </xf>
    <xf numFmtId="0" fontId="11" fillId="9" borderId="138" applyNumberFormat="0" applyFont="0" applyAlignment="0" applyProtection="0"/>
    <xf numFmtId="4" fontId="73" fillId="9" borderId="146" applyNumberFormat="0" applyProtection="0">
      <alignment vertical="center"/>
    </xf>
    <xf numFmtId="4" fontId="101" fillId="2" borderId="146" applyNumberFormat="0" applyProtection="0">
      <alignment vertical="center"/>
    </xf>
    <xf numFmtId="4" fontId="73" fillId="16" borderId="146" applyNumberFormat="0" applyProtection="0">
      <alignment horizontal="right" vertical="center"/>
    </xf>
    <xf numFmtId="0" fontId="11" fillId="9" borderId="138" applyNumberFormat="0" applyFont="0" applyAlignment="0" applyProtection="0"/>
    <xf numFmtId="4" fontId="73" fillId="69" borderId="146" applyNumberFormat="0" applyProtection="0">
      <alignment horizontal="right" vertical="center"/>
    </xf>
    <xf numFmtId="4" fontId="73" fillId="8" borderId="146" applyNumberFormat="0" applyProtection="0">
      <alignment horizontal="right" vertical="center"/>
    </xf>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30" fillId="5" borderId="137" applyNumberFormat="0" applyAlignment="0" applyProtection="0"/>
    <xf numFmtId="0" fontId="11" fillId="9" borderId="138" applyNumberFormat="0" applyFont="0" applyAlignment="0" applyProtection="0"/>
    <xf numFmtId="0" fontId="11" fillId="15" borderId="146" applyNumberFormat="0" applyProtection="0">
      <alignment horizontal="left" vertical="top" indent="1"/>
    </xf>
    <xf numFmtId="4" fontId="73" fillId="17" borderId="146" applyNumberFormat="0" applyProtection="0">
      <alignment horizontal="right" vertical="center"/>
    </xf>
    <xf numFmtId="4" fontId="73" fillId="29" borderId="146" applyNumberFormat="0" applyProtection="0">
      <alignment horizontal="right" vertical="center"/>
    </xf>
    <xf numFmtId="4" fontId="73" fillId="70" borderId="146" applyNumberFormat="0" applyProtection="0">
      <alignment horizontal="right" vertical="center"/>
    </xf>
    <xf numFmtId="0" fontId="30" fillId="5" borderId="137" applyNumberFormat="0" applyAlignment="0" applyProtection="0"/>
    <xf numFmtId="0" fontId="30" fillId="5" borderId="137" applyNumberFormat="0" applyAlignment="0" applyProtection="0"/>
    <xf numFmtId="235" fontId="17" fillId="0" borderId="142" applyFont="0" applyFill="0" applyBorder="0" applyAlignment="0" applyProtection="0"/>
    <xf numFmtId="4" fontId="73" fillId="72" borderId="146" applyNumberFormat="0" applyProtection="0">
      <alignment horizontal="right" vertical="center"/>
    </xf>
    <xf numFmtId="0" fontId="11" fillId="72" borderId="146" applyNumberFormat="0" applyProtection="0">
      <alignment horizontal="left" vertical="center" indent="1"/>
    </xf>
    <xf numFmtId="4" fontId="73" fillId="7" borderId="146" applyNumberFormat="0" applyProtection="0">
      <alignment horizontal="right" vertical="center"/>
    </xf>
    <xf numFmtId="4" fontId="73" fillId="44" borderId="142" applyNumberFormat="0" applyProtection="0">
      <alignment horizontal="right" vertical="center"/>
    </xf>
    <xf numFmtId="0" fontId="11" fillId="22" borderId="146" applyNumberFormat="0" applyProtection="0">
      <alignment horizontal="left" vertical="top" indent="1"/>
    </xf>
    <xf numFmtId="4" fontId="152" fillId="72" borderId="146" applyNumberFormat="0" applyProtection="0">
      <alignment horizontal="right" vertical="center"/>
    </xf>
    <xf numFmtId="0" fontId="11" fillId="9" borderId="138" applyNumberFormat="0" applyFont="0" applyAlignment="0" applyProtection="0"/>
    <xf numFmtId="0" fontId="11" fillId="72" borderId="146" applyNumberFormat="0" applyProtection="0">
      <alignment horizontal="left" vertical="center" indent="1"/>
    </xf>
    <xf numFmtId="0" fontId="30" fillId="5" borderId="137" applyNumberFormat="0" applyAlignment="0" applyProtection="0"/>
    <xf numFmtId="0" fontId="11" fillId="72" borderId="146" applyNumberFormat="0" applyProtection="0">
      <alignment horizontal="left" vertical="center" indent="1"/>
    </xf>
    <xf numFmtId="4" fontId="152" fillId="72" borderId="146" applyNumberFormat="0" applyProtection="0">
      <alignment horizontal="right" vertical="center"/>
    </xf>
    <xf numFmtId="0" fontId="11" fillId="9" borderId="138" applyNumberFormat="0" applyFont="0" applyAlignment="0" applyProtection="0"/>
    <xf numFmtId="4" fontId="11" fillId="41" borderId="142" applyNumberFormat="0" applyProtection="0">
      <alignment vertical="center"/>
    </xf>
    <xf numFmtId="0" fontId="73" fillId="69" borderId="146" applyNumberFormat="0" applyProtection="0">
      <alignment horizontal="left" vertical="top" indent="1"/>
    </xf>
    <xf numFmtId="4" fontId="73" fillId="23" borderId="146" applyNumberFormat="0" applyProtection="0">
      <alignment horizontal="right" vertical="center"/>
    </xf>
    <xf numFmtId="0" fontId="11" fillId="3" borderId="142" applyNumberFormat="0">
      <protection locked="0"/>
    </xf>
    <xf numFmtId="4" fontId="73" fillId="25" borderId="146" applyNumberFormat="0" applyProtection="0">
      <alignment horizontal="right" vertical="center"/>
    </xf>
    <xf numFmtId="0" fontId="30" fillId="5" borderId="137" applyNumberFormat="0" applyAlignment="0" applyProtection="0"/>
    <xf numFmtId="4" fontId="11" fillId="0" borderId="142" applyNumberFormat="0" applyProtection="0">
      <alignment horizontal="right" vertical="center"/>
    </xf>
    <xf numFmtId="0" fontId="11" fillId="15" borderId="146" applyNumberFormat="0" applyProtection="0">
      <alignment horizontal="left" vertical="center" indent="1"/>
    </xf>
    <xf numFmtId="4" fontId="73" fillId="72" borderId="146" applyNumberFormat="0" applyProtection="0">
      <alignment horizontal="right" vertical="center"/>
    </xf>
    <xf numFmtId="4" fontId="101" fillId="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0" fontId="11" fillId="22" borderId="146" applyNumberFormat="0" applyProtection="0">
      <alignment horizontal="left" vertical="top" indent="1"/>
    </xf>
    <xf numFmtId="4" fontId="73" fillId="25" borderId="146" applyNumberFormat="0" applyProtection="0">
      <alignment horizontal="right" vertical="center"/>
    </xf>
    <xf numFmtId="4" fontId="73" fillId="9" borderId="146" applyNumberFormat="0" applyProtection="0">
      <alignment horizontal="left" vertical="center" indent="1"/>
    </xf>
    <xf numFmtId="0" fontId="11" fillId="69" borderId="146" applyNumberFormat="0" applyProtection="0">
      <alignment horizontal="left" vertical="center" indent="1"/>
    </xf>
    <xf numFmtId="10" fontId="17" fillId="39" borderId="142" applyNumberFormat="0" applyBorder="0" applyAlignment="0" applyProtection="0"/>
    <xf numFmtId="4" fontId="101" fillId="2" borderId="146" applyNumberFormat="0" applyProtection="0">
      <alignment horizontal="left" vertical="center" indent="1"/>
    </xf>
    <xf numFmtId="0" fontId="11" fillId="9" borderId="138" applyNumberFormat="0" applyFont="0" applyAlignment="0" applyProtection="0"/>
    <xf numFmtId="0" fontId="11" fillId="22" borderId="146" applyNumberFormat="0" applyProtection="0">
      <alignment horizontal="left" vertical="center" indent="1"/>
    </xf>
    <xf numFmtId="234" fontId="50" fillId="0" borderId="145">
      <protection locked="0"/>
    </xf>
    <xf numFmtId="4" fontId="73" fillId="70" borderId="146" applyNumberFormat="0" applyProtection="0">
      <alignment horizontal="right" vertical="center"/>
    </xf>
    <xf numFmtId="0" fontId="11" fillId="9" borderId="138" applyNumberFormat="0" applyFont="0" applyAlignment="0" applyProtection="0"/>
    <xf numFmtId="0" fontId="101" fillId="2" borderId="146" applyNumberFormat="0" applyProtection="0">
      <alignment horizontal="left" vertical="top" indent="1"/>
    </xf>
    <xf numFmtId="4" fontId="73" fillId="9" borderId="146" applyNumberFormat="0" applyProtection="0">
      <alignment vertical="center"/>
    </xf>
    <xf numFmtId="4" fontId="73" fillId="8" borderId="146" applyNumberFormat="0" applyProtection="0">
      <alignment horizontal="right" vertical="center"/>
    </xf>
    <xf numFmtId="4" fontId="73" fillId="27" borderId="146" applyNumberFormat="0" applyProtection="0">
      <alignment horizontal="right" vertical="center"/>
    </xf>
    <xf numFmtId="0" fontId="11" fillId="9" borderId="138" applyNumberFormat="0" applyFont="0" applyAlignment="0" applyProtection="0"/>
    <xf numFmtId="4" fontId="73" fillId="9" borderId="146" applyNumberFormat="0" applyProtection="0">
      <alignment horizontal="left" vertical="center" indent="1"/>
    </xf>
    <xf numFmtId="4" fontId="99" fillId="0" borderId="143" applyBorder="0">
      <alignment horizontal="right" wrapText="1"/>
    </xf>
    <xf numFmtId="4" fontId="152" fillId="9" borderId="146" applyNumberFormat="0" applyProtection="0">
      <alignment vertical="center"/>
    </xf>
    <xf numFmtId="0" fontId="11" fillId="22" borderId="146" applyNumberFormat="0" applyProtection="0">
      <alignment horizontal="left" vertical="center" indent="1"/>
    </xf>
    <xf numFmtId="0" fontId="30" fillId="5" borderId="137" applyNumberFormat="0" applyAlignment="0" applyProtection="0"/>
    <xf numFmtId="4" fontId="73" fillId="17" borderId="146" applyNumberFormat="0" applyProtection="0">
      <alignment horizontal="right" vertical="center"/>
    </xf>
    <xf numFmtId="0" fontId="101" fillId="2" borderId="146" applyNumberFormat="0" applyProtection="0">
      <alignment horizontal="left" vertical="top" indent="1"/>
    </xf>
    <xf numFmtId="0" fontId="11" fillId="9" borderId="138" applyNumberFormat="0" applyFont="0" applyAlignment="0" applyProtection="0"/>
    <xf numFmtId="0" fontId="11" fillId="69" borderId="146" applyNumberFormat="0" applyProtection="0">
      <alignment horizontal="left" vertical="center" indent="1"/>
    </xf>
    <xf numFmtId="0" fontId="11" fillId="7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4" fontId="11" fillId="0" borderId="142" applyNumberFormat="0" applyProtection="0">
      <alignment horizontal="right" vertical="center"/>
    </xf>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1" fillId="3" borderId="142" applyNumberFormat="0">
      <protection locked="0"/>
    </xf>
    <xf numFmtId="0" fontId="32" fillId="14" borderId="137" applyNumberFormat="0" applyAlignment="0" applyProtection="0"/>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32" fillId="3" borderId="137" applyNumberFormat="0" applyAlignment="0" applyProtection="0"/>
    <xf numFmtId="0" fontId="45" fillId="1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199" fontId="50" fillId="0" borderId="142">
      <protection locked="0"/>
    </xf>
    <xf numFmtId="0" fontId="136" fillId="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9" borderId="138" applyNumberFormat="0" applyFont="0" applyAlignment="0" applyProtection="0"/>
    <xf numFmtId="0" fontId="11" fillId="9" borderId="137" applyNumberFormat="0" applyFont="0" applyAlignment="0" applyProtection="0"/>
    <xf numFmtId="0" fontId="62" fillId="12" borderId="139" applyNumberFormat="0" applyAlignment="0" applyProtection="0"/>
    <xf numFmtId="0" fontId="159" fillId="0" borderId="0"/>
    <xf numFmtId="0" fontId="159" fillId="0" borderId="0"/>
    <xf numFmtId="0" fontId="159" fillId="0" borderId="0"/>
    <xf numFmtId="0" fontId="159" fillId="0" borderId="0"/>
    <xf numFmtId="0" fontId="159" fillId="0" borderId="0"/>
    <xf numFmtId="0" fontId="159" fillId="0" borderId="0"/>
    <xf numFmtId="0" fontId="147" fillId="0" borderId="0"/>
    <xf numFmtId="241" fontId="147" fillId="0" borderId="0" applyFont="0" applyFill="0" applyBorder="0" applyAlignment="0" applyProtection="0"/>
    <xf numFmtId="9" fontId="147" fillId="0" borderId="0" applyFont="0" applyFill="0" applyBorder="0" applyAlignment="0" applyProtection="0"/>
    <xf numFmtId="240" fontId="11" fillId="0" borderId="0" applyFont="0" applyFill="0" applyBorder="0" applyAlignment="0" applyProtection="0"/>
    <xf numFmtId="0" fontId="6" fillId="0" borderId="0"/>
    <xf numFmtId="9" fontId="6" fillId="0" borderId="0" applyFont="0" applyFill="0" applyBorder="0" applyAlignment="0" applyProtection="0"/>
    <xf numFmtId="243" fontId="11" fillId="0" borderId="0" applyFont="0" applyFill="0" applyBorder="0" applyAlignment="0" applyProtection="0"/>
    <xf numFmtId="0" fontId="147" fillId="0" borderId="0"/>
    <xf numFmtId="0" fontId="160" fillId="72" borderId="146" applyNumberFormat="0" applyProtection="0">
      <alignment horizontal="left" vertical="center" indent="1"/>
    </xf>
    <xf numFmtId="43" fontId="1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43" fillId="74" borderId="0" applyNumberFormat="0" applyBorder="0" applyAlignment="0" applyProtection="0"/>
    <xf numFmtId="0" fontId="143" fillId="74" borderId="0" applyNumberFormat="0" applyBorder="0" applyAlignment="0" applyProtection="0"/>
    <xf numFmtId="0" fontId="143" fillId="77" borderId="0" applyNumberFormat="0" applyBorder="0" applyAlignment="0" applyProtection="0"/>
    <xf numFmtId="0" fontId="143" fillId="77" borderId="0" applyNumberFormat="0" applyBorder="0" applyAlignment="0" applyProtection="0"/>
    <xf numFmtId="0" fontId="143" fillId="80" borderId="0" applyNumberFormat="0" applyBorder="0" applyAlignment="0" applyProtection="0"/>
    <xf numFmtId="0" fontId="143" fillId="80" borderId="0" applyNumberFormat="0" applyBorder="0" applyAlignment="0" applyProtection="0"/>
    <xf numFmtId="0" fontId="143" fillId="83" borderId="0" applyNumberFormat="0" applyBorder="0" applyAlignment="0" applyProtection="0"/>
    <xf numFmtId="0" fontId="143" fillId="83" borderId="0" applyNumberFormat="0" applyBorder="0" applyAlignment="0" applyProtection="0"/>
    <xf numFmtId="0" fontId="143" fillId="86" borderId="0" applyNumberFormat="0" applyBorder="0" applyAlignment="0" applyProtection="0"/>
    <xf numFmtId="0" fontId="143" fillId="86" borderId="0" applyNumberFormat="0" applyBorder="0" applyAlignment="0" applyProtection="0"/>
    <xf numFmtId="0" fontId="143" fillId="89" borderId="0" applyNumberFormat="0" applyBorder="0" applyAlignment="0" applyProtection="0"/>
    <xf numFmtId="0" fontId="143" fillId="89" borderId="0" applyNumberFormat="0" applyBorder="0" applyAlignment="0" applyProtection="0"/>
    <xf numFmtId="0" fontId="143" fillId="75" borderId="0" applyNumberFormat="0" applyBorder="0" applyAlignment="0" applyProtection="0"/>
    <xf numFmtId="0" fontId="143" fillId="75" borderId="0" applyNumberFormat="0" applyBorder="0" applyAlignment="0" applyProtection="0"/>
    <xf numFmtId="0" fontId="143" fillId="78" borderId="0" applyNumberFormat="0" applyBorder="0" applyAlignment="0" applyProtection="0"/>
    <xf numFmtId="0" fontId="143" fillId="78" borderId="0" applyNumberFormat="0" applyBorder="0" applyAlignment="0" applyProtection="0"/>
    <xf numFmtId="0" fontId="143" fillId="81" borderId="0" applyNumberFormat="0" applyBorder="0" applyAlignment="0" applyProtection="0"/>
    <xf numFmtId="0" fontId="143" fillId="81" borderId="0" applyNumberFormat="0" applyBorder="0" applyAlignment="0" applyProtection="0"/>
    <xf numFmtId="0" fontId="143" fillId="84" borderId="0" applyNumberFormat="0" applyBorder="0" applyAlignment="0" applyProtection="0"/>
    <xf numFmtId="0" fontId="143" fillId="84" borderId="0" applyNumberFormat="0" applyBorder="0" applyAlignment="0" applyProtection="0"/>
    <xf numFmtId="0" fontId="143" fillId="87" borderId="0" applyNumberFormat="0" applyBorder="0" applyAlignment="0" applyProtection="0"/>
    <xf numFmtId="0" fontId="143" fillId="87" borderId="0" applyNumberFormat="0" applyBorder="0" applyAlignment="0" applyProtection="0"/>
    <xf numFmtId="0" fontId="143" fillId="90" borderId="0" applyNumberFormat="0" applyBorder="0" applyAlignment="0" applyProtection="0"/>
    <xf numFmtId="0" fontId="143" fillId="90" borderId="0" applyNumberFormat="0" applyBorder="0" applyAlignment="0" applyProtection="0"/>
    <xf numFmtId="0" fontId="161" fillId="76" borderId="0" applyNumberFormat="0" applyBorder="0" applyAlignment="0" applyProtection="0"/>
    <xf numFmtId="0" fontId="161" fillId="76" borderId="0" applyNumberFormat="0" applyBorder="0" applyAlignment="0" applyProtection="0"/>
    <xf numFmtId="0" fontId="161" fillId="79" borderId="0" applyNumberFormat="0" applyBorder="0" applyAlignment="0" applyProtection="0"/>
    <xf numFmtId="0" fontId="161" fillId="79" borderId="0" applyNumberFormat="0" applyBorder="0" applyAlignment="0" applyProtection="0"/>
    <xf numFmtId="0" fontId="161" fillId="82" borderId="0" applyNumberFormat="0" applyBorder="0" applyAlignment="0" applyProtection="0"/>
    <xf numFmtId="0" fontId="161" fillId="82" borderId="0" applyNumberFormat="0" applyBorder="0" applyAlignment="0" applyProtection="0"/>
    <xf numFmtId="0" fontId="161" fillId="85" borderId="0" applyNumberFormat="0" applyBorder="0" applyAlignment="0" applyProtection="0"/>
    <xf numFmtId="0" fontId="161" fillId="85" borderId="0" applyNumberFormat="0" applyBorder="0" applyAlignment="0" applyProtection="0"/>
    <xf numFmtId="0" fontId="161" fillId="88" borderId="0" applyNumberFormat="0" applyBorder="0" applyAlignment="0" applyProtection="0"/>
    <xf numFmtId="0" fontId="161" fillId="88" borderId="0" applyNumberFormat="0" applyBorder="0" applyAlignment="0" applyProtection="0"/>
    <xf numFmtId="0" fontId="161" fillId="91" borderId="0" applyNumberFormat="0" applyBorder="0" applyAlignment="0" applyProtection="0"/>
    <xf numFmtId="0" fontId="161" fillId="91" borderId="0" applyNumberFormat="0" applyBorder="0" applyAlignment="0" applyProtection="0"/>
    <xf numFmtId="253" fontId="11" fillId="0" borderId="0" applyFont="0" applyFill="0" applyBorder="0" applyAlignment="0" applyProtection="0"/>
    <xf numFmtId="253" fontId="11" fillId="0" borderId="0" applyFont="0" applyFill="0" applyBorder="0" applyAlignment="0" applyProtection="0"/>
    <xf numFmtId="241" fontId="147" fillId="0" borderId="0" applyFont="0" applyFill="0" applyBorder="0" applyAlignment="0" applyProtection="0"/>
    <xf numFmtId="43" fontId="11" fillId="0" borderId="0" applyFont="0" applyFill="0" applyBorder="0" applyAlignment="0" applyProtection="0"/>
    <xf numFmtId="242" fontId="147" fillId="0" borderId="0" applyFont="0" applyFill="0" applyBorder="0" applyAlignment="0" applyProtection="0"/>
    <xf numFmtId="254" fontId="11" fillId="0" borderId="0" applyFont="0" applyFill="0" applyBorder="0" applyAlignment="0" applyProtection="0"/>
    <xf numFmtId="254" fontId="11" fillId="0" borderId="0" applyFont="0" applyFill="0" applyBorder="0" applyAlignment="0" applyProtection="0"/>
    <xf numFmtId="240" fontId="147" fillId="0" borderId="0" applyFont="0" applyFill="0" applyBorder="0" applyAlignment="0" applyProtection="0"/>
    <xf numFmtId="255" fontId="11" fillId="0" borderId="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47" fillId="0" borderId="0"/>
    <xf numFmtId="0" fontId="147" fillId="0" borderId="0"/>
    <xf numFmtId="0" fontId="11" fillId="64" borderId="138" applyNumberFormat="0" applyFont="0" applyAlignment="0" applyProtection="0"/>
    <xf numFmtId="0" fontId="11" fillId="64" borderId="138" applyNumberFormat="0" applyFont="0" applyAlignment="0" applyProtection="0"/>
    <xf numFmtId="4" fontId="163" fillId="2" borderId="146" applyNumberFormat="0" applyProtection="0">
      <alignment vertical="center"/>
    </xf>
    <xf numFmtId="4" fontId="163" fillId="2" borderId="146" applyNumberFormat="0" applyProtection="0">
      <alignment horizontal="left" vertical="center" indent="1"/>
    </xf>
    <xf numFmtId="4" fontId="163" fillId="69" borderId="0" applyNumberFormat="0" applyProtection="0">
      <alignment horizontal="left" vertical="center" wrapText="1" indent="1"/>
    </xf>
    <xf numFmtId="4" fontId="164"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164" fillId="72" borderId="146" applyNumberFormat="0" applyProtection="0">
      <alignment horizontal="right" vertical="center"/>
    </xf>
    <xf numFmtId="4" fontId="164" fillId="69" borderId="146" applyNumberFormat="0" applyProtection="0">
      <alignment horizontal="left" vertical="center" indent="1"/>
    </xf>
    <xf numFmtId="0" fontId="5" fillId="0" borderId="0"/>
    <xf numFmtId="241" fontId="5" fillId="0" borderId="0" applyFont="0" applyFill="0" applyBorder="0" applyAlignment="0" applyProtection="0"/>
    <xf numFmtId="9" fontId="5" fillId="0" borderId="0" applyFont="0" applyFill="0" applyBorder="0" applyAlignment="0" applyProtection="0"/>
    <xf numFmtId="0" fontId="5" fillId="0" borderId="0"/>
    <xf numFmtId="0" fontId="166" fillId="0" borderId="0"/>
    <xf numFmtId="0" fontId="169" fillId="0" borderId="0" applyNumberFormat="0" applyFill="0" applyBorder="0" applyAlignment="0" applyProtection="0"/>
    <xf numFmtId="0" fontId="170" fillId="0" borderId="153" applyNumberFormat="0" applyFill="0" applyAlignment="0" applyProtection="0"/>
    <xf numFmtId="0" fontId="171" fillId="0" borderId="154" applyNumberFormat="0" applyFill="0" applyAlignment="0" applyProtection="0"/>
    <xf numFmtId="0" fontId="172" fillId="0" borderId="155" applyNumberFormat="0" applyFill="0" applyAlignment="0" applyProtection="0"/>
    <xf numFmtId="0" fontId="172" fillId="0" borderId="0" applyNumberFormat="0" applyFill="0" applyBorder="0" applyAlignment="0" applyProtection="0"/>
    <xf numFmtId="0" fontId="173" fillId="92" borderId="0" applyNumberFormat="0" applyBorder="0" applyAlignment="0" applyProtection="0"/>
    <xf numFmtId="0" fontId="174" fillId="93" borderId="0" applyNumberFormat="0" applyBorder="0" applyAlignment="0" applyProtection="0"/>
    <xf numFmtId="0" fontId="175" fillId="94" borderId="0" applyNumberFormat="0" applyBorder="0" applyAlignment="0" applyProtection="0"/>
    <xf numFmtId="0" fontId="176" fillId="95" borderId="156" applyNumberFormat="0" applyAlignment="0" applyProtection="0"/>
    <xf numFmtId="0" fontId="177" fillId="96" borderId="157" applyNumberFormat="0" applyAlignment="0" applyProtection="0"/>
    <xf numFmtId="0" fontId="178" fillId="96" borderId="156" applyNumberFormat="0" applyAlignment="0" applyProtection="0"/>
    <xf numFmtId="0" fontId="179" fillId="0" borderId="158" applyNumberFormat="0" applyFill="0" applyAlignment="0" applyProtection="0"/>
    <xf numFmtId="0" fontId="180" fillId="97" borderId="159" applyNumberFormat="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3" fillId="0" borderId="160" applyNumberFormat="0" applyFill="0" applyAlignment="0" applyProtection="0"/>
    <xf numFmtId="0" fontId="184" fillId="98"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84" fillId="76" borderId="0" applyNumberFormat="0" applyBorder="0" applyAlignment="0" applyProtection="0"/>
    <xf numFmtId="0" fontId="184" fillId="9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84" fillId="79" borderId="0" applyNumberFormat="0" applyBorder="0" applyAlignment="0" applyProtection="0"/>
    <xf numFmtId="0" fontId="184" fillId="100"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184" fillId="82" borderId="0" applyNumberFormat="0" applyBorder="0" applyAlignment="0" applyProtection="0"/>
    <xf numFmtId="0" fontId="184" fillId="101"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84" fillId="85" borderId="0" applyNumberFormat="0" applyBorder="0" applyAlignment="0" applyProtection="0"/>
    <xf numFmtId="0" fontId="184" fillId="102"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184" fillId="88" borderId="0" applyNumberFormat="0" applyBorder="0" applyAlignment="0" applyProtection="0"/>
    <xf numFmtId="0" fontId="184" fillId="103" borderId="0" applyNumberFormat="0" applyBorder="0" applyAlignment="0" applyProtection="0"/>
    <xf numFmtId="0" fontId="4" fillId="89" borderId="0" applyNumberFormat="0" applyBorder="0" applyAlignment="0" applyProtection="0"/>
    <xf numFmtId="0" fontId="4" fillId="90" borderId="0" applyNumberFormat="0" applyBorder="0" applyAlignment="0" applyProtection="0"/>
    <xf numFmtId="0" fontId="184" fillId="91" borderId="0" applyNumberFormat="0" applyBorder="0" applyAlignment="0" applyProtection="0"/>
    <xf numFmtId="0" fontId="4" fillId="0" borderId="0"/>
    <xf numFmtId="0" fontId="4" fillId="0" borderId="0"/>
    <xf numFmtId="0" fontId="73" fillId="0" borderId="0">
      <alignment vertical="top"/>
    </xf>
    <xf numFmtId="0" fontId="4" fillId="0" borderId="0"/>
    <xf numFmtId="0" fontId="4" fillId="55" borderId="49" applyNumberFormat="0" applyFont="0" applyAlignment="0" applyProtection="0"/>
    <xf numFmtId="0" fontId="11" fillId="0" borderId="0"/>
    <xf numFmtId="0" fontId="39" fillId="4" borderId="0" applyNumberFormat="0" applyBorder="0" applyAlignment="0" applyProtection="0"/>
    <xf numFmtId="0" fontId="4" fillId="74" borderId="0" applyNumberFormat="0" applyBorder="0" applyAlignment="0" applyProtection="0"/>
    <xf numFmtId="0" fontId="143"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4" fillId="77"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4" fillId="80" borderId="0" applyNumberFormat="0" applyBorder="0" applyAlignment="0" applyProtection="0"/>
    <xf numFmtId="0" fontId="39" fillId="11" borderId="0" applyNumberFormat="0" applyBorder="0" applyAlignment="0" applyProtection="0"/>
    <xf numFmtId="0" fontId="4" fillId="83" borderId="0" applyNumberFormat="0" applyBorder="0" applyAlignment="0" applyProtection="0"/>
    <xf numFmtId="0" fontId="39" fillId="13" borderId="0" applyNumberFormat="0" applyBorder="0" applyAlignment="0" applyProtection="0"/>
    <xf numFmtId="0" fontId="4" fillId="86"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4" fillId="89" borderId="0" applyNumberFormat="0" applyBorder="0" applyAlignment="0" applyProtection="0"/>
    <xf numFmtId="0" fontId="39" fillId="15" borderId="0" applyNumberFormat="0" applyBorder="0" applyAlignment="0" applyProtection="0"/>
    <xf numFmtId="0" fontId="4" fillId="7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4" fillId="78" borderId="0" applyNumberFormat="0" applyBorder="0" applyAlignment="0" applyProtection="0"/>
    <xf numFmtId="0" fontId="39" fillId="16" borderId="0" applyNumberFormat="0" applyBorder="0" applyAlignment="0" applyProtection="0"/>
    <xf numFmtId="0" fontId="4" fillId="81" borderId="0" applyNumberFormat="0" applyBorder="0" applyAlignment="0" applyProtection="0"/>
    <xf numFmtId="0" fontId="39" fillId="11" borderId="0" applyNumberFormat="0" applyBorder="0" applyAlignment="0" applyProtection="0"/>
    <xf numFmtId="0" fontId="4" fillId="84"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5" borderId="0" applyNumberFormat="0" applyBorder="0" applyAlignment="0" applyProtection="0"/>
    <xf numFmtId="0" fontId="4" fillId="87" borderId="0" applyNumberFormat="0" applyBorder="0" applyAlignment="0" applyProtection="0"/>
    <xf numFmtId="0" fontId="39" fillId="17" borderId="0" applyNumberFormat="0" applyBorder="0" applyAlignment="0" applyProtection="0"/>
    <xf numFmtId="0" fontId="4" fillId="90"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3"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5"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32" fillId="3" borderId="137" applyNumberFormat="0" applyAlignment="0" applyProtection="0"/>
    <xf numFmtId="0" fontId="32" fillId="3" borderId="137" applyNumberFormat="0" applyAlignment="0" applyProtection="0"/>
    <xf numFmtId="0" fontId="34" fillId="12" borderId="6" applyNumberFormat="0" applyAlignment="0" applyProtection="0"/>
    <xf numFmtId="43" fontId="1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217" fontId="76" fillId="0" borderId="0">
      <protection locked="0"/>
    </xf>
    <xf numFmtId="44" fontId="148" fillId="0" borderId="0" applyFont="0" applyFill="0" applyBorder="0" applyAlignment="0" applyProtection="0"/>
    <xf numFmtId="44" fontId="148" fillId="0" borderId="0" applyFont="0" applyFill="0" applyBorder="0" applyAlignment="0" applyProtection="0"/>
    <xf numFmtId="6" fontId="82" fillId="0" borderId="0">
      <protection locked="0"/>
    </xf>
    <xf numFmtId="9" fontId="4" fillId="0" borderId="0" applyFont="0" applyFill="0" applyBorder="0" applyAlignment="0" applyProtection="0"/>
    <xf numFmtId="0" fontId="4" fillId="0" borderId="0"/>
    <xf numFmtId="0" fontId="36" fillId="0" borderId="0" applyNumberFormat="0" applyFill="0" applyBorder="0" applyAlignment="0" applyProtection="0"/>
    <xf numFmtId="9" fontId="4" fillId="0" borderId="0" applyFont="0" applyFill="0" applyBorder="0" applyAlignment="0" applyProtection="0"/>
    <xf numFmtId="0" fontId="28" fillId="10" borderId="0" applyNumberFormat="0" applyBorder="0" applyAlignment="0" applyProtection="0"/>
    <xf numFmtId="0" fontId="185" fillId="0" borderId="161" applyNumberFormat="0" applyFill="0" applyAlignment="0" applyProtection="0"/>
    <xf numFmtId="0" fontId="185" fillId="0" borderId="161" applyNumberFormat="0" applyFill="0" applyAlignment="0" applyProtection="0"/>
    <xf numFmtId="0" fontId="186" fillId="0" borderId="162" applyNumberFormat="0" applyFill="0" applyAlignment="0" applyProtection="0"/>
    <xf numFmtId="0" fontId="186" fillId="0" borderId="162"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9" fontId="4" fillId="0" borderId="0" applyFont="0" applyFill="0" applyBorder="0" applyAlignment="0" applyProtection="0"/>
    <xf numFmtId="0" fontId="4" fillId="0" borderId="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3" fillId="0" borderId="21" applyNumberFormat="0" applyFill="0" applyAlignment="0" applyProtection="0"/>
    <xf numFmtId="0" fontId="29" fillId="2" borderId="0" applyNumberFormat="0" applyBorder="0" applyAlignment="0" applyProtection="0"/>
    <xf numFmtId="0" fontId="73" fillId="0" borderId="0"/>
    <xf numFmtId="0" fontId="73" fillId="0" borderId="0"/>
    <xf numFmtId="0" fontId="11" fillId="0" borderId="0"/>
    <xf numFmtId="0" fontId="4" fillId="0" borderId="0"/>
    <xf numFmtId="0" fontId="4" fillId="0" borderId="0"/>
    <xf numFmtId="175" fontId="12" fillId="0" borderId="0"/>
    <xf numFmtId="0" fontId="4" fillId="0" borderId="0"/>
    <xf numFmtId="0" fontId="39" fillId="0" borderId="0"/>
    <xf numFmtId="0" fontId="148" fillId="0" borderId="0"/>
    <xf numFmtId="0" fontId="4" fillId="0" borderId="0"/>
    <xf numFmtId="0" fontId="148" fillId="0" borderId="0"/>
    <xf numFmtId="0" fontId="148" fillId="0" borderId="0"/>
    <xf numFmtId="0" fontId="148" fillId="0" borderId="0"/>
    <xf numFmtId="0" fontId="148" fillId="0" borderId="0"/>
    <xf numFmtId="0" fontId="11" fillId="0" borderId="0"/>
    <xf numFmtId="0" fontId="148" fillId="0" borderId="0"/>
    <xf numFmtId="0" fontId="11" fillId="0" borderId="0"/>
    <xf numFmtId="0" fontId="11" fillId="0" borderId="0"/>
    <xf numFmtId="0" fontId="11" fillId="0" borderId="0"/>
    <xf numFmtId="0" fontId="11" fillId="0" borderId="0"/>
    <xf numFmtId="0" fontId="39" fillId="0" borderId="0"/>
    <xf numFmtId="0" fontId="4" fillId="0" borderId="0"/>
    <xf numFmtId="0" fontId="39" fillId="0" borderId="0"/>
    <xf numFmtId="0" fontId="4" fillId="0" borderId="0"/>
    <xf numFmtId="0" fontId="11" fillId="2" borderId="138" applyNumberFormat="0" applyFont="0" applyAlignment="0" applyProtection="0"/>
    <xf numFmtId="0" fontId="11" fillId="2" borderId="138" applyNumberFormat="0" applyFont="0" applyAlignment="0" applyProtection="0"/>
    <xf numFmtId="0" fontId="39" fillId="9" borderId="138" applyNumberFormat="0" applyFont="0" applyAlignment="0" applyProtection="0"/>
    <xf numFmtId="0" fontId="4" fillId="55" borderId="49" applyNumberFormat="0" applyFont="0" applyAlignment="0" applyProtection="0"/>
    <xf numFmtId="0" fontId="4" fillId="55" borderId="49" applyNumberFormat="0" applyFont="0" applyAlignment="0" applyProtection="0"/>
    <xf numFmtId="0" fontId="31" fillId="3" borderId="139" applyNumberFormat="0" applyAlignment="0" applyProtection="0"/>
    <xf numFmtId="0" fontId="31" fillId="3" borderId="139" applyNumberFormat="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87" fillId="0" borderId="0" applyFont="0" applyFill="0" applyBorder="0" applyAlignment="0" applyProtection="0"/>
    <xf numFmtId="0" fontId="187" fillId="0" borderId="0"/>
    <xf numFmtId="9" fontId="187" fillId="0" borderId="0" applyFont="0" applyFill="0" applyBorder="0" applyAlignment="0" applyProtection="0"/>
    <xf numFmtId="0" fontId="187" fillId="0" borderId="0"/>
    <xf numFmtId="9" fontId="187" fillId="0" borderId="0" applyFont="0" applyFill="0" applyBorder="0" applyAlignment="0" applyProtection="0"/>
    <xf numFmtId="0" fontId="187" fillId="0" borderId="0"/>
    <xf numFmtId="0" fontId="187" fillId="0" borderId="0"/>
    <xf numFmtId="0" fontId="187" fillId="0" borderId="0"/>
    <xf numFmtId="9" fontId="187" fillId="0" borderId="0" applyFont="0" applyFill="0" applyBorder="0" applyAlignment="0" applyProtection="0"/>
    <xf numFmtId="9" fontId="187" fillId="0" borderId="0" applyFont="0" applyFill="0" applyBorder="0" applyAlignment="0" applyProtection="0"/>
    <xf numFmtId="9" fontId="18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37" fillId="0" borderId="164" applyNumberFormat="0" applyFill="0" applyAlignment="0" applyProtection="0"/>
    <xf numFmtId="0" fontId="37" fillId="0" borderId="164" applyNumberFormat="0" applyFill="0" applyAlignment="0" applyProtection="0"/>
    <xf numFmtId="0" fontId="35" fillId="0" borderId="0" applyNumberFormat="0" applyFill="0" applyBorder="0" applyAlignment="0" applyProtection="0"/>
    <xf numFmtId="0" fontId="4" fillId="0" borderId="0"/>
    <xf numFmtId="0" fontId="187" fillId="0" borderId="0"/>
    <xf numFmtId="0" fontId="4" fillId="0" borderId="0"/>
    <xf numFmtId="0" fontId="11" fillId="0" borderId="0"/>
    <xf numFmtId="0" fontId="11" fillId="0" borderId="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132" fillId="3" borderId="137" applyNumberFormat="0" applyAlignment="0" applyProtection="0"/>
    <xf numFmtId="0" fontId="132" fillId="3"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45" fillId="12" borderId="137" applyNumberFormat="0" applyAlignment="0" applyProtection="0"/>
    <xf numFmtId="0" fontId="45" fillId="12" borderId="137" applyNumberFormat="0" applyAlignment="0" applyProtection="0"/>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199" fontId="50" fillId="0" borderId="142">
      <protection locked="0"/>
    </xf>
    <xf numFmtId="0" fontId="136" fillId="2" borderId="137" applyNumberFormat="0" applyAlignment="0" applyProtection="0"/>
    <xf numFmtId="0" fontId="136" fillId="2"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199" fontId="50" fillId="0" borderId="142">
      <protection locked="0"/>
    </xf>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 fillId="0" borderId="0"/>
    <xf numFmtId="0" fontId="3"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9" borderId="138" applyNumberFormat="0" applyFont="0" applyAlignment="0" applyProtection="0"/>
    <xf numFmtId="0" fontId="73"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7" applyNumberFormat="0" applyFont="0" applyAlignment="0" applyProtection="0"/>
    <xf numFmtId="0" fontId="11" fillId="9" borderId="137" applyNumberFormat="0" applyFont="0" applyAlignment="0" applyProtection="0"/>
    <xf numFmtId="0" fontId="130" fillId="3" borderId="133"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62" fillId="12" borderId="139" applyNumberFormat="0" applyAlignment="0" applyProtection="0"/>
    <xf numFmtId="0" fontId="62" fillId="12" borderId="1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50" fillId="2" borderId="146" applyNumberFormat="0" applyProtection="0">
      <alignment vertical="center"/>
    </xf>
    <xf numFmtId="4" fontId="150" fillId="2" borderId="146" applyNumberFormat="0" applyProtection="0">
      <alignment vertical="center"/>
    </xf>
    <xf numFmtId="4" fontId="150" fillId="2" borderId="146" applyNumberFormat="0" applyProtection="0">
      <alignment vertical="center"/>
    </xf>
    <xf numFmtId="4" fontId="101" fillId="2" borderId="146" applyNumberFormat="0" applyProtection="0">
      <alignment horizontal="left" vertical="center" indent="1"/>
    </xf>
    <xf numFmtId="4" fontId="101" fillId="2" borderId="146" applyNumberFormat="0" applyProtection="0">
      <alignment horizontal="left" vertical="center" indent="1"/>
    </xf>
    <xf numFmtId="4" fontId="101" fillId="2" borderId="146" applyNumberFormat="0" applyProtection="0">
      <alignment horizontal="left" vertical="center" indent="1"/>
    </xf>
    <xf numFmtId="0" fontId="101" fillId="2" borderId="146" applyNumberFormat="0" applyProtection="0">
      <alignment horizontal="left" vertical="top" indent="1"/>
    </xf>
    <xf numFmtId="0" fontId="101" fillId="2" borderId="146" applyNumberFormat="0" applyProtection="0">
      <alignment horizontal="left" vertical="top" indent="1"/>
    </xf>
    <xf numFmtId="0" fontId="101" fillId="2" borderId="146" applyNumberFormat="0" applyProtection="0">
      <alignment horizontal="left" vertical="top" indent="1"/>
    </xf>
    <xf numFmtId="4" fontId="73" fillId="7" borderId="146" applyNumberFormat="0" applyProtection="0">
      <alignment horizontal="right" vertical="center"/>
    </xf>
    <xf numFmtId="4" fontId="73" fillId="7" borderId="146" applyNumberFormat="0" applyProtection="0">
      <alignment horizontal="right" vertical="center"/>
    </xf>
    <xf numFmtId="4" fontId="73" fillId="7"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9" borderId="146" applyNumberFormat="0" applyProtection="0">
      <alignment vertical="center"/>
    </xf>
    <xf numFmtId="4" fontId="73" fillId="9" borderId="146" applyNumberFormat="0" applyProtection="0">
      <alignment vertical="center"/>
    </xf>
    <xf numFmtId="4" fontId="73" fillId="9" borderId="146" applyNumberFormat="0" applyProtection="0">
      <alignment vertical="center"/>
    </xf>
    <xf numFmtId="4" fontId="152" fillId="9" borderId="146" applyNumberFormat="0" applyProtection="0">
      <alignment vertical="center"/>
    </xf>
    <xf numFmtId="4" fontId="152" fillId="9" borderId="146" applyNumberFormat="0" applyProtection="0">
      <alignment vertical="center"/>
    </xf>
    <xf numFmtId="4" fontId="152" fillId="9" borderId="146" applyNumberFormat="0" applyProtection="0">
      <alignment vertical="center"/>
    </xf>
    <xf numFmtId="4" fontId="73" fillId="9" borderId="146" applyNumberFormat="0" applyProtection="0">
      <alignment horizontal="left" vertical="center" indent="1"/>
    </xf>
    <xf numFmtId="4" fontId="73" fillId="9" borderId="146" applyNumberFormat="0" applyProtection="0">
      <alignment horizontal="left" vertical="center" indent="1"/>
    </xf>
    <xf numFmtId="4" fontId="73" fillId="9" borderId="146" applyNumberFormat="0" applyProtection="0">
      <alignment horizontal="left" vertical="center" indent="1"/>
    </xf>
    <xf numFmtId="0" fontId="73" fillId="9" borderId="146" applyNumberFormat="0" applyProtection="0">
      <alignment horizontal="left" vertical="top" indent="1"/>
    </xf>
    <xf numFmtId="0" fontId="73" fillId="9" borderId="146" applyNumberFormat="0" applyProtection="0">
      <alignment horizontal="left" vertical="top" indent="1"/>
    </xf>
    <xf numFmtId="0" fontId="73" fillId="9" borderId="146" applyNumberFormat="0" applyProtection="0">
      <alignment horizontal="left" vertical="top" indent="1"/>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152" fillId="72" borderId="146" applyNumberFormat="0" applyProtection="0">
      <alignment horizontal="right" vertical="center"/>
    </xf>
    <xf numFmtId="4" fontId="152" fillId="72" borderId="146" applyNumberFormat="0" applyProtection="0">
      <alignment horizontal="right" vertical="center"/>
    </xf>
    <xf numFmtId="4" fontId="152" fillId="72" borderId="146"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69" borderId="146" applyNumberFormat="0" applyProtection="0">
      <alignment horizontal="left" vertical="center" indent="1"/>
    </xf>
    <xf numFmtId="4" fontId="73" fillId="69" borderId="146" applyNumberFormat="0" applyProtection="0">
      <alignment horizontal="left" vertical="center" indent="1"/>
    </xf>
    <xf numFmtId="4" fontId="73" fillId="69" borderId="146" applyNumberFormat="0" applyProtection="0">
      <alignment horizontal="left" vertical="center" indent="1"/>
    </xf>
    <xf numFmtId="0" fontId="73" fillId="69" borderId="146" applyNumberFormat="0" applyProtection="0">
      <alignment horizontal="left" vertical="top" indent="1"/>
    </xf>
    <xf numFmtId="0" fontId="73" fillId="69" borderId="146" applyNumberFormat="0" applyProtection="0">
      <alignment horizontal="left" vertical="top" indent="1"/>
    </xf>
    <xf numFmtId="0" fontId="73" fillId="69" borderId="146" applyNumberFormat="0" applyProtection="0">
      <alignment horizontal="left" vertical="top" indent="1"/>
    </xf>
    <xf numFmtId="4" fontId="20" fillId="72" borderId="146" applyNumberFormat="0" applyProtection="0">
      <alignment horizontal="right" vertical="center"/>
    </xf>
    <xf numFmtId="4" fontId="20" fillId="72" borderId="146" applyNumberFormat="0" applyProtection="0">
      <alignment horizontal="right" vertical="center"/>
    </xf>
    <xf numFmtId="4" fontId="20" fillId="72" borderId="146" applyNumberFormat="0" applyProtection="0">
      <alignment horizontal="right" vertical="center"/>
    </xf>
    <xf numFmtId="0" fontId="37" fillId="0" borderId="134"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62" fillId="0" borderId="135" applyNumberFormat="0" applyFill="0" applyAlignment="0" applyProtection="0"/>
    <xf numFmtId="188" fontId="40" fillId="0" borderId="144"/>
    <xf numFmtId="188" fontId="40" fillId="0" borderId="144"/>
    <xf numFmtId="188" fontId="40" fillId="0" borderId="144"/>
    <xf numFmtId="188" fontId="40" fillId="0" borderId="144"/>
    <xf numFmtId="232" fontId="50" fillId="0" borderId="145">
      <protection locked="0"/>
    </xf>
    <xf numFmtId="232" fontId="50" fillId="0" borderId="145">
      <protection locked="0"/>
    </xf>
    <xf numFmtId="232" fontId="50" fillId="0" borderId="145">
      <protection locked="0"/>
    </xf>
    <xf numFmtId="232" fontId="50" fillId="0" borderId="145">
      <protection locked="0"/>
    </xf>
    <xf numFmtId="232" fontId="50" fillId="0" borderId="145">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234" fontId="50" fillId="0" borderId="145">
      <protection locked="0"/>
    </xf>
    <xf numFmtId="234" fontId="50" fillId="0" borderId="145">
      <protection locked="0"/>
    </xf>
    <xf numFmtId="234" fontId="50" fillId="0" borderId="145">
      <protection locked="0"/>
    </xf>
    <xf numFmtId="234" fontId="50" fillId="0" borderId="145">
      <protection locked="0"/>
    </xf>
    <xf numFmtId="234"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235" fontId="17" fillId="0" borderId="142"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0" fontId="145" fillId="0" borderId="0"/>
    <xf numFmtId="0" fontId="190" fillId="0" borderId="0"/>
    <xf numFmtId="43" fontId="39" fillId="0" borderId="0" applyFont="0" applyFill="0" applyBorder="0" applyAlignment="0" applyProtection="0"/>
    <xf numFmtId="43" fontId="145" fillId="0" borderId="0" applyFont="0" applyFill="0" applyBorder="0" applyAlignment="0" applyProtection="0"/>
    <xf numFmtId="0" fontId="145" fillId="0" borderId="0"/>
    <xf numFmtId="43" fontId="145" fillId="0" borderId="0" applyFont="0" applyFill="0" applyBorder="0" applyAlignment="0" applyProtection="0"/>
    <xf numFmtId="43" fontId="3" fillId="0" borderId="0" applyFont="0" applyFill="0" applyBorder="0" applyAlignment="0" applyProtection="0"/>
    <xf numFmtId="0" fontId="145" fillId="0" borderId="0"/>
    <xf numFmtId="43" fontId="145" fillId="0" borderId="0" applyFont="0" applyFill="0" applyBorder="0" applyAlignment="0" applyProtection="0"/>
    <xf numFmtId="0" fontId="3" fillId="0" borderId="0"/>
    <xf numFmtId="0" fontId="145" fillId="0" borderId="0"/>
    <xf numFmtId="0" fontId="145" fillId="0" borderId="0"/>
    <xf numFmtId="0" fontId="189" fillId="0" borderId="0"/>
    <xf numFmtId="0" fontId="145" fillId="0" borderId="0"/>
    <xf numFmtId="0" fontId="145" fillId="0" borderId="0"/>
    <xf numFmtId="0" fontId="145" fillId="0" borderId="0"/>
    <xf numFmtId="9" fontId="145" fillId="0" borderId="0" applyFont="0" applyFill="0" applyBorder="0" applyAlignment="0" applyProtection="0"/>
    <xf numFmtId="0" fontId="50" fillId="0" borderId="0" applyNumberFormat="0" applyFill="0" applyAlignment="0" applyProtection="0">
      <alignment vertical="top"/>
      <protection locked="0"/>
    </xf>
    <xf numFmtId="9" fontId="147"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88" fillId="0" borderId="0"/>
    <xf numFmtId="43" fontId="12" fillId="0" borderId="0" applyFont="0" applyFill="0" applyBorder="0" applyAlignment="0" applyProtection="0"/>
    <xf numFmtId="44" fontId="12" fillId="0" borderId="0" applyFont="0" applyFill="0" applyBorder="0" applyAlignment="0" applyProtection="0"/>
    <xf numFmtId="43" fontId="145" fillId="0" borderId="0" applyFont="0" applyFill="0" applyBorder="0" applyAlignment="0" applyProtection="0"/>
    <xf numFmtId="0" fontId="38" fillId="107" borderId="0" applyNumberFormat="0" applyBorder="0" applyAlignment="0" applyProtection="0"/>
    <xf numFmtId="0" fontId="38" fillId="109"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7"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8" borderId="0" applyNumberFormat="0" applyBorder="0" applyAlignment="0" applyProtection="0"/>
    <xf numFmtId="0" fontId="73" fillId="8"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7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1"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2" fillId="0" borderId="0"/>
    <xf numFmtId="0" fontId="2" fillId="0" borderId="0"/>
    <xf numFmtId="0" fontId="73" fillId="7" borderId="0" applyNumberFormat="0" applyBorder="0" applyAlignment="0" applyProtection="0"/>
    <xf numFmtId="0" fontId="73" fillId="7" borderId="0" applyNumberFormat="0" applyBorder="0" applyAlignment="0" applyProtection="0"/>
    <xf numFmtId="0" fontId="2" fillId="89"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2" fillId="86" borderId="0" applyNumberFormat="0" applyBorder="0" applyAlignment="0" applyProtection="0"/>
    <xf numFmtId="0" fontId="73" fillId="15" borderId="0" applyNumberFormat="0" applyBorder="0" applyAlignment="0" applyProtection="0"/>
    <xf numFmtId="0" fontId="2" fillId="0" borderId="0"/>
    <xf numFmtId="0" fontId="39" fillId="1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2" fillId="55" borderId="49" applyNumberFormat="0" applyFont="0" applyAlignment="0" applyProtection="0"/>
    <xf numFmtId="0" fontId="2" fillId="55" borderId="49" applyNumberFormat="0" applyFont="0" applyAlignment="0" applyProtection="0"/>
    <xf numFmtId="0" fontId="73" fillId="3" borderId="0" applyNumberFormat="0" applyBorder="0" applyAlignment="0" applyProtection="0"/>
    <xf numFmtId="0" fontId="2" fillId="8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2" fillId="8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2" fillId="7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4" borderId="0" applyNumberFormat="0" applyBorder="0" applyAlignment="0" applyProtection="0"/>
    <xf numFmtId="0" fontId="11" fillId="0" borderId="0"/>
    <xf numFmtId="0" fontId="191" fillId="0" borderId="0"/>
    <xf numFmtId="0" fontId="7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84" fillId="8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84" fillId="8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184" fillId="91"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241"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0" fontId="15" fillId="31" borderId="3">
      <alignment horizontal="center" vertical="center"/>
    </xf>
    <xf numFmtId="215" fontId="69" fillId="31" borderId="3">
      <alignment horizontal="center" vertical="center"/>
    </xf>
    <xf numFmtId="0" fontId="35" fillId="0" borderId="0" applyNumberFormat="0" applyFill="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70" fillId="7"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74" fillId="93"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53" fillId="0" borderId="0" applyNumberFormat="0" applyFill="0" applyBorder="0" applyAlignment="0" applyProtection="0"/>
    <xf numFmtId="0" fontId="32"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2"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32"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178" fillId="96" borderId="156"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3" fillId="0" borderId="21" applyNumberFormat="0" applyFill="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12" borderId="6" applyNumberFormat="0" applyAlignment="0" applyProtection="0"/>
    <xf numFmtId="0" fontId="34" fillId="61" borderId="6" applyNumberFormat="0" applyAlignment="0" applyProtection="0"/>
    <xf numFmtId="0" fontId="180" fillId="97" borderId="159"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243" fontId="11" fillId="0" borderId="0" applyFont="0" applyFill="0" applyBorder="0" applyAlignment="0" applyProtection="0"/>
    <xf numFmtId="243" fontId="11" fillId="0" borderId="0" applyFont="0" applyFill="0" applyBorder="0" applyAlignment="0" applyProtection="0"/>
    <xf numFmtId="241" fontId="147" fillId="0" borderId="0" applyFont="0" applyFill="0" applyBorder="0" applyAlignment="0" applyProtection="0"/>
    <xf numFmtId="43" fontId="145" fillId="0" borderId="0" applyFont="0" applyFill="0" applyBorder="0" applyAlignment="0" applyProtection="0"/>
    <xf numFmtId="241" fontId="147"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242" fontId="147" fillId="0" borderId="0" applyFont="0" applyFill="0" applyBorder="0" applyAlignment="0" applyProtection="0"/>
    <xf numFmtId="199" fontId="11" fillId="0" borderId="0" applyFont="0" applyFill="0" applyBorder="0" applyAlignment="0" applyProtection="0"/>
    <xf numFmtId="239"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1" fontId="19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2" fontId="147"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1" fontId="12"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85" fillId="0" borderId="0"/>
    <xf numFmtId="44" fontId="11" fillId="0" borderId="0" applyFont="0" applyFill="0" applyBorder="0" applyAlignment="0" applyProtection="0"/>
    <xf numFmtId="44" fontId="11" fillId="0" borderId="0" applyFont="0" applyFill="0" applyBorder="0" applyAlignment="0" applyProtection="0"/>
    <xf numFmtId="262" fontId="11" fillId="0" borderId="0" applyFont="0" applyFill="0" applyBorder="0" applyAlignment="0" applyProtection="0"/>
    <xf numFmtId="262" fontId="12" fillId="0" borderId="0" applyFont="0" applyFill="0" applyBorder="0" applyAlignment="0" applyProtection="0"/>
    <xf numFmtId="44" fontId="1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255"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75" fillId="0" borderId="0" applyFont="0" applyFill="0" applyBorder="0" applyAlignment="0" applyProtection="0">
      <alignment horizontal="right"/>
    </xf>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3"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30" fillId="5" borderId="137"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18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197" fillId="0" borderId="0">
      <protection locked="0"/>
    </xf>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0" fontId="76" fillId="0" borderId="0">
      <protection locked="0"/>
    </xf>
    <xf numFmtId="0" fontId="197" fillId="0" borderId="0">
      <protection locked="0"/>
    </xf>
    <xf numFmtId="2" fontId="11" fillId="0" borderId="0" applyFont="0" applyFill="0" applyBorder="0" applyAlignment="0" applyProtection="0"/>
    <xf numFmtId="264" fontId="76" fillId="0" borderId="0">
      <protection locked="0"/>
    </xf>
    <xf numFmtId="221"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73" fillId="9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89" fillId="0" borderId="1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89" fillId="0" borderId="1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70" fillId="0" borderId="15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90"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90"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71" fillId="0" borderId="154"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72" fillId="0" borderId="15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72"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98" fillId="0" borderId="0">
      <protection locked="0"/>
    </xf>
    <xf numFmtId="0" fontId="11" fillId="0" borderId="0">
      <protection locked="0"/>
    </xf>
    <xf numFmtId="0" fontId="198" fillId="0" borderId="0">
      <protection locked="0"/>
    </xf>
    <xf numFmtId="0" fontId="204" fillId="0" borderId="0" applyNumberFormat="0" applyFill="0" applyBorder="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30" fillId="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76" fillId="95" borderId="156" applyNumberFormat="0" applyAlignment="0" applyProtection="0"/>
    <xf numFmtId="0" fontId="30" fillId="5" borderId="137" applyNumberFormat="0" applyAlignment="0" applyProtection="0"/>
    <xf numFmtId="0" fontId="199" fillId="65" borderId="137" applyNumberFormat="0" applyAlignment="0" applyProtection="0"/>
    <xf numFmtId="0" fontId="176" fillId="95" borderId="156" applyNumberFormat="0" applyAlignment="0" applyProtection="0"/>
    <xf numFmtId="0" fontId="199" fillId="65" borderId="137" applyNumberFormat="0" applyAlignment="0" applyProtection="0"/>
    <xf numFmtId="0" fontId="176" fillId="95" borderId="156" applyNumberFormat="0" applyAlignment="0" applyProtection="0"/>
    <xf numFmtId="0" fontId="199" fillId="65" borderId="137" applyNumberFormat="0" applyAlignment="0" applyProtection="0"/>
    <xf numFmtId="0" fontId="176" fillId="95" borderId="156" applyNumberFormat="0" applyAlignment="0" applyProtection="0"/>
    <xf numFmtId="0" fontId="70" fillId="7" borderId="0" applyNumberFormat="0" applyBorder="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33" fillId="0" borderId="21"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179" fillId="0" borderId="158"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175"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265" fontId="201" fillId="0" borderId="0"/>
    <xf numFmtId="228" fontId="69" fillId="0" borderId="0"/>
    <xf numFmtId="0" fontId="205" fillId="0" borderId="0"/>
    <xf numFmtId="0" fontId="2" fillId="0" borderId="0"/>
    <xf numFmtId="0" fontId="2" fillId="0" borderId="0"/>
    <xf numFmtId="0" fontId="2"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1" fillId="0" borderId="0"/>
    <xf numFmtId="0" fontId="143" fillId="0" borderId="0"/>
    <xf numFmtId="0" fontId="143" fillId="0" borderId="0"/>
    <xf numFmtId="0" fontId="143" fillId="0" borderId="0"/>
    <xf numFmtId="0" fontId="2" fillId="0" borderId="0"/>
    <xf numFmtId="0" fontId="2" fillId="0" borderId="0"/>
    <xf numFmtId="0" fontId="2" fillId="0" borderId="0"/>
    <xf numFmtId="0" fontId="145" fillId="0" borderId="0"/>
    <xf numFmtId="0" fontId="145" fillId="0" borderId="0"/>
    <xf numFmtId="0" fontId="2" fillId="0" borderId="0"/>
    <xf numFmtId="0" fontId="11"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11" fillId="0" borderId="0"/>
    <xf numFmtId="241" fontId="14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8" fillId="10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240"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4" fillId="61" borderId="6" applyNumberFormat="0" applyAlignment="0" applyProtection="0"/>
    <xf numFmtId="43" fontId="39" fillId="0" borderId="0" applyFont="0" applyFill="0" applyBorder="0" applyAlignment="0" applyProtection="0"/>
    <xf numFmtId="0" fontId="195" fillId="60" borderId="0" applyNumberFormat="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4" fillId="61" borderId="6" applyNumberFormat="0" applyAlignment="0" applyProtection="0"/>
    <xf numFmtId="0" fontId="11" fillId="9" borderId="138" applyNumberFormat="0" applyFont="0" applyAlignment="0" applyProtection="0"/>
    <xf numFmtId="0" fontId="38" fillId="106" borderId="0" applyNumberFormat="0" applyBorder="0" applyAlignment="0" applyProtection="0"/>
    <xf numFmtId="0" fontId="38" fillId="10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39" fillId="16"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6" fontId="82" fillId="0" borderId="0">
      <protection locked="0"/>
    </xf>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217" fontId="76" fillId="0" borderId="0">
      <protection locked="0"/>
    </xf>
    <xf numFmtId="0" fontId="2" fillId="8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9" fillId="17"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7" borderId="0" applyNumberFormat="0" applyBorder="0" applyAlignment="0" applyProtection="0"/>
    <xf numFmtId="0" fontId="184" fillId="7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89"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43" fillId="8" borderId="0" applyNumberFormat="0" applyBorder="0" applyAlignment="0" applyProtection="0"/>
    <xf numFmtId="0" fontId="2" fillId="86"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2" fillId="83"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84" fillId="79" borderId="0" applyNumberFormat="0" applyBorder="0" applyAlignment="0" applyProtection="0"/>
    <xf numFmtId="0" fontId="2" fillId="8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2" fillId="7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84" fillId="8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73" fillId="7"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2" fillId="89" borderId="0" applyNumberFormat="0" applyBorder="0" applyAlignment="0" applyProtection="0"/>
    <xf numFmtId="0" fontId="73" fillId="22" borderId="0" applyNumberFormat="0" applyBorder="0" applyAlignment="0" applyProtection="0"/>
    <xf numFmtId="0" fontId="38" fillId="21" borderId="0" applyNumberFormat="0" applyBorder="0" applyAlignment="0" applyProtection="0"/>
    <xf numFmtId="0" fontId="2" fillId="87" borderId="0" applyNumberFormat="0" applyBorder="0" applyAlignment="0" applyProtection="0"/>
    <xf numFmtId="0" fontId="2" fillId="86"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2" fillId="83"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2" fillId="80"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78" borderId="0" applyNumberFormat="0" applyBorder="0" applyAlignment="0" applyProtection="0"/>
    <xf numFmtId="0" fontId="2" fillId="77" borderId="0" applyNumberFormat="0" applyBorder="0" applyAlignment="0" applyProtection="0"/>
    <xf numFmtId="0" fontId="39" fillId="17" borderId="0" applyNumberFormat="0" applyBorder="0" applyAlignment="0" applyProtection="0"/>
    <xf numFmtId="0" fontId="43" fillId="22" borderId="0" applyNumberFormat="0" applyBorder="0" applyAlignment="0" applyProtection="0"/>
    <xf numFmtId="0" fontId="2" fillId="75" borderId="0" applyNumberFormat="0" applyBorder="0" applyAlignment="0" applyProtection="0"/>
    <xf numFmtId="0" fontId="2" fillId="74" borderId="0" applyNumberFormat="0" applyBorder="0" applyAlignment="0" applyProtection="0"/>
    <xf numFmtId="0" fontId="73" fillId="5" borderId="0" applyNumberFormat="0" applyBorder="0" applyAlignment="0" applyProtection="0"/>
    <xf numFmtId="0" fontId="39" fillId="11" borderId="0" applyNumberFormat="0" applyBorder="0" applyAlignment="0" applyProtection="0"/>
    <xf numFmtId="0" fontId="73" fillId="27" borderId="0" applyNumberFormat="0" applyBorder="0" applyAlignment="0" applyProtection="0"/>
    <xf numFmtId="0" fontId="2" fillId="55" borderId="49" applyNumberFormat="0" applyFont="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3"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7"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6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43" fillId="0" borderId="0"/>
    <xf numFmtId="0" fontId="11"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145" fillId="0" borderId="0"/>
    <xf numFmtId="0" fontId="2" fillId="0" borderId="0"/>
    <xf numFmtId="0" fontId="143" fillId="0" borderId="0"/>
    <xf numFmtId="0" fontId="145" fillId="0" borderId="0"/>
    <xf numFmtId="0" fontId="11" fillId="0" borderId="0"/>
    <xf numFmtId="0" fontId="145"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145" fillId="0" borderId="0"/>
    <xf numFmtId="0" fontId="147" fillId="0" borderId="0"/>
    <xf numFmtId="0" fontId="145"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06" fillId="0" borderId="0"/>
    <xf numFmtId="0" fontId="11" fillId="0" borderId="0">
      <alignment wrapText="1"/>
    </xf>
    <xf numFmtId="0" fontId="39" fillId="0" borderId="0"/>
    <xf numFmtId="0" fontId="2" fillId="0" borderId="0"/>
    <xf numFmtId="0" fontId="2" fillId="0" borderId="0"/>
    <xf numFmtId="0" fontId="2" fillId="0" borderId="0"/>
    <xf numFmtId="0" fontId="2"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alignment wrapText="1"/>
    </xf>
    <xf numFmtId="0" fontId="11" fillId="0" borderId="0">
      <alignment wrapText="1"/>
    </xf>
    <xf numFmtId="0" fontId="206" fillId="0" borderId="0"/>
    <xf numFmtId="0" fontId="12" fillId="0" borderId="0"/>
    <xf numFmtId="0" fontId="143"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7" fillId="0" borderId="0"/>
    <xf numFmtId="0" fontId="2" fillId="0" borderId="0"/>
    <xf numFmtId="0" fontId="2" fillId="0" borderId="0"/>
    <xf numFmtId="0" fontId="11" fillId="0" borderId="0"/>
    <xf numFmtId="0" fontId="207" fillId="0" borderId="0"/>
    <xf numFmtId="0" fontId="11" fillId="0" borderId="0"/>
    <xf numFmtId="0" fontId="2" fillId="0" borderId="0"/>
    <xf numFmtId="0" fontId="2" fillId="0" borderId="0"/>
    <xf numFmtId="0" fontId="2" fillId="0" borderId="0"/>
    <xf numFmtId="0" fontId="206"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47" fillId="0" borderId="0"/>
    <xf numFmtId="0" fontId="143" fillId="0" borderId="0"/>
    <xf numFmtId="0" fontId="11" fillId="0" borderId="0"/>
    <xf numFmtId="0" fontId="11" fillId="0" borderId="0">
      <alignment wrapText="1"/>
    </xf>
    <xf numFmtId="0" fontId="11" fillId="0" borderId="0"/>
    <xf numFmtId="0" fontId="39" fillId="0" borderId="0"/>
    <xf numFmtId="0" fontId="12" fillId="0" borderId="0"/>
    <xf numFmtId="0" fontId="2" fillId="0" borderId="0"/>
    <xf numFmtId="0" fontId="206" fillId="0" borderId="0"/>
    <xf numFmtId="0" fontId="2" fillId="0" borderId="0"/>
    <xf numFmtId="0" fontId="145" fillId="0" borderId="0"/>
    <xf numFmtId="0" fontId="2" fillId="0" borderId="0"/>
    <xf numFmtId="0" fontId="145" fillId="0" borderId="0"/>
    <xf numFmtId="0" fontId="2"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2" fillId="0" borderId="0"/>
    <xf numFmtId="0" fontId="2" fillId="0" borderId="0"/>
    <xf numFmtId="0" fontId="39"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2" fillId="0" borderId="0"/>
    <xf numFmtId="0" fontId="2" fillId="0" borderId="0"/>
    <xf numFmtId="0" fontId="2" fillId="0" borderId="0"/>
    <xf numFmtId="0" fontId="2" fillId="0" borderId="0"/>
    <xf numFmtId="0" fontId="39" fillId="0" borderId="0"/>
    <xf numFmtId="0" fontId="147"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2" fillId="0" borderId="0"/>
    <xf numFmtId="0" fontId="2" fillId="0" borderId="0"/>
    <xf numFmtId="0" fontId="2" fillId="0" borderId="0"/>
    <xf numFmtId="0" fontId="2" fillId="0" borderId="0"/>
    <xf numFmtId="0" fontId="39"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2" fillId="0" borderId="0"/>
    <xf numFmtId="0" fontId="11" fillId="0" borderId="0"/>
    <xf numFmtId="0" fontId="2" fillId="0" borderId="0"/>
    <xf numFmtId="0" fontId="39" fillId="0" borderId="0"/>
    <xf numFmtId="0" fontId="147" fillId="0" borderId="0"/>
    <xf numFmtId="0" fontId="145" fillId="0" borderId="0"/>
    <xf numFmtId="0" fontId="145" fillId="0" borderId="0"/>
    <xf numFmtId="0" fontId="145" fillId="0" borderId="0"/>
    <xf numFmtId="0" fontId="145"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5" fillId="9"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177" fillId="96" borderId="157"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85" fillId="0" borderId="0"/>
    <xf numFmtId="9" fontId="11" fillId="0" borderId="0" applyFont="0" applyFill="0" applyBorder="0" applyAlignment="0" applyProtection="0"/>
    <xf numFmtId="9" fontId="12"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10" fontId="12" fillId="0" borderId="0" applyFill="0" applyBorder="0" applyProtection="0">
      <alignment horizontal="center"/>
    </xf>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89" fillId="0" borderId="0" applyNumberFormat="0" applyFont="0" applyFill="0" applyBorder="0" applyAlignment="0" applyProtection="0">
      <alignment horizontal="left"/>
    </xf>
    <xf numFmtId="0" fontId="189" fillId="0" borderId="0" applyNumberFormat="0" applyFont="0" applyFill="0" applyBorder="0" applyAlignment="0" applyProtection="0">
      <alignment horizontal="left"/>
    </xf>
    <xf numFmtId="15" fontId="189" fillId="0" borderId="0" applyFont="0" applyFill="0" applyBorder="0" applyAlignment="0" applyProtection="0"/>
    <xf numFmtId="15" fontId="189" fillId="0" borderId="0" applyFont="0" applyFill="0" applyBorder="0" applyAlignment="0" applyProtection="0"/>
    <xf numFmtId="4"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0" fontId="193" fillId="0" borderId="8">
      <alignment horizontal="center"/>
    </xf>
    <xf numFmtId="3" fontId="189" fillId="0" borderId="0" applyFont="0" applyFill="0" applyBorder="0" applyAlignment="0" applyProtection="0"/>
    <xf numFmtId="3" fontId="189" fillId="0" borderId="0" applyFont="0" applyFill="0" applyBorder="0" applyAlignment="0" applyProtection="0"/>
    <xf numFmtId="0" fontId="189" fillId="111" borderId="0" applyNumberFormat="0" applyFont="0" applyBorder="0" applyAlignment="0" applyProtection="0"/>
    <xf numFmtId="0" fontId="189"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42" borderId="0" applyNumberFormat="0" applyProtection="0">
      <alignment horizontal="left" vertical="center" indent="1"/>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2" fillId="43" borderId="0" applyNumberFormat="0" applyProtection="0">
      <alignment vertical="center"/>
    </xf>
    <xf numFmtId="4" fontId="101" fillId="0"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202" fillId="72" borderId="146" applyNumberFormat="0" applyProtection="0">
      <alignment horizontal="left" vertical="center" indent="1"/>
    </xf>
    <xf numFmtId="0" fontId="202"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17" fillId="0" borderId="170" applyNumberFormat="0" applyProtection="0">
      <alignment horizontal="right" vertical="center"/>
    </xf>
    <xf numFmtId="4" fontId="11" fillId="0" borderId="142"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11" fillId="45" borderId="0" applyNumberFormat="0" applyProtection="0">
      <alignment horizontal="left" vertical="center"/>
    </xf>
    <xf numFmtId="4" fontId="73" fillId="0" borderId="146"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0" fontId="28" fillId="10" borderId="0" applyNumberFormat="0" applyBorder="0" applyAlignment="0" applyProtection="0"/>
    <xf numFmtId="0" fontId="31" fillId="14" borderId="139" applyNumberFormat="0" applyAlignment="0" applyProtection="0"/>
    <xf numFmtId="49" fontId="11" fillId="0" borderId="0" applyFont="0" applyFill="0" applyBorder="0" applyAlignment="0" applyProtection="0"/>
    <xf numFmtId="0" fontId="142" fillId="0" borderId="0" applyNumberFormat="0" applyFont="0" applyFill="0" applyBorder="0" applyProtection="0">
      <alignment horizontal="center" wrapText="1"/>
    </xf>
    <xf numFmtId="0" fontId="36" fillId="0" borderId="0" applyNumberFormat="0" applyFill="0" applyBorder="0" applyAlignment="0" applyProtection="0"/>
    <xf numFmtId="40" fontId="20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183" fillId="0" borderId="16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37" fontId="17" fillId="38" borderId="0" applyNumberFormat="0" applyBorder="0" applyAlignment="0" applyProtection="0"/>
    <xf numFmtId="0" fontId="34" fillId="12"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69" fillId="0" borderId="0"/>
    <xf numFmtId="0" fontId="69" fillId="0" borderId="0"/>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6" fontId="11" fillId="0" borderId="0">
      <alignment horizontal="left" wrapText="1"/>
    </xf>
    <xf numFmtId="266" fontId="11" fillId="0" borderId="0">
      <alignment horizontal="left" wrapText="1"/>
    </xf>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0" fontId="15" fillId="31" borderId="3">
      <alignment horizontal="center" vertical="center"/>
    </xf>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209" fillId="112" borderId="0"/>
    <xf numFmtId="248" fontId="11" fillId="0" borderId="0"/>
    <xf numFmtId="248" fontId="11" fillId="0" borderId="0"/>
    <xf numFmtId="248" fontId="11" fillId="0" borderId="0"/>
    <xf numFmtId="248" fontId="11" fillId="0" borderId="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210" fillId="39" borderId="171">
      <alignment horizontal="center" wrapText="1"/>
    </xf>
    <xf numFmtId="267" fontId="211" fillId="0" borderId="0">
      <alignment horizontal="left"/>
    </xf>
    <xf numFmtId="43" fontId="11" fillId="0" borderId="0" applyFont="0" applyFill="0" applyBorder="0" applyAlignment="0" applyProtection="0"/>
    <xf numFmtId="43" fontId="69" fillId="0" borderId="0" applyFont="0" applyFill="0" applyBorder="0" applyAlignment="0" applyProtection="0"/>
    <xf numFmtId="43" fontId="11" fillId="0" borderId="0" applyFont="0" applyFill="0" applyBorder="0" applyAlignment="0" applyProtection="0"/>
    <xf numFmtId="243" fontId="11"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243" fontId="11" fillId="0" borderId="0" applyFont="0" applyFill="0" applyBorder="0" applyAlignment="0" applyProtection="0"/>
    <xf numFmtId="241" fontId="147" fillId="0" borderId="0" applyFont="0" applyFill="0" applyBorder="0" applyAlignment="0" applyProtection="0"/>
    <xf numFmtId="241" fontId="147" fillId="0" borderId="0" applyFont="0" applyFill="0" applyBorder="0" applyAlignment="0" applyProtection="0"/>
    <xf numFmtId="241" fontId="39"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241" fontId="14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241"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242" fontId="147" fillId="0" borderId="0" applyFont="0" applyFill="0" applyBorder="0" applyAlignment="0" applyProtection="0"/>
    <xf numFmtId="242" fontId="147"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39" fontId="11" fillId="0" borderId="0" applyFont="0" applyFill="0" applyBorder="0" applyAlignment="0" applyProtection="0"/>
    <xf numFmtId="0" fontId="75" fillId="0" borderId="0" applyFont="0" applyFill="0" applyBorder="0" applyAlignment="0" applyProtection="0">
      <alignment horizontal="right"/>
    </xf>
    <xf numFmtId="241" fontId="147"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2" fontId="147" fillId="0" borderId="0" applyFont="0" applyFill="0" applyBorder="0" applyAlignment="0" applyProtection="0"/>
    <xf numFmtId="242" fontId="147" fillId="0" borderId="0" applyFont="0" applyFill="0" applyBorder="0" applyAlignment="0" applyProtection="0"/>
    <xf numFmtId="241" fontId="194"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261" fontId="12"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38" fontId="17" fillId="0" borderId="0">
      <alignment horizontal="right"/>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17" fontId="76" fillId="0" borderId="0">
      <protection locked="0"/>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3" fontId="11" fillId="0" borderId="0" applyFont="0" applyFill="0" applyBorder="0" applyAlignment="0" applyProtection="0"/>
    <xf numFmtId="218" fontId="76" fillId="0" borderId="0">
      <protection locked="0"/>
    </xf>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11" fillId="0" borderId="0" applyFont="0" applyFill="0" applyBorder="0" applyAlignment="0" applyProtection="0"/>
    <xf numFmtId="0" fontId="11" fillId="0" borderId="0" applyFont="0" applyFill="0" applyBorder="0" applyAlignment="0" applyProtection="0"/>
    <xf numFmtId="6" fontId="82" fillId="0" borderId="0">
      <protection locked="0"/>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264" fontId="76" fillId="0" borderId="0">
      <protection locked="0"/>
    </xf>
    <xf numFmtId="2" fontId="11" fillId="0" borderId="0" applyFont="0" applyFill="0" applyBorder="0" applyAlignment="0" applyProtection="0"/>
    <xf numFmtId="220" fontId="11" fillId="0" borderId="0">
      <protection locked="0"/>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21"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1" fillId="0" borderId="0">
      <protection locked="0"/>
    </xf>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30" fillId="5" borderId="137" applyNumberFormat="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269" fontId="11" fillId="0" borderId="0" applyFont="0" applyFill="0" applyBorder="0" applyAlignment="0" applyProtection="0"/>
    <xf numFmtId="270"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0" fontId="29" fillId="65" borderId="0" applyNumberFormat="0" applyBorder="0" applyAlignment="0" applyProtection="0"/>
    <xf numFmtId="0" fontId="175"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265" fontId="201" fillId="0" borderId="0"/>
    <xf numFmtId="273" fontId="66" fillId="0" borderId="31" applyFont="0" applyFill="0" applyBorder="0" applyAlignment="0" applyProtection="0"/>
    <xf numFmtId="0" fontId="143" fillId="0" borderId="0"/>
    <xf numFmtId="0" fontId="205"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47" fillId="0" borderId="0"/>
    <xf numFmtId="0" fontId="147"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1" fillId="0" borderId="0"/>
    <xf numFmtId="0" fontId="11" fillId="0" borderId="0"/>
    <xf numFmtId="0" fontId="11" fillId="0" borderId="0"/>
    <xf numFmtId="0" fontId="145" fillId="0" borderId="0"/>
    <xf numFmtId="0" fontId="145"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45" fillId="0" borderId="0"/>
    <xf numFmtId="0" fontId="145" fillId="0" borderId="0"/>
    <xf numFmtId="0" fontId="145"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1" fillId="0" borderId="0"/>
    <xf numFmtId="0" fontId="11" fillId="0" borderId="0"/>
    <xf numFmtId="0" fontId="145" fillId="0" borderId="0"/>
    <xf numFmtId="0" fontId="145" fillId="0" borderId="0"/>
    <xf numFmtId="0" fontId="147" fillId="0" borderId="0"/>
    <xf numFmtId="0" fontId="147" fillId="0" borderId="0"/>
    <xf numFmtId="0" fontId="147" fillId="0" borderId="0"/>
    <xf numFmtId="0" fontId="147" fillId="0" borderId="0"/>
    <xf numFmtId="0" fontId="147"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47" fillId="0" borderId="0"/>
    <xf numFmtId="0" fontId="147" fillId="0" borderId="0"/>
    <xf numFmtId="0" fontId="11" fillId="0" borderId="0">
      <alignment vertical="top"/>
    </xf>
    <xf numFmtId="0" fontId="147"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143" fillId="0" borderId="0"/>
    <xf numFmtId="0" fontId="143" fillId="0" borderId="0"/>
    <xf numFmtId="0" fontId="143" fillId="0" borderId="0"/>
    <xf numFmtId="0" fontId="2" fillId="0" borderId="0"/>
    <xf numFmtId="0" fontId="11" fillId="0" borderId="0"/>
    <xf numFmtId="0" fontId="11" fillId="0" borderId="0"/>
    <xf numFmtId="0" fontId="11" fillId="0" borderId="0"/>
    <xf numFmtId="0" fontId="143" fillId="0" borderId="0"/>
    <xf numFmtId="0" fontId="1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6"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2" fillId="0" borderId="0"/>
    <xf numFmtId="0" fontId="11" fillId="0" borderId="0">
      <alignment wrapText="1"/>
    </xf>
    <xf numFmtId="0" fontId="11" fillId="0" borderId="0">
      <alignment wrapText="1"/>
    </xf>
    <xf numFmtId="0" fontId="20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3"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11" fillId="0" borderId="0"/>
    <xf numFmtId="0" fontId="2" fillId="0" borderId="0"/>
    <xf numFmtId="0" fontId="206"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43"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0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2" fillId="0" borderId="0"/>
    <xf numFmtId="0" fontId="39" fillId="0" borderId="0"/>
    <xf numFmtId="0" fontId="11" fillId="0" borderId="0"/>
    <xf numFmtId="0" fontId="11" fillId="0" borderId="0"/>
    <xf numFmtId="0" fontId="11" fillId="0" borderId="0"/>
    <xf numFmtId="0" fontId="11" fillId="0" borderId="0"/>
    <xf numFmtId="0" fontId="69" fillId="0" borderId="0"/>
    <xf numFmtId="0" fontId="145" fillId="0" borderId="0"/>
    <xf numFmtId="0" fontId="69"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47" fillId="0" borderId="0"/>
    <xf numFmtId="0" fontId="147" fillId="0" borderId="0"/>
    <xf numFmtId="0" fontId="2" fillId="0" borderId="0"/>
    <xf numFmtId="0" fontId="39" fillId="0" borderId="0"/>
    <xf numFmtId="0" fontId="11" fillId="0" borderId="0"/>
    <xf numFmtId="0" fontId="11"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47" fillId="0" borderId="0"/>
    <xf numFmtId="0" fontId="2" fillId="0" borderId="0"/>
    <xf numFmtId="0" fontId="39" fillId="0" borderId="0"/>
    <xf numFmtId="0" fontId="11" fillId="0" borderId="0"/>
    <xf numFmtId="0" fontId="11" fillId="0" borderId="0"/>
    <xf numFmtId="0" fontId="11" fillId="0" borderId="0"/>
    <xf numFmtId="0" fontId="11" fillId="0" borderId="0"/>
    <xf numFmtId="0" fontId="145" fillId="0" borderId="0"/>
    <xf numFmtId="0" fontId="145" fillId="0" borderId="0"/>
    <xf numFmtId="0" fontId="145"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5" fillId="9"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40" fontId="212" fillId="54" borderId="0">
      <alignment horizontal="right"/>
    </xf>
    <xf numFmtId="0" fontId="213" fillId="54" borderId="0">
      <alignment horizontal="right"/>
    </xf>
    <xf numFmtId="0" fontId="214" fillId="54" borderId="44"/>
    <xf numFmtId="0" fontId="214" fillId="0" borderId="0" applyBorder="0">
      <alignment horizontal="centerContinuous"/>
    </xf>
    <xf numFmtId="0" fontId="215" fillId="0" borderId="0" applyBorder="0">
      <alignment horizontal="centerContinuous"/>
    </xf>
    <xf numFmtId="9" fontId="69"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9"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1"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73" fillId="0" borderId="146" applyNumberFormat="0" applyProtection="0">
      <alignment horizontal="right" vertical="center"/>
    </xf>
    <xf numFmtId="4" fontId="73" fillId="0" borderId="146" applyNumberFormat="0" applyProtection="0">
      <alignment horizontal="left" vertical="center" indent="1"/>
    </xf>
    <xf numFmtId="0" fontId="73" fillId="0" borderId="0">
      <alignment vertical="top"/>
    </xf>
    <xf numFmtId="0" fontId="154" fillId="0" borderId="0"/>
    <xf numFmtId="0" fontId="142" fillId="0" borderId="0" applyNumberFormat="0" applyFont="0" applyFill="0" applyBorder="0" applyProtection="0">
      <alignment horizontal="center" wrapText="1"/>
    </xf>
    <xf numFmtId="274" fontId="69" fillId="0" borderId="0"/>
    <xf numFmtId="0" fontId="27" fillId="0" borderId="0" applyNumberFormat="0" applyFill="0" applyBorder="0" applyAlignment="0" applyProtection="0"/>
    <xf numFmtId="0" fontId="37" fillId="0" borderId="134"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42" fontId="147" fillId="0" borderId="0" applyFont="0" applyFill="0" applyBorder="0" applyAlignment="0" applyProtection="0"/>
    <xf numFmtId="0" fontId="2" fillId="0" borderId="0"/>
    <xf numFmtId="242" fontId="147"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240"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12" fillId="0" borderId="0"/>
    <xf numFmtId="4" fontId="101" fillId="2" borderId="146" applyNumberFormat="0" applyProtection="0">
      <alignment vertical="center"/>
    </xf>
    <xf numFmtId="0" fontId="2" fillId="55" borderId="49" applyNumberFormat="0" applyFont="0" applyAlignment="0" applyProtection="0"/>
    <xf numFmtId="0" fontId="2" fillId="55" borderId="49" applyNumberFormat="0" applyFont="0" applyAlignment="0" applyProtection="0"/>
    <xf numFmtId="4" fontId="101" fillId="69" borderId="0" applyNumberFormat="0" applyProtection="0">
      <alignment horizontal="left" vertical="center" indent="1"/>
    </xf>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4" fontId="73" fillId="72" borderId="146" applyNumberFormat="0" applyProtection="0">
      <alignment horizontal="right" vertical="center"/>
    </xf>
    <xf numFmtId="4" fontId="152" fillId="72" borderId="146" applyNumberFormat="0" applyProtection="0">
      <alignment horizontal="right" vertical="center"/>
    </xf>
    <xf numFmtId="4" fontId="73" fillId="69" borderId="146" applyNumberFormat="0" applyProtection="0">
      <alignment horizontal="left" vertical="center" indent="1"/>
    </xf>
    <xf numFmtId="0" fontId="208" fillId="55" borderId="49" applyNumberFormat="0" applyFont="0" applyAlignment="0" applyProtection="0"/>
    <xf numFmtId="0" fontId="13" fillId="0" borderId="0" applyFill="0" applyBorder="0" applyProtection="0">
      <alignment horizontal="centerContinuous" wrapText="1"/>
    </xf>
    <xf numFmtId="43" fontId="145"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145" fillId="0" borderId="0" applyFont="0" applyFill="0" applyBorder="0" applyAlignment="0" applyProtection="0"/>
    <xf numFmtId="0" fontId="145" fillId="0" borderId="0"/>
    <xf numFmtId="9" fontId="2" fillId="0" borderId="0" applyFont="0" applyFill="0" applyBorder="0" applyAlignment="0" applyProtection="0"/>
    <xf numFmtId="9" fontId="2"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0" fontId="14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5" fillId="0" borderId="0" applyFont="0" applyFill="0" applyBorder="0" applyAlignment="0" applyProtection="0"/>
    <xf numFmtId="9" fontId="2" fillId="0" borderId="0" applyFont="0" applyFill="0" applyBorder="0" applyAlignment="0" applyProtection="0"/>
    <xf numFmtId="9" fontId="1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5" fillId="0" borderId="0"/>
    <xf numFmtId="9" fontId="2" fillId="0" borderId="0" applyFont="0" applyFill="0" applyBorder="0" applyAlignment="0" applyProtection="0"/>
    <xf numFmtId="43" fontId="145" fillId="0" borderId="0" applyFont="0" applyFill="0" applyBorder="0" applyAlignment="0" applyProtection="0"/>
    <xf numFmtId="0" fontId="145" fillId="0" borderId="0"/>
    <xf numFmtId="0" fontId="145" fillId="0" borderId="0"/>
    <xf numFmtId="0" fontId="147" fillId="0" borderId="0"/>
    <xf numFmtId="9" fontId="147" fillId="0" borderId="0" applyFont="0" applyFill="0" applyBorder="0" applyAlignment="0" applyProtection="0"/>
    <xf numFmtId="43" fontId="2" fillId="0" borderId="0" applyFont="0" applyFill="0" applyBorder="0" applyAlignment="0" applyProtection="0"/>
    <xf numFmtId="0" fontId="145" fillId="0" borderId="0"/>
    <xf numFmtId="0" fontId="11" fillId="0" borderId="0"/>
    <xf numFmtId="44" fontId="73" fillId="0" borderId="0" applyFont="0" applyFill="0" applyBorder="0" applyAlignment="0" applyProtection="0"/>
    <xf numFmtId="0" fontId="73" fillId="0" borderId="0"/>
    <xf numFmtId="0" fontId="11" fillId="0" borderId="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60" fillId="72" borderId="146" applyNumberFormat="0" applyProtection="0">
      <alignment horizontal="left" vertical="center" indent="1"/>
    </xf>
    <xf numFmtId="0" fontId="38" fillId="18"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2" fillId="14" borderId="137" applyNumberFormat="0" applyAlignment="0" applyProtection="0"/>
    <xf numFmtId="0" fontId="34" fillId="12" borderId="6" applyNumberFormat="0" applyAlignment="0" applyProtection="0"/>
    <xf numFmtId="0" fontId="34" fillId="12" borderId="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1" fontId="39"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9"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266" fontId="11" fillId="0" borderId="0">
      <alignment horizontal="left" wrapText="1"/>
    </xf>
    <xf numFmtId="43" fontId="11" fillId="0" borderId="0" applyFont="0" applyFill="0" applyBorder="0" applyAlignment="0" applyProtection="0"/>
    <xf numFmtId="0" fontId="2" fillId="0" borderId="0"/>
    <xf numFmtId="0" fontId="143" fillId="0" borderId="0"/>
    <xf numFmtId="0" fontId="11" fillId="0" borderId="0"/>
    <xf numFmtId="0" fontId="11" fillId="0" borderId="0"/>
    <xf numFmtId="9" fontId="11" fillId="0" borderId="0" applyFont="0" applyFill="0" applyBorder="0" applyAlignment="0" applyProtection="0"/>
    <xf numFmtId="274" fontId="69" fillId="0" borderId="0"/>
    <xf numFmtId="0" fontId="85" fillId="0" borderId="0"/>
    <xf numFmtId="9" fontId="11" fillId="0" borderId="0" applyFont="0" applyFill="0" applyBorder="0" applyAlignment="0" applyProtection="0"/>
    <xf numFmtId="0" fontId="11" fillId="0" borderId="0"/>
    <xf numFmtId="9" fontId="2" fillId="0" borderId="0" applyFont="0" applyFill="0" applyBorder="0" applyAlignment="0" applyProtection="0"/>
    <xf numFmtId="0" fontId="69" fillId="0" borderId="0"/>
    <xf numFmtId="43" fontId="11" fillId="0" borderId="0" applyFont="0" applyFill="0" applyBorder="0" applyAlignment="0" applyProtection="0"/>
    <xf numFmtId="0" fontId="38" fillId="25" borderId="0" applyNumberFormat="0" applyBorder="0" applyAlignment="0" applyProtection="0"/>
    <xf numFmtId="43" fontId="148" fillId="0" borderId="0" applyFont="0" applyFill="0" applyBorder="0" applyAlignment="0" applyProtection="0"/>
    <xf numFmtId="0" fontId="11" fillId="0" borderId="0"/>
    <xf numFmtId="0" fontId="11" fillId="0" borderId="0"/>
    <xf numFmtId="0" fontId="11" fillId="0" borderId="0"/>
    <xf numFmtId="0" fontId="11" fillId="0" borderId="0"/>
    <xf numFmtId="0" fontId="143" fillId="0" borderId="0"/>
    <xf numFmtId="0" fontId="11" fillId="0" borderId="0"/>
    <xf numFmtId="0" fontId="11" fillId="0" borderId="0"/>
    <xf numFmtId="44"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0" fontId="174" fillId="93" borderId="0" applyNumberFormat="0" applyBorder="0" applyAlignment="0" applyProtection="0"/>
    <xf numFmtId="0" fontId="73" fillId="7" borderId="0" applyNumberFormat="0" applyBorder="0" applyAlignment="0" applyProtection="0"/>
    <xf numFmtId="0" fontId="73" fillId="69" borderId="0" applyNumberFormat="0" applyBorder="0" applyAlignment="0" applyProtection="0"/>
    <xf numFmtId="0" fontId="69" fillId="0" borderId="0"/>
    <xf numFmtId="44" fontId="1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0" fillId="5" borderId="137" applyNumberFormat="0" applyAlignment="0" applyProtection="0"/>
    <xf numFmtId="0" fontId="33" fillId="0" borderId="21" applyNumberFormat="0" applyFill="0" applyAlignment="0" applyProtection="0"/>
    <xf numFmtId="0" fontId="33" fillId="0" borderId="21"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11" fillId="0" borderId="0"/>
    <xf numFmtId="0" fontId="14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9" borderId="138" applyNumberFormat="0" applyFont="0" applyAlignment="0" applyProtection="0"/>
    <xf numFmtId="0" fontId="145" fillId="9" borderId="138" applyNumberFormat="0" applyFont="0" applyAlignment="0" applyProtection="0"/>
    <xf numFmtId="0" fontId="31" fillId="14" borderId="139" applyNumberFormat="0" applyAlignment="0" applyProtection="0"/>
    <xf numFmtId="0" fontId="31" fillId="14" borderId="139" applyNumberForma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xf numFmtId="241" fontId="147" fillId="0" borderId="0" applyFont="0" applyFill="0" applyBorder="0" applyAlignment="0" applyProtection="0"/>
    <xf numFmtId="242" fontId="147" fillId="0" borderId="0" applyFont="0" applyFill="0" applyBorder="0" applyAlignment="0" applyProtection="0"/>
    <xf numFmtId="242" fontId="147" fillId="0" borderId="0" applyFont="0" applyFill="0" applyBorder="0" applyAlignment="0" applyProtection="0"/>
    <xf numFmtId="0" fontId="147" fillId="0" borderId="0"/>
    <xf numFmtId="9" fontId="147" fillId="0" borderId="0" applyFont="0" applyFill="0" applyBorder="0" applyAlignment="0" applyProtection="0"/>
    <xf numFmtId="240" fontId="147" fillId="0" borderId="0" applyFont="0" applyFill="0" applyBorder="0" applyAlignment="0" applyProtection="0"/>
    <xf numFmtId="240" fontId="147" fillId="0" borderId="0" applyFont="0" applyFill="0" applyBorder="0" applyAlignment="0" applyProtection="0"/>
    <xf numFmtId="240" fontId="147" fillId="0" borderId="0" applyFont="0" applyFill="0" applyBorder="0" applyAlignment="0" applyProtection="0"/>
    <xf numFmtId="240" fontId="147" fillId="0" borderId="0" applyFont="0" applyFill="0" applyBorder="0" applyAlignment="0" applyProtection="0"/>
    <xf numFmtId="240" fontId="147" fillId="0" borderId="0" applyFont="0" applyFill="0" applyBorder="0" applyAlignment="0" applyProtection="0"/>
    <xf numFmtId="9" fontId="2" fillId="0" borderId="0" applyFont="0" applyFill="0" applyBorder="0" applyAlignment="0" applyProtection="0"/>
    <xf numFmtId="0" fontId="207" fillId="0" borderId="0"/>
    <xf numFmtId="43" fontId="2" fillId="0" borderId="0" applyFont="0" applyFill="0" applyBorder="0" applyAlignment="0" applyProtection="0"/>
    <xf numFmtId="241" fontId="207" fillId="0" borderId="0" applyFont="0" applyFill="0" applyBorder="0" applyAlignment="0" applyProtection="0"/>
    <xf numFmtId="241" fontId="147" fillId="0" borderId="0" applyFont="0" applyFill="0" applyBorder="0" applyAlignment="0" applyProtection="0"/>
    <xf numFmtId="242" fontId="147" fillId="0" borderId="0" applyFont="0" applyFill="0" applyBorder="0" applyAlignment="0" applyProtection="0"/>
    <xf numFmtId="240" fontId="11" fillId="0" borderId="0" applyFont="0" applyFill="0" applyBorder="0" applyAlignment="0" applyProtection="0"/>
    <xf numFmtId="243" fontId="11" fillId="0" borderId="0" applyFont="0" applyFill="0" applyBorder="0" applyAlignment="0" applyProtection="0"/>
    <xf numFmtId="0" fontId="12" fillId="0" borderId="0"/>
    <xf numFmtId="0" fontId="147" fillId="0" borderId="0"/>
    <xf numFmtId="0" fontId="147" fillId="0" borderId="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0" fontId="11" fillId="0" borderId="0"/>
    <xf numFmtId="44" fontId="11" fillId="0" borderId="0" applyFont="0" applyFill="0" applyBorder="0" applyAlignment="0" applyProtection="0"/>
    <xf numFmtId="0" fontId="147" fillId="0" borderId="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2" fillId="0" borderId="0"/>
    <xf numFmtId="0" fontId="2" fillId="0" borderId="0"/>
    <xf numFmtId="0" fontId="2" fillId="0" borderId="0"/>
    <xf numFmtId="0" fontId="2" fillId="0" borderId="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02" fillId="72" borderId="146" applyNumberFormat="0" applyProtection="0">
      <alignment horizontal="left" vertical="center" indent="1"/>
    </xf>
    <xf numFmtId="43" fontId="11" fillId="0" borderId="0" applyFont="0" applyFill="0" applyBorder="0" applyAlignment="0" applyProtection="0"/>
    <xf numFmtId="44"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217" fontId="76" fillId="0" borderId="0">
      <protection locked="0"/>
    </xf>
    <xf numFmtId="44" fontId="2" fillId="0" borderId="0" applyFont="0" applyFill="0" applyBorder="0" applyAlignment="0" applyProtection="0"/>
    <xf numFmtId="6" fontId="82" fillId="0" borderId="0">
      <protection locked="0"/>
    </xf>
    <xf numFmtId="43" fontId="2" fillId="0" borderId="0" applyFont="0" applyFill="0" applyBorder="0" applyAlignment="0" applyProtection="0"/>
    <xf numFmtId="217" fontId="76" fillId="0" borderId="0">
      <protection locked="0"/>
    </xf>
    <xf numFmtId="44" fontId="2" fillId="0" borderId="0" applyFont="0" applyFill="0" applyBorder="0" applyAlignment="0" applyProtection="0"/>
    <xf numFmtId="217" fontId="76" fillId="0" borderId="0">
      <protection locked="0"/>
    </xf>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6" fontId="82" fillId="0" borderId="0">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6" fontId="82" fillId="0" borderId="0">
      <protection locked="0"/>
    </xf>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0" fontId="2" fillId="0" borderId="0"/>
    <xf numFmtId="6" fontId="82" fillId="0" borderId="0">
      <protection locked="0"/>
    </xf>
    <xf numFmtId="9" fontId="2" fillId="0" borderId="0" applyFont="0" applyFill="0" applyBorder="0" applyAlignment="0" applyProtection="0"/>
    <xf numFmtId="217" fontId="76" fillId="0" borderId="0">
      <protection locked="0"/>
    </xf>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6" fontId="82" fillId="0" borderId="0">
      <protection locked="0"/>
    </xf>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6" fontId="82" fillId="0" borderId="0">
      <protection locked="0"/>
    </xf>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6" fontId="82" fillId="0" borderId="0">
      <protection locked="0"/>
    </xf>
    <xf numFmtId="0" fontId="2" fillId="0" borderId="0"/>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217" fontId="76" fillId="0" borderId="0">
      <protection locked="0"/>
    </xf>
    <xf numFmtId="9" fontId="2" fillId="0" borderId="0" applyFont="0" applyFill="0" applyBorder="0" applyAlignment="0" applyProtection="0"/>
    <xf numFmtId="43" fontId="2" fillId="0" borderId="0" applyFont="0" applyFill="0" applyBorder="0" applyAlignment="0" applyProtection="0"/>
    <xf numFmtId="217" fontId="76" fillId="0" borderId="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7" fontId="76" fillId="0" borderId="0">
      <protection locked="0"/>
    </xf>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6" fontId="82" fillId="0" borderId="0">
      <protection locked="0"/>
    </xf>
    <xf numFmtId="0" fontId="2" fillId="0" borderId="0"/>
    <xf numFmtId="217" fontId="76" fillId="0" borderId="0">
      <protection locked="0"/>
    </xf>
    <xf numFmtId="0" fontId="2" fillId="0" borderId="0"/>
    <xf numFmtId="0" fontId="2" fillId="0" borderId="0"/>
    <xf numFmtId="43" fontId="11" fillId="0" borderId="0" applyFont="0" applyFill="0" applyBorder="0" applyAlignment="0" applyProtection="0"/>
    <xf numFmtId="0" fontId="2" fillId="0" borderId="0"/>
    <xf numFmtId="6" fontId="82" fillId="0" borderId="0">
      <protection locked="0"/>
    </xf>
    <xf numFmtId="6" fontId="82" fillId="0" borderId="0">
      <protection locked="0"/>
    </xf>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217" fontId="76" fillId="0" borderId="0">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38" fillId="107" borderId="0" applyNumberFormat="0" applyBorder="0" applyAlignment="0" applyProtection="0"/>
    <xf numFmtId="0" fontId="2" fillId="80" borderId="0" applyNumberFormat="0" applyBorder="0" applyAlignment="0" applyProtection="0"/>
    <xf numFmtId="0" fontId="38" fillId="107"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38" fillId="107"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14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1" fontId="147" fillId="0" borderId="0" applyFont="0" applyFill="0" applyBorder="0" applyAlignment="0" applyProtection="0"/>
    <xf numFmtId="43" fontId="145" fillId="0" borderId="0" applyFont="0" applyFill="0" applyBorder="0" applyAlignment="0" applyProtection="0"/>
    <xf numFmtId="241" fontId="147"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43" fontId="145"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242" fontId="147" fillId="0" borderId="0" applyFont="0" applyFill="0" applyBorder="0" applyAlignment="0" applyProtection="0"/>
    <xf numFmtId="199" fontId="11" fillId="0" borderId="0" applyFont="0" applyFill="0" applyBorder="0" applyAlignment="0" applyProtection="0"/>
    <xf numFmtId="239"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241" fontId="19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1" fontId="12"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9" fontId="11" fillId="0" borderId="0" applyFont="0" applyFill="0" applyBorder="0" applyAlignment="0" applyProtection="0"/>
    <xf numFmtId="217" fontId="76" fillId="0" borderId="0">
      <protection locked="0"/>
    </xf>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18" fontId="76" fillId="0" borderId="0">
      <protection locked="0"/>
    </xf>
    <xf numFmtId="0" fontId="76" fillId="0" borderId="0">
      <protection locked="0"/>
    </xf>
    <xf numFmtId="6" fontId="82" fillId="0" borderId="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64" fontId="76" fillId="0" borderId="0">
      <protection locked="0"/>
    </xf>
    <xf numFmtId="220" fontId="11" fillId="0" borderId="0">
      <protection locked="0"/>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4" fillId="0" borderId="0" applyNumberFormat="0" applyFill="0" applyBorder="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00" fillId="0" borderId="169" applyNumberFormat="0" applyFill="0" applyAlignment="0" applyProtection="0"/>
    <xf numFmtId="0" fontId="200" fillId="0" borderId="169" applyNumberFormat="0" applyFill="0" applyAlignment="0" applyProtection="0"/>
    <xf numFmtId="0" fontId="200"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05" fillId="0" borderId="0"/>
    <xf numFmtId="0" fontId="11" fillId="0" borderId="0"/>
    <xf numFmtId="0" fontId="147" fillId="0" borderId="0"/>
    <xf numFmtId="0" fontId="147" fillId="0" borderId="0"/>
    <xf numFmtId="0" fontId="2" fillId="0" borderId="0"/>
    <xf numFmtId="0" fontId="143" fillId="0" borderId="0"/>
    <xf numFmtId="0" fontId="143" fillId="0" borderId="0"/>
    <xf numFmtId="0" fontId="143" fillId="0" borderId="0"/>
    <xf numFmtId="0" fontId="143" fillId="0" borderId="0"/>
    <xf numFmtId="0" fontId="2" fillId="0" borderId="0"/>
    <xf numFmtId="0" fontId="145" fillId="0" borderId="0"/>
    <xf numFmtId="0" fontId="145"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2" fillId="0" borderId="0"/>
    <xf numFmtId="0" fontId="143" fillId="0" borderId="0"/>
    <xf numFmtId="0" fontId="143" fillId="0" borderId="0"/>
    <xf numFmtId="0" fontId="2" fillId="0" borderId="0"/>
    <xf numFmtId="0" fontId="143" fillId="0" borderId="0"/>
    <xf numFmtId="0" fontId="145" fillId="0" borderId="0"/>
    <xf numFmtId="0" fontId="145" fillId="0" borderId="0"/>
    <xf numFmtId="0" fontId="11" fillId="0" borderId="0">
      <alignment vertical="top"/>
    </xf>
    <xf numFmtId="0" fontId="14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39"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143" fillId="0" borderId="0"/>
    <xf numFmtId="0" fontId="143" fillId="0" borderId="0"/>
    <xf numFmtId="0" fontId="143" fillId="0" borderId="0"/>
    <xf numFmtId="0" fontId="143" fillId="0" borderId="0"/>
    <xf numFmtId="0" fontId="2" fillId="0" borderId="0"/>
    <xf numFmtId="0" fontId="143" fillId="0" borderId="0"/>
    <xf numFmtId="0" fontId="2" fillId="0" borderId="0"/>
    <xf numFmtId="0" fontId="143" fillId="0" borderId="0"/>
    <xf numFmtId="0" fontId="2" fillId="0" borderId="0"/>
    <xf numFmtId="0" fontId="143" fillId="0" borderId="0"/>
    <xf numFmtId="0" fontId="2" fillId="0" borderId="0"/>
    <xf numFmtId="0" fontId="2" fillId="0" borderId="0"/>
    <xf numFmtId="0" fontId="206" fillId="0" borderId="0"/>
    <xf numFmtId="0" fontId="11" fillId="0" borderId="0">
      <alignment wrapText="1"/>
    </xf>
    <xf numFmtId="0" fontId="39" fillId="0" borderId="0"/>
    <xf numFmtId="0" fontId="11" fillId="0" borderId="0">
      <alignment wrapText="1"/>
    </xf>
    <xf numFmtId="0" fontId="11" fillId="0" borderId="0">
      <alignment wrapText="1"/>
    </xf>
    <xf numFmtId="0" fontId="206" fillId="0" borderId="0"/>
    <xf numFmtId="0" fontId="143"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7" fillId="0" borderId="0"/>
    <xf numFmtId="0" fontId="206" fillId="0" borderId="0"/>
    <xf numFmtId="0" fontId="39" fillId="0" borderId="0"/>
    <xf numFmtId="0" fontId="2" fillId="0" borderId="0"/>
    <xf numFmtId="0" fontId="11" fillId="0" borderId="0"/>
    <xf numFmtId="0" fontId="147" fillId="0" borderId="0"/>
    <xf numFmtId="0" fontId="11" fillId="0" borderId="0"/>
    <xf numFmtId="0" fontId="143" fillId="0" borderId="0"/>
    <xf numFmtId="0" fontId="12" fillId="0" borderId="0"/>
    <xf numFmtId="0" fontId="11" fillId="0" borderId="0">
      <alignment wrapText="1"/>
    </xf>
    <xf numFmtId="0" fontId="39" fillId="0" borderId="0"/>
    <xf numFmtId="0" fontId="20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9"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9"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9"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9" fillId="0" borderId="0"/>
    <xf numFmtId="0" fontId="145" fillId="0" borderId="0"/>
    <xf numFmtId="0" fontId="145" fillId="0" borderId="0"/>
    <xf numFmtId="0" fontId="145" fillId="0" borderId="0"/>
    <xf numFmtId="0" fontId="145" fillId="0" borderId="0"/>
    <xf numFmtId="0" fontId="94" fillId="0" borderId="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9" fontId="11" fillId="0" borderId="0" applyFont="0" applyFill="0" applyBorder="0" applyAlignment="0" applyProtection="0"/>
    <xf numFmtId="9" fontId="12"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02" fillId="72" borderId="146" applyNumberFormat="0" applyProtection="0">
      <alignment horizontal="left" vertical="center" indent="1"/>
    </xf>
    <xf numFmtId="0" fontId="73" fillId="0" borderId="0">
      <alignment vertical="top"/>
    </xf>
    <xf numFmtId="0" fontId="37" fillId="0" borderId="134" applyNumberFormat="0" applyFill="0" applyAlignment="0" applyProtection="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1"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1" fontId="19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2" fillId="0" borderId="0"/>
    <xf numFmtId="6" fontId="82" fillId="0" borderId="0">
      <protection locked="0"/>
    </xf>
    <xf numFmtId="217" fontId="76" fillId="0" borderId="0">
      <protection locked="0"/>
    </xf>
    <xf numFmtId="217" fontId="76" fillId="0" borderId="0">
      <protection locked="0"/>
    </xf>
    <xf numFmtId="6" fontId="82" fillId="0" borderId="0">
      <protection locked="0"/>
    </xf>
    <xf numFmtId="6" fontId="82" fillId="0" borderId="0">
      <protection locked="0"/>
    </xf>
    <xf numFmtId="0" fontId="11" fillId="9" borderId="138" applyNumberFormat="0" applyFont="0" applyAlignment="0" applyProtection="0"/>
    <xf numFmtId="6" fontId="82" fillId="0" borderId="0">
      <protection locked="0"/>
    </xf>
    <xf numFmtId="217" fontId="76" fillId="0" borderId="0">
      <protection locked="0"/>
    </xf>
    <xf numFmtId="0" fontId="2" fillId="0" borderId="0"/>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7" fontId="76" fillId="0" borderId="0">
      <protection locked="0"/>
    </xf>
    <xf numFmtId="218" fontId="76" fillId="0" borderId="0">
      <protection locked="0"/>
    </xf>
    <xf numFmtId="220" fontId="11" fillId="0" borderId="0">
      <protection locked="0"/>
    </xf>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30" fontId="76" fillId="0" borderId="0">
      <protection locked="0"/>
    </xf>
    <xf numFmtId="4" fontId="11" fillId="45" borderId="0" applyNumberFormat="0" applyProtection="0">
      <alignment horizontal="left" vertical="center"/>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6" fontId="82" fillId="0" borderId="0">
      <protection locked="0"/>
    </xf>
    <xf numFmtId="217" fontId="76" fillId="0" borderId="0">
      <protection locked="0"/>
    </xf>
    <xf numFmtId="9" fontId="11" fillId="0" borderId="0" applyFont="0" applyFill="0" applyBorder="0" applyAlignment="0" applyProtection="0"/>
    <xf numFmtId="217" fontId="76" fillId="0" borderId="0">
      <protection locked="0"/>
    </xf>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144" fillId="0" borderId="0"/>
    <xf numFmtId="217" fontId="76" fillId="0" borderId="0">
      <protection locked="0"/>
    </xf>
    <xf numFmtId="217" fontId="76" fillId="0" borderId="0">
      <protection locked="0"/>
    </xf>
    <xf numFmtId="241" fontId="147" fillId="0" borderId="0" applyFont="0" applyFill="0" applyBorder="0" applyAlignment="0" applyProtection="0"/>
    <xf numFmtId="242" fontId="147" fillId="0" borderId="0" applyFont="0" applyFill="0" applyBorder="0" applyAlignment="0" applyProtection="0"/>
    <xf numFmtId="43" fontId="157" fillId="0" borderId="0" applyFont="0" applyFill="0" applyBorder="0" applyAlignment="0" applyProtection="0"/>
    <xf numFmtId="240" fontId="11" fillId="0" borderId="0" applyFont="0" applyFill="0" applyBorder="0" applyAlignment="0" applyProtection="0"/>
    <xf numFmtId="243" fontId="11"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4" fontId="145" fillId="0" borderId="0" applyFont="0" applyFill="0" applyBorder="0" applyAlignment="0" applyProtection="0"/>
    <xf numFmtId="44" fontId="157" fillId="0" borderId="0" applyFont="0" applyFill="0" applyBorder="0" applyAlignment="0" applyProtection="0"/>
    <xf numFmtId="44" fontId="73" fillId="0" borderId="0" applyFont="0" applyFill="0" applyBorder="0" applyAlignment="0" applyProtection="0"/>
    <xf numFmtId="0" fontId="2" fillId="0" borderId="0"/>
    <xf numFmtId="0" fontId="2" fillId="0" borderId="0"/>
    <xf numFmtId="0" fontId="144" fillId="0" borderId="0"/>
    <xf numFmtId="0" fontId="144" fillId="0" borderId="0"/>
    <xf numFmtId="0" fontId="144" fillId="0" borderId="0"/>
    <xf numFmtId="244" fontId="11" fillId="0" borderId="0"/>
    <xf numFmtId="0" fontId="144" fillId="0" borderId="0"/>
    <xf numFmtId="0" fontId="12" fillId="0" borderId="0"/>
    <xf numFmtId="0" fontId="143" fillId="0" borderId="0"/>
    <xf numFmtId="0" fontId="144" fillId="0" borderId="0"/>
    <xf numFmtId="0" fontId="144" fillId="0" borderId="0"/>
    <xf numFmtId="0" fontId="144" fillId="0" borderId="0"/>
    <xf numFmtId="0" fontId="145" fillId="0" borderId="0"/>
    <xf numFmtId="0" fontId="145" fillId="0" borderId="0"/>
    <xf numFmtId="0" fontId="147" fillId="0" borderId="0"/>
    <xf numFmtId="0" fontId="2" fillId="0" borderId="0"/>
    <xf numFmtId="9" fontId="73" fillId="0" borderId="0" applyFont="0" applyFill="0" applyBorder="0" applyAlignment="0" applyProtection="0"/>
    <xf numFmtId="10" fontId="12" fillId="0" borderId="0" applyFill="0" applyBorder="0" applyProtection="0">
      <alignment horizontal="center"/>
    </xf>
    <xf numFmtId="9" fontId="157"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45" fillId="0" borderId="0" applyFont="0" applyFill="0" applyBorder="0" applyAlignment="0" applyProtection="0"/>
    <xf numFmtId="9" fontId="147" fillId="0" borderId="0" applyFont="0" applyFill="0" applyBorder="0" applyAlignment="0" applyProtection="0"/>
    <xf numFmtId="217" fontId="76" fillId="0" borderId="0">
      <protection locked="0"/>
    </xf>
    <xf numFmtId="0" fontId="129" fillId="72" borderId="146" applyNumberFormat="0" applyProtection="0">
      <alignment horizontal="left" vertical="center" indent="1"/>
    </xf>
    <xf numFmtId="9" fontId="73" fillId="0" borderId="0" applyFont="0" applyFill="0" applyBorder="0" applyAlignment="0" applyProtection="0"/>
    <xf numFmtId="43" fontId="11" fillId="0" borderId="0" applyFont="0" applyFill="0" applyBorder="0" applyAlignment="0" applyProtection="0"/>
    <xf numFmtId="6" fontId="82" fillId="0" borderId="0">
      <protection locked="0"/>
    </xf>
    <xf numFmtId="217" fontId="76" fillId="0" borderId="0">
      <protection locked="0"/>
    </xf>
    <xf numFmtId="6" fontId="82" fillId="0" borderId="0">
      <protection locked="0"/>
    </xf>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7"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11" fillId="0" borderId="0"/>
    <xf numFmtId="0" fontId="11" fillId="0" borderId="0"/>
    <xf numFmtId="0" fontId="39" fillId="4" borderId="0" applyNumberFormat="0" applyBorder="0" applyAlignment="0" applyProtection="0"/>
    <xf numFmtId="0" fontId="2" fillId="74" borderId="0" applyNumberFormat="0" applyBorder="0" applyAlignment="0" applyProtection="0"/>
    <xf numFmtId="0" fontId="39" fillId="7" borderId="0" applyNumberFormat="0" applyBorder="0" applyAlignment="0" applyProtection="0"/>
    <xf numFmtId="0" fontId="2" fillId="77" borderId="0" applyNumberFormat="0" applyBorder="0" applyAlignment="0" applyProtection="0"/>
    <xf numFmtId="0" fontId="39" fillId="10" borderId="0" applyNumberFormat="0" applyBorder="0" applyAlignment="0" applyProtection="0"/>
    <xf numFmtId="0" fontId="2" fillId="80" borderId="0" applyNumberFormat="0" applyBorder="0" applyAlignment="0" applyProtection="0"/>
    <xf numFmtId="0" fontId="39" fillId="11" borderId="0" applyNumberFormat="0" applyBorder="0" applyAlignment="0" applyProtection="0"/>
    <xf numFmtId="0" fontId="2" fillId="83" borderId="0" applyNumberFormat="0" applyBorder="0" applyAlignment="0" applyProtection="0"/>
    <xf numFmtId="0" fontId="39" fillId="13" borderId="0" applyNumberFormat="0" applyBorder="0" applyAlignment="0" applyProtection="0"/>
    <xf numFmtId="0" fontId="2" fillId="86" borderId="0" applyNumberFormat="0" applyBorder="0" applyAlignment="0" applyProtection="0"/>
    <xf numFmtId="0" fontId="39" fillId="5" borderId="0" applyNumberFormat="0" applyBorder="0" applyAlignment="0" applyProtection="0"/>
    <xf numFmtId="0" fontId="2" fillId="89" borderId="0" applyNumberFormat="0" applyBorder="0" applyAlignment="0" applyProtection="0"/>
    <xf numFmtId="0" fontId="39" fillId="15" borderId="0" applyNumberFormat="0" applyBorder="0" applyAlignment="0" applyProtection="0"/>
    <xf numFmtId="0" fontId="2" fillId="75" borderId="0" applyNumberFormat="0" applyBorder="0" applyAlignment="0" applyProtection="0"/>
    <xf numFmtId="0" fontId="39" fillId="8" borderId="0" applyNumberFormat="0" applyBorder="0" applyAlignment="0" applyProtection="0"/>
    <xf numFmtId="0" fontId="2" fillId="78" borderId="0" applyNumberFormat="0" applyBorder="0" applyAlignment="0" applyProtection="0"/>
    <xf numFmtId="0" fontId="39" fillId="16"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39" fillId="11" borderId="0" applyNumberFormat="0" applyBorder="0" applyAlignment="0" applyProtection="0"/>
    <xf numFmtId="0" fontId="2" fillId="84" borderId="0" applyNumberFormat="0" applyBorder="0" applyAlignment="0" applyProtection="0"/>
    <xf numFmtId="0" fontId="39" fillId="15"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39" fillId="17"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4" fillId="12" borderId="6" applyNumberFormat="0" applyAlignment="0" applyProtection="0"/>
    <xf numFmtId="243" fontId="11" fillId="0" borderId="0" applyFont="0" applyFill="0" applyBorder="0" applyAlignment="0" applyProtection="0"/>
    <xf numFmtId="243" fontId="11" fillId="0" borderId="0" applyFont="0" applyFill="0" applyBorder="0" applyAlignment="0" applyProtection="0"/>
    <xf numFmtId="23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3" fontId="11" fillId="0" borderId="0" applyFont="0" applyFill="0" applyBorder="0" applyAlignment="0" applyProtection="0"/>
    <xf numFmtId="0" fontId="11" fillId="9" borderId="138" applyNumberFormat="0" applyFon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2" fontId="11" fillId="0" borderId="0" applyFont="0" applyFill="0" applyBorder="0" applyAlignment="0" applyProtection="0"/>
    <xf numFmtId="255"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3" fontId="11" fillId="0" borderId="0" applyFont="0" applyFill="0" applyBorder="0" applyAlignment="0" applyProtection="0"/>
    <xf numFmtId="0" fontId="11" fillId="0" borderId="0" applyFont="0" applyFill="0" applyBorder="0" applyAlignment="0" applyProtection="0"/>
    <xf numFmtId="219" fontId="11" fillId="0" borderId="0" applyFont="0" applyFill="0" applyBorder="0" applyAlignment="0" applyProtection="0"/>
    <xf numFmtId="0" fontId="36" fillId="0" borderId="0" applyNumberFormat="0" applyFill="0" applyBorder="0" applyAlignment="0" applyProtection="0"/>
    <xf numFmtId="2" fontId="11" fillId="0" borderId="0" applyFont="0" applyFill="0" applyBorder="0" applyAlignment="0" applyProtection="0"/>
    <xf numFmtId="0" fontId="28" fillId="10" borderId="0" applyNumberFormat="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11" fillId="0" borderId="0">
      <protection locked="0"/>
    </xf>
    <xf numFmtId="0" fontId="11" fillId="0" borderId="0">
      <protection locked="0"/>
    </xf>
    <xf numFmtId="0" fontId="33" fillId="0" borderId="21" applyNumberFormat="0" applyFill="0" applyAlignment="0" applyProtection="0"/>
    <xf numFmtId="0" fontId="29"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1" fillId="14" borderId="139"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9" fontId="11" fillId="0" borderId="0" applyFont="0" applyFill="0" applyBorder="0" applyAlignment="0" applyProtection="0"/>
    <xf numFmtId="0" fontId="110" fillId="0" borderId="0" applyNumberFormat="0" applyFill="0" applyBorder="0" applyAlignment="0" applyProtection="0"/>
    <xf numFmtId="0" fontId="37" fillId="0" borderId="140" applyNumberFormat="0" applyFill="0" applyAlignment="0" applyProtection="0"/>
    <xf numFmtId="0" fontId="35" fillId="0" borderId="0" applyNumberFormat="0" applyFill="0" applyBorder="0" applyAlignment="0" applyProtection="0"/>
    <xf numFmtId="0" fontId="39" fillId="16" borderId="0" applyNumberFormat="0" applyBorder="0" applyAlignment="0" applyProtection="0"/>
    <xf numFmtId="0" fontId="39" fillId="1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0" fillId="5" borderId="137" applyNumberFormat="0" applyAlignment="0" applyProtection="0"/>
    <xf numFmtId="0" fontId="145" fillId="9" borderId="1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7" fillId="0" borderId="0"/>
    <xf numFmtId="43" fontId="11" fillId="0" borderId="0" applyFont="0" applyFill="0" applyBorder="0" applyAlignment="0" applyProtection="0"/>
    <xf numFmtId="240" fontId="11" fillId="0" borderId="0" applyFont="0" applyFill="0" applyBorder="0" applyAlignment="0" applyProtection="0"/>
    <xf numFmtId="240"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44" fontId="2" fillId="0" borderId="0" applyFont="0" applyFill="0" applyBorder="0" applyAlignment="0" applyProtection="0"/>
    <xf numFmtId="43" fontId="2" fillId="0" borderId="0" applyFont="0" applyFill="0" applyBorder="0" applyAlignment="0" applyProtection="0"/>
    <xf numFmtId="0" fontId="2" fillId="0" borderId="0"/>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266" fontId="11" fillId="0" borderId="0">
      <alignment horizontal="left" wrapText="1"/>
    </xf>
    <xf numFmtId="0" fontId="11" fillId="0" borderId="0"/>
    <xf numFmtId="44" fontId="11" fillId="0" borderId="0" applyFont="0" applyFill="0" applyBorder="0" applyAlignment="0" applyProtection="0"/>
    <xf numFmtId="266" fontId="11" fillId="0" borderId="0">
      <alignment horizontal="left" wrapText="1"/>
    </xf>
    <xf numFmtId="266" fontId="11" fillId="0" borderId="0">
      <alignment horizontal="left" wrapText="1"/>
    </xf>
    <xf numFmtId="43" fontId="11" fillId="0" borderId="0" applyFont="0" applyFill="0" applyBorder="0" applyAlignment="0" applyProtection="0"/>
    <xf numFmtId="248" fontId="11" fillId="0" borderId="0"/>
    <xf numFmtId="248" fontId="11" fillId="0" borderId="0"/>
    <xf numFmtId="248" fontId="11" fillId="0" borderId="0"/>
    <xf numFmtId="248"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268"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applyNumberFormat="0" applyFill="0" applyBorder="0" applyAlignment="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272"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3" fontId="18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209"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0" fontId="11" fillId="2" borderId="0" applyNumberFormat="0" applyFont="0" applyAlignment="0" applyProtection="0"/>
    <xf numFmtId="213" fontId="11" fillId="0" borderId="0" applyFont="0" applyFill="0" applyBorder="0" applyAlignment="0" applyProtection="0"/>
    <xf numFmtId="214" fontId="11" fillId="0" borderId="0" applyFont="0" applyFill="0" applyBorder="0" applyProtection="0">
      <alignment horizontal="right"/>
    </xf>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2" fillId="0" borderId="0"/>
    <xf numFmtId="43" fontId="11"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243" fontId="11" fillId="0" borderId="0" applyFont="0" applyFill="0" applyBorder="0" applyAlignment="0" applyProtection="0"/>
    <xf numFmtId="243" fontId="11" fillId="0" borderId="0" applyFont="0" applyFill="0" applyBorder="0" applyAlignment="0" applyProtection="0"/>
    <xf numFmtId="0" fontId="147" fillId="0" borderId="0"/>
    <xf numFmtId="0" fontId="2" fillId="0" borderId="0"/>
    <xf numFmtId="43"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23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0" fontId="11" fillId="0" borderId="0">
      <protection locked="0"/>
    </xf>
    <xf numFmtId="0" fontId="189"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 fontId="11" fillId="41" borderId="142" applyNumberFormat="0" applyProtection="0">
      <alignment vertical="center"/>
    </xf>
    <xf numFmtId="9" fontId="2" fillId="0" borderId="0" applyFont="0" applyFill="0" applyBorder="0" applyAlignment="0" applyProtection="0"/>
    <xf numFmtId="0" fontId="2" fillId="0" borderId="0"/>
    <xf numFmtId="0" fontId="11" fillId="0" borderId="0" applyFont="0" applyFill="0" applyBorder="0" applyAlignment="0" applyProtection="0"/>
    <xf numFmtId="3" fontId="11" fillId="0" borderId="0" applyFont="0" applyFill="0" applyBorder="0" applyAlignment="0" applyProtection="0"/>
    <xf numFmtId="4" fontId="11" fillId="0" borderId="142" applyNumberFormat="0" applyProtection="0">
      <alignment horizontal="right" vertical="center"/>
    </xf>
    <xf numFmtId="4" fontId="11" fillId="45" borderId="0" applyNumberFormat="0" applyProtection="0">
      <alignment horizontal="left" vertical="center"/>
    </xf>
    <xf numFmtId="0" fontId="11" fillId="0" borderId="30"/>
    <xf numFmtId="0" fontId="14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243" fontId="11" fillId="0" borderId="0" applyFont="0" applyFill="0" applyBorder="0" applyAlignment="0" applyProtection="0"/>
    <xf numFmtId="243"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23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199" fontId="11" fillId="0" borderId="0" applyFont="0" applyFill="0" applyBorder="0" applyAlignment="0" applyProtection="0"/>
    <xf numFmtId="43" fontId="11" fillId="0" borderId="0" applyFont="0" applyFill="0" applyBorder="0" applyAlignment="0" applyProtection="0"/>
    <xf numFmtId="240"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0" fontId="11" fillId="0" borderId="0">
      <protection locked="0"/>
    </xf>
    <xf numFmtId="2" fontId="11" fillId="0" borderId="0" applyFont="0" applyFill="0" applyBorder="0" applyAlignment="0" applyProtection="0"/>
    <xf numFmtId="0" fontId="11" fillId="0" borderId="0">
      <protection locked="0"/>
    </xf>
    <xf numFmtId="0" fontId="11" fillId="0" borderId="0">
      <protection locked="0"/>
    </xf>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240"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199"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240" fontId="11" fillId="0" borderId="0" applyFont="0" applyFill="0" applyBorder="0" applyAlignment="0" applyProtection="0"/>
    <xf numFmtId="243"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89"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xf numFmtId="3"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0" fontId="193" fillId="0" borderId="8">
      <alignment horizontal="center"/>
    </xf>
    <xf numFmtId="0" fontId="147"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89" fillId="0" borderId="0" applyNumberFormat="0" applyFont="0" applyFill="0" applyBorder="0" applyAlignment="0" applyProtection="0">
      <alignment horizontal="left"/>
    </xf>
    <xf numFmtId="0" fontId="2" fillId="0" borderId="0"/>
    <xf numFmtId="0" fontId="11" fillId="0" borderId="0"/>
    <xf numFmtId="0" fontId="11" fillId="0" borderId="0"/>
    <xf numFmtId="15" fontId="189" fillId="0" borderId="0" applyFont="0" applyFill="0" applyBorder="0" applyAlignment="0" applyProtection="0"/>
    <xf numFmtId="9" fontId="11" fillId="0" borderId="0" applyFont="0" applyFill="0" applyBorder="0" applyAlignment="0" applyProtection="0"/>
    <xf numFmtId="0" fontId="11" fillId="0" borderId="0"/>
    <xf numFmtId="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0" fontId="216" fillId="0" borderId="0"/>
    <xf numFmtId="43" fontId="216" fillId="0" borderId="0" applyFont="0" applyFill="0" applyBorder="0" applyAlignment="0" applyProtection="0"/>
    <xf numFmtId="44" fontId="216" fillId="0" borderId="0" applyFont="0" applyFill="0" applyBorder="0" applyAlignment="0" applyProtection="0"/>
    <xf numFmtId="0" fontId="2"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9" borderId="138" applyNumberFormat="0" applyFont="0" applyAlignment="0" applyProtection="0"/>
    <xf numFmtId="0" fontId="11" fillId="9"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xf numFmtId="217"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6" fontId="82" fillId="0" borderId="0">
      <protection locked="0"/>
    </xf>
    <xf numFmtId="217" fontId="76" fillId="0" borderId="0">
      <protection locked="0"/>
    </xf>
    <xf numFmtId="0" fontId="11" fillId="0" borderId="0" applyNumberFormat="0" applyFill="0" applyBorder="0" applyAlignment="0"/>
    <xf numFmtId="217" fontId="76" fillId="0" borderId="0">
      <protection locked="0"/>
    </xf>
    <xf numFmtId="0" fontId="11" fillId="0" borderId="0" applyNumberFormat="0" applyFill="0" applyBorder="0" applyAlignment="0"/>
    <xf numFmtId="9" fontId="2" fillId="0" borderId="0" applyFont="0" applyFill="0" applyBorder="0" applyAlignment="0" applyProtection="0"/>
    <xf numFmtId="0" fontId="2" fillId="0" borderId="0"/>
    <xf numFmtId="0" fontId="2" fillId="0" borderId="0"/>
    <xf numFmtId="0" fontId="2" fillId="0" borderId="0"/>
    <xf numFmtId="0" fontId="11" fillId="0" borderId="0" applyNumberFormat="0" applyFill="0" applyBorder="0" applyAlignment="0"/>
    <xf numFmtId="217"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1" fillId="0" borderId="0" applyNumberFormat="0" applyFill="0" applyBorder="0" applyAlignment="0"/>
    <xf numFmtId="217" fontId="76" fillId="0" borderId="0">
      <protection locked="0"/>
    </xf>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217" fontId="76" fillId="0" borderId="0">
      <protection locked="0"/>
    </xf>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xf numFmtId="6" fontId="82" fillId="0" borderId="0">
      <protection locked="0"/>
    </xf>
    <xf numFmtId="6" fontId="82" fillId="0" borderId="0">
      <protection locked="0"/>
    </xf>
    <xf numFmtId="0" fontId="2" fillId="0" borderId="0"/>
    <xf numFmtId="217" fontId="76" fillId="0" borderId="0">
      <protection locked="0"/>
    </xf>
    <xf numFmtId="0" fontId="2" fillId="0" borderId="0"/>
    <xf numFmtId="6" fontId="82" fillId="0" borderId="0">
      <protection locked="0"/>
    </xf>
    <xf numFmtId="43" fontId="2" fillId="0" borderId="0" applyFont="0" applyFill="0" applyBorder="0" applyAlignment="0" applyProtection="0"/>
    <xf numFmtId="0" fontId="11" fillId="0" borderId="0" applyNumberFormat="0" applyFill="0" applyBorder="0" applyAlignment="0"/>
    <xf numFmtId="0" fontId="2" fillId="0" borderId="0"/>
    <xf numFmtId="6" fontId="82" fillId="0" borderId="0">
      <protection locked="0"/>
    </xf>
    <xf numFmtId="6" fontId="82" fillId="0" borderId="0">
      <protection locked="0"/>
    </xf>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0" fontId="11" fillId="0" borderId="0" applyNumberFormat="0" applyFill="0" applyBorder="0" applyAlignme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6" fontId="82" fillId="0" borderId="0">
      <protection locked="0"/>
    </xf>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11" fillId="0" borderId="0" applyNumberFormat="0" applyFill="0" applyBorder="0" applyAlignment="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217"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7"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6" fontId="82" fillId="0" borderId="0">
      <protection locked="0"/>
    </xf>
    <xf numFmtId="0" fontId="11" fillId="0" borderId="0" applyNumberFormat="0" applyFill="0" applyBorder="0" applyAlignment="0"/>
    <xf numFmtId="217" fontId="76" fillId="0" borderId="0">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217" fontId="76" fillId="0" borderId="0">
      <protection locked="0"/>
    </xf>
    <xf numFmtId="0" fontId="2" fillId="0" borderId="0"/>
    <xf numFmtId="9" fontId="2" fillId="0" borderId="0" applyFont="0" applyFill="0" applyBorder="0" applyAlignment="0" applyProtection="0"/>
    <xf numFmtId="6" fontId="82" fillId="0" borderId="0">
      <protection locked="0"/>
    </xf>
    <xf numFmtId="217" fontId="76" fillId="0" borderId="0">
      <protection locked="0"/>
    </xf>
    <xf numFmtId="0" fontId="11" fillId="0" borderId="0" applyNumberFormat="0" applyFill="0" applyBorder="0" applyAlignment="0"/>
    <xf numFmtId="217" fontId="76" fillId="0" borderId="0">
      <protection locked="0"/>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6" fontId="82" fillId="0" borderId="0">
      <protection locked="0"/>
    </xf>
    <xf numFmtId="217" fontId="76" fillId="0" borderId="0">
      <protection locked="0"/>
    </xf>
    <xf numFmtId="0" fontId="11" fillId="0" borderId="0" applyNumberFormat="0" applyFill="0" applyBorder="0" applyAlignment="0"/>
    <xf numFmtId="0" fontId="11" fillId="0" borderId="0" applyNumberFormat="0" applyFill="0" applyBorder="0" applyAlignment="0"/>
    <xf numFmtId="0" fontId="2" fillId="0" borderId="0"/>
    <xf numFmtId="0" fontId="11" fillId="0" borderId="0" applyNumberFormat="0" applyFill="0" applyBorder="0" applyAlignment="0"/>
    <xf numFmtId="217"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7" fontId="76" fillId="0" borderId="0">
      <protection locked="0"/>
    </xf>
    <xf numFmtId="0" fontId="11"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1" fillId="0" borderId="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xf numFmtId="0" fontId="2" fillId="0" borderId="0"/>
    <xf numFmtId="0" fontId="2" fillId="0" borderId="0"/>
    <xf numFmtId="0" fontId="2" fillId="0" borderId="0"/>
    <xf numFmtId="0" fontId="11" fillId="9" borderId="138" applyNumberFormat="0" applyFont="0" applyAlignment="0" applyProtection="0"/>
    <xf numFmtId="0" fontId="2" fillId="0" borderId="0"/>
    <xf numFmtId="220" fontId="11" fillId="0" borderId="0">
      <protection locked="0"/>
    </xf>
    <xf numFmtId="222" fontId="11" fillId="0" borderId="0">
      <protection locked="0"/>
    </xf>
    <xf numFmtId="222" fontId="11" fillId="0" borderId="0">
      <protection locked="0"/>
    </xf>
    <xf numFmtId="0" fontId="11" fillId="0" borderId="0"/>
    <xf numFmtId="229" fontId="11" fillId="0" borderId="0">
      <protection hidden="1"/>
    </xf>
    <xf numFmtId="10" fontId="11" fillId="0" borderId="0" applyFont="0" applyFill="0" applyBorder="0" applyAlignment="0" applyProtection="0"/>
    <xf numFmtId="231" fontId="11" fillId="0" borderId="0"/>
    <xf numFmtId="4" fontId="11" fillId="45" borderId="0" applyNumberFormat="0" applyProtection="0">
      <alignment horizontal="left" vertical="center"/>
    </xf>
    <xf numFmtId="0" fontId="11" fillId="0" borderId="3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20" fontId="11" fillId="0" borderId="0">
      <protection locked="0"/>
    </xf>
    <xf numFmtId="222" fontId="11" fillId="0" borderId="0">
      <protection locked="0"/>
    </xf>
    <xf numFmtId="222" fontId="11" fillId="0" borderId="0">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240" fontId="11" fillId="0" borderId="0" applyFont="0" applyFill="0" applyBorder="0" applyAlignment="0" applyProtection="0"/>
    <xf numFmtId="243" fontId="11" fillId="0" borderId="0" applyFont="0" applyFill="0" applyBorder="0" applyAlignment="0" applyProtection="0"/>
    <xf numFmtId="0" fontId="2" fillId="0" borderId="0"/>
    <xf numFmtId="0" fontId="2" fillId="0" borderId="0"/>
    <xf numFmtId="244" fontId="11" fillId="0" borderId="0"/>
    <xf numFmtId="0" fontId="2" fillId="0" borderId="0"/>
    <xf numFmtId="43" fontId="11"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3" fontId="189"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43" fontId="11" fillId="0" borderId="0" applyFont="0" applyFill="0" applyBorder="0" applyAlignment="0" applyProtection="0"/>
    <xf numFmtId="0" fontId="2" fillId="0" borderId="0"/>
    <xf numFmtId="0" fontId="189"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89" fillId="0" borderId="0" applyFont="0" applyFill="0" applyBorder="0" applyAlignment="0" applyProtection="0"/>
    <xf numFmtId="0" fontId="11" fillId="0" borderId="0"/>
    <xf numFmtId="0" fontId="193" fillId="0" borderId="8">
      <alignment horizontal="center"/>
    </xf>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89" fillId="0" borderId="0" applyNumberFormat="0" applyFont="0" applyFill="0" applyBorder="0" applyAlignment="0" applyProtection="0">
      <alignment horizontal="left"/>
    </xf>
    <xf numFmtId="0" fontId="2" fillId="0" borderId="0"/>
    <xf numFmtId="15" fontId="189"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3" fontId="11" fillId="0" borderId="0" applyFont="0" applyFill="0" applyBorder="0" applyAlignment="0" applyProtection="0"/>
    <xf numFmtId="9" fontId="11" fillId="0" borderId="0" applyFont="0" applyFill="0" applyBorder="0" applyAlignment="0" applyProtection="0"/>
    <xf numFmtId="0" fontId="11" fillId="0" borderId="0" applyFont="0" applyFill="0" applyBorder="0" applyAlignment="0" applyProtection="0"/>
    <xf numFmtId="0" fontId="217" fillId="0" borderId="0"/>
    <xf numFmtId="44" fontId="218" fillId="0" borderId="0"/>
    <xf numFmtId="44" fontId="218" fillId="0" borderId="0"/>
    <xf numFmtId="44" fontId="218" fillId="0" borderId="0"/>
    <xf numFmtId="0" fontId="217" fillId="0" borderId="0"/>
    <xf numFmtId="0" fontId="217" fillId="0" borderId="0"/>
    <xf numFmtId="9" fontId="218" fillId="0" borderId="0"/>
    <xf numFmtId="44" fontId="218" fillId="0" borderId="0"/>
    <xf numFmtId="0" fontId="217" fillId="0" borderId="0"/>
    <xf numFmtId="0" fontId="217" fillId="0" borderId="0"/>
    <xf numFmtId="0" fontId="217" fillId="0" borderId="0"/>
    <xf numFmtId="9" fontId="218" fillId="0" borderId="0"/>
    <xf numFmtId="44" fontId="218" fillId="0" borderId="0"/>
    <xf numFmtId="9" fontId="218" fillId="0" borderId="0"/>
    <xf numFmtId="44" fontId="218" fillId="0" borderId="0"/>
    <xf numFmtId="9" fontId="218" fillId="0" borderId="0"/>
    <xf numFmtId="9" fontId="218" fillId="0" borderId="0"/>
    <xf numFmtId="9" fontId="218" fillId="0" borderId="0"/>
    <xf numFmtId="0" fontId="128" fillId="0" borderId="0"/>
    <xf numFmtId="44" fontId="218" fillId="0" borderId="0"/>
    <xf numFmtId="9" fontId="218" fillId="0" borderId="0"/>
    <xf numFmtId="0" fontId="11" fillId="0" borderId="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42" fillId="7"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3" fillId="26" borderId="0" applyNumberFormat="0" applyBorder="0" applyAlignment="0" applyProtection="0"/>
    <xf numFmtId="0" fontId="43" fillId="7" borderId="0" applyNumberFormat="0" applyBorder="0" applyAlignment="0" applyProtection="0"/>
    <xf numFmtId="0" fontId="43" fillId="22" borderId="0" applyNumberFormat="0" applyBorder="0" applyAlignment="0" applyProtection="0"/>
    <xf numFmtId="0" fontId="43" fillId="18" borderId="0" applyNumberFormat="0" applyBorder="0" applyAlignment="0" applyProtection="0"/>
    <xf numFmtId="0" fontId="43" fillId="30" borderId="0" applyNumberFormat="0" applyBorder="0" applyAlignment="0" applyProtection="0"/>
    <xf numFmtId="0" fontId="11" fillId="0" borderId="0" applyNumberFormat="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5" borderId="13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9" borderId="137" applyNumberFormat="0" applyFont="0" applyAlignment="0" applyProtection="0"/>
    <xf numFmtId="9" fontId="11" fillId="0" borderId="0" applyFont="0" applyFill="0" applyBorder="0" applyAlignment="0" applyProtection="0"/>
    <xf numFmtId="0" fontId="1" fillId="0" borderId="0"/>
    <xf numFmtId="166" fontId="11" fillId="0" borderId="0" applyFont="0" applyFill="0" applyBorder="0" applyAlignment="0" applyProtection="0"/>
    <xf numFmtId="41" fontId="11" fillId="0" borderId="0" applyFont="0" applyFill="0" applyBorder="0" applyAlignment="0" applyProtection="0"/>
    <xf numFmtId="0" fontId="1" fillId="0" borderId="0"/>
    <xf numFmtId="9" fontId="1" fillId="0" borderId="0" applyFont="0" applyFill="0" applyBorder="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19" fillId="0" borderId="0"/>
    <xf numFmtId="0" fontId="1" fillId="0" borderId="0"/>
    <xf numFmtId="0" fontId="169" fillId="0" borderId="0" applyNumberFormat="0" applyFill="0" applyBorder="0" applyAlignment="0" applyProtection="0"/>
    <xf numFmtId="0" fontId="176" fillId="95" borderId="156" applyNumberFormat="0" applyAlignment="0" applyProtection="0"/>
    <xf numFmtId="0" fontId="176" fillId="95" borderId="156" applyNumberFormat="0" applyAlignment="0" applyProtection="0"/>
    <xf numFmtId="0" fontId="1" fillId="0" borderId="0"/>
    <xf numFmtId="0" fontId="176" fillId="95" borderId="156" applyNumberFormat="0" applyAlignment="0" applyProtection="0"/>
    <xf numFmtId="0" fontId="1" fillId="0" borderId="0"/>
    <xf numFmtId="0" fontId="1" fillId="55" borderId="49" applyNumberFormat="0" applyFont="0" applyAlignment="0" applyProtection="0"/>
    <xf numFmtId="0" fontId="184" fillId="98"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0" borderId="0"/>
    <xf numFmtId="0" fontId="184" fillId="9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84" fillId="10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84" fillId="101"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84" fillId="102"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184" fillId="103" borderId="0" applyNumberFormat="0" applyBorder="0" applyAlignment="0" applyProtection="0"/>
    <xf numFmtId="0" fontId="1" fillId="89" borderId="0" applyNumberFormat="0" applyBorder="0" applyAlignment="0" applyProtection="0"/>
    <xf numFmtId="0" fontId="1" fillId="90" borderId="0" applyNumberFormat="0" applyBorder="0" applyAlignment="0" applyProtection="0"/>
    <xf numFmtId="0" fontId="176" fillId="95" borderId="156" applyNumberFormat="0" applyAlignment="0" applyProtection="0"/>
    <xf numFmtId="0" fontId="1" fillId="55" borderId="49" applyNumberFormat="0" applyFont="0" applyAlignment="0" applyProtection="0"/>
    <xf numFmtId="0" fontId="184" fillId="98" borderId="0" applyNumberFormat="0" applyBorder="0" applyAlignment="0" applyProtection="0"/>
    <xf numFmtId="0" fontId="184" fillId="101" borderId="0" applyNumberFormat="0" applyBorder="0" applyAlignment="0" applyProtection="0"/>
    <xf numFmtId="0" fontId="184" fillId="99" borderId="0" applyNumberFormat="0" applyBorder="0" applyAlignment="0" applyProtection="0"/>
    <xf numFmtId="0" fontId="184" fillId="98" borderId="0" applyNumberFormat="0" applyBorder="0" applyAlignment="0" applyProtection="0"/>
    <xf numFmtId="0" fontId="184" fillId="101" borderId="0" applyNumberFormat="0" applyBorder="0" applyAlignment="0" applyProtection="0"/>
    <xf numFmtId="0" fontId="184" fillId="10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84" fillId="98" borderId="0" applyNumberFormat="0" applyBorder="0" applyAlignment="0" applyProtection="0"/>
    <xf numFmtId="0" fontId="184" fillId="101" borderId="0" applyNumberFormat="0" applyBorder="0" applyAlignment="0" applyProtection="0"/>
    <xf numFmtId="0" fontId="1" fillId="81" borderId="0" applyNumberFormat="0" applyBorder="0" applyAlignment="0" applyProtection="0"/>
    <xf numFmtId="0" fontId="184" fillId="99" borderId="0" applyNumberFormat="0" applyBorder="0" applyAlignment="0" applyProtection="0"/>
    <xf numFmtId="0" fontId="184" fillId="102" borderId="0" applyNumberFormat="0" applyBorder="0" applyAlignment="0" applyProtection="0"/>
    <xf numFmtId="0" fontId="184" fillId="100" borderId="0" applyNumberFormat="0" applyBorder="0" applyAlignment="0" applyProtection="0"/>
    <xf numFmtId="0" fontId="1" fillId="87" borderId="0" applyNumberFormat="0" applyBorder="0" applyAlignment="0" applyProtection="0"/>
    <xf numFmtId="0" fontId="184" fillId="103" borderId="0" applyNumberFormat="0" applyBorder="0" applyAlignment="0" applyProtection="0"/>
    <xf numFmtId="0" fontId="1" fillId="55" borderId="49" applyNumberFormat="0" applyFont="0" applyAlignment="0" applyProtection="0"/>
    <xf numFmtId="0" fontId="184" fillId="99" borderId="0" applyNumberFormat="0" applyBorder="0" applyAlignment="0" applyProtection="0"/>
    <xf numFmtId="0" fontId="184" fillId="102" borderId="0" applyNumberFormat="0" applyBorder="0" applyAlignment="0" applyProtection="0"/>
    <xf numFmtId="0" fontId="184" fillId="100" borderId="0" applyNumberFormat="0" applyBorder="0" applyAlignment="0" applyProtection="0"/>
    <xf numFmtId="0" fontId="1" fillId="87" borderId="0" applyNumberFormat="0" applyBorder="0" applyAlignment="0" applyProtection="0"/>
    <xf numFmtId="0" fontId="184" fillId="103" borderId="0" applyNumberFormat="0" applyBorder="0" applyAlignment="0" applyProtection="0"/>
    <xf numFmtId="0" fontId="1" fillId="55" borderId="49" applyNumberFormat="0" applyFont="0" applyAlignment="0" applyProtection="0"/>
    <xf numFmtId="0" fontId="184" fillId="102" borderId="0" applyNumberFormat="0" applyBorder="0" applyAlignment="0" applyProtection="0"/>
    <xf numFmtId="0" fontId="1" fillId="87" borderId="0" applyNumberFormat="0" applyBorder="0" applyAlignment="0" applyProtection="0"/>
    <xf numFmtId="0" fontId="184" fillId="103" borderId="0" applyNumberFormat="0" applyBorder="0" applyAlignment="0" applyProtection="0"/>
  </cellStyleXfs>
  <cellXfs count="720">
    <xf numFmtId="164" fontId="0" fillId="0" borderId="0" xfId="0"/>
    <xf numFmtId="164" fontId="13" fillId="0" borderId="0" xfId="0" applyFont="1" applyAlignment="1">
      <alignment horizontal="center"/>
    </xf>
    <xf numFmtId="164" fontId="13" fillId="0" borderId="0" xfId="0" applyFont="1"/>
    <xf numFmtId="164" fontId="12" fillId="0" borderId="0" xfId="0" applyFont="1"/>
    <xf numFmtId="164" fontId="12" fillId="0" borderId="0" xfId="0" applyFont="1" applyAlignment="1">
      <alignment horizontal="right"/>
    </xf>
    <xf numFmtId="164" fontId="15" fillId="0" borderId="0" xfId="0" applyFont="1"/>
    <xf numFmtId="164" fontId="15"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3" fillId="0" borderId="0" xfId="0" applyFont="1" applyAlignment="1">
      <alignment vertical="center"/>
    </xf>
    <xf numFmtId="164" fontId="13" fillId="0" borderId="0" xfId="0" applyFont="1" applyAlignment="1">
      <alignment vertical="top"/>
    </xf>
    <xf numFmtId="166" fontId="13" fillId="0" borderId="0" xfId="640" applyFont="1" applyAlignment="1">
      <alignment vertical="center"/>
    </xf>
    <xf numFmtId="166" fontId="13" fillId="0" borderId="38" xfId="640" applyFont="1" applyBorder="1" applyAlignment="1">
      <alignment vertical="top"/>
    </xf>
    <xf numFmtId="167" fontId="13" fillId="0" borderId="0" xfId="328" applyNumberFormat="1" applyFont="1" applyAlignment="1">
      <alignment vertical="center"/>
    </xf>
    <xf numFmtId="167" fontId="13" fillId="0" borderId="38" xfId="328" applyNumberFormat="1" applyFont="1" applyBorder="1" applyAlignment="1">
      <alignment vertical="top"/>
    </xf>
    <xf numFmtId="167" fontId="13" fillId="0" borderId="0" xfId="0" applyNumberFormat="1" applyFont="1" applyAlignment="1">
      <alignment vertical="center"/>
    </xf>
    <xf numFmtId="167" fontId="0" fillId="0" borderId="0" xfId="0" applyNumberFormat="1"/>
    <xf numFmtId="167" fontId="13" fillId="0" borderId="0" xfId="0" applyNumberFormat="1" applyFont="1" applyAlignment="1">
      <alignment vertical="top"/>
    </xf>
    <xf numFmtId="167" fontId="13" fillId="0" borderId="0" xfId="0" applyNumberFormat="1" applyFont="1" applyBorder="1" applyAlignment="1">
      <alignment vertical="center"/>
    </xf>
    <xf numFmtId="165" fontId="12" fillId="0" borderId="0" xfId="0" applyNumberFormat="1" applyFont="1" applyAlignment="1">
      <alignment horizontal="center" vertical="center"/>
    </xf>
    <xf numFmtId="164" fontId="12" fillId="0" borderId="0" xfId="0" applyFont="1" applyAlignment="1">
      <alignment vertical="center"/>
    </xf>
    <xf numFmtId="167" fontId="12" fillId="0" borderId="0" xfId="0" applyNumberFormat="1" applyFont="1" applyAlignment="1">
      <alignment vertical="center"/>
    </xf>
    <xf numFmtId="164" fontId="0" fillId="0" borderId="0" xfId="0" applyAlignment="1"/>
    <xf numFmtId="164" fontId="13" fillId="0" borderId="0" xfId="0" applyFont="1" applyAlignment="1"/>
    <xf numFmtId="167" fontId="13" fillId="0" borderId="9" xfId="328" applyNumberFormat="1" applyFont="1" applyBorder="1" applyAlignment="1"/>
    <xf numFmtId="166" fontId="13" fillId="0" borderId="9" xfId="640" applyFont="1" applyBorder="1" applyAlignment="1"/>
    <xf numFmtId="167" fontId="13" fillId="0" borderId="0" xfId="0" applyNumberFormat="1" applyFont="1" applyAlignment="1"/>
    <xf numFmtId="167" fontId="13" fillId="0" borderId="9" xfId="328" applyNumberFormat="1" applyFont="1" applyBorder="1" applyAlignment="1">
      <alignment vertical="top"/>
    </xf>
    <xf numFmtId="169" fontId="13" fillId="0" borderId="0" xfId="328" applyFont="1" applyAlignment="1">
      <alignment vertical="center"/>
    </xf>
    <xf numFmtId="169" fontId="13" fillId="0" borderId="38" xfId="328" applyFont="1" applyBorder="1" applyAlignment="1">
      <alignment vertical="top"/>
    </xf>
    <xf numFmtId="169" fontId="13" fillId="0" borderId="9" xfId="328" applyFont="1" applyBorder="1" applyAlignment="1"/>
    <xf numFmtId="169" fontId="13" fillId="0" borderId="9" xfId="328" applyFont="1" applyBorder="1" applyAlignment="1">
      <alignment vertical="top"/>
    </xf>
    <xf numFmtId="165" fontId="12" fillId="0" borderId="0" xfId="0" applyNumberFormat="1" applyFont="1" applyAlignment="1">
      <alignment horizontal="center" vertical="top"/>
    </xf>
    <xf numFmtId="164" fontId="12" fillId="0" borderId="0" xfId="0" applyFont="1" applyAlignment="1">
      <alignment vertical="top"/>
    </xf>
    <xf numFmtId="167" fontId="13" fillId="0" borderId="0" xfId="0" applyNumberFormat="1" applyFont="1" applyAlignment="1">
      <alignment horizontal="right" vertical="center"/>
    </xf>
    <xf numFmtId="167" fontId="12" fillId="0" borderId="0" xfId="328" applyNumberFormat="1" applyFont="1" applyAlignment="1"/>
    <xf numFmtId="166" fontId="12" fillId="0" borderId="0" xfId="640" applyFont="1"/>
    <xf numFmtId="169" fontId="12" fillId="0" borderId="0" xfId="328" applyFont="1" applyAlignment="1"/>
    <xf numFmtId="173" fontId="12" fillId="0" borderId="0" xfId="328" applyNumberFormat="1" applyFont="1" applyBorder="1" applyAlignment="1">
      <alignment vertical="center"/>
    </xf>
    <xf numFmtId="173" fontId="12" fillId="0" borderId="0" xfId="328" applyNumberFormat="1" applyFont="1" applyAlignment="1"/>
    <xf numFmtId="173" fontId="12" fillId="0" borderId="0" xfId="174" applyNumberFormat="1" applyFont="1"/>
    <xf numFmtId="169" fontId="12" fillId="0" borderId="0" xfId="328" applyFont="1" applyAlignment="1">
      <alignment vertical="center"/>
    </xf>
    <xf numFmtId="0" fontId="0" fillId="0" borderId="0" xfId="0" applyNumberFormat="1"/>
    <xf numFmtId="0" fontId="13" fillId="0" borderId="31" xfId="0" applyNumberFormat="1" applyFont="1" applyBorder="1" applyAlignment="1">
      <alignment horizontal="centerContinuous"/>
    </xf>
    <xf numFmtId="0" fontId="12" fillId="0" borderId="31" xfId="0" applyNumberFormat="1" applyFont="1" applyBorder="1" applyAlignment="1">
      <alignment horizontal="center" wrapText="1"/>
    </xf>
    <xf numFmtId="0" fontId="12" fillId="0" borderId="0" xfId="0" applyNumberFormat="1" applyFont="1" applyAlignment="1">
      <alignment horizontal="center"/>
    </xf>
    <xf numFmtId="0" fontId="12" fillId="0" borderId="31" xfId="0" applyNumberFormat="1" applyFont="1" applyBorder="1" applyAlignment="1">
      <alignment horizontal="centerContinuous"/>
    </xf>
    <xf numFmtId="0" fontId="12" fillId="0" borderId="39" xfId="0" applyNumberFormat="1" applyFont="1" applyBorder="1" applyAlignment="1">
      <alignment horizontal="center" wrapText="1"/>
    </xf>
    <xf numFmtId="0" fontId="12" fillId="0" borderId="0" xfId="0" applyNumberFormat="1" applyFont="1" applyBorder="1" applyAlignment="1">
      <alignment horizontal="centerContinuous"/>
    </xf>
    <xf numFmtId="173" fontId="12" fillId="0" borderId="0" xfId="174" applyNumberFormat="1" applyFont="1" applyAlignment="1">
      <alignment vertical="center"/>
    </xf>
    <xf numFmtId="169" fontId="13" fillId="0" borderId="0" xfId="328" applyFont="1" applyBorder="1" applyAlignment="1">
      <alignment vertical="top"/>
    </xf>
    <xf numFmtId="172" fontId="12" fillId="0" borderId="0" xfId="328" applyNumberFormat="1" applyFont="1" applyAlignment="1">
      <alignment vertical="center"/>
    </xf>
    <xf numFmtId="173" fontId="13" fillId="0" borderId="0" xfId="174" applyNumberFormat="1" applyFont="1" applyAlignment="1">
      <alignment vertical="top"/>
    </xf>
    <xf numFmtId="164" fontId="0" fillId="0" borderId="0" xfId="0" applyAlignment="1">
      <alignment horizontal="left"/>
    </xf>
    <xf numFmtId="172" fontId="12" fillId="0" borderId="0" xfId="328" applyNumberFormat="1" applyFont="1" applyAlignment="1"/>
    <xf numFmtId="165" fontId="12" fillId="0" borderId="0" xfId="0" applyNumberFormat="1" applyFont="1" applyBorder="1" applyAlignment="1">
      <alignment horizontal="center" vertical="center"/>
    </xf>
    <xf numFmtId="164" fontId="12" fillId="0" borderId="0" xfId="0" applyFont="1" applyBorder="1" applyAlignment="1">
      <alignment vertical="center"/>
    </xf>
    <xf numFmtId="164" fontId="13" fillId="0" borderId="0" xfId="0" applyFont="1" applyBorder="1" applyAlignment="1">
      <alignment vertical="center"/>
    </xf>
    <xf numFmtId="169" fontId="13" fillId="0" borderId="0" xfId="328" applyFont="1" applyBorder="1" applyAlignment="1">
      <alignment vertical="center"/>
    </xf>
    <xf numFmtId="173" fontId="13" fillId="0" borderId="0" xfId="174" applyNumberFormat="1" applyFont="1" applyBorder="1" applyAlignment="1">
      <alignment vertical="center"/>
    </xf>
    <xf numFmtId="0" fontId="0" fillId="0" borderId="0" xfId="0" applyNumberFormat="1" applyAlignment="1">
      <alignment horizontal="center"/>
    </xf>
    <xf numFmtId="0" fontId="12" fillId="0" borderId="0" xfId="328" applyNumberFormat="1" applyFont="1" applyAlignment="1">
      <alignment vertical="center"/>
    </xf>
    <xf numFmtId="0" fontId="12" fillId="0" borderId="0" xfId="328" applyNumberFormat="1" applyFont="1" applyAlignment="1">
      <alignment horizontal="centerContinuous" vertical="center"/>
    </xf>
    <xf numFmtId="175" fontId="12" fillId="0" borderId="0" xfId="174" applyNumberFormat="1" applyFont="1" applyAlignment="1">
      <alignment vertical="center"/>
    </xf>
    <xf numFmtId="175" fontId="12" fillId="0" borderId="0" xfId="174" applyNumberFormat="1" applyFont="1" applyAlignment="1">
      <alignment horizontal="centerContinuous" vertical="center"/>
    </xf>
    <xf numFmtId="0" fontId="12" fillId="0" borderId="0" xfId="328" quotePrefix="1" applyNumberFormat="1" applyFont="1" applyAlignment="1">
      <alignment vertical="center"/>
    </xf>
    <xf numFmtId="170" fontId="12" fillId="0" borderId="0" xfId="640" applyNumberFormat="1" applyFont="1" applyAlignment="1">
      <alignment vertical="center"/>
    </xf>
    <xf numFmtId="171" fontId="12" fillId="0" borderId="0" xfId="640" applyNumberFormat="1" applyFont="1" applyAlignment="1">
      <alignment vertical="center"/>
    </xf>
    <xf numFmtId="170" fontId="13" fillId="0" borderId="38" xfId="640" applyNumberFormat="1" applyFont="1" applyBorder="1" applyAlignment="1">
      <alignment vertical="top"/>
    </xf>
    <xf numFmtId="169" fontId="12" fillId="0" borderId="9" xfId="328" applyFont="1" applyBorder="1" applyAlignment="1">
      <alignment horizontal="center"/>
    </xf>
    <xf numFmtId="169" fontId="12" fillId="0" borderId="0" xfId="328" applyFont="1" applyBorder="1" applyAlignment="1">
      <alignment horizontal="center" vertical="center"/>
    </xf>
    <xf numFmtId="173" fontId="12" fillId="0" borderId="0" xfId="174" applyNumberFormat="1" applyFont="1" applyBorder="1" applyAlignment="1">
      <alignment horizontal="center" vertical="center"/>
    </xf>
    <xf numFmtId="169" fontId="12" fillId="0" borderId="0" xfId="328" applyFont="1" applyBorder="1" applyAlignment="1">
      <alignment horizontal="center" vertical="top"/>
    </xf>
    <xf numFmtId="169" fontId="12" fillId="0" borderId="0" xfId="328" applyFont="1" applyBorder="1" applyAlignment="1">
      <alignment horizontal="center"/>
    </xf>
    <xf numFmtId="174" fontId="12" fillId="0" borderId="0" xfId="174" applyNumberFormat="1" applyFont="1" applyAlignment="1">
      <alignment vertical="center"/>
    </xf>
    <xf numFmtId="166" fontId="12" fillId="0" borderId="0" xfId="640" applyFont="1" applyAlignment="1">
      <alignment vertical="center"/>
    </xf>
    <xf numFmtId="170" fontId="12" fillId="0" borderId="0" xfId="640" applyNumberFormat="1" applyFont="1" applyBorder="1" applyAlignment="1">
      <alignment vertical="center"/>
    </xf>
    <xf numFmtId="177" fontId="12" fillId="0" borderId="0" xfId="180" applyFont="1" applyAlignment="1">
      <alignment vertical="center"/>
    </xf>
    <xf numFmtId="177" fontId="12" fillId="0" borderId="0" xfId="180" applyAlignment="1"/>
    <xf numFmtId="168" fontId="13" fillId="0" borderId="0" xfId="328" applyNumberFormat="1" applyFont="1" applyAlignment="1">
      <alignment vertical="center"/>
    </xf>
    <xf numFmtId="174" fontId="13" fillId="0" borderId="0" xfId="328" applyNumberFormat="1" applyFont="1" applyAlignment="1">
      <alignment vertical="center"/>
    </xf>
    <xf numFmtId="174" fontId="12" fillId="0" borderId="0" xfId="328" applyNumberFormat="1" applyFont="1" applyAlignment="1"/>
    <xf numFmtId="174" fontId="13" fillId="0" borderId="38" xfId="328" applyNumberFormat="1" applyFont="1" applyBorder="1" applyAlignment="1">
      <alignment vertical="top"/>
    </xf>
    <xf numFmtId="174" fontId="12" fillId="0" borderId="0" xfId="328" applyNumberFormat="1" applyFont="1" applyAlignment="1">
      <alignment vertical="center"/>
    </xf>
    <xf numFmtId="174" fontId="13" fillId="0" borderId="0" xfId="328" applyNumberFormat="1" applyFont="1" applyBorder="1" applyAlignment="1">
      <alignment vertical="center"/>
    </xf>
    <xf numFmtId="170" fontId="13" fillId="0" borderId="0" xfId="640" applyNumberFormat="1" applyFont="1" applyAlignment="1">
      <alignment vertical="center"/>
    </xf>
    <xf numFmtId="170" fontId="13" fillId="0" borderId="9" xfId="640" applyNumberFormat="1" applyFont="1" applyBorder="1" applyAlignment="1"/>
    <xf numFmtId="170" fontId="13" fillId="0" borderId="9" xfId="640" applyNumberFormat="1" applyFont="1" applyBorder="1" applyAlignment="1">
      <alignment vertical="top"/>
    </xf>
    <xf numFmtId="170" fontId="12" fillId="0" borderId="0" xfId="640" applyNumberFormat="1" applyFont="1"/>
    <xf numFmtId="164" fontId="0" fillId="0" borderId="0" xfId="0" quotePrefix="1"/>
    <xf numFmtId="0" fontId="0" fillId="0" borderId="0" xfId="0" quotePrefix="1" applyNumberFormat="1"/>
    <xf numFmtId="167" fontId="12" fillId="0" borderId="0" xfId="0" applyNumberFormat="1" applyFont="1" applyBorder="1" applyAlignment="1">
      <alignment vertical="center"/>
    </xf>
    <xf numFmtId="0" fontId="13" fillId="0" borderId="0" xfId="0" applyNumberFormat="1" applyFont="1" applyBorder="1" applyAlignment="1">
      <alignment horizontal="centerContinuous"/>
    </xf>
    <xf numFmtId="0" fontId="12" fillId="0" borderId="0" xfId="0" applyNumberFormat="1" applyFont="1" applyBorder="1" applyAlignment="1">
      <alignment horizontal="center" wrapText="1"/>
    </xf>
    <xf numFmtId="167" fontId="13" fillId="0" borderId="0" xfId="328" applyNumberFormat="1" applyFont="1" applyBorder="1" applyAlignment="1">
      <alignment vertical="top"/>
    </xf>
    <xf numFmtId="167" fontId="13" fillId="0" borderId="0" xfId="328" applyNumberFormat="1" applyFont="1" applyBorder="1" applyAlignment="1"/>
    <xf numFmtId="0" fontId="0" fillId="0" borderId="40" xfId="0" applyNumberFormat="1" applyBorder="1"/>
    <xf numFmtId="0" fontId="12" fillId="0" borderId="40" xfId="0" applyNumberFormat="1" applyFont="1" applyBorder="1" applyAlignment="1">
      <alignment horizontal="center"/>
    </xf>
    <xf numFmtId="164" fontId="13" fillId="0" borderId="40" xfId="0" applyFont="1" applyBorder="1" applyAlignment="1">
      <alignment vertical="center"/>
    </xf>
    <xf numFmtId="164" fontId="0" fillId="0" borderId="40" xfId="0" applyBorder="1"/>
    <xf numFmtId="164" fontId="13" fillId="0" borderId="40" xfId="0" applyFont="1" applyBorder="1" applyAlignment="1">
      <alignment vertical="top"/>
    </xf>
    <xf numFmtId="164" fontId="13"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3" fillId="0" borderId="0" xfId="328" applyFont="1" applyBorder="1" applyAlignment="1"/>
    <xf numFmtId="0" fontId="0" fillId="0" borderId="41" xfId="0" applyNumberFormat="1" applyBorder="1"/>
    <xf numFmtId="167" fontId="13" fillId="0" borderId="40" xfId="0" applyNumberFormat="1" applyFont="1" applyBorder="1" applyAlignment="1">
      <alignment vertical="center"/>
    </xf>
    <xf numFmtId="167" fontId="0" fillId="0" borderId="40" xfId="0" applyNumberFormat="1" applyBorder="1"/>
    <xf numFmtId="167" fontId="13" fillId="0" borderId="40" xfId="0" applyNumberFormat="1" applyFont="1" applyBorder="1" applyAlignment="1">
      <alignment vertical="top"/>
    </xf>
    <xf numFmtId="167" fontId="13" fillId="0" borderId="40" xfId="0" applyNumberFormat="1" applyFont="1" applyBorder="1" applyAlignment="1"/>
    <xf numFmtId="167" fontId="12" fillId="0" borderId="40" xfId="0" applyNumberFormat="1" applyFont="1" applyBorder="1" applyAlignment="1">
      <alignment vertical="center"/>
    </xf>
    <xf numFmtId="177" fontId="12" fillId="0" borderId="40" xfId="180" applyFont="1" applyBorder="1" applyAlignment="1">
      <alignment vertical="center"/>
    </xf>
    <xf numFmtId="167" fontId="13" fillId="0" borderId="0" xfId="0" applyNumberFormat="1" applyFont="1" applyBorder="1" applyAlignment="1"/>
    <xf numFmtId="169" fontId="13" fillId="0" borderId="0" xfId="328" applyFont="1" applyBorder="1" applyAlignment="1">
      <alignment horizontal="center"/>
    </xf>
    <xf numFmtId="167" fontId="13" fillId="0" borderId="0" xfId="0" applyNumberFormat="1" applyFont="1" applyAlignment="1">
      <alignment horizontal="right"/>
    </xf>
    <xf numFmtId="167" fontId="13" fillId="0" borderId="40" xfId="0" applyNumberFormat="1" applyFont="1" applyBorder="1" applyAlignment="1">
      <alignment horizontal="right"/>
    </xf>
    <xf numFmtId="173" fontId="13" fillId="0" borderId="0" xfId="174" applyNumberFormat="1" applyFont="1" applyBorder="1" applyAlignment="1"/>
    <xf numFmtId="167" fontId="13" fillId="0" borderId="0" xfId="0" applyNumberFormat="1" applyFont="1" applyBorder="1" applyAlignment="1">
      <alignment horizontal="right"/>
    </xf>
    <xf numFmtId="167" fontId="13" fillId="0" borderId="0" xfId="0" applyNumberFormat="1" applyFont="1" applyBorder="1" applyAlignment="1">
      <alignment horizontal="right" vertical="center"/>
    </xf>
    <xf numFmtId="164" fontId="12" fillId="0" borderId="40" xfId="0" applyFont="1" applyBorder="1" applyAlignment="1">
      <alignment vertical="center"/>
    </xf>
    <xf numFmtId="167" fontId="12" fillId="0" borderId="42" xfId="0" applyNumberFormat="1" applyFont="1" applyBorder="1" applyAlignment="1">
      <alignment vertical="center"/>
    </xf>
    <xf numFmtId="170" fontId="13" fillId="0" borderId="0" xfId="640" applyNumberFormat="1" applyFont="1" applyBorder="1" applyAlignment="1">
      <alignment vertical="center"/>
    </xf>
    <xf numFmtId="167" fontId="13" fillId="0" borderId="0" xfId="328" applyNumberFormat="1" applyFont="1" applyAlignment="1"/>
    <xf numFmtId="166" fontId="13" fillId="0" borderId="0" xfId="640" applyFont="1" applyAlignment="1"/>
    <xf numFmtId="41" fontId="12" fillId="0" borderId="0" xfId="174" applyFont="1"/>
    <xf numFmtId="170" fontId="13" fillId="0" borderId="0" xfId="640" applyNumberFormat="1" applyFont="1" applyAlignment="1"/>
    <xf numFmtId="169" fontId="13" fillId="0" borderId="0" xfId="328" applyFont="1" applyAlignment="1"/>
    <xf numFmtId="0" fontId="0" fillId="0" borderId="0" xfId="0" applyNumberFormat="1" applyBorder="1"/>
    <xf numFmtId="177" fontId="13" fillId="0" borderId="38" xfId="180" applyFont="1" applyBorder="1" applyAlignment="1">
      <alignment vertical="top"/>
    </xf>
    <xf numFmtId="177" fontId="13" fillId="0" borderId="0" xfId="180" applyFont="1" applyBorder="1" applyAlignment="1">
      <alignment vertical="center"/>
    </xf>
    <xf numFmtId="177" fontId="12" fillId="0" borderId="0" xfId="180" applyFont="1" applyBorder="1" applyAlignment="1">
      <alignment vertical="center"/>
    </xf>
    <xf numFmtId="0" fontId="12" fillId="0" borderId="0" xfId="180" applyNumberFormat="1" applyFont="1" applyAlignment="1">
      <alignment vertical="center"/>
    </xf>
    <xf numFmtId="169" fontId="12" fillId="0" borderId="0" xfId="328" applyFont="1" applyBorder="1" applyAlignment="1"/>
    <xf numFmtId="172" fontId="12" fillId="0" borderId="0" xfId="328" applyNumberFormat="1" applyFont="1" applyBorder="1" applyAlignment="1">
      <alignment vertical="top"/>
    </xf>
    <xf numFmtId="0" fontId="12" fillId="0" borderId="0" xfId="328" quotePrefix="1" applyNumberFormat="1" applyFont="1" applyBorder="1" applyAlignment="1">
      <alignment vertical="top"/>
    </xf>
    <xf numFmtId="0" fontId="12" fillId="0" borderId="0" xfId="328" applyNumberFormat="1" applyFont="1" applyBorder="1" applyAlignment="1"/>
    <xf numFmtId="0" fontId="12" fillId="0" borderId="0" xfId="328" quotePrefix="1" applyNumberFormat="1" applyFont="1" applyBorder="1" applyAlignment="1">
      <alignment vertical="center"/>
    </xf>
    <xf numFmtId="177" fontId="12" fillId="0" borderId="0" xfId="180" applyBorder="1" applyAlignment="1"/>
    <xf numFmtId="167" fontId="12" fillId="0" borderId="0" xfId="0" applyNumberFormat="1" applyFont="1" applyAlignment="1">
      <alignment vertical="top"/>
    </xf>
    <xf numFmtId="167" fontId="12" fillId="0" borderId="40" xfId="0" applyNumberFormat="1" applyFont="1" applyBorder="1" applyAlignment="1">
      <alignment vertical="top"/>
    </xf>
    <xf numFmtId="177" fontId="12" fillId="0" borderId="0" xfId="180" applyFont="1" applyBorder="1" applyAlignment="1">
      <alignment vertical="top"/>
    </xf>
    <xf numFmtId="177" fontId="12" fillId="0" borderId="0" xfId="180" applyFont="1" applyAlignment="1">
      <alignment vertical="top"/>
    </xf>
    <xf numFmtId="0" fontId="12"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2" fillId="0" borderId="0" xfId="180" applyAlignment="1">
      <alignment vertical="top"/>
    </xf>
    <xf numFmtId="174" fontId="12" fillId="0" borderId="0" xfId="328" applyNumberFormat="1" applyFont="1" applyAlignment="1">
      <alignment vertical="top"/>
    </xf>
    <xf numFmtId="171" fontId="12" fillId="0" borderId="0" xfId="640" applyNumberFormat="1" applyFont="1" applyAlignment="1">
      <alignment vertical="top"/>
    </xf>
    <xf numFmtId="0" fontId="12" fillId="0" borderId="31" xfId="0" quotePrefix="1" applyNumberFormat="1" applyFont="1" applyBorder="1" applyAlignment="1">
      <alignment horizontal="center" wrapText="1"/>
    </xf>
    <xf numFmtId="0" fontId="12"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2" fillId="0" borderId="0" xfId="328" applyNumberFormat="1" applyFont="1" applyAlignment="1"/>
    <xf numFmtId="0" fontId="12" fillId="0" borderId="0" xfId="328" applyNumberFormat="1" applyFont="1" applyAlignment="1">
      <alignment vertical="top"/>
    </xf>
    <xf numFmtId="0" fontId="13" fillId="0" borderId="0" xfId="328" applyNumberFormat="1" applyFont="1" applyBorder="1" applyAlignment="1"/>
    <xf numFmtId="177" fontId="13" fillId="0" borderId="0" xfId="180" applyFont="1" applyAlignment="1">
      <alignment vertical="center"/>
    </xf>
    <xf numFmtId="177" fontId="13" fillId="0" borderId="9" xfId="180" applyFont="1" applyBorder="1" applyAlignment="1"/>
    <xf numFmtId="177" fontId="13" fillId="0" borderId="9" xfId="180" applyFont="1" applyBorder="1" applyAlignment="1">
      <alignment vertical="top"/>
    </xf>
    <xf numFmtId="41" fontId="13" fillId="0" borderId="9" xfId="174" applyFont="1" applyBorder="1" applyAlignment="1"/>
    <xf numFmtId="41" fontId="13" fillId="0" borderId="9" xfId="174" applyFont="1" applyBorder="1" applyAlignment="1">
      <alignment vertical="top"/>
    </xf>
    <xf numFmtId="0" fontId="11" fillId="0" borderId="0" xfId="328" quotePrefix="1" applyNumberFormat="1" applyFont="1" applyAlignment="1">
      <alignment vertical="top"/>
    </xf>
    <xf numFmtId="169" fontId="12" fillId="0" borderId="0" xfId="328" applyFont="1" applyBorder="1" applyAlignment="1">
      <alignment vertical="top"/>
    </xf>
    <xf numFmtId="0" fontId="13" fillId="0" borderId="0" xfId="0" applyNumberFormat="1" applyFont="1" applyBorder="1" applyAlignment="1">
      <alignment horizontal="center"/>
    </xf>
    <xf numFmtId="164" fontId="12" fillId="0" borderId="0" xfId="0" quotePrefix="1" applyFont="1" applyAlignment="1"/>
    <xf numFmtId="164" fontId="12" fillId="0" borderId="0" xfId="0" applyFont="1" applyAlignment="1"/>
    <xf numFmtId="164" fontId="11" fillId="0" borderId="0" xfId="0" applyFont="1"/>
    <xf numFmtId="164" fontId="0" fillId="0" borderId="0" xfId="0" applyAlignment="1">
      <alignment horizontal="center"/>
    </xf>
    <xf numFmtId="7" fontId="12" fillId="0" borderId="0" xfId="328" applyNumberFormat="1" applyFont="1" applyBorder="1" applyAlignment="1">
      <alignment vertical="top"/>
    </xf>
    <xf numFmtId="171" fontId="12" fillId="0" borderId="0" xfId="640" applyNumberFormat="1" applyFont="1" applyBorder="1" applyAlignment="1">
      <alignment vertical="top"/>
    </xf>
    <xf numFmtId="0" fontId="11" fillId="0" borderId="0" xfId="328" quotePrefix="1" applyNumberFormat="1" applyFont="1" applyBorder="1" applyAlignment="1">
      <alignment vertical="top"/>
    </xf>
    <xf numFmtId="0" fontId="12" fillId="0" borderId="31" xfId="0" quotePrefix="1" applyNumberFormat="1" applyFont="1" applyBorder="1" applyAlignment="1">
      <alignment horizontal="center"/>
    </xf>
    <xf numFmtId="0" fontId="12" fillId="0" borderId="31" xfId="0" applyNumberFormat="1" applyFont="1" applyBorder="1" applyAlignment="1">
      <alignment horizontal="center"/>
    </xf>
    <xf numFmtId="164" fontId="0" fillId="0" borderId="0" xfId="0" applyFill="1"/>
    <xf numFmtId="169" fontId="12" fillId="0" borderId="0" xfId="180" applyNumberFormat="1" applyFont="1" applyAlignment="1">
      <alignment vertical="center"/>
    </xf>
    <xf numFmtId="169" fontId="12" fillId="0" borderId="0" xfId="328" applyNumberFormat="1" applyFont="1" applyAlignment="1">
      <alignment vertical="center"/>
    </xf>
    <xf numFmtId="169" fontId="12" fillId="0" borderId="0" xfId="180" applyNumberFormat="1" applyAlignment="1"/>
    <xf numFmtId="169" fontId="12" fillId="0" borderId="0" xfId="328" applyNumberFormat="1" applyFont="1" applyAlignment="1"/>
    <xf numFmtId="169" fontId="13" fillId="0" borderId="0" xfId="180" applyNumberFormat="1" applyFont="1" applyBorder="1" applyAlignment="1">
      <alignment vertical="center"/>
    </xf>
    <xf numFmtId="169" fontId="13" fillId="0" borderId="38" xfId="328" applyNumberFormat="1" applyFont="1" applyBorder="1" applyAlignment="1">
      <alignment vertical="top"/>
    </xf>
    <xf numFmtId="169" fontId="12" fillId="0" borderId="0" xfId="174" applyNumberFormat="1" applyFont="1" applyAlignment="1">
      <alignment vertical="center"/>
    </xf>
    <xf numFmtId="0" fontId="13" fillId="0" borderId="31" xfId="0" applyNumberFormat="1" applyFont="1" applyBorder="1" applyAlignment="1">
      <alignment horizontal="center"/>
    </xf>
    <xf numFmtId="165" fontId="12" fillId="0" borderId="0" xfId="0" applyNumberFormat="1" applyFont="1" applyAlignment="1">
      <alignment horizontal="center"/>
    </xf>
    <xf numFmtId="44" fontId="12" fillId="0" borderId="0" xfId="174" applyNumberFormat="1" applyFont="1" applyAlignment="1">
      <alignment vertical="center"/>
    </xf>
    <xf numFmtId="43" fontId="12" fillId="0" borderId="0" xfId="174" applyNumberFormat="1" applyFont="1" applyAlignment="1">
      <alignment vertical="center"/>
    </xf>
    <xf numFmtId="44" fontId="0" fillId="0" borderId="9" xfId="0" applyNumberFormat="1" applyBorder="1"/>
    <xf numFmtId="44" fontId="12" fillId="0" borderId="0" xfId="0" applyNumberFormat="1" applyFont="1" applyBorder="1" applyAlignment="1">
      <alignment horizontal="centerContinuous"/>
    </xf>
    <xf numFmtId="44" fontId="12" fillId="0" borderId="0" xfId="0" applyNumberFormat="1" applyFont="1" applyBorder="1" applyAlignment="1">
      <alignment horizontal="center"/>
    </xf>
    <xf numFmtId="177" fontId="12" fillId="0" borderId="0" xfId="180" applyFont="1" applyBorder="1" applyAlignment="1"/>
    <xf numFmtId="174" fontId="12" fillId="0" borderId="0" xfId="328" applyNumberFormat="1" applyFont="1" applyBorder="1" applyAlignment="1">
      <alignment vertical="center"/>
    </xf>
    <xf numFmtId="172" fontId="12" fillId="0" borderId="0" xfId="328" applyNumberFormat="1" applyFont="1" applyAlignment="1">
      <alignment horizontal="center" vertical="center"/>
    </xf>
    <xf numFmtId="173" fontId="12" fillId="0" borderId="38" xfId="174" applyNumberFormat="1" applyFont="1" applyBorder="1" applyAlignment="1">
      <alignment vertical="center"/>
    </xf>
    <xf numFmtId="170" fontId="12" fillId="0" borderId="38" xfId="640" applyNumberFormat="1" applyFont="1" applyBorder="1" applyAlignment="1">
      <alignment vertical="center"/>
    </xf>
    <xf numFmtId="176" fontId="12" fillId="0" borderId="0" xfId="174" applyNumberFormat="1" applyFont="1" applyFill="1" applyAlignment="1">
      <alignment vertical="center"/>
    </xf>
    <xf numFmtId="175" fontId="12" fillId="0" borderId="0" xfId="174" applyNumberFormat="1" applyFont="1" applyFill="1" applyAlignment="1">
      <alignment vertical="center"/>
    </xf>
    <xf numFmtId="164" fontId="12" fillId="0" borderId="0" xfId="622" quotePrefix="1" applyFont="1"/>
    <xf numFmtId="164" fontId="12" fillId="0" borderId="0" xfId="622" quotePrefix="1" applyFont="1" applyAlignment="1">
      <alignment vertical="center"/>
    </xf>
    <xf numFmtId="0" fontId="13" fillId="0" borderId="40" xfId="0" applyNumberFormat="1" applyFont="1" applyBorder="1" applyAlignment="1">
      <alignment horizontal="centerContinuous"/>
    </xf>
    <xf numFmtId="164" fontId="15" fillId="0" borderId="0" xfId="0" applyFont="1" applyBorder="1"/>
    <xf numFmtId="164" fontId="11" fillId="0" borderId="0" xfId="0" applyFont="1" applyBorder="1" applyAlignment="1">
      <alignment horizontal="right"/>
    </xf>
    <xf numFmtId="164" fontId="12" fillId="0" borderId="0" xfId="0" applyFont="1" applyBorder="1" applyAlignment="1">
      <alignment horizontal="right"/>
    </xf>
    <xf numFmtId="164" fontId="11" fillId="0" borderId="0" xfId="0" applyFont="1" applyBorder="1"/>
    <xf numFmtId="164" fontId="15" fillId="0" borderId="0" xfId="0" applyFont="1" applyBorder="1" applyAlignment="1">
      <alignment horizontal="centerContinuous"/>
    </xf>
    <xf numFmtId="164" fontId="12" fillId="0" borderId="0" xfId="0" applyFont="1" applyBorder="1"/>
    <xf numFmtId="0" fontId="12" fillId="0" borderId="0" xfId="0" applyNumberFormat="1" applyFont="1" applyBorder="1"/>
    <xf numFmtId="0" fontId="12" fillId="0" borderId="40" xfId="0" applyNumberFormat="1" applyFont="1" applyBorder="1"/>
    <xf numFmtId="167" fontId="12" fillId="0" borderId="0" xfId="0" applyNumberFormat="1" applyFont="1"/>
    <xf numFmtId="167" fontId="12" fillId="0" borderId="40" xfId="0" applyNumberFormat="1" applyFont="1" applyBorder="1"/>
    <xf numFmtId="167" fontId="13" fillId="0" borderId="40" xfId="0" applyNumberFormat="1" applyFont="1" applyBorder="1" applyAlignment="1">
      <alignment horizontal="center" vertical="center"/>
    </xf>
    <xf numFmtId="167" fontId="13" fillId="0" borderId="0" xfId="0" applyNumberFormat="1" applyFont="1" applyBorder="1" applyAlignment="1">
      <alignment horizontal="center" vertical="center"/>
    </xf>
    <xf numFmtId="167" fontId="12" fillId="0" borderId="0" xfId="0" applyNumberFormat="1" applyFont="1" applyBorder="1"/>
    <xf numFmtId="181" fontId="12" fillId="0" borderId="0" xfId="180" applyNumberFormat="1" applyFont="1" applyBorder="1" applyAlignment="1">
      <alignment vertical="center"/>
    </xf>
    <xf numFmtId="169" fontId="12" fillId="0" borderId="0" xfId="180" applyNumberFormat="1" applyFont="1" applyBorder="1" applyAlignment="1">
      <alignment vertical="center"/>
    </xf>
    <xf numFmtId="170" fontId="12" fillId="0" borderId="0" xfId="640" applyNumberFormat="1" applyFont="1" applyBorder="1" applyAlignment="1">
      <alignment vertical="top"/>
    </xf>
    <xf numFmtId="177" fontId="12" fillId="0" borderId="40" xfId="180" applyFont="1" applyBorder="1" applyAlignment="1"/>
    <xf numFmtId="182" fontId="12" fillId="0" borderId="0" xfId="180" applyNumberFormat="1" applyFont="1" applyBorder="1" applyAlignment="1"/>
    <xf numFmtId="174" fontId="12" fillId="0" borderId="0" xfId="180" applyNumberFormat="1" applyFont="1" applyAlignment="1">
      <alignment vertical="center"/>
    </xf>
    <xf numFmtId="174" fontId="13" fillId="0" borderId="9" xfId="328" applyNumberFormat="1" applyFont="1" applyBorder="1" applyAlignment="1">
      <alignment vertical="top"/>
    </xf>
    <xf numFmtId="164" fontId="12" fillId="0" borderId="40" xfId="0" applyFont="1" applyBorder="1" applyAlignment="1"/>
    <xf numFmtId="175" fontId="12" fillId="0" borderId="0" xfId="174" applyNumberFormat="1" applyFont="1" applyAlignment="1">
      <alignment horizontal="centerContinuous"/>
    </xf>
    <xf numFmtId="0" fontId="12" fillId="0" borderId="0" xfId="328" applyNumberFormat="1" applyFont="1" applyAlignment="1">
      <alignment horizontal="centerContinuous"/>
    </xf>
    <xf numFmtId="164" fontId="12" fillId="0" borderId="40" xfId="0" applyFont="1" applyBorder="1" applyAlignment="1">
      <alignment vertical="top"/>
    </xf>
    <xf numFmtId="175" fontId="12" fillId="0" borderId="0" xfId="174" applyNumberFormat="1" applyFont="1" applyAlignment="1">
      <alignment horizontal="centerContinuous" vertical="top"/>
    </xf>
    <xf numFmtId="0" fontId="12" fillId="0" borderId="0" xfId="328" applyNumberFormat="1" applyFont="1" applyAlignment="1">
      <alignment horizontal="centerContinuous" vertical="top"/>
    </xf>
    <xf numFmtId="164" fontId="0" fillId="0" borderId="0" xfId="0" applyBorder="1"/>
    <xf numFmtId="164" fontId="13" fillId="0" borderId="0" xfId="0" applyFont="1" applyBorder="1"/>
    <xf numFmtId="43" fontId="12" fillId="0" borderId="0" xfId="174" applyNumberFormat="1" applyFont="1" applyBorder="1" applyAlignment="1">
      <alignment vertical="center"/>
    </xf>
    <xf numFmtId="184" fontId="12" fillId="0" borderId="0" xfId="0" applyNumberFormat="1" applyFont="1" applyAlignment="1">
      <alignment horizontal="center"/>
    </xf>
    <xf numFmtId="184" fontId="12" fillId="0" borderId="0" xfId="0" applyNumberFormat="1" applyFont="1" applyBorder="1" applyAlignment="1">
      <alignment horizontal="center"/>
    </xf>
    <xf numFmtId="185" fontId="12" fillId="0" borderId="0" xfId="0" applyNumberFormat="1" applyFont="1" applyBorder="1" applyAlignment="1">
      <alignment horizontal="center"/>
    </xf>
    <xf numFmtId="177" fontId="12" fillId="0" borderId="31" xfId="180" applyFont="1" applyBorder="1" applyAlignment="1">
      <alignment horizontal="center" vertical="center"/>
    </xf>
    <xf numFmtId="169" fontId="12" fillId="0" borderId="31" xfId="328" applyFont="1" applyBorder="1" applyAlignment="1">
      <alignment horizontal="center" vertical="center"/>
    </xf>
    <xf numFmtId="167" fontId="12" fillId="0" borderId="0" xfId="0" applyNumberFormat="1" applyFont="1" applyBorder="1" applyAlignment="1">
      <alignment horizontal="center" vertical="center"/>
    </xf>
    <xf numFmtId="164" fontId="12" fillId="0" borderId="42" xfId="0" applyFont="1" applyBorder="1" applyAlignment="1">
      <alignment vertical="center"/>
    </xf>
    <xf numFmtId="164" fontId="12" fillId="0" borderId="42" xfId="0" applyFont="1" applyBorder="1"/>
    <xf numFmtId="164" fontId="12" fillId="0" borderId="40" xfId="0" applyFont="1" applyBorder="1"/>
    <xf numFmtId="164" fontId="12" fillId="0" borderId="42" xfId="0" applyFont="1" applyBorder="1" applyAlignment="1">
      <alignment vertical="top"/>
    </xf>
    <xf numFmtId="0" fontId="12" fillId="0" borderId="42" xfId="0" applyNumberFormat="1" applyFont="1" applyBorder="1" applyAlignment="1">
      <alignment horizontal="center"/>
    </xf>
    <xf numFmtId="183" fontId="12" fillId="0" borderId="0" xfId="0" applyNumberFormat="1" applyFont="1" applyAlignment="1">
      <alignment horizontal="center" vertical="top"/>
    </xf>
    <xf numFmtId="164" fontId="12" fillId="0" borderId="0" xfId="0" applyFont="1" applyAlignment="1">
      <alignment horizontal="center"/>
    </xf>
    <xf numFmtId="164" fontId="12" fillId="0" borderId="0" xfId="0" applyFont="1" applyAlignment="1">
      <alignment horizontal="center" vertical="top"/>
    </xf>
    <xf numFmtId="164" fontId="12" fillId="0" borderId="0" xfId="0" quotePrefix="1" applyFont="1"/>
    <xf numFmtId="167" fontId="13" fillId="0" borderId="0" xfId="328" applyNumberFormat="1" applyFont="1" applyAlignment="1">
      <alignment vertical="top"/>
    </xf>
    <xf numFmtId="166" fontId="13" fillId="0" borderId="0" xfId="640" applyFont="1" applyAlignment="1">
      <alignment vertical="top"/>
    </xf>
    <xf numFmtId="169" fontId="13" fillId="0" borderId="0" xfId="328" applyFont="1" applyAlignment="1">
      <alignment vertical="top"/>
    </xf>
    <xf numFmtId="170" fontId="12" fillId="0" borderId="0" xfId="640" applyNumberFormat="1" applyFont="1" applyAlignment="1">
      <alignment vertical="top"/>
    </xf>
    <xf numFmtId="165" fontId="12" fillId="0" borderId="0" xfId="0" applyNumberFormat="1" applyFont="1" applyBorder="1" applyAlignment="1">
      <alignment horizontal="center"/>
    </xf>
    <xf numFmtId="177" fontId="12" fillId="0" borderId="40" xfId="180" applyBorder="1" applyAlignment="1"/>
    <xf numFmtId="178" fontId="12" fillId="0" borderId="0" xfId="327" applyNumberFormat="1" applyFont="1"/>
    <xf numFmtId="178" fontId="12" fillId="0" borderId="9" xfId="327" applyNumberFormat="1" applyFont="1" applyBorder="1"/>
    <xf numFmtId="0" fontId="11" fillId="0" borderId="0" xfId="624" applyFont="1" applyFill="1"/>
    <xf numFmtId="0" fontId="11" fillId="0" borderId="11" xfId="624" quotePrefix="1" applyFont="1" applyFill="1" applyBorder="1"/>
    <xf numFmtId="0" fontId="23" fillId="0" borderId="9" xfId="624" applyFont="1" applyFill="1" applyBorder="1"/>
    <xf numFmtId="0" fontId="11" fillId="0" borderId="9" xfId="624" applyFont="1" applyFill="1" applyBorder="1"/>
    <xf numFmtId="176" fontId="11" fillId="0" borderId="43" xfId="624" applyNumberFormat="1" applyFont="1" applyFill="1" applyBorder="1"/>
    <xf numFmtId="0" fontId="11" fillId="0" borderId="4" xfId="624" quotePrefix="1" applyFont="1" applyFill="1" applyBorder="1"/>
    <xf numFmtId="0" fontId="11" fillId="0" borderId="0" xfId="624" applyFont="1" applyFill="1" applyBorder="1"/>
    <xf numFmtId="176" fontId="11" fillId="0" borderId="0" xfId="624" applyNumberFormat="1" applyFont="1" applyFill="1" applyBorder="1"/>
    <xf numFmtId="0" fontId="11" fillId="0" borderId="0" xfId="624" quotePrefix="1" applyFont="1" applyFill="1" applyBorder="1"/>
    <xf numFmtId="188" fontId="11" fillId="0" borderId="0" xfId="624" applyNumberFormat="1" applyFont="1" applyFill="1" applyBorder="1"/>
    <xf numFmtId="176" fontId="11" fillId="0" borderId="44" xfId="624" applyNumberFormat="1" applyFont="1" applyFill="1" applyBorder="1"/>
    <xf numFmtId="0" fontId="11" fillId="0" borderId="45" xfId="624" quotePrefix="1" applyFont="1" applyFill="1" applyBorder="1"/>
    <xf numFmtId="0" fontId="11" fillId="0" borderId="31" xfId="624" applyFont="1" applyFill="1" applyBorder="1"/>
    <xf numFmtId="0" fontId="11" fillId="0" borderId="31" xfId="624" quotePrefix="1" applyFont="1" applyFill="1" applyBorder="1"/>
    <xf numFmtId="176" fontId="11" fillId="0" borderId="9" xfId="624" applyNumberFormat="1" applyFont="1" applyFill="1" applyBorder="1"/>
    <xf numFmtId="0" fontId="11" fillId="0" borderId="0" xfId="623" applyFont="1" applyFill="1"/>
    <xf numFmtId="176" fontId="11" fillId="0" borderId="0" xfId="623" applyNumberFormat="1" applyFont="1" applyFill="1"/>
    <xf numFmtId="0" fontId="11" fillId="0" borderId="0" xfId="623" quotePrefix="1" applyFont="1" applyFill="1"/>
    <xf numFmtId="0" fontId="21" fillId="0" borderId="0" xfId="623" applyFont="1" applyFill="1"/>
    <xf numFmtId="176" fontId="21" fillId="0" borderId="0" xfId="623" applyNumberFormat="1" applyFont="1" applyFill="1"/>
    <xf numFmtId="0" fontId="21" fillId="0" borderId="0" xfId="623" quotePrefix="1" applyFont="1" applyFill="1"/>
    <xf numFmtId="7" fontId="11" fillId="0" borderId="0" xfId="623" applyNumberFormat="1" applyFont="1" applyFill="1"/>
    <xf numFmtId="7" fontId="11" fillId="0" borderId="0" xfId="623" quotePrefix="1" applyNumberFormat="1" applyFont="1" applyFill="1"/>
    <xf numFmtId="7" fontId="11" fillId="0" borderId="9" xfId="623" applyNumberFormat="1" applyFont="1" applyFill="1" applyBorder="1"/>
    <xf numFmtId="0" fontId="21" fillId="0" borderId="0" xfId="623" applyFont="1" applyFill="1" applyAlignment="1">
      <alignment horizontal="center"/>
    </xf>
    <xf numFmtId="0" fontId="11" fillId="0" borderId="0" xfId="623" quotePrefix="1" applyFont="1" applyFill="1" applyAlignment="1">
      <alignment horizontal="center"/>
    </xf>
    <xf numFmtId="188" fontId="22" fillId="32" borderId="0" xfId="623" applyNumberFormat="1" applyFont="1" applyFill="1" applyAlignment="1" applyProtection="1">
      <alignment horizontal="right"/>
      <protection locked="0"/>
    </xf>
    <xf numFmtId="0" fontId="11" fillId="0" borderId="0" xfId="623" applyFont="1" applyFill="1" applyAlignment="1">
      <alignment horizontal="center"/>
    </xf>
    <xf numFmtId="9" fontId="22" fillId="32" borderId="0" xfId="717" applyFont="1" applyFill="1" applyAlignment="1" applyProtection="1">
      <alignment horizontal="right"/>
      <protection locked="0"/>
    </xf>
    <xf numFmtId="188" fontId="11" fillId="0" borderId="0" xfId="623" applyNumberFormat="1" applyFont="1" applyFill="1" applyAlignment="1">
      <alignment horizontal="right"/>
    </xf>
    <xf numFmtId="188" fontId="11" fillId="0" borderId="0" xfId="623" applyNumberFormat="1" applyFont="1" applyFill="1"/>
    <xf numFmtId="9" fontId="22" fillId="32" borderId="0" xfId="623" applyNumberFormat="1" applyFont="1" applyFill="1" applyAlignment="1" applyProtection="1">
      <alignment horizontal="right"/>
      <protection locked="0"/>
    </xf>
    <xf numFmtId="3" fontId="22" fillId="32" borderId="0" xfId="623" applyNumberFormat="1" applyFont="1" applyFill="1" applyAlignment="1" applyProtection="1">
      <alignment horizontal="right"/>
      <protection locked="0"/>
    </xf>
    <xf numFmtId="3" fontId="11" fillId="0" borderId="0" xfId="623" applyNumberFormat="1" applyFont="1" applyFill="1" applyAlignment="1">
      <alignment horizontal="right"/>
    </xf>
    <xf numFmtId="176" fontId="22" fillId="32" borderId="0" xfId="623" applyNumberFormat="1" applyFont="1" applyFill="1" applyAlignment="1" applyProtection="1">
      <alignment horizontal="right"/>
      <protection locked="0"/>
    </xf>
    <xf numFmtId="0" fontId="15" fillId="0" borderId="0" xfId="623" applyFont="1" applyFill="1"/>
    <xf numFmtId="0" fontId="23" fillId="0" borderId="9" xfId="623" applyFont="1" applyFill="1" applyBorder="1"/>
    <xf numFmtId="0" fontId="11" fillId="0" borderId="9" xfId="623" applyFont="1" applyFill="1" applyBorder="1"/>
    <xf numFmtId="176" fontId="11" fillId="0" borderId="43" xfId="623" applyNumberFormat="1" applyFont="1" applyFill="1" applyBorder="1"/>
    <xf numFmtId="0" fontId="11" fillId="0" borderId="4" xfId="623" quotePrefix="1" applyFont="1" applyFill="1" applyBorder="1"/>
    <xf numFmtId="0" fontId="11" fillId="0" borderId="0" xfId="623" applyFont="1" applyFill="1" applyBorder="1"/>
    <xf numFmtId="176" fontId="11" fillId="0" borderId="0" xfId="623" applyNumberFormat="1" applyFont="1" applyFill="1" applyBorder="1"/>
    <xf numFmtId="0" fontId="11" fillId="0" borderId="0" xfId="623" quotePrefix="1" applyFont="1" applyFill="1" applyBorder="1"/>
    <xf numFmtId="188" fontId="11" fillId="0" borderId="0" xfId="623" applyNumberFormat="1" applyFont="1" applyFill="1" applyBorder="1"/>
    <xf numFmtId="176" fontId="11" fillId="0" borderId="44" xfId="623" applyNumberFormat="1" applyFont="1" applyFill="1" applyBorder="1"/>
    <xf numFmtId="0" fontId="11" fillId="0" borderId="45" xfId="623" quotePrefix="1" applyFont="1" applyFill="1" applyBorder="1"/>
    <xf numFmtId="0" fontId="11" fillId="0" borderId="31" xfId="623" applyFont="1" applyFill="1" applyBorder="1"/>
    <xf numFmtId="0" fontId="11" fillId="0" borderId="31" xfId="623" quotePrefix="1" applyFont="1" applyFill="1" applyBorder="1"/>
    <xf numFmtId="176" fontId="11" fillId="0" borderId="46" xfId="623" applyNumberFormat="1" applyFont="1" applyFill="1" applyBorder="1"/>
    <xf numFmtId="176" fontId="15" fillId="0" borderId="0" xfId="623" applyNumberFormat="1" applyFont="1" applyFill="1"/>
    <xf numFmtId="0" fontId="15" fillId="0" borderId="0" xfId="623" quotePrefix="1" applyFont="1" applyFill="1"/>
    <xf numFmtId="187" fontId="15" fillId="0" borderId="0" xfId="623" applyNumberFormat="1" applyFont="1" applyFill="1" applyAlignment="1">
      <alignment horizontal="right"/>
    </xf>
    <xf numFmtId="176" fontId="15" fillId="0" borderId="0" xfId="623" applyNumberFormat="1" applyFont="1" applyFill="1" applyAlignment="1">
      <alignment horizontal="right"/>
    </xf>
    <xf numFmtId="0" fontId="11" fillId="0" borderId="47" xfId="623" quotePrefix="1" applyFont="1" applyFill="1" applyBorder="1"/>
    <xf numFmtId="0" fontId="11" fillId="0" borderId="39" xfId="623" applyFont="1" applyFill="1" applyBorder="1"/>
    <xf numFmtId="10" fontId="11" fillId="0" borderId="39" xfId="623" applyNumberFormat="1" applyFont="1" applyFill="1" applyBorder="1"/>
    <xf numFmtId="3" fontId="11" fillId="0" borderId="39" xfId="623" applyNumberFormat="1" applyFont="1" applyFill="1" applyBorder="1"/>
    <xf numFmtId="0" fontId="11" fillId="0" borderId="39" xfId="623" quotePrefix="1" applyFont="1" applyFill="1" applyBorder="1"/>
    <xf numFmtId="176" fontId="11" fillId="0" borderId="48" xfId="623" applyNumberFormat="1" applyFont="1" applyFill="1" applyBorder="1"/>
    <xf numFmtId="10" fontId="15" fillId="0" borderId="0" xfId="623" applyNumberFormat="1" applyFont="1" applyFill="1"/>
    <xf numFmtId="3" fontId="15" fillId="0" borderId="0" xfId="623" applyNumberFormat="1" applyFont="1" applyFill="1"/>
    <xf numFmtId="176" fontId="11" fillId="0" borderId="39" xfId="623" applyNumberFormat="1" applyFont="1" applyFill="1" applyBorder="1"/>
    <xf numFmtId="188" fontId="11" fillId="0" borderId="39" xfId="623" applyNumberFormat="1" applyFont="1" applyFill="1" applyBorder="1"/>
    <xf numFmtId="176" fontId="15" fillId="0" borderId="0" xfId="623" applyNumberFormat="1" applyFont="1" applyFill="1" applyBorder="1"/>
    <xf numFmtId="176" fontId="11" fillId="0" borderId="9" xfId="623" applyNumberFormat="1" applyFont="1" applyFill="1" applyBorder="1"/>
    <xf numFmtId="0" fontId="11" fillId="0" borderId="0" xfId="623" quotePrefix="1" applyFont="1" applyFill="1" applyBorder="1" applyAlignment="1">
      <alignment horizontal="right"/>
    </xf>
    <xf numFmtId="0" fontId="15" fillId="0" borderId="0" xfId="623" quotePrefix="1" applyFont="1" applyFill="1" applyAlignment="1">
      <alignment horizontal="right"/>
    </xf>
    <xf numFmtId="0" fontId="15" fillId="0" borderId="0" xfId="0" applyNumberFormat="1" applyFont="1"/>
    <xf numFmtId="0" fontId="15" fillId="0" borderId="0" xfId="0" applyNumberFormat="1" applyFont="1" applyAlignment="1">
      <alignment horizontal="right"/>
    </xf>
    <xf numFmtId="0" fontId="15" fillId="0" borderId="0" xfId="0" quotePrefix="1" applyNumberFormat="1" applyFont="1"/>
    <xf numFmtId="175" fontId="11" fillId="0" borderId="0" xfId="623" applyNumberFormat="1" applyFont="1" applyFill="1" applyBorder="1" applyAlignment="1">
      <alignment horizontal="right"/>
    </xf>
    <xf numFmtId="175" fontId="11" fillId="0" borderId="0" xfId="623" applyNumberFormat="1" applyFont="1" applyFill="1" applyBorder="1"/>
    <xf numFmtId="44" fontId="12" fillId="0" borderId="0" xfId="0" applyNumberFormat="1" applyFont="1" applyFill="1" applyBorder="1" applyAlignment="1">
      <alignment horizontal="centerContinuous"/>
    </xf>
    <xf numFmtId="164" fontId="24" fillId="0" borderId="0" xfId="0" applyFont="1"/>
    <xf numFmtId="0" fontId="13" fillId="0" borderId="0" xfId="0" applyNumberFormat="1" applyFont="1" applyAlignment="1">
      <alignment horizontal="center" vertical="center"/>
    </xf>
    <xf numFmtId="0" fontId="13" fillId="0" borderId="0" xfId="0" applyNumberFormat="1" applyFont="1" applyBorder="1" applyAlignment="1">
      <alignment vertical="center"/>
    </xf>
    <xf numFmtId="0" fontId="13" fillId="0" borderId="31" xfId="0" applyNumberFormat="1" applyFont="1" applyBorder="1" applyAlignment="1">
      <alignment horizontal="center" vertical="center"/>
    </xf>
    <xf numFmtId="0" fontId="13" fillId="0" borderId="0" xfId="0" applyNumberFormat="1" applyFont="1" applyAlignment="1">
      <alignment vertical="center"/>
    </xf>
    <xf numFmtId="0" fontId="18" fillId="0" borderId="0" xfId="0" applyNumberFormat="1" applyFont="1"/>
    <xf numFmtId="0" fontId="15" fillId="0" borderId="0" xfId="0" applyNumberFormat="1" applyFont="1" applyAlignment="1">
      <alignment horizontal="centerContinuous"/>
    </xf>
    <xf numFmtId="0" fontId="13" fillId="0" borderId="31" xfId="0" applyNumberFormat="1" applyFont="1" applyBorder="1" applyAlignment="1">
      <alignment horizontal="centerContinuous" vertical="center"/>
    </xf>
    <xf numFmtId="0" fontId="15" fillId="0" borderId="0" xfId="624" applyFont="1" applyAlignment="1">
      <alignment horizontal="centerContinuous"/>
    </xf>
    <xf numFmtId="0" fontId="19" fillId="32" borderId="0" xfId="624" applyFont="1" applyFill="1" applyProtection="1">
      <protection locked="0"/>
    </xf>
    <xf numFmtId="0" fontId="20" fillId="32" borderId="0" xfId="624" applyFont="1" applyFill="1"/>
    <xf numFmtId="186" fontId="20" fillId="32" borderId="0" xfId="624" applyNumberFormat="1" applyFont="1" applyFill="1"/>
    <xf numFmtId="0" fontId="20" fillId="32" borderId="0" xfId="624" applyFont="1" applyFill="1" applyAlignment="1" applyProtection="1">
      <alignment horizontal="left"/>
      <protection locked="0"/>
    </xf>
    <xf numFmtId="0" fontId="11" fillId="0" borderId="0" xfId="624" quotePrefix="1" applyFont="1" applyFill="1"/>
    <xf numFmtId="0" fontId="21" fillId="38" borderId="47" xfId="624" applyFont="1" applyFill="1" applyBorder="1" applyAlignment="1">
      <alignment horizontal="centerContinuous"/>
    </xf>
    <xf numFmtId="0" fontId="21" fillId="38" borderId="39" xfId="624" applyFont="1" applyFill="1" applyBorder="1" applyAlignment="1">
      <alignment horizontal="centerContinuous"/>
    </xf>
    <xf numFmtId="0" fontId="21" fillId="38" borderId="48" xfId="624" applyFont="1" applyFill="1" applyBorder="1" applyAlignment="1">
      <alignment horizontal="centerContinuous"/>
    </xf>
    <xf numFmtId="0" fontId="15" fillId="0" borderId="47" xfId="623" applyFont="1" applyFill="1" applyBorder="1" applyAlignment="1">
      <alignment horizontal="centerContinuous"/>
    </xf>
    <xf numFmtId="0" fontId="15" fillId="0" borderId="39" xfId="623" applyFont="1" applyFill="1" applyBorder="1" applyAlignment="1">
      <alignment horizontal="centerContinuous"/>
    </xf>
    <xf numFmtId="0" fontId="21" fillId="0" borderId="48" xfId="623" applyFont="1" applyFill="1" applyBorder="1" applyAlignment="1">
      <alignment horizontal="centerContinuous"/>
    </xf>
    <xf numFmtId="0" fontId="15" fillId="0" borderId="20" xfId="623" applyFont="1" applyFill="1" applyBorder="1" applyAlignment="1">
      <alignment horizontal="center"/>
    </xf>
    <xf numFmtId="0" fontId="15" fillId="0" borderId="48" xfId="623" applyFont="1" applyFill="1" applyBorder="1" applyAlignment="1">
      <alignment horizontal="centerContinuous"/>
    </xf>
    <xf numFmtId="0" fontId="21" fillId="0" borderId="47" xfId="623" applyFont="1" applyFill="1" applyBorder="1" applyAlignment="1">
      <alignment horizontal="centerContinuous"/>
    </xf>
    <xf numFmtId="164" fontId="12" fillId="0" borderId="39" xfId="0" applyFont="1" applyBorder="1" applyAlignment="1"/>
    <xf numFmtId="43" fontId="13" fillId="0" borderId="31" xfId="0" applyNumberFormat="1" applyFont="1" applyBorder="1" applyAlignment="1">
      <alignment horizontal="centerContinuous"/>
    </xf>
    <xf numFmtId="43" fontId="13" fillId="0" borderId="31" xfId="0" applyNumberFormat="1" applyFont="1" applyBorder="1" applyAlignment="1">
      <alignment horizontal="center"/>
    </xf>
    <xf numFmtId="43" fontId="12" fillId="0" borderId="0" xfId="0" applyNumberFormat="1" applyFont="1" applyAlignment="1"/>
    <xf numFmtId="43" fontId="12" fillId="0" borderId="0" xfId="0" applyNumberFormat="1" applyFont="1" applyBorder="1" applyAlignment="1">
      <alignment horizontal="center"/>
    </xf>
    <xf numFmtId="43" fontId="12" fillId="0" borderId="0" xfId="0" applyNumberFormat="1" applyFont="1" applyAlignment="1">
      <alignment vertical="center"/>
    </xf>
    <xf numFmtId="43" fontId="12" fillId="0" borderId="0" xfId="0" applyNumberFormat="1" applyFont="1" applyFill="1" applyBorder="1" applyAlignment="1">
      <alignment horizontal="centerContinuous"/>
    </xf>
    <xf numFmtId="44" fontId="0" fillId="0" borderId="0" xfId="0" applyNumberFormat="1"/>
    <xf numFmtId="44" fontId="12" fillId="0" borderId="0" xfId="0" applyNumberFormat="1" applyFont="1" applyAlignment="1"/>
    <xf numFmtId="191" fontId="15" fillId="0" borderId="0" xfId="0" applyNumberFormat="1" applyFont="1" applyAlignment="1">
      <alignment horizontal="centerContinuous"/>
    </xf>
    <xf numFmtId="169" fontId="13" fillId="0" borderId="9" xfId="328" applyNumberFormat="1" applyFont="1" applyBorder="1" applyAlignment="1"/>
    <xf numFmtId="190" fontId="11" fillId="0" borderId="0" xfId="623" applyNumberFormat="1" applyFont="1" applyFill="1"/>
    <xf numFmtId="0" fontId="21" fillId="0" borderId="0" xfId="623" applyFont="1" applyFill="1" applyAlignment="1">
      <alignment horizontal="centerContinuous"/>
    </xf>
    <xf numFmtId="189" fontId="22" fillId="32" borderId="0" xfId="623" applyNumberFormat="1" applyFont="1" applyFill="1" applyAlignment="1">
      <alignment horizontal="right"/>
    </xf>
    <xf numFmtId="0" fontId="11" fillId="0" borderId="0" xfId="623" applyFont="1"/>
    <xf numFmtId="0" fontId="15" fillId="0" borderId="31" xfId="623" applyFont="1" applyFill="1" applyBorder="1" applyAlignment="1">
      <alignment horizontal="center"/>
    </xf>
    <xf numFmtId="0" fontId="11" fillId="0" borderId="0" xfId="624" applyFont="1" applyAlignment="1">
      <alignment horizontal="centerContinuous"/>
    </xf>
    <xf numFmtId="0" fontId="11" fillId="0" borderId="0" xfId="624" applyFont="1"/>
    <xf numFmtId="0" fontId="11" fillId="0" borderId="0" xfId="624" applyFont="1" applyAlignment="1">
      <alignment horizontal="right"/>
    </xf>
    <xf numFmtId="0" fontId="25" fillId="0" borderId="0" xfId="623" applyFont="1"/>
    <xf numFmtId="0" fontId="26" fillId="0" borderId="0" xfId="623" applyFont="1"/>
    <xf numFmtId="0" fontId="26" fillId="0" borderId="0" xfId="623" applyFont="1" applyFill="1"/>
    <xf numFmtId="0" fontId="26" fillId="0" borderId="0" xfId="623" quotePrefix="1" applyFont="1" applyFill="1"/>
    <xf numFmtId="164" fontId="12" fillId="0" borderId="0" xfId="0" applyFont="1" applyBorder="1" applyAlignment="1">
      <alignment horizontal="center"/>
    </xf>
    <xf numFmtId="176" fontId="11" fillId="0" borderId="31" xfId="624" applyNumberFormat="1" applyFont="1" applyFill="1" applyBorder="1"/>
    <xf numFmtId="189" fontId="11" fillId="0" borderId="0" xfId="623" applyNumberFormat="1" applyFont="1" applyFill="1" applyBorder="1" applyAlignment="1">
      <alignment horizontal="right"/>
    </xf>
    <xf numFmtId="164" fontId="15" fillId="0" borderId="0" xfId="0" applyFont="1" applyAlignment="1">
      <alignment horizontal="center"/>
    </xf>
    <xf numFmtId="0" fontId="15" fillId="0" borderId="0" xfId="0" applyNumberFormat="1" applyFont="1" applyAlignment="1">
      <alignment horizontal="center"/>
    </xf>
    <xf numFmtId="0" fontId="18" fillId="0" borderId="0" xfId="0" applyNumberFormat="1" applyFont="1" applyAlignment="1">
      <alignment horizontal="center"/>
    </xf>
    <xf numFmtId="164" fontId="15" fillId="0" borderId="0" xfId="0" applyFont="1" applyAlignment="1">
      <alignment horizontal="left"/>
    </xf>
    <xf numFmtId="191" fontId="13" fillId="0" borderId="31" xfId="0" applyNumberFormat="1" applyFont="1" applyBorder="1" applyAlignment="1">
      <alignment horizontal="center" vertical="center" wrapText="1"/>
    </xf>
    <xf numFmtId="164" fontId="12" fillId="0" borderId="0" xfId="0" applyFont="1" applyBorder="1" applyAlignment="1"/>
    <xf numFmtId="44" fontId="0" fillId="0" borderId="0" xfId="0" applyNumberFormat="1" applyBorder="1"/>
    <xf numFmtId="164" fontId="0" fillId="0" borderId="0" xfId="0" applyAlignment="1">
      <alignment horizontal="center" vertical="center"/>
    </xf>
    <xf numFmtId="175" fontId="11" fillId="0" borderId="0" xfId="624" applyNumberFormat="1" applyFont="1" applyFill="1" applyBorder="1" applyAlignment="1"/>
    <xf numFmtId="176" fontId="11" fillId="0" borderId="44" xfId="624" applyNumberFormat="1" applyFont="1" applyFill="1" applyBorder="1" applyAlignment="1">
      <alignment horizontal="right"/>
    </xf>
    <xf numFmtId="188" fontId="11" fillId="0" borderId="31" xfId="624" applyNumberFormat="1" applyFont="1" applyFill="1" applyBorder="1"/>
    <xf numFmtId="176" fontId="11" fillId="0" borderId="46" xfId="624" applyNumberFormat="1" applyFont="1" applyFill="1" applyBorder="1"/>
    <xf numFmtId="164" fontId="18" fillId="0" borderId="0" xfId="0" applyFont="1"/>
    <xf numFmtId="0" fontId="11" fillId="0" borderId="31" xfId="623" quotePrefix="1" applyFont="1" applyFill="1" applyBorder="1" applyAlignment="1">
      <alignment horizontal="right"/>
    </xf>
    <xf numFmtId="176" fontId="11" fillId="0" borderId="31" xfId="623" applyNumberFormat="1" applyFont="1" applyFill="1" applyBorder="1"/>
    <xf numFmtId="188" fontId="11" fillId="0" borderId="31" xfId="623" applyNumberFormat="1" applyFont="1" applyFill="1" applyBorder="1" applyAlignment="1">
      <alignment horizontal="right"/>
    </xf>
    <xf numFmtId="0" fontId="18" fillId="0" borderId="0" xfId="0" quotePrefix="1" applyNumberFormat="1" applyFont="1"/>
    <xf numFmtId="0" fontId="15" fillId="0" borderId="0" xfId="0" applyNumberFormat="1" applyFont="1" applyAlignment="1">
      <alignment horizontal="left"/>
    </xf>
    <xf numFmtId="15" fontId="15" fillId="0" borderId="0" xfId="0" quotePrefix="1" applyNumberFormat="1" applyFont="1" applyAlignment="1">
      <alignment horizontal="left"/>
    </xf>
    <xf numFmtId="0" fontId="0" fillId="0" borderId="0" xfId="0" applyNumberFormat="1" applyFont="1" applyAlignment="1">
      <alignment vertical="center"/>
    </xf>
    <xf numFmtId="236" fontId="18" fillId="0" borderId="0" xfId="173" applyNumberFormat="1" applyFont="1" applyFill="1" applyAlignment="1">
      <alignment horizontal="right"/>
    </xf>
    <xf numFmtId="188" fontId="18" fillId="0" borderId="0" xfId="621" applyNumberFormat="1" applyFont="1" applyFill="1" applyAlignment="1">
      <alignment horizontal="right"/>
    </xf>
    <xf numFmtId="0" fontId="13" fillId="0" borderId="0" xfId="0" applyNumberFormat="1" applyFont="1" applyFill="1" applyAlignment="1">
      <alignment vertical="center"/>
    </xf>
    <xf numFmtId="191" fontId="0" fillId="0" borderId="0" xfId="0" applyNumberFormat="1" applyFont="1" applyAlignment="1">
      <alignment horizontal="center" vertical="center"/>
    </xf>
    <xf numFmtId="191" fontId="13"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3" fillId="0" borderId="0" xfId="0" applyNumberFormat="1" applyFont="1" applyFill="1" applyBorder="1" applyAlignment="1">
      <alignment vertical="center"/>
    </xf>
    <xf numFmtId="0" fontId="0" fillId="0" borderId="39" xfId="0" applyNumberFormat="1" applyFont="1" applyBorder="1" applyAlignment="1">
      <alignment horizontal="center" wrapText="1"/>
    </xf>
    <xf numFmtId="0" fontId="11" fillId="0" borderId="0" xfId="0" applyNumberFormat="1" applyFont="1"/>
    <xf numFmtId="170" fontId="0" fillId="0" borderId="0" xfId="640" applyNumberFormat="1" applyFont="1"/>
    <xf numFmtId="170" fontId="12" fillId="0" borderId="0" xfId="640" applyNumberFormat="1" applyFont="1" applyBorder="1" applyAlignment="1">
      <alignment vertical="top"/>
    </xf>
    <xf numFmtId="167" fontId="12" fillId="0" borderId="0" xfId="328" applyNumberFormat="1" applyFont="1" applyBorder="1" applyAlignment="1"/>
    <xf numFmtId="173" fontId="12" fillId="0" borderId="0" xfId="328" applyNumberFormat="1" applyFont="1" applyBorder="1" applyAlignment="1"/>
    <xf numFmtId="170" fontId="13"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177" fontId="0" fillId="0" borderId="0" xfId="180" applyFont="1" applyAlignment="1"/>
    <xf numFmtId="173" fontId="0" fillId="0" borderId="0" xfId="328" applyNumberFormat="1" applyFont="1" applyAlignment="1"/>
    <xf numFmtId="239" fontId="158" fillId="0" borderId="50" xfId="1770" applyNumberFormat="1" applyFont="1" applyFill="1" applyBorder="1"/>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2" fillId="0" borderId="148" xfId="0" applyNumberFormat="1" applyFont="1" applyBorder="1" applyAlignment="1">
      <alignment horizontal="center" wrapText="1"/>
    </xf>
    <xf numFmtId="43" fontId="13" fillId="0" borderId="0" xfId="0" applyNumberFormat="1" applyFont="1" applyFill="1" applyBorder="1" applyAlignment="1">
      <alignment horizontal="centerContinuous"/>
    </xf>
    <xf numFmtId="43" fontId="13" fillId="0" borderId="0" xfId="0" applyNumberFormat="1" applyFont="1" applyBorder="1" applyAlignment="1">
      <alignment horizontal="center"/>
    </xf>
    <xf numFmtId="43" fontId="13" fillId="0" borderId="0" xfId="0" applyNumberFormat="1" applyFont="1" applyBorder="1" applyAlignment="1">
      <alignment horizontal="centerContinuous"/>
    </xf>
    <xf numFmtId="171" fontId="12" fillId="0" borderId="0" xfId="640" applyNumberFormat="1" applyFont="1" applyBorder="1" applyAlignment="1">
      <alignment vertical="top"/>
    </xf>
    <xf numFmtId="171" fontId="12"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3" fillId="0" borderId="147" xfId="328" applyNumberFormat="1" applyFont="1" applyBorder="1" applyAlignment="1"/>
    <xf numFmtId="0" fontId="15" fillId="38" borderId="47" xfId="624" applyFont="1" applyFill="1" applyBorder="1" applyAlignment="1">
      <alignment horizontal="centerContinuous"/>
    </xf>
    <xf numFmtId="0" fontId="15" fillId="0" borderId="0" xfId="624" applyFont="1" applyAlignment="1">
      <alignment horizontal="center"/>
    </xf>
    <xf numFmtId="169" fontId="0" fillId="0" borderId="0" xfId="328" applyFont="1" applyBorder="1" applyAlignment="1">
      <alignment horizontal="center" vertical="center"/>
    </xf>
    <xf numFmtId="43" fontId="12" fillId="0" borderId="0" xfId="328" applyNumberFormat="1" applyFont="1" applyBorder="1" applyAlignment="1"/>
    <xf numFmtId="44" fontId="12" fillId="0" borderId="0" xfId="328" applyNumberFormat="1" applyFont="1" applyBorder="1" applyAlignment="1">
      <alignment vertical="top"/>
    </xf>
    <xf numFmtId="172" fontId="12" fillId="0" borderId="0" xfId="0" applyNumberFormat="1" applyFont="1" applyBorder="1" applyAlignment="1">
      <alignment vertical="center"/>
    </xf>
    <xf numFmtId="250" fontId="12" fillId="0" borderId="0" xfId="174" applyNumberFormat="1" applyFont="1" applyAlignment="1">
      <alignment vertical="center"/>
    </xf>
    <xf numFmtId="172" fontId="0" fillId="0" borderId="9" xfId="0" applyNumberFormat="1" applyBorder="1"/>
    <xf numFmtId="1" fontId="13" fillId="0" borderId="0" xfId="0" applyNumberFormat="1" applyFont="1" applyBorder="1" applyAlignment="1">
      <alignment horizontal="center" vertical="center" wrapText="1"/>
    </xf>
    <xf numFmtId="191" fontId="13"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93" fontId="12" fillId="0" borderId="0" xfId="328" applyNumberFormat="1" applyFont="1" applyBorder="1" applyAlignment="1">
      <alignment vertical="top"/>
    </xf>
    <xf numFmtId="251" fontId="0" fillId="0" borderId="0" xfId="0" applyNumberFormat="1"/>
    <xf numFmtId="164" fontId="0" fillId="0" borderId="0" xfId="0" quotePrefix="1" applyFont="1" applyAlignment="1"/>
    <xf numFmtId="167" fontId="13" fillId="0" borderId="42" xfId="0" applyNumberFormat="1" applyFont="1" applyBorder="1" applyAlignment="1">
      <alignment vertical="top"/>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2" fontId="16" fillId="0" borderId="147" xfId="0" quotePrefix="1" applyNumberFormat="1" applyFont="1" applyBorder="1" applyAlignment="1">
      <alignment vertical="top"/>
    </xf>
    <xf numFmtId="44" fontId="12" fillId="0" borderId="0" xfId="0" applyNumberFormat="1" applyFont="1" applyAlignment="1">
      <alignment vertical="top"/>
    </xf>
    <xf numFmtId="164" fontId="13" fillId="0" borderId="0" xfId="0" applyFont="1" applyAlignment="1">
      <alignment horizontal="center"/>
    </xf>
    <xf numFmtId="164" fontId="0" fillId="0" borderId="0" xfId="620" applyFont="1" applyAlignment="1">
      <alignment vertical="center"/>
    </xf>
    <xf numFmtId="237" fontId="12" fillId="0" borderId="0" xfId="173" applyNumberFormat="1" applyFont="1" applyFill="1" applyBorder="1" applyAlignment="1">
      <alignment horizontal="left"/>
    </xf>
    <xf numFmtId="41" fontId="12" fillId="0" borderId="0" xfId="173" applyNumberFormat="1" applyFont="1" applyFill="1" applyBorder="1" applyAlignment="1">
      <alignment horizontal="right"/>
    </xf>
    <xf numFmtId="173" fontId="12" fillId="0" borderId="0" xfId="173" applyNumberFormat="1" applyFont="1" applyFill="1" applyBorder="1" applyAlignment="1">
      <alignment horizontal="right"/>
    </xf>
    <xf numFmtId="256" fontId="0" fillId="0" borderId="0" xfId="640" applyNumberFormat="1" applyFont="1"/>
    <xf numFmtId="169" fontId="13" fillId="0" borderId="0" xfId="328" applyNumberFormat="1" applyFont="1" applyBorder="1" applyAlignment="1"/>
    <xf numFmtId="164" fontId="13" fillId="0" borderId="0" xfId="0" applyFont="1" applyBorder="1" applyAlignment="1"/>
    <xf numFmtId="166" fontId="13" fillId="0" borderId="0" xfId="640" applyFont="1" applyBorder="1" applyAlignment="1"/>
    <xf numFmtId="164" fontId="0" fillId="0" borderId="0" xfId="0" applyFont="1" applyAlignment="1">
      <alignment horizontal="center"/>
    </xf>
    <xf numFmtId="0" fontId="12" fillId="0" borderId="0" xfId="0" applyNumberFormat="1" applyFont="1" applyAlignment="1">
      <alignment horizontal="center"/>
    </xf>
    <xf numFmtId="164" fontId="12" fillId="0" borderId="0" xfId="0" applyFont="1" applyAlignment="1">
      <alignment horizontal="center"/>
    </xf>
    <xf numFmtId="164" fontId="167" fillId="0" borderId="0" xfId="0" applyFont="1" applyAlignment="1">
      <alignment horizontal="center"/>
    </xf>
    <xf numFmtId="164" fontId="167" fillId="0" borderId="149" xfId="0" applyFont="1" applyBorder="1" applyAlignment="1">
      <alignment horizontal="center"/>
    </xf>
    <xf numFmtId="0" fontId="13" fillId="0" borderId="46" xfId="0" applyNumberFormat="1" applyFont="1" applyBorder="1" applyAlignment="1">
      <alignment horizontal="center"/>
    </xf>
    <xf numFmtId="1" fontId="12" fillId="0" borderId="44" xfId="0" applyNumberFormat="1" applyFont="1" applyBorder="1" applyAlignment="1">
      <alignment horizontal="center" vertical="center"/>
    </xf>
    <xf numFmtId="0" fontId="13" fillId="0" borderId="150" xfId="0" applyNumberFormat="1" applyFont="1" applyBorder="1" applyAlignment="1">
      <alignment horizontal="center"/>
    </xf>
    <xf numFmtId="164" fontId="165" fillId="0" borderId="0" xfId="0" applyFont="1" applyBorder="1" applyAlignment="1">
      <alignment vertical="top"/>
    </xf>
    <xf numFmtId="164" fontId="165" fillId="0" borderId="0" xfId="0" applyFont="1" applyBorder="1"/>
    <xf numFmtId="164" fontId="165" fillId="0" borderId="0" xfId="0" applyFont="1"/>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328" applyNumberFormat="1" applyFont="1" applyAlignment="1">
      <alignment horizontal="right" vertical="center"/>
    </xf>
    <xf numFmtId="174" fontId="13" fillId="0" borderId="152" xfId="328" applyNumberFormat="1" applyFont="1" applyBorder="1" applyAlignment="1">
      <alignment horizontal="right" vertical="center"/>
    </xf>
    <xf numFmtId="164" fontId="0" fillId="0" borderId="152" xfId="0" applyFont="1" applyBorder="1" applyAlignment="1">
      <alignment horizontal="right" vertical="center"/>
    </xf>
    <xf numFmtId="174" fontId="0" fillId="0" borderId="152"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79"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3" fillId="0" borderId="0" xfId="0" applyFont="1" applyBorder="1" applyAlignment="1">
      <alignment vertical="top"/>
    </xf>
    <xf numFmtId="169" fontId="13" fillId="0" borderId="152" xfId="328" applyFont="1" applyBorder="1" applyAlignment="1">
      <alignment vertical="top"/>
    </xf>
    <xf numFmtId="169" fontId="13" fillId="0" borderId="147" xfId="328" applyNumberFormat="1" applyFont="1" applyBorder="1" applyAlignment="1"/>
    <xf numFmtId="49" fontId="0" fillId="0" borderId="0" xfId="0" quotePrefix="1" applyNumberFormat="1" applyAlignment="1">
      <alignment horizontal="left" vertical="center"/>
    </xf>
    <xf numFmtId="191" fontId="0"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64" fontId="13" fillId="0" borderId="0" xfId="0" applyFont="1" applyAlignment="1">
      <alignment horizontal="left"/>
    </xf>
    <xf numFmtId="0" fontId="13" fillId="0" borderId="0" xfId="0" applyNumberFormat="1" applyFont="1" applyAlignment="1">
      <alignment horizontal="centerContinuous"/>
    </xf>
    <xf numFmtId="0" fontId="13" fillId="0" borderId="0" xfId="0" applyNumberFormat="1" applyFont="1"/>
    <xf numFmtId="174" fontId="0" fillId="0" borderId="0" xfId="245" applyNumberFormat="1" applyFont="1" applyFill="1" applyBorder="1" applyAlignment="1">
      <alignment horizontal="right" vertical="center"/>
    </xf>
    <xf numFmtId="191" fontId="13" fillId="0" borderId="0" xfId="173" applyNumberFormat="1" applyFont="1" applyFill="1" applyBorder="1" applyAlignment="1">
      <alignment horizontal="right" vertical="center"/>
    </xf>
    <xf numFmtId="237" fontId="12" fillId="0" borderId="0" xfId="173" applyNumberFormat="1" applyFont="1" applyAlignment="1">
      <alignment horizontal="center"/>
    </xf>
    <xf numFmtId="164" fontId="12"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0" fontId="0" fillId="0" borderId="0" xfId="510" applyNumberFormat="1" applyFont="1" applyFill="1" applyAlignment="1">
      <alignment horizontal="right" vertical="center"/>
    </xf>
    <xf numFmtId="164" fontId="0" fillId="0" borderId="167" xfId="0" applyFont="1" applyBorder="1" applyAlignment="1">
      <alignment horizontal="center" vertical="center"/>
    </xf>
    <xf numFmtId="164" fontId="0" fillId="0" borderId="166" xfId="0" applyFont="1" applyBorder="1" applyAlignment="1">
      <alignment horizontal="center" vertical="center"/>
    </xf>
    <xf numFmtId="164" fontId="167" fillId="0" borderId="4" xfId="0" applyFont="1" applyBorder="1" applyAlignment="1">
      <alignment horizontal="center"/>
    </xf>
    <xf numFmtId="191" fontId="0" fillId="0" borderId="0" xfId="510" applyNumberFormat="1" applyFont="1" applyFill="1" applyAlignment="1">
      <alignment horizontal="right" vertical="center"/>
    </xf>
    <xf numFmtId="191" fontId="0" fillId="0" borderId="31" xfId="510" applyNumberFormat="1" applyFont="1" applyFill="1" applyBorder="1" applyAlignment="1">
      <alignment horizontal="right" vertical="center"/>
    </xf>
    <xf numFmtId="191" fontId="13" fillId="0" borderId="0" xfId="209" applyNumberFormat="1" applyFont="1" applyFill="1" applyBorder="1" applyAlignment="1">
      <alignment horizontal="right" vertical="center"/>
    </xf>
    <xf numFmtId="191" fontId="13" fillId="0" borderId="147" xfId="209" applyNumberFormat="1" applyFont="1" applyFill="1" applyBorder="1" applyAlignment="1">
      <alignment horizontal="right" vertical="center"/>
    </xf>
    <xf numFmtId="191" fontId="13" fillId="0" borderId="148" xfId="209" applyNumberFormat="1" applyFont="1" applyFill="1" applyBorder="1" applyAlignment="1">
      <alignment horizontal="right" vertical="center"/>
    </xf>
    <xf numFmtId="191" fontId="13" fillId="0" borderId="144" xfId="209" applyNumberFormat="1" applyFont="1" applyFill="1" applyBorder="1" applyAlignment="1">
      <alignment horizontal="right" vertical="center"/>
    </xf>
    <xf numFmtId="191" fontId="13" fillId="0" borderId="8" xfId="209" applyNumberFormat="1" applyFont="1" applyFill="1" applyBorder="1" applyAlignment="1">
      <alignment horizontal="right" vertical="center"/>
    </xf>
    <xf numFmtId="239" fontId="192" fillId="0" borderId="0" xfId="6661" applyNumberFormat="1" applyFont="1"/>
    <xf numFmtId="0" fontId="0" fillId="0" borderId="0" xfId="0" applyNumberFormat="1" applyFont="1" applyFill="1" applyBorder="1" applyAlignment="1">
      <alignment horizontal="center" vertical="center" wrapText="1"/>
    </xf>
    <xf numFmtId="44" fontId="13" fillId="0" borderId="152" xfId="328" applyNumberFormat="1" applyFont="1" applyBorder="1" applyAlignment="1">
      <alignment vertical="top"/>
    </xf>
    <xf numFmtId="43" fontId="13" fillId="0" borderId="38" xfId="640" applyNumberFormat="1" applyFont="1" applyBorder="1" applyAlignment="1">
      <alignment vertical="top"/>
    </xf>
    <xf numFmtId="179" fontId="13" fillId="0" borderId="144" xfId="1998" applyNumberFormat="1" applyFont="1" applyFill="1" applyBorder="1" applyAlignment="1">
      <alignment horizontal="right" vertical="center"/>
    </xf>
    <xf numFmtId="0" fontId="0" fillId="0" borderId="0" xfId="0" applyNumberFormat="1" applyFont="1" applyAlignment="1">
      <alignment horizontal="left" vertical="center"/>
    </xf>
    <xf numFmtId="174" fontId="13" fillId="0" borderId="0" xfId="328" applyNumberFormat="1" applyFont="1" applyBorder="1" applyAlignment="1">
      <alignment vertical="top"/>
    </xf>
    <xf numFmtId="167" fontId="0" fillId="0" borderId="0" xfId="0" applyNumberFormat="1" applyBorder="1" applyAlignment="1">
      <alignment vertical="top"/>
    </xf>
    <xf numFmtId="44" fontId="12" fillId="0" borderId="0" xfId="640" applyNumberFormat="1" applyFont="1" applyAlignment="1">
      <alignment vertical="top"/>
    </xf>
    <xf numFmtId="10" fontId="11" fillId="0" borderId="0" xfId="623" applyNumberFormat="1" applyFont="1" applyFill="1" applyBorder="1"/>
    <xf numFmtId="3" fontId="11" fillId="0" borderId="0" xfId="623" applyNumberFormat="1" applyFont="1" applyFill="1" applyBorder="1"/>
    <xf numFmtId="0" fontId="11" fillId="0" borderId="148" xfId="623" applyFont="1" applyFill="1" applyBorder="1"/>
    <xf numFmtId="3" fontId="11" fillId="0" borderId="148" xfId="623" applyNumberFormat="1" applyFont="1" applyFill="1" applyBorder="1"/>
    <xf numFmtId="0" fontId="15" fillId="0" borderId="0" xfId="623" quotePrefix="1" applyFont="1" applyFill="1" applyBorder="1"/>
    <xf numFmtId="249" fontId="13" fillId="0" borderId="0" xfId="327" applyNumberFormat="1" applyFont="1" applyBorder="1" applyAlignment="1">
      <alignment vertical="center"/>
    </xf>
    <xf numFmtId="249" fontId="13" fillId="0" borderId="50" xfId="327" applyNumberFormat="1" applyFont="1" applyFill="1" applyBorder="1" applyAlignment="1">
      <alignment horizontal="left" vertical="center"/>
    </xf>
    <xf numFmtId="256" fontId="0" fillId="0" borderId="0" xfId="640" applyNumberFormat="1" applyFont="1" applyAlignment="1"/>
    <xf numFmtId="249" fontId="13" fillId="0" borderId="38" xfId="328" applyNumberFormat="1" applyFont="1" applyBorder="1" applyAlignment="1">
      <alignment vertical="top"/>
    </xf>
    <xf numFmtId="164" fontId="0" fillId="0" borderId="0" xfId="622" applyFont="1"/>
    <xf numFmtId="164" fontId="0" fillId="0" borderId="0" xfId="622" quotePrefix="1" applyFont="1"/>
    <xf numFmtId="170" fontId="0" fillId="0" borderId="0" xfId="640" applyNumberFormat="1" applyFont="1" applyFill="1" applyAlignment="1">
      <alignment horizontal="right" vertical="center"/>
    </xf>
    <xf numFmtId="170" fontId="11" fillId="0" borderId="0" xfId="640" applyNumberFormat="1" applyFont="1"/>
    <xf numFmtId="170" fontId="0" fillId="0" borderId="0" xfId="640" applyNumberFormat="1" applyFont="1" applyAlignment="1">
      <alignment vertical="center"/>
    </xf>
    <xf numFmtId="258"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3"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37" fontId="0" fillId="0" borderId="0" xfId="0" applyNumberFormat="1" applyFont="1" applyAlignment="1">
      <alignment horizontal="right" vertical="center"/>
    </xf>
    <xf numFmtId="44" fontId="0" fillId="0" borderId="50" xfId="0" applyNumberFormat="1" applyBorder="1"/>
    <xf numFmtId="174" fontId="13" fillId="0" borderId="152"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13" fillId="0" borderId="0" xfId="0" applyNumberFormat="1" applyFont="1" applyAlignment="1">
      <alignment horizontal="right" vertical="center"/>
    </xf>
    <xf numFmtId="275" fontId="12" fillId="0" borderId="0" xfId="328" applyNumberFormat="1" applyFont="1" applyBorder="1" applyAlignment="1">
      <alignment vertical="top"/>
    </xf>
    <xf numFmtId="191" fontId="13" fillId="0" borderId="165" xfId="0" applyNumberFormat="1" applyFont="1" applyBorder="1" applyAlignment="1">
      <alignment horizontal="center" wrapText="1"/>
    </xf>
    <xf numFmtId="0" fontId="13" fillId="0" borderId="173" xfId="0" applyNumberFormat="1" applyFont="1" applyBorder="1" applyAlignment="1">
      <alignment horizontal="center" wrapText="1"/>
    </xf>
    <xf numFmtId="0" fontId="13" fillId="0" borderId="174" xfId="0" applyNumberFormat="1" applyFont="1" applyBorder="1" applyAlignment="1">
      <alignment horizontal="center"/>
    </xf>
    <xf numFmtId="191" fontId="13" fillId="0" borderId="150" xfId="0" applyNumberFormat="1" applyFont="1" applyBorder="1" applyAlignment="1">
      <alignment horizontal="center" wrapText="1"/>
    </xf>
    <xf numFmtId="164" fontId="0" fillId="0" borderId="0" xfId="0" applyFont="1" applyFill="1" applyAlignment="1">
      <alignment vertical="center"/>
    </xf>
    <xf numFmtId="237" fontId="12" fillId="0" borderId="38" xfId="328" applyNumberFormat="1" applyFont="1" applyBorder="1" applyAlignment="1">
      <alignment vertical="center"/>
    </xf>
    <xf numFmtId="0" fontId="13" fillId="0" borderId="151" xfId="0" applyNumberFormat="1" applyFont="1" applyBorder="1" applyAlignment="1">
      <alignment horizontal="center" vertical="center" wrapText="1"/>
    </xf>
    <xf numFmtId="164" fontId="0" fillId="0" borderId="0" xfId="0" quotePrefix="1" applyAlignment="1">
      <alignment horizontal="left"/>
    </xf>
    <xf numFmtId="276" fontId="11" fillId="0" borderId="39" xfId="623" applyNumberFormat="1" applyFont="1" applyFill="1" applyBorder="1"/>
    <xf numFmtId="249" fontId="0" fillId="0" borderId="0" xfId="328" applyNumberFormat="1" applyFont="1" applyAlignment="1"/>
    <xf numFmtId="275" fontId="12" fillId="0" borderId="0" xfId="640" applyNumberFormat="1" applyFont="1" applyAlignment="1">
      <alignment vertical="center"/>
    </xf>
    <xf numFmtId="249" fontId="13" fillId="0" borderId="0" xfId="328" applyNumberFormat="1" applyFont="1" applyAlignment="1">
      <alignment vertical="center"/>
    </xf>
    <xf numFmtId="0" fontId="0" fillId="0" borderId="0" xfId="0" applyNumberFormat="1" applyFont="1" applyFill="1" applyAlignment="1">
      <alignment horizontal="center" vertical="center"/>
    </xf>
    <xf numFmtId="191" fontId="13" fillId="0" borderId="35" xfId="173" applyNumberFormat="1" applyFont="1" applyFill="1" applyBorder="1" applyAlignment="1">
      <alignment horizontal="right" vertical="center"/>
    </xf>
    <xf numFmtId="164" fontId="0" fillId="0" borderId="0" xfId="0" applyFill="1" applyAlignment="1">
      <alignment horizontal="center" vertical="center"/>
    </xf>
    <xf numFmtId="191" fontId="13" fillId="0" borderId="8" xfId="173" applyNumberFormat="1" applyFont="1" applyFill="1" applyBorder="1" applyAlignment="1">
      <alignment horizontal="right" vertical="center"/>
    </xf>
    <xf numFmtId="174" fontId="0" fillId="0" borderId="0" xfId="328" applyNumberFormat="1" applyFont="1" applyFill="1" applyBorder="1" applyAlignment="1">
      <alignment horizontal="right" vertical="center"/>
    </xf>
    <xf numFmtId="164" fontId="0" fillId="0" borderId="0" xfId="0" applyFont="1" applyFill="1" applyBorder="1" applyAlignment="1">
      <alignment horizontal="right" vertical="center"/>
    </xf>
    <xf numFmtId="164" fontId="0" fillId="0" borderId="50" xfId="0" applyFont="1" applyFill="1" applyBorder="1" applyAlignment="1">
      <alignment horizontal="right" vertical="center"/>
    </xf>
    <xf numFmtId="174" fontId="0" fillId="0" borderId="50" xfId="0" applyNumberFormat="1" applyFont="1" applyFill="1" applyBorder="1" applyAlignment="1">
      <alignment horizontal="right" vertical="center"/>
    </xf>
    <xf numFmtId="174" fontId="12" fillId="0" borderId="0" xfId="328" applyNumberFormat="1" applyFont="1" applyFill="1" applyAlignment="1"/>
    <xf numFmtId="174" fontId="12" fillId="0" borderId="0" xfId="174" applyNumberFormat="1" applyFont="1" applyFill="1"/>
    <xf numFmtId="174" fontId="158" fillId="0" borderId="0" xfId="2767" applyNumberFormat="1" applyFont="1" applyFill="1"/>
    <xf numFmtId="174" fontId="0" fillId="0" borderId="0" xfId="328" applyNumberFormat="1" applyFont="1" applyFill="1" applyAlignment="1"/>
    <xf numFmtId="238" fontId="12" fillId="0" borderId="0" xfId="180" applyNumberFormat="1" applyFont="1" applyFill="1" applyAlignment="1">
      <alignment vertical="top"/>
    </xf>
    <xf numFmtId="191" fontId="0" fillId="0" borderId="0" xfId="0" applyNumberFormat="1" applyFont="1" applyFill="1" applyAlignment="1">
      <alignment vertical="center"/>
    </xf>
    <xf numFmtId="167" fontId="13" fillId="0" borderId="0" xfId="328" applyNumberFormat="1" applyFont="1" applyBorder="1" applyAlignment="1">
      <alignment vertical="center"/>
    </xf>
    <xf numFmtId="249" fontId="13" fillId="0" borderId="0" xfId="327" applyNumberFormat="1" applyFont="1" applyFill="1" applyBorder="1" applyAlignment="1">
      <alignment horizontal="left" vertical="center"/>
    </xf>
    <xf numFmtId="249" fontId="12" fillId="0" borderId="0" xfId="328" applyNumberFormat="1" applyFont="1" applyFill="1" applyAlignment="1"/>
    <xf numFmtId="258" fontId="0" fillId="0" borderId="0" xfId="0" applyNumberFormat="1" applyFont="1" applyFill="1" applyBorder="1" applyAlignment="1">
      <alignment horizontal="right" vertical="center"/>
    </xf>
    <xf numFmtId="257" fontId="0" fillId="0" borderId="0" xfId="328" applyNumberFormat="1" applyFont="1" applyFill="1" applyBorder="1" applyAlignment="1">
      <alignment horizontal="right" vertical="center"/>
    </xf>
    <xf numFmtId="170" fontId="0" fillId="0" borderId="0" xfId="640" applyNumberFormat="1" applyFont="1" applyFill="1"/>
    <xf numFmtId="167" fontId="0" fillId="0" borderId="0" xfId="0" applyNumberFormat="1" applyFont="1" applyFill="1"/>
    <xf numFmtId="167" fontId="0" fillId="0" borderId="40" xfId="0" applyNumberFormat="1" applyFont="1" applyFill="1" applyBorder="1"/>
    <xf numFmtId="177" fontId="0" fillId="0" borderId="0" xfId="180" applyFont="1" applyFill="1" applyAlignment="1"/>
    <xf numFmtId="252" fontId="12" fillId="0" borderId="0" xfId="0" applyNumberFormat="1" applyFont="1" applyFill="1" applyBorder="1" applyAlignment="1">
      <alignment vertical="center"/>
    </xf>
    <xf numFmtId="252" fontId="16" fillId="0" borderId="147" xfId="0" quotePrefix="1" applyNumberFormat="1" applyFont="1" applyFill="1" applyBorder="1" applyAlignment="1">
      <alignment vertical="top"/>
    </xf>
    <xf numFmtId="0" fontId="15" fillId="0" borderId="0" xfId="0" applyNumberFormat="1" applyFont="1" applyFill="1" applyAlignment="1">
      <alignment horizontal="centerContinuous"/>
    </xf>
    <xf numFmtId="0" fontId="18" fillId="0" borderId="0" xfId="0" applyNumberFormat="1" applyFont="1" applyFill="1" applyAlignment="1">
      <alignment horizontal="centerContinuous"/>
    </xf>
    <xf numFmtId="164" fontId="12" fillId="0" borderId="0" xfId="0" applyFont="1" applyFill="1" applyAlignment="1">
      <alignment horizontal="center"/>
    </xf>
    <xf numFmtId="236" fontId="158" fillId="0" borderId="0" xfId="173" applyNumberFormat="1" applyFont="1" applyFill="1"/>
    <xf numFmtId="174" fontId="0" fillId="0" borderId="0" xfId="174" applyNumberFormat="1" applyFont="1" applyFill="1" applyBorder="1" applyAlignment="1">
      <alignment horizontal="right" vertical="center"/>
    </xf>
    <xf numFmtId="257" fontId="0" fillId="0" borderId="0" xfId="174" applyNumberFormat="1" applyFont="1" applyFill="1" applyBorder="1" applyAlignment="1">
      <alignment horizontal="right" vertical="center"/>
    </xf>
    <xf numFmtId="10" fontId="158" fillId="0" borderId="0" xfId="2856" applyNumberFormat="1" applyFont="1" applyFill="1"/>
    <xf numFmtId="174" fontId="0" fillId="0" borderId="0" xfId="174" applyNumberFormat="1" applyFont="1" applyFill="1" applyAlignment="1">
      <alignment horizontal="right" vertical="center"/>
    </xf>
    <xf numFmtId="164" fontId="0" fillId="0" borderId="0" xfId="0" applyFont="1" applyFill="1" applyAlignment="1">
      <alignment horizontal="right" vertical="center"/>
    </xf>
    <xf numFmtId="171" fontId="0" fillId="0" borderId="0" xfId="640" applyNumberFormat="1" applyFont="1" applyFill="1" applyAlignment="1">
      <alignment horizontal="right" vertical="center"/>
    </xf>
    <xf numFmtId="236" fontId="12" fillId="0" borderId="0" xfId="173" applyNumberFormat="1" applyFont="1" applyFill="1" applyAlignment="1">
      <alignment horizontal="right" vertical="center"/>
    </xf>
    <xf numFmtId="257" fontId="12" fillId="0" borderId="50" xfId="328" applyNumberFormat="1" applyFont="1" applyFill="1" applyBorder="1" applyAlignment="1">
      <alignment horizontal="right" vertical="center"/>
    </xf>
    <xf numFmtId="1" fontId="0" fillId="0" borderId="0" xfId="640" applyNumberFormat="1" applyFont="1" applyFill="1" applyAlignment="1">
      <alignment horizontal="right" vertical="center"/>
    </xf>
    <xf numFmtId="175" fontId="12" fillId="0" borderId="0" xfId="25780" applyNumberFormat="1" applyFont="1" applyFill="1" applyAlignment="1">
      <alignment horizontal="right" vertical="center"/>
    </xf>
    <xf numFmtId="175" fontId="12" fillId="0" borderId="0" xfId="25776" applyNumberFormat="1" applyFont="1" applyFill="1" applyAlignment="1">
      <alignment horizontal="right" vertical="center"/>
    </xf>
    <xf numFmtId="175" fontId="12" fillId="0" borderId="0" xfId="25775" applyNumberFormat="1" applyFont="1" applyFill="1" applyAlignment="1">
      <alignment horizontal="right" vertical="center"/>
    </xf>
    <xf numFmtId="175" fontId="12" fillId="0" borderId="0" xfId="25781" applyNumberFormat="1" applyFont="1" applyFill="1" applyAlignment="1">
      <alignment horizontal="right" vertical="center"/>
    </xf>
    <xf numFmtId="175" fontId="12" fillId="0" borderId="0" xfId="25771" applyNumberFormat="1" applyFont="1" applyFill="1" applyAlignment="1">
      <alignment horizontal="right" vertical="center"/>
    </xf>
    <xf numFmtId="175" fontId="12" fillId="0" borderId="0" xfId="25779" applyNumberFormat="1" applyFont="1" applyFill="1" applyAlignment="1">
      <alignment horizontal="right" vertical="center"/>
    </xf>
    <xf numFmtId="175" fontId="0" fillId="0" borderId="0" xfId="174" applyNumberFormat="1" applyFont="1" applyFill="1" applyAlignment="1">
      <alignment vertical="center"/>
    </xf>
    <xf numFmtId="0" fontId="220" fillId="0" borderId="0" xfId="0" applyNumberFormat="1" applyFont="1" applyFill="1" applyAlignment="1">
      <alignment vertical="center"/>
    </xf>
    <xf numFmtId="174" fontId="0" fillId="0" borderId="0" xfId="0" applyNumberFormat="1" applyFont="1" applyFill="1" applyAlignment="1">
      <alignment vertical="center"/>
    </xf>
    <xf numFmtId="0" fontId="13" fillId="0" borderId="46" xfId="0" applyNumberFormat="1" applyFont="1" applyBorder="1" applyAlignment="1">
      <alignment horizontal="center" wrapText="1"/>
    </xf>
    <xf numFmtId="1" fontId="12" fillId="0" borderId="44" xfId="0" quotePrefix="1" applyNumberFormat="1" applyFont="1" applyBorder="1" applyAlignment="1">
      <alignment horizontal="center" vertical="center"/>
    </xf>
    <xf numFmtId="177" fontId="12" fillId="0" borderId="0" xfId="180" applyFont="1" applyFill="1" applyBorder="1" applyAlignment="1">
      <alignment vertical="top"/>
    </xf>
    <xf numFmtId="236" fontId="158" fillId="0" borderId="0" xfId="173" applyNumberFormat="1" applyFont="1" applyFill="1" applyAlignment="1">
      <alignment horizontal="right"/>
    </xf>
    <xf numFmtId="170" fontId="0" fillId="0" borderId="0" xfId="640" applyNumberFormat="1" applyFont="1" applyFill="1" applyAlignment="1">
      <alignment vertical="center"/>
    </xf>
    <xf numFmtId="277" fontId="13" fillId="0" borderId="0" xfId="0" applyNumberFormat="1" applyFont="1" applyFill="1" applyAlignment="1">
      <alignment vertical="center"/>
    </xf>
    <xf numFmtId="170" fontId="13" fillId="0" borderId="0" xfId="640" applyNumberFormat="1" applyFont="1" applyFill="1" applyAlignment="1">
      <alignment vertical="center"/>
    </xf>
    <xf numFmtId="170" fontId="11" fillId="0" borderId="0" xfId="640" applyNumberFormat="1" applyFont="1" applyFill="1"/>
    <xf numFmtId="174" fontId="12" fillId="0" borderId="0" xfId="174" applyNumberFormat="1" applyFont="1" applyFill="1" applyAlignment="1">
      <alignment vertical="center"/>
    </xf>
    <xf numFmtId="164" fontId="12" fillId="0" borderId="0" xfId="0" applyFont="1" applyFill="1" applyAlignment="1">
      <alignment vertical="center"/>
    </xf>
    <xf numFmtId="191" fontId="13" fillId="0" borderId="0" xfId="0" applyNumberFormat="1" applyFont="1" applyFill="1" applyBorder="1" applyAlignment="1">
      <alignment horizontal="center" vertical="center" wrapText="1"/>
    </xf>
    <xf numFmtId="164" fontId="0" fillId="0" borderId="0" xfId="0" applyFill="1" applyBorder="1"/>
    <xf numFmtId="172" fontId="12" fillId="0" borderId="0" xfId="328" applyNumberFormat="1" applyFont="1" applyFill="1" applyBorder="1" applyAlignment="1">
      <alignment vertical="top"/>
    </xf>
    <xf numFmtId="164" fontId="12" fillId="0" borderId="0" xfId="0" applyFont="1" applyFill="1" applyAlignment="1">
      <alignment vertical="top"/>
    </xf>
    <xf numFmtId="164" fontId="0" fillId="0" borderId="176" xfId="0" applyFont="1" applyBorder="1" applyAlignment="1">
      <alignment horizontal="center" vertical="center"/>
    </xf>
    <xf numFmtId="164" fontId="0" fillId="0" borderId="177" xfId="0" applyFont="1" applyBorder="1" applyAlignment="1">
      <alignment horizontal="center" vertical="center"/>
    </xf>
    <xf numFmtId="0" fontId="0" fillId="0" borderId="178" xfId="0" applyNumberFormat="1" applyFont="1" applyBorder="1" applyAlignment="1">
      <alignment horizontal="center" vertical="center"/>
    </xf>
    <xf numFmtId="164" fontId="0" fillId="0" borderId="179" xfId="0" applyFont="1" applyBorder="1" applyAlignment="1">
      <alignment horizontal="center" vertical="center"/>
    </xf>
    <xf numFmtId="164" fontId="0" fillId="0" borderId="180" xfId="0" applyFont="1" applyBorder="1" applyAlignment="1">
      <alignment horizontal="center" vertical="center"/>
    </xf>
    <xf numFmtId="0" fontId="0" fillId="0" borderId="181" xfId="0" applyNumberFormat="1" applyFont="1" applyBorder="1" applyAlignment="1">
      <alignment horizontal="center" vertical="center"/>
    </xf>
    <xf numFmtId="278" fontId="0" fillId="0" borderId="0" xfId="0" applyNumberFormat="1" applyFont="1" applyFill="1" applyAlignment="1">
      <alignment vertical="center"/>
    </xf>
    <xf numFmtId="0" fontId="0" fillId="0" borderId="0" xfId="640" applyNumberFormat="1" applyFont="1" applyFill="1" applyAlignment="1">
      <alignment vertical="center"/>
    </xf>
    <xf numFmtId="0" fontId="12" fillId="0" borderId="0" xfId="0" quotePrefix="1" applyNumberFormat="1" applyFont="1" applyBorder="1" applyAlignment="1">
      <alignment horizontal="center" wrapText="1"/>
    </xf>
    <xf numFmtId="0" fontId="12" fillId="0" borderId="0" xfId="0" quotePrefix="1" applyNumberFormat="1" applyFont="1" applyBorder="1" applyAlignment="1">
      <alignment horizontal="center"/>
    </xf>
    <xf numFmtId="0" fontId="11" fillId="0" borderId="141" xfId="623" quotePrefix="1" applyFont="1" applyFill="1" applyBorder="1"/>
    <xf numFmtId="0" fontId="23" fillId="0" borderId="136" xfId="623" applyFont="1" applyFill="1" applyBorder="1"/>
    <xf numFmtId="0" fontId="21" fillId="0" borderId="136" xfId="623" applyFont="1" applyFill="1" applyBorder="1"/>
    <xf numFmtId="176" fontId="21" fillId="0" borderId="43" xfId="623" applyNumberFormat="1" applyFont="1" applyFill="1" applyBorder="1"/>
    <xf numFmtId="0" fontId="21" fillId="0" borderId="31" xfId="623" applyFont="1" applyFill="1" applyBorder="1"/>
    <xf numFmtId="0" fontId="21" fillId="0" borderId="0" xfId="623" applyFont="1" applyFill="1" applyBorder="1"/>
    <xf numFmtId="164" fontId="0" fillId="0" borderId="177" xfId="0" applyFont="1" applyFill="1" applyBorder="1" applyAlignment="1">
      <alignment horizontal="center" vertical="center"/>
    </xf>
    <xf numFmtId="0" fontId="0" fillId="0" borderId="178" xfId="0" applyNumberFormat="1" applyFont="1" applyFill="1" applyBorder="1" applyAlignment="1">
      <alignment horizontal="center" vertical="center"/>
    </xf>
    <xf numFmtId="164" fontId="0" fillId="0" borderId="166" xfId="0" applyFont="1" applyFill="1" applyBorder="1" applyAlignment="1">
      <alignment horizontal="center" vertical="center"/>
    </xf>
    <xf numFmtId="164" fontId="0" fillId="0" borderId="180" xfId="0" applyFont="1" applyFill="1" applyBorder="1" applyAlignment="1">
      <alignment horizontal="center" vertical="center"/>
    </xf>
    <xf numFmtId="0" fontId="0" fillId="0" borderId="181" xfId="0" applyNumberFormat="1" applyFont="1" applyFill="1" applyBorder="1" applyAlignment="1">
      <alignment horizontal="center" vertical="center"/>
    </xf>
    <xf numFmtId="164" fontId="0" fillId="0" borderId="167" xfId="0" applyFont="1" applyFill="1" applyBorder="1" applyAlignment="1">
      <alignment horizontal="center" vertical="center"/>
    </xf>
    <xf numFmtId="164" fontId="0" fillId="0" borderId="167" xfId="0" applyFont="1" applyFill="1" applyBorder="1" applyAlignment="1">
      <alignment horizontal="center" vertical="center" wrapText="1"/>
    </xf>
    <xf numFmtId="249" fontId="12" fillId="0" borderId="0" xfId="327" quotePrefix="1" applyNumberFormat="1" applyFont="1" applyBorder="1" applyAlignment="1">
      <alignment horizontal="center" wrapText="1"/>
    </xf>
    <xf numFmtId="249" fontId="12" fillId="0" borderId="0" xfId="327" quotePrefix="1" applyNumberFormat="1" applyFont="1" applyBorder="1" applyAlignment="1">
      <alignment horizontal="center"/>
    </xf>
    <xf numFmtId="43" fontId="12" fillId="0" borderId="0" xfId="173" applyFont="1" applyBorder="1" applyAlignment="1">
      <alignment horizontal="center" wrapText="1"/>
    </xf>
    <xf numFmtId="44" fontId="12" fillId="0" borderId="0" xfId="327" applyFont="1" applyBorder="1" applyAlignment="1">
      <alignment horizontal="left" wrapText="1"/>
    </xf>
    <xf numFmtId="44" fontId="0" fillId="0" borderId="9" xfId="0" applyNumberFormat="1" applyFill="1" applyBorder="1"/>
    <xf numFmtId="172" fontId="12" fillId="0" borderId="0" xfId="328" applyNumberFormat="1" applyFont="1" applyFill="1" applyBorder="1" applyAlignment="1">
      <alignment vertical="center"/>
    </xf>
    <xf numFmtId="177" fontId="12" fillId="0" borderId="0" xfId="180" applyFont="1" applyFill="1" applyBorder="1" applyAlignment="1"/>
    <xf numFmtId="44" fontId="12" fillId="0" borderId="0" xfId="0" applyNumberFormat="1" applyFont="1" applyBorder="1" applyAlignment="1">
      <alignment horizontal="center" wrapText="1"/>
    </xf>
    <xf numFmtId="178" fontId="12" fillId="0" borderId="0" xfId="0" quotePrefix="1" applyNumberFormat="1" applyFont="1" applyFill="1" applyBorder="1" applyAlignment="1">
      <alignment horizontal="center" wrapText="1"/>
    </xf>
    <xf numFmtId="249" fontId="12" fillId="0" borderId="0" xfId="327" applyNumberFormat="1" applyFont="1" applyFill="1" applyBorder="1" applyAlignment="1"/>
    <xf numFmtId="0" fontId="15" fillId="0" borderId="31" xfId="623" applyFont="1" applyFill="1" applyBorder="1"/>
    <xf numFmtId="0" fontId="15" fillId="0" borderId="0" xfId="623" applyFont="1" applyFill="1" applyBorder="1"/>
    <xf numFmtId="3" fontId="21" fillId="0" borderId="31" xfId="623" applyNumberFormat="1" applyFont="1" applyFill="1" applyBorder="1"/>
    <xf numFmtId="188" fontId="21" fillId="0" borderId="0" xfId="623" applyNumberFormat="1" applyFont="1" applyFill="1" applyBorder="1"/>
    <xf numFmtId="188" fontId="21" fillId="0" borderId="31" xfId="623" applyNumberFormat="1" applyFont="1" applyFill="1" applyBorder="1"/>
    <xf numFmtId="44" fontId="21" fillId="0" borderId="31" xfId="327" applyFont="1" applyFill="1" applyBorder="1"/>
    <xf numFmtId="44" fontId="21" fillId="0" borderId="0" xfId="327" applyFont="1" applyFill="1" applyBorder="1"/>
    <xf numFmtId="43" fontId="12" fillId="0" borderId="0" xfId="174" applyNumberFormat="1" applyFont="1" applyFill="1" applyAlignment="1">
      <alignment vertical="center"/>
    </xf>
    <xf numFmtId="44" fontId="12" fillId="0" borderId="0" xfId="0" applyNumberFormat="1" applyFont="1" applyFill="1" applyBorder="1" applyAlignment="1">
      <alignment horizontal="center"/>
    </xf>
    <xf numFmtId="43" fontId="12" fillId="0" borderId="0" xfId="0" applyNumberFormat="1" applyFont="1" applyFill="1" applyBorder="1" applyAlignment="1">
      <alignment horizontal="center"/>
    </xf>
    <xf numFmtId="0" fontId="12" fillId="0" borderId="31" xfId="0" applyNumberFormat="1" applyFont="1" applyFill="1" applyBorder="1" applyAlignment="1">
      <alignment horizontal="center" wrapText="1"/>
    </xf>
    <xf numFmtId="44" fontId="15" fillId="0" borderId="31" xfId="327" applyFont="1" applyFill="1" applyBorder="1"/>
    <xf numFmtId="3" fontId="15" fillId="0" borderId="31" xfId="623" applyNumberFormat="1" applyFont="1" applyFill="1" applyBorder="1"/>
    <xf numFmtId="0" fontId="15" fillId="0" borderId="136" xfId="623" applyFont="1" applyFill="1" applyBorder="1"/>
    <xf numFmtId="44" fontId="15" fillId="0" borderId="0" xfId="327" applyFont="1" applyFill="1" applyBorder="1"/>
    <xf numFmtId="188" fontId="15" fillId="0" borderId="0" xfId="623" applyNumberFormat="1" applyFont="1" applyFill="1" applyBorder="1"/>
    <xf numFmtId="188" fontId="15" fillId="0" borderId="31" xfId="623" applyNumberFormat="1" applyFont="1" applyFill="1" applyBorder="1"/>
    <xf numFmtId="172" fontId="12" fillId="0" borderId="0" xfId="328" applyNumberFormat="1" applyFont="1" applyFill="1" applyAlignment="1">
      <alignment horizontal="center" vertical="center"/>
    </xf>
    <xf numFmtId="171" fontId="12" fillId="0" borderId="0" xfId="640" applyNumberFormat="1" applyFont="1" applyFill="1" applyBorder="1" applyAlignment="1">
      <alignment vertical="top"/>
    </xf>
    <xf numFmtId="275" fontId="12" fillId="0" borderId="0" xfId="640" applyNumberFormat="1" applyFont="1" applyFill="1" applyAlignment="1">
      <alignment vertical="center"/>
    </xf>
    <xf numFmtId="169" fontId="13" fillId="0" borderId="0" xfId="328" applyFont="1" applyFill="1" applyBorder="1" applyAlignment="1">
      <alignment vertical="top"/>
    </xf>
    <xf numFmtId="169" fontId="12" fillId="0" borderId="0" xfId="328" applyFont="1" applyFill="1" applyAlignment="1"/>
    <xf numFmtId="171" fontId="12" fillId="0" borderId="0" xfId="640" applyNumberFormat="1" applyFont="1" applyFill="1" applyAlignment="1">
      <alignment vertical="top"/>
    </xf>
    <xf numFmtId="172" fontId="12" fillId="0" borderId="0" xfId="328" applyNumberFormat="1" applyFont="1" applyFill="1" applyAlignment="1">
      <alignment vertical="center"/>
    </xf>
    <xf numFmtId="174" fontId="0" fillId="0" borderId="31" xfId="245" applyNumberFormat="1" applyFont="1" applyFill="1" applyBorder="1" applyAlignment="1">
      <alignment horizontal="right" vertical="center"/>
    </xf>
    <xf numFmtId="164" fontId="13" fillId="0" borderId="0" xfId="0" applyFont="1" applyFill="1" applyAlignment="1"/>
    <xf numFmtId="164" fontId="0" fillId="0" borderId="0" xfId="0" applyFill="1" applyAlignment="1"/>
    <xf numFmtId="259" fontId="0" fillId="0" borderId="0" xfId="0" applyNumberFormat="1" applyFont="1" applyFill="1" applyBorder="1" applyAlignment="1">
      <alignment horizontal="right" vertical="center"/>
    </xf>
    <xf numFmtId="173" fontId="12" fillId="0" borderId="0" xfId="328" applyNumberFormat="1" applyFont="1" applyFill="1" applyBorder="1" applyAlignment="1">
      <alignment vertical="center"/>
    </xf>
    <xf numFmtId="170" fontId="12" fillId="0" borderId="0" xfId="640" applyNumberFormat="1" applyFont="1" applyFill="1" applyAlignment="1"/>
    <xf numFmtId="0" fontId="0" fillId="0" borderId="0" xfId="0" applyNumberFormat="1" applyFont="1" applyFill="1" applyBorder="1" applyAlignment="1">
      <alignment horizontal="center"/>
    </xf>
    <xf numFmtId="49" fontId="11" fillId="0" borderId="0" xfId="0" applyNumberFormat="1" applyFont="1" applyFill="1"/>
    <xf numFmtId="0" fontId="15" fillId="0" borderId="0" xfId="0" applyNumberFormat="1" applyFont="1" applyFill="1" applyAlignment="1">
      <alignment horizontal="left"/>
    </xf>
    <xf numFmtId="0" fontId="15" fillId="0" borderId="0" xfId="0" applyNumberFormat="1" applyFont="1" applyFill="1"/>
    <xf numFmtId="164" fontId="0" fillId="0" borderId="0" xfId="0" applyFont="1" applyFill="1" applyAlignment="1">
      <alignment horizontal="right"/>
    </xf>
    <xf numFmtId="164" fontId="0" fillId="0" borderId="0" xfId="0" applyFont="1" applyFill="1"/>
    <xf numFmtId="0" fontId="15" fillId="0" borderId="0" xfId="0" applyNumberFormat="1" applyFont="1" applyFill="1" applyAlignment="1">
      <alignment horizontal="center"/>
    </xf>
    <xf numFmtId="0" fontId="15" fillId="0" borderId="0" xfId="0" applyNumberFormat="1" applyFont="1" applyAlignment="1">
      <alignment horizontal="center"/>
    </xf>
    <xf numFmtId="164" fontId="168" fillId="0" borderId="50" xfId="0" applyFont="1" applyBorder="1" applyAlignment="1">
      <alignment horizontal="center"/>
    </xf>
    <xf numFmtId="0" fontId="168" fillId="0" borderId="50" xfId="0" applyNumberFormat="1" applyFont="1" applyBorder="1" applyAlignment="1">
      <alignment horizontal="center"/>
    </xf>
    <xf numFmtId="0" fontId="168" fillId="0" borderId="149" xfId="0" applyNumberFormat="1" applyFont="1" applyBorder="1" applyAlignment="1">
      <alignment horizontal="center"/>
    </xf>
    <xf numFmtId="0" fontId="168" fillId="0" borderId="172" xfId="0" applyNumberFormat="1" applyFont="1" applyBorder="1" applyAlignment="1">
      <alignment horizontal="center"/>
    </xf>
    <xf numFmtId="0" fontId="13" fillId="0" borderId="31" xfId="0" applyNumberFormat="1" applyFont="1" applyBorder="1" applyAlignment="1">
      <alignment horizontal="center"/>
    </xf>
    <xf numFmtId="164" fontId="0" fillId="0" borderId="0" xfId="0" applyFill="1" applyAlignment="1">
      <alignment horizontal="center" vertical="center" wrapText="1"/>
    </xf>
    <xf numFmtId="164" fontId="0" fillId="0" borderId="0" xfId="0" quotePrefix="1" applyFont="1" applyAlignment="1">
      <alignment horizontal="center" vertical="center"/>
    </xf>
    <xf numFmtId="0" fontId="0" fillId="0" borderId="136" xfId="0" applyNumberFormat="1" applyFont="1" applyBorder="1" applyAlignment="1">
      <alignment horizontal="left" vertical="center" wrapText="1"/>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0" fontId="13" fillId="0" borderId="39" xfId="0" applyNumberFormat="1" applyFont="1" applyBorder="1" applyAlignment="1">
      <alignment horizontal="center"/>
    </xf>
    <xf numFmtId="180" fontId="13" fillId="0" borderId="0" xfId="0" applyNumberFormat="1" applyFont="1" applyBorder="1" applyAlignment="1">
      <alignment horizontal="center"/>
    </xf>
  </cellXfs>
  <cellStyles count="35359">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3930650</xdr:colOff>
      <xdr:row>0</xdr:row>
      <xdr:rowOff>6350</xdr:rowOff>
    </xdr:from>
    <xdr:to>
      <xdr:col>2</xdr:col>
      <xdr:colOff>387350</xdr:colOff>
      <xdr:row>6</xdr:row>
      <xdr:rowOff>120650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2300" y="6350"/>
          <a:ext cx="196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opLeftCell="A4" zoomScaleNormal="100" workbookViewId="0">
      <selection activeCell="A2" sqref="A2"/>
    </sheetView>
  </sheetViews>
  <sheetFormatPr defaultColWidth="9.33203125" defaultRowHeight="12.5"/>
  <cols>
    <col min="1" max="1" width="8.77734375" style="329" customWidth="1"/>
    <col min="2" max="2" width="96.44140625" style="329" customWidth="1"/>
    <col min="3" max="16384" width="9.33203125" style="329"/>
  </cols>
  <sheetData>
    <row r="1" spans="1:9" s="318" customFormat="1" ht="5.15" customHeight="1">
      <c r="B1" s="319"/>
    </row>
    <row r="2" spans="1:9" s="318" customFormat="1" ht="11.25" customHeight="1">
      <c r="A2" s="390" t="str">
        <f>Applicant</f>
        <v>Alberta Electric System Operator</v>
      </c>
    </row>
    <row r="3" spans="1:9" s="318" customFormat="1" ht="11.25" customHeight="1">
      <c r="A3" s="390" t="str">
        <f>Application</f>
        <v>Bulk and Regional Tariff Design Application</v>
      </c>
    </row>
    <row r="4" spans="1:9" s="318" customFormat="1" ht="11.25" customHeight="1">
      <c r="A4" s="391" t="str">
        <f>TableDate</f>
        <v>October 15, 2021</v>
      </c>
    </row>
    <row r="5" spans="1:9" s="318" customFormat="1" ht="11.25" customHeight="1">
      <c r="A5" s="390"/>
    </row>
    <row r="6" spans="1:9" s="318" customFormat="1" ht="11.25" customHeight="1">
      <c r="A6" s="702" t="str">
        <f>ApplicationSection</f>
        <v>Appendix F — 2019 Test Year Proposed Rate Calculations</v>
      </c>
      <c r="B6" s="703"/>
      <c r="I6" s="320"/>
    </row>
    <row r="7" spans="1:9" s="318" customFormat="1" ht="11.25" customHeight="1">
      <c r="A7" s="390" t="s">
        <v>316</v>
      </c>
    </row>
    <row r="8" spans="1:9">
      <c r="A8" s="389"/>
    </row>
    <row r="9" spans="1:9" s="374" customFormat="1" ht="13">
      <c r="A9" s="706" t="s">
        <v>519</v>
      </c>
      <c r="B9" s="706"/>
    </row>
    <row r="10" spans="1:9" s="374" customFormat="1" ht="13">
      <c r="A10" s="707" t="s">
        <v>532</v>
      </c>
      <c r="B10" s="707"/>
    </row>
    <row r="11" spans="1:9">
      <c r="A11" s="389"/>
    </row>
    <row r="12" spans="1:9" s="318" customFormat="1" ht="13">
      <c r="A12" s="701" t="s">
        <v>503</v>
      </c>
      <c r="B12" s="402" t="s">
        <v>493</v>
      </c>
    </row>
    <row r="13" spans="1:9">
      <c r="A13" s="701" t="s">
        <v>504</v>
      </c>
      <c r="B13" s="329" t="str">
        <f>'F-2 TFO Rev Req'!A5</f>
        <v>2019 Forecast Transmission Facility Owner Wires Costs</v>
      </c>
    </row>
    <row r="14" spans="1:9">
      <c r="A14" s="701" t="s">
        <v>505</v>
      </c>
      <c r="B14" s="329" t="s">
        <v>31</v>
      </c>
    </row>
    <row r="15" spans="1:9">
      <c r="A15" s="701" t="s">
        <v>506</v>
      </c>
      <c r="B15" s="329" t="s">
        <v>34</v>
      </c>
    </row>
    <row r="16" spans="1:9">
      <c r="A16" s="701" t="s">
        <v>507</v>
      </c>
      <c r="B16" s="402" t="s">
        <v>348</v>
      </c>
    </row>
    <row r="17" spans="1:2">
      <c r="A17" s="701" t="s">
        <v>508</v>
      </c>
      <c r="B17" s="329" t="s">
        <v>166</v>
      </c>
    </row>
    <row r="18" spans="1:2">
      <c r="A18" s="701" t="s">
        <v>509</v>
      </c>
      <c r="B18" s="329" t="s">
        <v>100</v>
      </c>
    </row>
    <row r="19" spans="1:2">
      <c r="A19" s="701" t="s">
        <v>510</v>
      </c>
      <c r="B19" s="329" t="s">
        <v>74</v>
      </c>
    </row>
    <row r="20" spans="1:2">
      <c r="A20" s="701" t="s">
        <v>511</v>
      </c>
      <c r="B20" s="329" t="s">
        <v>87</v>
      </c>
    </row>
    <row r="21" spans="1:2">
      <c r="A21" s="701" t="s">
        <v>512</v>
      </c>
      <c r="B21" s="329" t="s">
        <v>73</v>
      </c>
    </row>
    <row r="22" spans="1:2">
      <c r="A22" s="701" t="s">
        <v>513</v>
      </c>
      <c r="B22" s="329" t="s">
        <v>312</v>
      </c>
    </row>
    <row r="23" spans="1:2">
      <c r="A23" s="701" t="s">
        <v>514</v>
      </c>
      <c r="B23" s="402" t="s">
        <v>479</v>
      </c>
    </row>
    <row r="24" spans="1:2">
      <c r="A24" s="701" t="s">
        <v>515</v>
      </c>
      <c r="B24" s="402" t="s">
        <v>533</v>
      </c>
    </row>
    <row r="25" spans="1:2">
      <c r="A25" s="701" t="s">
        <v>516</v>
      </c>
      <c r="B25" s="329" t="s">
        <v>341</v>
      </c>
    </row>
    <row r="26" spans="1:2">
      <c r="A26" s="701" t="s">
        <v>517</v>
      </c>
      <c r="B26" s="402" t="s">
        <v>478</v>
      </c>
    </row>
    <row r="27" spans="1:2">
      <c r="A27" s="701" t="s">
        <v>518</v>
      </c>
      <c r="B27" s="329" t="s">
        <v>319</v>
      </c>
    </row>
  </sheetData>
  <mergeCells count="2">
    <mergeCell ref="A9:B9"/>
    <mergeCell ref="A10:B10"/>
  </mergeCells>
  <phoneticPr fontId="14"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4"/>
  <sheetViews>
    <sheetView showGridLines="0" zoomScaleNormal="100" workbookViewId="0">
      <selection activeCell="B1" sqref="B1"/>
    </sheetView>
  </sheetViews>
  <sheetFormatPr defaultRowHeight="13"/>
  <cols>
    <col min="1" max="1" width="4.77734375" customWidth="1"/>
    <col min="2" max="2" width="1" customWidth="1"/>
    <col min="3" max="3" width="2.77734375" customWidth="1"/>
    <col min="4" max="4" width="28.77734375" customWidth="1"/>
    <col min="5" max="5" width="1" customWidth="1"/>
    <col min="6" max="6" width="9.7773437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F-9</v>
      </c>
    </row>
    <row r="2" spans="1:26" s="3" customFormat="1">
      <c r="A2" s="5" t="str">
        <f>Application</f>
        <v>Bulk and Regional Tariff Design Application</v>
      </c>
      <c r="B2" s="5"/>
      <c r="C2" s="5"/>
      <c r="D2" s="5"/>
      <c r="E2" s="5"/>
      <c r="F2" s="5"/>
      <c r="G2" s="5"/>
      <c r="H2" s="5"/>
      <c r="I2" s="5"/>
      <c r="J2" s="5"/>
      <c r="K2" s="5"/>
      <c r="L2" s="5"/>
      <c r="M2" s="5"/>
      <c r="N2" s="5"/>
      <c r="O2" s="5"/>
      <c r="P2" s="5"/>
      <c r="Q2" s="5"/>
      <c r="R2" s="5"/>
      <c r="S2" s="5"/>
      <c r="T2" s="5"/>
      <c r="U2" s="5"/>
      <c r="V2" s="5"/>
      <c r="W2" s="5"/>
      <c r="Z2" s="4" t="str">
        <f>TableDate</f>
        <v>October 15, 2021</v>
      </c>
    </row>
    <row r="3" spans="1:26">
      <c r="Y3" s="2"/>
      <c r="Z3" s="2"/>
    </row>
    <row r="4" spans="1:26">
      <c r="A4" s="330" t="str">
        <f>TableGroup1</f>
        <v>Appendix F — 2019 Test Year Proposed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87</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40" customFormat="1">
      <c r="F7" s="240" t="s">
        <v>2</v>
      </c>
      <c r="I7" s="240" t="s">
        <v>3</v>
      </c>
      <c r="J7" s="240" t="s">
        <v>4</v>
      </c>
      <c r="M7" s="240" t="s">
        <v>5</v>
      </c>
      <c r="N7" s="240" t="s">
        <v>25</v>
      </c>
      <c r="Q7" s="240" t="s">
        <v>26</v>
      </c>
      <c r="R7" s="240" t="s">
        <v>27</v>
      </c>
      <c r="U7" s="240" t="s">
        <v>50</v>
      </c>
      <c r="V7" s="240" t="s">
        <v>51</v>
      </c>
      <c r="Y7" s="240" t="s">
        <v>91</v>
      </c>
      <c r="Z7" s="240" t="s">
        <v>92</v>
      </c>
    </row>
    <row r="9" spans="1:26" s="44" customFormat="1">
      <c r="F9" s="62" t="s">
        <v>33</v>
      </c>
      <c r="H9" s="198"/>
      <c r="I9" s="45" t="s">
        <v>154</v>
      </c>
      <c r="J9" s="45"/>
      <c r="K9" s="45"/>
      <c r="L9" s="45"/>
      <c r="M9" s="45"/>
      <c r="N9" s="45"/>
      <c r="O9" s="45"/>
      <c r="P9" s="45"/>
      <c r="Q9" s="45"/>
      <c r="R9" s="45"/>
      <c r="S9" s="45"/>
      <c r="T9" s="45"/>
      <c r="U9" s="45"/>
      <c r="V9" s="45"/>
      <c r="W9" s="45"/>
      <c r="X9" s="45"/>
      <c r="Y9" s="45"/>
      <c r="Z9" s="45"/>
    </row>
    <row r="10" spans="1:26" s="44" customFormat="1">
      <c r="F10" s="50" t="s">
        <v>79</v>
      </c>
      <c r="H10" s="98"/>
      <c r="I10" s="45" t="s">
        <v>155</v>
      </c>
      <c r="J10" s="45"/>
      <c r="L10" s="98"/>
      <c r="M10" s="45" t="s">
        <v>93</v>
      </c>
      <c r="N10" s="45"/>
      <c r="P10" s="107"/>
      <c r="Q10" s="45" t="s">
        <v>85</v>
      </c>
      <c r="R10" s="45"/>
      <c r="T10" s="107"/>
      <c r="U10" s="45" t="s">
        <v>86</v>
      </c>
      <c r="V10" s="45"/>
      <c r="X10" s="107"/>
      <c r="Y10" s="45" t="s">
        <v>90</v>
      </c>
      <c r="Z10" s="45"/>
    </row>
    <row r="11" spans="1:26" s="47" customFormat="1" ht="26">
      <c r="A11" s="46" t="s">
        <v>0</v>
      </c>
      <c r="C11" s="48" t="s">
        <v>1</v>
      </c>
      <c r="D11" s="48"/>
      <c r="E11" s="716" t="s">
        <v>529</v>
      </c>
      <c r="F11" s="716"/>
      <c r="G11" s="717"/>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9" customHeight="1">
      <c r="A12" s="7">
        <v>1</v>
      </c>
      <c r="C12" s="25" t="s">
        <v>6</v>
      </c>
      <c r="D12" s="25"/>
      <c r="E12" s="25"/>
      <c r="F12" s="444"/>
      <c r="G12" s="28"/>
      <c r="H12" s="111"/>
      <c r="I12" s="127"/>
      <c r="J12" s="128"/>
      <c r="K12" s="28"/>
      <c r="L12" s="111"/>
      <c r="M12" s="127"/>
      <c r="N12" s="128"/>
      <c r="O12" s="28"/>
      <c r="P12" s="111"/>
      <c r="Q12" s="127"/>
      <c r="R12" s="128"/>
      <c r="S12" s="28"/>
      <c r="T12" s="111"/>
      <c r="U12" s="127"/>
      <c r="V12" s="128"/>
      <c r="W12" s="28"/>
      <c r="X12" s="111"/>
      <c r="Y12" s="127"/>
      <c r="Z12" s="128"/>
    </row>
    <row r="13" spans="1:26">
      <c r="A13" s="7">
        <f>A12+1</f>
        <v>2</v>
      </c>
      <c r="C13" t="s">
        <v>450</v>
      </c>
      <c r="F13" s="80">
        <f>'F-3 Allocation'!P12</f>
        <v>0</v>
      </c>
      <c r="G13" s="18"/>
      <c r="H13" s="109"/>
      <c r="I13" s="90">
        <v>0</v>
      </c>
      <c r="J13" s="80">
        <f t="shared" ref="J13:J16" si="0">$F13*I13</f>
        <v>0</v>
      </c>
      <c r="K13" s="18"/>
      <c r="L13" s="109"/>
      <c r="M13" s="90">
        <v>0</v>
      </c>
      <c r="N13" s="80">
        <f t="shared" ref="N13:N16" si="1">$F13*M13</f>
        <v>0</v>
      </c>
      <c r="O13" s="18"/>
      <c r="P13" s="109"/>
      <c r="Q13" s="90">
        <v>0</v>
      </c>
      <c r="R13" s="80">
        <f t="shared" ref="R13:R16" si="2">$F13*Q13</f>
        <v>0</v>
      </c>
      <c r="S13" s="18"/>
      <c r="T13" s="109"/>
      <c r="U13" s="38">
        <v>0</v>
      </c>
      <c r="V13" s="80">
        <f t="shared" ref="V13:V16" si="3">$F13*U13</f>
        <v>0</v>
      </c>
      <c r="W13" s="18"/>
      <c r="X13" s="109"/>
      <c r="Y13" s="90">
        <v>0</v>
      </c>
      <c r="Z13" s="80">
        <f t="shared" ref="Z13:Z16" si="4">$F13*Y13</f>
        <v>0</v>
      </c>
    </row>
    <row r="14" spans="1:26">
      <c r="A14" s="7">
        <f t="shared" ref="A14:A34" si="5">A13+1</f>
        <v>3</v>
      </c>
      <c r="C14" t="s">
        <v>451</v>
      </c>
      <c r="F14" s="80">
        <f>'F-3 Allocation'!P13</f>
        <v>0</v>
      </c>
      <c r="G14" s="18"/>
      <c r="H14" s="109"/>
      <c r="I14" s="90">
        <v>0</v>
      </c>
      <c r="J14" s="80">
        <f t="shared" si="0"/>
        <v>0</v>
      </c>
      <c r="K14" s="18"/>
      <c r="L14" s="109"/>
      <c r="M14" s="90">
        <v>0</v>
      </c>
      <c r="N14" s="80">
        <f t="shared" si="1"/>
        <v>0</v>
      </c>
      <c r="O14" s="18"/>
      <c r="P14" s="109"/>
      <c r="Q14" s="90">
        <v>0</v>
      </c>
      <c r="R14" s="80">
        <f t="shared" si="2"/>
        <v>0</v>
      </c>
      <c r="S14" s="18"/>
      <c r="T14" s="109"/>
      <c r="U14" s="38">
        <v>0</v>
      </c>
      <c r="V14" s="80">
        <f t="shared" si="3"/>
        <v>0</v>
      </c>
      <c r="W14" s="18"/>
      <c r="X14" s="109"/>
      <c r="Y14" s="90">
        <v>0</v>
      </c>
      <c r="Z14" s="80">
        <f t="shared" si="4"/>
        <v>0</v>
      </c>
    </row>
    <row r="15" spans="1:26">
      <c r="A15" s="7">
        <f t="shared" si="5"/>
        <v>4</v>
      </c>
      <c r="C15" t="s">
        <v>452</v>
      </c>
      <c r="F15" s="80">
        <f>'F-3 Allocation'!P14</f>
        <v>0</v>
      </c>
      <c r="G15" s="18"/>
      <c r="H15" s="109"/>
      <c r="I15" s="90">
        <v>0</v>
      </c>
      <c r="J15" s="80">
        <f t="shared" si="0"/>
        <v>0</v>
      </c>
      <c r="K15" s="18"/>
      <c r="L15" s="109"/>
      <c r="M15" s="90">
        <v>0</v>
      </c>
      <c r="N15" s="80">
        <f t="shared" si="1"/>
        <v>0</v>
      </c>
      <c r="O15" s="18"/>
      <c r="P15" s="109"/>
      <c r="Q15" s="90">
        <v>0</v>
      </c>
      <c r="R15" s="80">
        <f t="shared" si="2"/>
        <v>0</v>
      </c>
      <c r="S15" s="18"/>
      <c r="T15" s="109"/>
      <c r="U15" s="90">
        <v>0</v>
      </c>
      <c r="V15" s="80">
        <f t="shared" si="3"/>
        <v>0</v>
      </c>
      <c r="W15" s="18"/>
      <c r="X15" s="109"/>
      <c r="Y15" s="90">
        <v>0</v>
      </c>
      <c r="Z15" s="80">
        <f t="shared" si="4"/>
        <v>0</v>
      </c>
    </row>
    <row r="16" spans="1:26">
      <c r="A16" s="7">
        <f t="shared" si="5"/>
        <v>5</v>
      </c>
      <c r="C16" t="s">
        <v>95</v>
      </c>
      <c r="F16" s="80">
        <f>'F-3 Allocation'!P15</f>
        <v>0</v>
      </c>
      <c r="G16" s="18"/>
      <c r="H16" s="109"/>
      <c r="I16" s="90">
        <v>0</v>
      </c>
      <c r="J16" s="80">
        <f t="shared" si="0"/>
        <v>0</v>
      </c>
      <c r="K16" s="18"/>
      <c r="L16" s="109"/>
      <c r="M16" s="90">
        <v>0</v>
      </c>
      <c r="N16" s="80">
        <f t="shared" si="1"/>
        <v>0</v>
      </c>
      <c r="O16" s="18"/>
      <c r="P16" s="109"/>
      <c r="Q16" s="90">
        <v>0</v>
      </c>
      <c r="R16" s="80">
        <f t="shared" si="2"/>
        <v>0</v>
      </c>
      <c r="S16" s="18"/>
      <c r="T16" s="109"/>
      <c r="U16" s="90">
        <v>0</v>
      </c>
      <c r="V16" s="80">
        <f t="shared" si="3"/>
        <v>0</v>
      </c>
      <c r="W16" s="18"/>
      <c r="X16" s="109"/>
      <c r="Y16" s="90">
        <f>IF(IF(F16=0,0,1-#REF!-M16-Q16-U16)&lt;0.0001,0,IF(F16=0,0,1-#REF!-M16-Q16-U16))</f>
        <v>0</v>
      </c>
      <c r="Z16" s="80">
        <f t="shared" si="4"/>
        <v>0</v>
      </c>
    </row>
    <row r="17" spans="1:26" s="9" customFormat="1" ht="19" customHeight="1">
      <c r="A17" s="7">
        <f>A16+1</f>
        <v>6</v>
      </c>
      <c r="C17" s="12" t="s">
        <v>96</v>
      </c>
      <c r="D17" s="12"/>
      <c r="E17" s="12"/>
      <c r="F17" s="130">
        <f>SUM(F13:F16)</f>
        <v>0</v>
      </c>
      <c r="G17" s="19"/>
      <c r="H17" s="110"/>
      <c r="I17" s="70">
        <f>IF($F17=0,0,J17/$F17)</f>
        <v>0</v>
      </c>
      <c r="J17" s="130">
        <f>SUM(J13:J16)</f>
        <v>0</v>
      </c>
      <c r="K17" s="19"/>
      <c r="L17" s="110"/>
      <c r="M17" s="70">
        <f>IF($F17=0,0,N17/$F17)</f>
        <v>0</v>
      </c>
      <c r="N17" s="130">
        <f>SUM(N13:N16)</f>
        <v>0</v>
      </c>
      <c r="O17" s="19"/>
      <c r="P17" s="110"/>
      <c r="Q17" s="70">
        <f>IF($F17=0,0,R17/$F17)</f>
        <v>0</v>
      </c>
      <c r="R17" s="130">
        <f>SUM(R13:R16)</f>
        <v>0</v>
      </c>
      <c r="S17" s="19"/>
      <c r="T17" s="110"/>
      <c r="U17" s="70">
        <f>IF($F17=0,0,V17/$F17)</f>
        <v>0</v>
      </c>
      <c r="V17" s="130">
        <f>SUM(V13:V16)</f>
        <v>0</v>
      </c>
      <c r="W17" s="19"/>
      <c r="X17" s="110"/>
      <c r="Y17" s="70">
        <f>IF($F17=0,0,Z17/$F17)</f>
        <v>0</v>
      </c>
      <c r="Z17" s="130">
        <f>SUM(Z13:Z16)</f>
        <v>0</v>
      </c>
    </row>
    <row r="18" spans="1:26" ht="19" customHeight="1">
      <c r="A18" s="7">
        <f t="shared" si="5"/>
        <v>7</v>
      </c>
      <c r="C18" s="2" t="s">
        <v>11</v>
      </c>
      <c r="D18" s="2"/>
      <c r="F18" s="37"/>
      <c r="G18" s="18"/>
      <c r="H18" s="109"/>
      <c r="I18" s="38"/>
      <c r="J18" s="39"/>
      <c r="K18" s="18"/>
      <c r="L18" s="109"/>
      <c r="M18" s="38"/>
      <c r="N18" s="39"/>
      <c r="O18" s="18"/>
      <c r="P18" s="109"/>
      <c r="Q18" s="38"/>
      <c r="R18" s="39"/>
      <c r="S18" s="18"/>
      <c r="T18" s="109"/>
      <c r="U18" s="38"/>
      <c r="V18" s="39"/>
      <c r="W18" s="18"/>
      <c r="X18" s="109"/>
      <c r="Y18" s="38"/>
      <c r="Z18" s="39"/>
    </row>
    <row r="19" spans="1:26">
      <c r="A19" s="7">
        <f t="shared" si="5"/>
        <v>8</v>
      </c>
      <c r="C19" t="s">
        <v>12</v>
      </c>
      <c r="F19" s="80">
        <f>'F-3 Allocation'!P18</f>
        <v>0</v>
      </c>
      <c r="G19" s="18"/>
      <c r="H19" s="109"/>
      <c r="I19" s="90">
        <v>0</v>
      </c>
      <c r="J19" s="80">
        <f>$F19*I19</f>
        <v>0</v>
      </c>
      <c r="K19" s="18"/>
      <c r="L19" s="109"/>
      <c r="M19" s="90">
        <v>0</v>
      </c>
      <c r="N19" s="80">
        <f>$F19*M19</f>
        <v>0</v>
      </c>
      <c r="O19" s="18"/>
      <c r="P19" s="109"/>
      <c r="Q19" s="90">
        <v>0</v>
      </c>
      <c r="R19" s="80">
        <f>$F19*Q19</f>
        <v>0</v>
      </c>
      <c r="S19" s="18"/>
      <c r="T19" s="109"/>
      <c r="U19" s="90">
        <v>0</v>
      </c>
      <c r="V19" s="80">
        <f>$F19*U19</f>
        <v>0</v>
      </c>
      <c r="W19" s="18"/>
      <c r="X19" s="109"/>
      <c r="Y19" s="90">
        <f>IF(IF(F19=0,0,1-#REF!-M19-Q19-U19)&lt;0.0001,0,IF(F19=0,0,1-#REF!-M19-Q19-U19))</f>
        <v>0</v>
      </c>
      <c r="Z19" s="80">
        <f>$F19*Y19</f>
        <v>0</v>
      </c>
    </row>
    <row r="20" spans="1:26">
      <c r="A20" s="7">
        <f t="shared" si="5"/>
        <v>9</v>
      </c>
      <c r="C20" t="s">
        <v>13</v>
      </c>
      <c r="F20" s="41"/>
      <c r="G20" s="18"/>
      <c r="H20" s="109"/>
      <c r="I20" s="38"/>
      <c r="J20" s="41"/>
      <c r="K20" s="18"/>
      <c r="L20" s="109"/>
      <c r="M20" s="38"/>
      <c r="N20" s="41"/>
      <c r="O20" s="18"/>
      <c r="P20" s="109"/>
      <c r="Q20" s="38"/>
      <c r="R20" s="41"/>
      <c r="S20" s="18"/>
      <c r="T20" s="109"/>
      <c r="U20" s="38"/>
      <c r="V20" s="41"/>
      <c r="W20" s="18"/>
      <c r="X20" s="109"/>
      <c r="Y20" s="38"/>
      <c r="Z20" s="41"/>
    </row>
    <row r="21" spans="1:26">
      <c r="A21" s="7">
        <f t="shared" si="5"/>
        <v>10</v>
      </c>
      <c r="D21" t="s">
        <v>14</v>
      </c>
      <c r="F21" s="80">
        <f>'F-3 Allocation'!P20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5"/>
        <v>11</v>
      </c>
      <c r="D22" t="s">
        <v>15</v>
      </c>
      <c r="F22" s="80">
        <f>'F-3 Allocation'!P21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5"/>
        <v>12</v>
      </c>
      <c r="D23" t="s">
        <v>16</v>
      </c>
      <c r="F23" s="80">
        <f>'F-3 Allocation'!P22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5"/>
        <v>13</v>
      </c>
      <c r="D24" t="s">
        <v>17</v>
      </c>
      <c r="F24" s="80">
        <f>'F-3 Allocation'!P23</f>
        <v>0</v>
      </c>
      <c r="G24" s="18"/>
      <c r="H24" s="109"/>
      <c r="I24" s="90">
        <v>0</v>
      </c>
      <c r="J24" s="80">
        <f>$F24*I24</f>
        <v>0</v>
      </c>
      <c r="K24" s="18"/>
      <c r="L24" s="109"/>
      <c r="M24" s="90">
        <v>0</v>
      </c>
      <c r="N24" s="80">
        <f>$F24*M24</f>
        <v>0</v>
      </c>
      <c r="O24" s="18"/>
      <c r="P24" s="109"/>
      <c r="Q24" s="90">
        <v>0</v>
      </c>
      <c r="R24" s="80">
        <f>$F24*Q24</f>
        <v>0</v>
      </c>
      <c r="S24" s="18"/>
      <c r="T24" s="109"/>
      <c r="U24" s="90">
        <v>0</v>
      </c>
      <c r="V24" s="80">
        <f>$F24*U24</f>
        <v>0</v>
      </c>
      <c r="W24" s="18"/>
      <c r="X24" s="109"/>
      <c r="Y24" s="90">
        <f>IF(IF(F24=0,0,1-#REF!-M24-Q24-U24)&lt;0.0001,0,IF(F24=0,0,1-#REF!-M24-Q24-U24))</f>
        <v>0</v>
      </c>
      <c r="Z24" s="80">
        <f>$F24*Y24</f>
        <v>0</v>
      </c>
    </row>
    <row r="25" spans="1:26">
      <c r="A25" s="7">
        <f t="shared" si="5"/>
        <v>14</v>
      </c>
      <c r="D25" t="s">
        <v>18</v>
      </c>
      <c r="F25" s="80">
        <f>'F-3 Allocation'!P24</f>
        <v>0</v>
      </c>
      <c r="G25" s="18"/>
      <c r="H25" s="109"/>
      <c r="I25" s="90">
        <v>0</v>
      </c>
      <c r="J25" s="80">
        <f>$F25*I25</f>
        <v>0</v>
      </c>
      <c r="K25" s="18"/>
      <c r="L25" s="109"/>
      <c r="M25" s="90">
        <v>0</v>
      </c>
      <c r="N25" s="80">
        <f>$F25*M25</f>
        <v>0</v>
      </c>
      <c r="O25" s="18"/>
      <c r="P25" s="109"/>
      <c r="Q25" s="90">
        <f>Q12</f>
        <v>0</v>
      </c>
      <c r="R25" s="80">
        <f>$F25*Q25</f>
        <v>0</v>
      </c>
      <c r="S25" s="18"/>
      <c r="T25" s="109"/>
      <c r="U25" s="90">
        <f>U12</f>
        <v>0</v>
      </c>
      <c r="V25" s="80">
        <f>$F25*U25</f>
        <v>0</v>
      </c>
      <c r="W25" s="18"/>
      <c r="X25" s="109"/>
      <c r="Y25" s="90">
        <f>IF(IF(F25=0,0,1-#REF!-M25-Q25-U25)&lt;0.0001,0,IF(F25=0,0,1-#REF!-M25-Q25-U25))</f>
        <v>0</v>
      </c>
      <c r="Z25" s="80">
        <f>$F25*Y25</f>
        <v>0</v>
      </c>
    </row>
    <row r="26" spans="1:26">
      <c r="A26" s="7">
        <f t="shared" si="5"/>
        <v>15</v>
      </c>
      <c r="D26" t="s">
        <v>346</v>
      </c>
      <c r="F26" s="80">
        <v>0</v>
      </c>
      <c r="G26" s="18"/>
      <c r="H26" s="109"/>
      <c r="I26" s="90">
        <v>0</v>
      </c>
      <c r="J26" s="80">
        <v>0</v>
      </c>
      <c r="K26" s="18"/>
      <c r="L26" s="109"/>
      <c r="M26" s="90">
        <v>0</v>
      </c>
      <c r="N26" s="80">
        <v>0</v>
      </c>
      <c r="O26" s="18"/>
      <c r="P26" s="109"/>
      <c r="Q26" s="90">
        <v>0</v>
      </c>
      <c r="R26" s="80">
        <v>0</v>
      </c>
      <c r="S26" s="18"/>
      <c r="T26" s="109">
        <v>0</v>
      </c>
      <c r="U26" s="90">
        <v>0</v>
      </c>
      <c r="V26" s="80">
        <v>0</v>
      </c>
      <c r="W26" s="18"/>
      <c r="X26" s="109"/>
      <c r="Y26" s="90">
        <v>0</v>
      </c>
      <c r="Z26" s="80">
        <v>0</v>
      </c>
    </row>
    <row r="27" spans="1:26" s="9" customFormat="1" ht="19" customHeight="1">
      <c r="A27" s="7">
        <f t="shared" si="5"/>
        <v>16</v>
      </c>
      <c r="C27" s="12" t="s">
        <v>19</v>
      </c>
      <c r="D27" s="12"/>
      <c r="E27" s="12"/>
      <c r="F27" s="130">
        <f>SUM(F19:F25)</f>
        <v>0</v>
      </c>
      <c r="G27" s="19"/>
      <c r="H27" s="110"/>
      <c r="I27" s="70">
        <f>IF($F27=0,0,J27/$F27)</f>
        <v>0</v>
      </c>
      <c r="J27" s="130">
        <f>SUM(J19:J25)</f>
        <v>0</v>
      </c>
      <c r="K27" s="19"/>
      <c r="L27" s="110"/>
      <c r="M27" s="70">
        <f>IF($F27=0,0,N27/$F27)</f>
        <v>0</v>
      </c>
      <c r="N27" s="130">
        <f>SUM(N19:N25)</f>
        <v>0</v>
      </c>
      <c r="O27" s="19"/>
      <c r="P27" s="110"/>
      <c r="Q27" s="70">
        <f>IF($F27=0,0,R27/$F27)</f>
        <v>0</v>
      </c>
      <c r="R27" s="130">
        <f>SUM(R19:R25)</f>
        <v>0</v>
      </c>
      <c r="S27" s="19"/>
      <c r="T27" s="110"/>
      <c r="U27" s="70">
        <f>IF($F27=0,0,V27/$F27)</f>
        <v>0</v>
      </c>
      <c r="V27" s="130">
        <f>SUM(V19:V25)</f>
        <v>0</v>
      </c>
      <c r="W27" s="19"/>
      <c r="X27" s="110"/>
      <c r="Y27" s="70">
        <f>IF($F27=0,0,Z27/$F27)</f>
        <v>0</v>
      </c>
      <c r="Z27" s="130">
        <f>SUM(Z19:Z25)</f>
        <v>0</v>
      </c>
    </row>
    <row r="28" spans="1:26" s="10" customFormat="1" ht="25.5" customHeight="1">
      <c r="A28" s="7">
        <f t="shared" si="5"/>
        <v>17</v>
      </c>
      <c r="C28" s="11" t="s">
        <v>9</v>
      </c>
      <c r="D28" s="11"/>
      <c r="E28" s="11"/>
      <c r="F28" s="81">
        <f>'F-3 Allocation'!P29</f>
        <v>109.2</v>
      </c>
      <c r="G28" s="17"/>
      <c r="H28" s="108"/>
      <c r="I28" s="87">
        <v>0</v>
      </c>
      <c r="J28" s="82">
        <f>$F28*I28</f>
        <v>0</v>
      </c>
      <c r="K28" s="17"/>
      <c r="L28" s="108"/>
      <c r="M28" s="87">
        <v>0</v>
      </c>
      <c r="N28" s="82">
        <f>$F28*M28</f>
        <v>0</v>
      </c>
      <c r="O28" s="17"/>
      <c r="P28" s="108"/>
      <c r="Q28" s="87">
        <v>0</v>
      </c>
      <c r="R28" s="82">
        <f>$F28*Q28</f>
        <v>0</v>
      </c>
      <c r="S28" s="17"/>
      <c r="T28" s="108"/>
      <c r="U28" s="87">
        <v>1</v>
      </c>
      <c r="V28" s="82">
        <f>$F28*U28</f>
        <v>109.2</v>
      </c>
      <c r="W28" s="17"/>
      <c r="X28" s="108"/>
      <c r="Y28" s="87">
        <f>IF(IF(F28=0,0,1-M28-Q28-U28)&lt;0.0001,0,IF(F28=0,0,1-M28-Q28-U28))</f>
        <v>0</v>
      </c>
      <c r="Z28" s="82">
        <f>$F28*Y28</f>
        <v>0</v>
      </c>
    </row>
    <row r="29" spans="1:26" s="10" customFormat="1" ht="25.5" customHeight="1">
      <c r="A29" s="7">
        <f t="shared" si="5"/>
        <v>18</v>
      </c>
      <c r="C29" s="11" t="s">
        <v>8</v>
      </c>
      <c r="D29" s="11"/>
      <c r="E29" s="11"/>
      <c r="F29" s="157">
        <f>'F-3 Allocation'!P30</f>
        <v>0</v>
      </c>
      <c r="G29" s="17"/>
      <c r="H29" s="108"/>
      <c r="I29" s="87">
        <f>I17</f>
        <v>0</v>
      </c>
      <c r="J29" s="157">
        <f>$F29*I29</f>
        <v>0</v>
      </c>
      <c r="K29" s="17"/>
      <c r="L29" s="108"/>
      <c r="M29" s="87">
        <f>M17</f>
        <v>0</v>
      </c>
      <c r="N29" s="157">
        <f>$F29*M29</f>
        <v>0</v>
      </c>
      <c r="O29" s="17"/>
      <c r="P29" s="108"/>
      <c r="Q29" s="87">
        <f>Q17</f>
        <v>0</v>
      </c>
      <c r="R29" s="157">
        <f>$F29*Q29</f>
        <v>0</v>
      </c>
      <c r="S29" s="17"/>
      <c r="T29" s="108"/>
      <c r="U29" s="87">
        <f>U17</f>
        <v>0</v>
      </c>
      <c r="V29" s="157">
        <f>$F29*U29</f>
        <v>0</v>
      </c>
      <c r="W29" s="17"/>
      <c r="X29" s="108"/>
      <c r="Y29" s="87">
        <f>IF(IF(F29=0,0,1-#REF!-M29-Q29-U29)&lt;0.0001,0,IF(F29=0,0,1-#REF!-M29-Q29-U29))</f>
        <v>0</v>
      </c>
      <c r="Z29" s="157">
        <f>$F29*Y29</f>
        <v>0</v>
      </c>
    </row>
    <row r="30" spans="1:26" s="10" customFormat="1" ht="25.5" customHeight="1">
      <c r="A30" s="7">
        <f t="shared" si="5"/>
        <v>19</v>
      </c>
      <c r="C30" s="11" t="s">
        <v>7</v>
      </c>
      <c r="D30" s="11"/>
      <c r="E30" s="11"/>
      <c r="F30" s="157">
        <f>'F-3 Allocation'!P31</f>
        <v>0</v>
      </c>
      <c r="G30" s="17"/>
      <c r="H30" s="108"/>
      <c r="I30" s="87">
        <f>I17</f>
        <v>0</v>
      </c>
      <c r="J30" s="157">
        <f>$F30*I30</f>
        <v>0</v>
      </c>
      <c r="K30" s="17"/>
      <c r="L30" s="108"/>
      <c r="M30" s="87">
        <f>M17</f>
        <v>0</v>
      </c>
      <c r="N30" s="157">
        <f>$F30*M30</f>
        <v>0</v>
      </c>
      <c r="O30" s="17"/>
      <c r="P30" s="108"/>
      <c r="Q30" s="87">
        <f>Q17</f>
        <v>0</v>
      </c>
      <c r="R30" s="157">
        <f>$F30*Q30</f>
        <v>0</v>
      </c>
      <c r="S30" s="17"/>
      <c r="T30" s="108"/>
      <c r="U30" s="87">
        <f>U17</f>
        <v>0</v>
      </c>
      <c r="V30" s="157">
        <f>$F30*U30</f>
        <v>0</v>
      </c>
      <c r="W30" s="17"/>
      <c r="X30" s="108"/>
      <c r="Y30" s="87">
        <f>IF(IF(F30=0,0,1-#REF!-M30-Q30-U30)&lt;0.0001,0,IF(F30=0,0,1-#REF!-M30-Q30-U30))</f>
        <v>0</v>
      </c>
      <c r="Z30" s="157">
        <f>$F30*Y30</f>
        <v>0</v>
      </c>
    </row>
    <row r="31" spans="1:26" s="24" customFormat="1" ht="19" customHeight="1">
      <c r="A31" s="7">
        <f t="shared" si="5"/>
        <v>20</v>
      </c>
      <c r="C31" s="25" t="s">
        <v>10</v>
      </c>
      <c r="D31" s="25"/>
      <c r="E31" s="25"/>
      <c r="F31" s="26">
        <f>SUM(F17,F27:F30)</f>
        <v>109.2</v>
      </c>
      <c r="G31" s="28"/>
      <c r="H31" s="111"/>
      <c r="I31" s="88">
        <f>J31/$F31</f>
        <v>0</v>
      </c>
      <c r="J31" s="158">
        <f>SUM(J17,J27:J30)</f>
        <v>0</v>
      </c>
      <c r="K31" s="28"/>
      <c r="L31" s="111"/>
      <c r="M31" s="88">
        <f>N31/$F31</f>
        <v>0</v>
      </c>
      <c r="N31" s="158">
        <f>SUM(N17,N27:N30)</f>
        <v>0</v>
      </c>
      <c r="O31" s="28"/>
      <c r="P31" s="111"/>
      <c r="Q31" s="88">
        <f>R31/$F31</f>
        <v>0</v>
      </c>
      <c r="R31" s="158">
        <f>SUM(R17,R27:R30)</f>
        <v>0</v>
      </c>
      <c r="S31" s="28"/>
      <c r="T31" s="111"/>
      <c r="U31" s="88">
        <f>V31/$F31</f>
        <v>1</v>
      </c>
      <c r="V31" s="32">
        <f>SUM(V17,V27:V30)</f>
        <v>109.2</v>
      </c>
      <c r="W31" s="28"/>
      <c r="X31" s="111"/>
      <c r="Y31" s="88">
        <f>Z31/$F31</f>
        <v>0</v>
      </c>
      <c r="Z31" s="160">
        <f>SUM(Z17,Z27:Z30)</f>
        <v>0</v>
      </c>
    </row>
    <row r="32" spans="1:26" s="22" customFormat="1">
      <c r="A32" s="7">
        <f t="shared" si="5"/>
        <v>21</v>
      </c>
      <c r="C32" s="22" t="s">
        <v>39</v>
      </c>
      <c r="F32" s="40">
        <f>'F-3 Allocation'!P33</f>
        <v>-20.494581316112001</v>
      </c>
      <c r="G32" s="23"/>
      <c r="H32" s="112"/>
      <c r="I32" s="78">
        <f>I16</f>
        <v>0</v>
      </c>
      <c r="J32" s="80">
        <f>$F32*I32</f>
        <v>0</v>
      </c>
      <c r="K32" s="23"/>
      <c r="L32" s="112"/>
      <c r="M32" s="78">
        <f>M16</f>
        <v>0</v>
      </c>
      <c r="N32" s="80">
        <f>$F32*M32</f>
        <v>0</v>
      </c>
      <c r="O32" s="23"/>
      <c r="P32" s="109"/>
      <c r="Q32" s="90">
        <f>Q16</f>
        <v>0</v>
      </c>
      <c r="R32" s="80">
        <f>$F32*Q32</f>
        <v>0</v>
      </c>
      <c r="S32" s="18"/>
      <c r="T32" s="109"/>
      <c r="U32" s="90">
        <v>1</v>
      </c>
      <c r="V32" s="80">
        <f>$F32*U32</f>
        <v>-20.494581316112001</v>
      </c>
      <c r="W32" s="18"/>
      <c r="X32" s="109"/>
      <c r="Y32" s="90">
        <f>IF(IF(F32=0,0,1-M32-Q32-U32)&lt;0.0001,0,IF(F32=0,0,1-M32-Q32-U32))</f>
        <v>0</v>
      </c>
      <c r="Z32" s="126">
        <f>$F32*Y32</f>
        <v>0</v>
      </c>
    </row>
    <row r="33" spans="1:26" s="22" customFormat="1">
      <c r="A33" s="7">
        <f t="shared" si="5"/>
        <v>22</v>
      </c>
      <c r="C33" s="22" t="s">
        <v>54</v>
      </c>
      <c r="F33" s="512">
        <f>'F-3 Allocation'!P34</f>
        <v>2.8743690000000002</v>
      </c>
      <c r="G33" s="23"/>
      <c r="H33" s="112"/>
      <c r="I33" s="78">
        <v>0</v>
      </c>
      <c r="J33" s="80">
        <f>$F33*I33</f>
        <v>0</v>
      </c>
      <c r="K33" s="23"/>
      <c r="L33" s="112"/>
      <c r="M33" s="78">
        <v>1</v>
      </c>
      <c r="N33" s="80">
        <f>$F33*M33</f>
        <v>2.8743690000000002</v>
      </c>
      <c r="O33" s="23"/>
      <c r="P33" s="109"/>
      <c r="Q33" s="90">
        <f>Q17</f>
        <v>0</v>
      </c>
      <c r="R33" s="80">
        <f>$F33*Q33</f>
        <v>0</v>
      </c>
      <c r="S33" s="18"/>
      <c r="T33" s="109"/>
      <c r="U33" s="90">
        <f>U17</f>
        <v>0</v>
      </c>
      <c r="V33" s="80">
        <f>$F33*U33</f>
        <v>0</v>
      </c>
      <c r="W33" s="18"/>
      <c r="X33" s="109"/>
      <c r="Y33" s="90">
        <f>IF(IF(F33=0,0,1-M33-Q33-U33)&lt;0.0001,0,IF(F33=0,0,1-M33-Q33-U33))</f>
        <v>0</v>
      </c>
      <c r="Z33" s="126">
        <f>$F33*Y33</f>
        <v>0</v>
      </c>
    </row>
    <row r="34" spans="1:26" s="9" customFormat="1" ht="12.75" customHeight="1">
      <c r="A34" s="7">
        <f t="shared" si="5"/>
        <v>23</v>
      </c>
      <c r="C34" s="12" t="s">
        <v>72</v>
      </c>
      <c r="D34" s="12"/>
      <c r="E34" s="12"/>
      <c r="F34" s="29">
        <f>SUM(F31:F33)</f>
        <v>91.579787683888</v>
      </c>
      <c r="G34" s="19"/>
      <c r="H34" s="110"/>
      <c r="I34" s="89">
        <f>J34/$F34</f>
        <v>0</v>
      </c>
      <c r="J34" s="218">
        <f>SUM(J31:J33)</f>
        <v>0</v>
      </c>
      <c r="K34" s="19"/>
      <c r="L34" s="110"/>
      <c r="M34" s="89">
        <f>N34/$F34</f>
        <v>3.1386499932950812E-2</v>
      </c>
      <c r="N34" s="33">
        <f>SUM(N31:N33)</f>
        <v>2.8743690000000002</v>
      </c>
      <c r="O34" s="19"/>
      <c r="P34" s="110"/>
      <c r="Q34" s="89">
        <f>R34/$F34</f>
        <v>0</v>
      </c>
      <c r="R34" s="159">
        <f>SUM(R31:R33)</f>
        <v>0</v>
      </c>
      <c r="S34" s="19"/>
      <c r="T34" s="110"/>
      <c r="U34" s="89">
        <f>V34/$F34</f>
        <v>0.96861350006704916</v>
      </c>
      <c r="V34" s="33">
        <f>SUM(V31:V33)</f>
        <v>88.705418683887999</v>
      </c>
      <c r="W34" s="19"/>
      <c r="X34" s="110"/>
      <c r="Y34" s="89">
        <f>Z34/$F34</f>
        <v>0</v>
      </c>
      <c r="Z34" s="161">
        <f>SUM(Z31:Z33)</f>
        <v>0</v>
      </c>
    </row>
  </sheetData>
  <mergeCells count="1">
    <mergeCell ref="E11:G11"/>
  </mergeCells>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9"/>
  <sheetViews>
    <sheetView showGridLines="0" zoomScaleNormal="100" workbookViewId="0">
      <selection activeCell="F10" sqref="F10"/>
    </sheetView>
  </sheetViews>
  <sheetFormatPr defaultRowHeight="13"/>
  <cols>
    <col min="1" max="1" width="4.77734375" customWidth="1"/>
    <col min="2" max="2" width="1.77734375" customWidth="1"/>
    <col min="3" max="3" width="2.77734375" customWidth="1"/>
    <col min="4" max="4" width="24.77734375" customWidth="1"/>
    <col min="5" max="5" width="1.77734375" customWidth="1"/>
    <col min="6" max="6" width="9.33203125" customWidth="1"/>
    <col min="7" max="8" width="1.77734375" customWidth="1"/>
    <col min="9" max="11" width="9.33203125" customWidth="1"/>
    <col min="12" max="13" width="1.77734375" customWidth="1"/>
    <col min="14" max="14" width="11.109375" customWidth="1"/>
    <col min="15" max="15" width="12.77734375" customWidth="1"/>
    <col min="16" max="17" width="1.77734375" customWidth="1"/>
    <col min="18" max="20" width="9.33203125" customWidth="1"/>
    <col min="21" max="21" width="11.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F-10</v>
      </c>
    </row>
    <row r="2" spans="1:26" s="3" customFormat="1">
      <c r="A2" s="5" t="str">
        <f>Application</f>
        <v>Bulk and Regional Tariff Design Application</v>
      </c>
      <c r="B2" s="5"/>
      <c r="C2" s="5"/>
      <c r="D2" s="5"/>
      <c r="E2" s="5"/>
      <c r="F2" s="5"/>
      <c r="G2" s="5"/>
      <c r="H2" s="5"/>
      <c r="I2" s="5"/>
      <c r="J2" s="5"/>
      <c r="K2" s="5"/>
      <c r="L2" s="5"/>
      <c r="M2" s="5"/>
      <c r="N2" s="5"/>
      <c r="O2" s="5"/>
      <c r="P2" s="5"/>
      <c r="Q2" s="5"/>
      <c r="R2" s="5"/>
      <c r="U2" s="4" t="str">
        <f>TableDate</f>
        <v>October 15, 2021</v>
      </c>
    </row>
    <row r="4" spans="1:26">
      <c r="A4" s="330" t="str">
        <f>TableGroup1</f>
        <v>Appendix F — 2019 Test Year Proposed Rate Calculations</v>
      </c>
      <c r="B4" s="6"/>
      <c r="C4" s="6"/>
      <c r="D4" s="6"/>
      <c r="E4" s="6"/>
      <c r="F4" s="6"/>
      <c r="G4" s="6"/>
      <c r="H4" s="6"/>
      <c r="I4" s="6"/>
      <c r="J4" s="6"/>
      <c r="K4" s="6"/>
      <c r="L4" s="6"/>
      <c r="M4" s="6"/>
      <c r="N4" s="6"/>
      <c r="O4" s="6"/>
      <c r="P4" s="6"/>
      <c r="Q4" s="6"/>
      <c r="R4" s="6"/>
      <c r="S4" s="6"/>
      <c r="T4" s="6"/>
      <c r="U4" s="6"/>
    </row>
    <row r="5" spans="1:26">
      <c r="A5" s="6" t="s">
        <v>73</v>
      </c>
      <c r="B5" s="6"/>
      <c r="C5" s="6"/>
      <c r="D5" s="6"/>
      <c r="E5" s="6"/>
      <c r="F5" s="6"/>
      <c r="G5" s="6"/>
      <c r="H5" s="6"/>
      <c r="I5" s="6"/>
      <c r="J5" s="6"/>
      <c r="K5" s="6"/>
      <c r="L5" s="6"/>
      <c r="M5" s="6"/>
      <c r="N5" s="6"/>
      <c r="O5" s="6"/>
      <c r="P5" s="6"/>
      <c r="Q5" s="6"/>
      <c r="R5" s="6"/>
      <c r="S5" s="6"/>
      <c r="T5" s="6"/>
      <c r="U5" s="6"/>
    </row>
    <row r="6" spans="1:26">
      <c r="I6" s="91"/>
    </row>
    <row r="7" spans="1:26" s="240" customFormat="1">
      <c r="I7" s="240" t="s">
        <v>2</v>
      </c>
      <c r="J7" s="240" t="s">
        <v>3</v>
      </c>
      <c r="K7" s="240" t="s">
        <v>4</v>
      </c>
      <c r="N7" s="240" t="s">
        <v>5</v>
      </c>
      <c r="O7" s="240" t="s">
        <v>25</v>
      </c>
      <c r="R7" s="240" t="s">
        <v>26</v>
      </c>
      <c r="S7" s="240" t="s">
        <v>27</v>
      </c>
      <c r="T7" s="240" t="s">
        <v>50</v>
      </c>
      <c r="U7" s="240" t="s">
        <v>51</v>
      </c>
    </row>
    <row r="8" spans="1:26" s="1" customFormat="1"/>
    <row r="9" spans="1:26" s="62" customFormat="1">
      <c r="A9" s="62" t="s">
        <v>57</v>
      </c>
      <c r="F9" s="442" t="s">
        <v>530</v>
      </c>
      <c r="H9" s="152"/>
      <c r="I9" s="45" t="s">
        <v>139</v>
      </c>
      <c r="J9" s="45"/>
      <c r="K9" s="45"/>
      <c r="L9" s="153"/>
      <c r="M9" s="152"/>
      <c r="N9" s="45" t="s">
        <v>106</v>
      </c>
      <c r="O9" s="45"/>
      <c r="P9" s="153"/>
      <c r="Q9" s="152"/>
      <c r="R9" s="45" t="s">
        <v>107</v>
      </c>
      <c r="S9" s="45"/>
      <c r="T9" s="45"/>
      <c r="U9" s="45"/>
    </row>
    <row r="10" spans="1:26" s="47" customFormat="1">
      <c r="A10" s="46"/>
      <c r="C10" s="48" t="s">
        <v>1</v>
      </c>
      <c r="D10" s="48"/>
      <c r="F10" s="46" t="s">
        <v>117</v>
      </c>
      <c r="H10" s="99"/>
      <c r="I10" s="46" t="s">
        <v>89</v>
      </c>
      <c r="J10" s="173" t="s">
        <v>120</v>
      </c>
      <c r="K10" s="150" t="s">
        <v>118</v>
      </c>
      <c r="M10" s="99"/>
      <c r="N10" s="49" t="s">
        <v>110</v>
      </c>
      <c r="O10" s="49" t="s">
        <v>56</v>
      </c>
      <c r="Q10" s="99"/>
      <c r="R10" s="46" t="s">
        <v>89</v>
      </c>
      <c r="S10" s="46" t="s">
        <v>120</v>
      </c>
      <c r="T10" s="46" t="s">
        <v>118</v>
      </c>
      <c r="U10" s="46" t="s">
        <v>56</v>
      </c>
    </row>
    <row r="11" spans="1:26" ht="19" customHeight="1">
      <c r="A11" s="7">
        <v>1</v>
      </c>
      <c r="C11" s="2" t="s">
        <v>141</v>
      </c>
      <c r="D11" s="2"/>
      <c r="E11" s="18"/>
      <c r="F11" s="71"/>
      <c r="G11" s="18"/>
      <c r="H11" s="109"/>
      <c r="I11" s="39"/>
      <c r="J11" s="39"/>
      <c r="K11" s="39"/>
      <c r="L11" s="18"/>
      <c r="M11" s="109"/>
      <c r="N11" s="39"/>
      <c r="O11" s="154"/>
      <c r="P11" s="18"/>
      <c r="Q11" s="109"/>
      <c r="R11" s="39"/>
      <c r="S11" s="39"/>
      <c r="T11" s="39"/>
      <c r="U11" s="154"/>
    </row>
    <row r="12" spans="1:26" s="35" customFormat="1" ht="19" customHeight="1">
      <c r="A12" s="34">
        <f>A11+1</f>
        <v>2</v>
      </c>
      <c r="C12" s="9" t="s">
        <v>119</v>
      </c>
      <c r="E12" s="140"/>
      <c r="F12" s="443" t="s">
        <v>501</v>
      </c>
      <c r="G12" s="140"/>
      <c r="H12" s="141"/>
      <c r="I12" s="163">
        <f>'F-9 STS Classification'!V31</f>
        <v>109.2</v>
      </c>
      <c r="J12" s="142">
        <f>'F-9 STS Classification'!V32</f>
        <v>-20.494581316112001</v>
      </c>
      <c r="K12" s="163">
        <f>SUM(I12:J12)</f>
        <v>88.705418683887999</v>
      </c>
      <c r="L12" s="140"/>
      <c r="M12" s="141"/>
      <c r="N12" s="588">
        <f>'F-12 Determinants'!J18</f>
        <v>59687.309716087802</v>
      </c>
      <c r="O12" s="144" t="s">
        <v>29</v>
      </c>
      <c r="P12" s="140"/>
      <c r="Q12" s="141"/>
      <c r="R12" s="149">
        <f>ROUND(I12*1000/($N12*'F-12 Determinants'!$J20),4)</f>
        <v>3.3300000000000003E-2</v>
      </c>
      <c r="S12" s="149">
        <f>ROUND(J12*1000/($N12*'F-12 Determinants'!$J20),4)</f>
        <v>-6.3E-3</v>
      </c>
      <c r="T12" s="149">
        <f>ROUND(K12*1000/($N12*'F-12 Determinants'!$J20),4)</f>
        <v>2.7099999999999999E-2</v>
      </c>
      <c r="U12" s="162" t="s">
        <v>140</v>
      </c>
      <c r="V12" s="149"/>
      <c r="W12" s="246"/>
    </row>
    <row r="13" spans="1:26" ht="19" customHeight="1">
      <c r="A13" s="7">
        <f>A12+1</f>
        <v>3</v>
      </c>
      <c r="C13" s="2" t="s">
        <v>121</v>
      </c>
      <c r="D13" s="2"/>
      <c r="E13" s="18"/>
      <c r="F13" s="75"/>
      <c r="G13" s="18"/>
      <c r="H13" s="109"/>
      <c r="I13" s="80"/>
      <c r="J13" s="80"/>
      <c r="K13" s="80"/>
      <c r="L13" s="18"/>
      <c r="M13" s="109"/>
      <c r="N13" s="39"/>
      <c r="O13" s="154"/>
      <c r="P13" s="18"/>
      <c r="Q13" s="109"/>
      <c r="R13" s="39"/>
      <c r="S13" s="39"/>
      <c r="T13" s="39"/>
      <c r="U13" s="154"/>
      <c r="W13" s="246"/>
      <c r="X13" s="174"/>
      <c r="Y13" s="174"/>
      <c r="Z13" s="174"/>
    </row>
    <row r="14" spans="1:26" s="35" customFormat="1" ht="19" customHeight="1">
      <c r="A14" s="34">
        <f>A13+1</f>
        <v>4</v>
      </c>
      <c r="C14" s="9" t="s">
        <v>54</v>
      </c>
      <c r="E14" s="140"/>
      <c r="F14" s="443" t="s">
        <v>407</v>
      </c>
      <c r="G14" s="140"/>
      <c r="H14" s="141"/>
      <c r="I14" s="625">
        <v>0</v>
      </c>
      <c r="J14" s="142">
        <f>'F-9 STS Classification'!N33</f>
        <v>2.8743690000000002</v>
      </c>
      <c r="K14" s="142">
        <f>SUM(I14:J14)</f>
        <v>2.8743690000000002</v>
      </c>
      <c r="L14" s="140"/>
      <c r="M14" s="141"/>
      <c r="N14" s="143">
        <f>'F-12 Determinants'!J21</f>
        <v>63874.866666666669</v>
      </c>
      <c r="O14" s="144" t="str">
        <f>'F-12 Determinants'!G13</f>
        <v>MW-months</v>
      </c>
      <c r="P14" s="140"/>
      <c r="Q14" s="141"/>
      <c r="R14" s="135">
        <f>ROUND(I14*1000000/$N14,0)</f>
        <v>0</v>
      </c>
      <c r="S14" s="635">
        <v>45</v>
      </c>
      <c r="T14" s="135">
        <f>SUM(R14:S14)</f>
        <v>45</v>
      </c>
      <c r="U14" s="136" t="s">
        <v>105</v>
      </c>
      <c r="W14" s="246"/>
      <c r="Y14" s="636"/>
      <c r="Z14" s="636"/>
    </row>
    <row r="15" spans="1:26" s="24" customFormat="1" ht="19.399999999999999" customHeight="1">
      <c r="A15" s="7">
        <f>A14+1</f>
        <v>5</v>
      </c>
      <c r="C15" s="25" t="s">
        <v>122</v>
      </c>
      <c r="D15" s="25"/>
      <c r="E15" s="114"/>
      <c r="F15" s="115"/>
      <c r="G15" s="114"/>
      <c r="H15" s="117"/>
      <c r="I15" s="32">
        <f>SUM(I11:I14)</f>
        <v>109.2</v>
      </c>
      <c r="J15" s="32">
        <f>SUM(J11:J14)</f>
        <v>-17.620212316111999</v>
      </c>
      <c r="K15" s="32">
        <f>SUM(K11:K14)</f>
        <v>91.579787683888</v>
      </c>
      <c r="L15" s="28"/>
      <c r="M15" s="117"/>
      <c r="N15" s="106"/>
      <c r="O15" s="156"/>
      <c r="P15" s="114"/>
      <c r="Q15" s="117"/>
      <c r="R15" s="106"/>
      <c r="S15" s="106"/>
      <c r="T15" s="106"/>
      <c r="U15" s="156"/>
    </row>
    <row r="16" spans="1:26"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130</v>
      </c>
      <c r="C17" t="str">
        <f>"1. The 2019 acutal pool price is "&amp;DOLLAR('F-12 Determinants'!$J$20,2)&amp;"/MWh"</f>
        <v>1. The 2019 acutal pool price is $54.88/MWh</v>
      </c>
      <c r="F17" s="56"/>
      <c r="I17" s="56"/>
      <c r="J17" s="56"/>
      <c r="K17" s="56"/>
      <c r="N17" s="56"/>
      <c r="O17" s="56"/>
      <c r="U17" s="56"/>
    </row>
    <row r="18" spans="1:21">
      <c r="C18" t="s">
        <v>338</v>
      </c>
    </row>
    <row r="19" spans="1:21">
      <c r="C19" t="s">
        <v>339</v>
      </c>
    </row>
  </sheetData>
  <phoneticPr fontId="14"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4"/>
  <sheetViews>
    <sheetView showGridLines="0" zoomScaleNormal="100" workbookViewId="0"/>
  </sheetViews>
  <sheetFormatPr defaultRowHeight="13"/>
  <cols>
    <col min="1" max="1" width="4.6640625" customWidth="1"/>
    <col min="2" max="2" width="1.6640625" customWidth="1"/>
    <col min="3" max="3" width="2.6640625" customWidth="1"/>
    <col min="4" max="4" width="22.77734375" customWidth="1"/>
    <col min="5" max="5" width="3.109375" customWidth="1"/>
    <col min="6" max="6" width="11.6640625" customWidth="1"/>
    <col min="7" max="7" width="10.33203125" customWidth="1"/>
    <col min="8" max="8" width="11.109375" customWidth="1"/>
    <col min="9" max="9" width="3.109375" customWidth="1"/>
    <col min="10" max="12" width="8.6640625" customWidth="1"/>
    <col min="13" max="13" width="3.109375" customWidth="1"/>
    <col min="14" max="16" width="8.6640625" customWidth="1"/>
  </cols>
  <sheetData>
    <row r="1" spans="1:16" s="3" customFormat="1">
      <c r="A1" s="5" t="str">
        <f>Applicant</f>
        <v>Alberta Electric System Operator</v>
      </c>
      <c r="B1" s="5"/>
      <c r="C1" s="5"/>
      <c r="D1" s="5"/>
      <c r="E1" s="5"/>
      <c r="F1" s="5"/>
      <c r="G1" s="5"/>
      <c r="H1" s="5"/>
      <c r="I1" s="5"/>
      <c r="J1" s="5"/>
      <c r="K1" s="5"/>
      <c r="L1" s="5"/>
      <c r="M1" s="5"/>
      <c r="N1" s="5"/>
      <c r="O1" s="5"/>
      <c r="P1" s="4" t="str">
        <f ca="1">TablePrefix&amp;TRIM(MID(CELL("filename",R2),FIND("]",CELL("filename",R2))+1,4))&amp;TableSuffix</f>
        <v>Table F-11</v>
      </c>
    </row>
    <row r="2" spans="1:16" s="3" customFormat="1">
      <c r="A2" s="5" t="str">
        <f>Application</f>
        <v>Bulk and Regional Tariff Design Application</v>
      </c>
      <c r="B2" s="5"/>
      <c r="C2" s="5"/>
      <c r="D2" s="5"/>
      <c r="E2" s="5"/>
      <c r="F2" s="5"/>
      <c r="G2" s="5"/>
      <c r="H2" s="5"/>
      <c r="I2" s="5"/>
      <c r="J2" s="5"/>
      <c r="K2" s="5"/>
      <c r="L2" s="5"/>
      <c r="M2" s="5"/>
      <c r="N2" s="5"/>
      <c r="O2" s="5"/>
      <c r="P2" s="4" t="str">
        <f>TableDate</f>
        <v>October 15, 2021</v>
      </c>
    </row>
    <row r="4" spans="1:16">
      <c r="A4" s="330" t="str">
        <f>TableGroup1</f>
        <v>Appendix F — 2019 Test Year Proposed Rate Calculations</v>
      </c>
      <c r="B4" s="6"/>
      <c r="C4" s="6"/>
      <c r="D4" s="6"/>
      <c r="E4" s="6"/>
      <c r="F4" s="6"/>
      <c r="G4" s="6"/>
      <c r="H4" s="6"/>
      <c r="I4" s="6"/>
      <c r="J4" s="6"/>
      <c r="K4" s="6"/>
      <c r="L4" s="6"/>
      <c r="M4" s="6"/>
      <c r="N4" s="6"/>
      <c r="O4" s="6"/>
      <c r="P4" s="6"/>
    </row>
    <row r="5" spans="1:16">
      <c r="A5" s="6" t="s">
        <v>312</v>
      </c>
      <c r="B5" s="6"/>
      <c r="C5" s="6"/>
      <c r="D5" s="6"/>
      <c r="E5" s="6"/>
      <c r="F5" s="6"/>
      <c r="G5" s="6"/>
      <c r="H5" s="6"/>
      <c r="I5" s="6"/>
      <c r="J5" s="6"/>
      <c r="K5" s="6"/>
      <c r="L5" s="6"/>
      <c r="M5" s="6"/>
      <c r="N5" s="6"/>
      <c r="O5" s="6"/>
      <c r="P5" s="6"/>
    </row>
    <row r="6" spans="1:16">
      <c r="I6" s="91"/>
    </row>
    <row r="7" spans="1:16" s="240" customFormat="1">
      <c r="F7" s="240" t="s">
        <v>2</v>
      </c>
      <c r="G7" s="240" t="s">
        <v>3</v>
      </c>
      <c r="H7" s="240" t="s">
        <v>4</v>
      </c>
      <c r="J7" s="240" t="s">
        <v>5</v>
      </c>
      <c r="K7" s="240" t="s">
        <v>25</v>
      </c>
      <c r="L7" s="240" t="s">
        <v>26</v>
      </c>
      <c r="N7" s="603" t="s">
        <v>27</v>
      </c>
      <c r="O7" s="603" t="s">
        <v>50</v>
      </c>
      <c r="P7" s="603" t="s">
        <v>51</v>
      </c>
    </row>
    <row r="8" spans="1:16">
      <c r="N8" s="174"/>
      <c r="O8" s="174"/>
      <c r="P8" s="174"/>
    </row>
    <row r="9" spans="1:16" s="44" customFormat="1">
      <c r="A9" s="62" t="s">
        <v>57</v>
      </c>
      <c r="F9"/>
      <c r="G9"/>
      <c r="H9"/>
      <c r="I9"/>
      <c r="J9"/>
      <c r="K9"/>
      <c r="L9"/>
      <c r="M9"/>
      <c r="N9" s="634"/>
      <c r="O9" s="634"/>
      <c r="P9" s="634"/>
    </row>
    <row r="10" spans="1:16" s="47" customFormat="1">
      <c r="A10" s="46"/>
      <c r="C10" s="48" t="s">
        <v>152</v>
      </c>
      <c r="D10" s="48"/>
      <c r="F10" s="46" t="s">
        <v>147</v>
      </c>
      <c r="G10" s="46" t="s">
        <v>103</v>
      </c>
      <c r="H10" s="46" t="s">
        <v>118</v>
      </c>
      <c r="J10" s="46" t="s">
        <v>147</v>
      </c>
      <c r="K10" s="46" t="s">
        <v>103</v>
      </c>
      <c r="L10" s="46" t="s">
        <v>118</v>
      </c>
      <c r="N10" s="680" t="s">
        <v>147</v>
      </c>
      <c r="O10" s="680" t="s">
        <v>103</v>
      </c>
      <c r="P10" s="680" t="s">
        <v>118</v>
      </c>
    </row>
    <row r="11" spans="1:16" s="166" customFormat="1" ht="27.65" customHeight="1">
      <c r="A11" s="183">
        <v>1</v>
      </c>
      <c r="C11" s="25" t="s">
        <v>167</v>
      </c>
      <c r="D11" s="25"/>
      <c r="F11" s="347"/>
      <c r="G11" s="182" t="s">
        <v>476</v>
      </c>
      <c r="H11" s="347"/>
      <c r="J11" s="718" t="s">
        <v>477</v>
      </c>
      <c r="K11" s="718"/>
      <c r="L11" s="718"/>
      <c r="N11" s="719"/>
      <c r="O11" s="719"/>
      <c r="P11" s="719"/>
    </row>
    <row r="12" spans="1:16" s="58" customFormat="1">
      <c r="A12" s="57">
        <f>A11+1</f>
        <v>2</v>
      </c>
      <c r="C12" s="58" t="s">
        <v>450</v>
      </c>
      <c r="F12" s="450">
        <v>0</v>
      </c>
      <c r="G12" s="450">
        <f>'F-8 DTS Rate'!K13</f>
        <v>623.92601797749876</v>
      </c>
      <c r="H12" s="451">
        <f>SUM(F12:G12)</f>
        <v>623.92601797749876</v>
      </c>
      <c r="J12" s="185">
        <f>F12*1000/'F-12 Determinants'!$F$18</f>
        <v>0</v>
      </c>
      <c r="K12" s="185">
        <f>G12*1000/'F-12 Determinants'!$F$18</f>
        <v>10.453244097368472</v>
      </c>
      <c r="L12" s="185">
        <f>SUM(J12:K12)</f>
        <v>10.453244097368472</v>
      </c>
      <c r="N12" s="187"/>
      <c r="O12" s="188"/>
      <c r="P12" s="187"/>
    </row>
    <row r="13" spans="1:16" s="58" customFormat="1">
      <c r="A13" s="57">
        <f t="shared" ref="A13:A37" si="0">A12+1</f>
        <v>3</v>
      </c>
      <c r="C13" s="58" t="s">
        <v>451</v>
      </c>
      <c r="F13" s="227">
        <f>'F-8 DTS Rate'!K15</f>
        <v>579.91463911601545</v>
      </c>
      <c r="G13" s="227">
        <v>0</v>
      </c>
      <c r="H13" s="451">
        <f>SUM(F13:G13)</f>
        <v>579.91463911601545</v>
      </c>
      <c r="J13" s="185">
        <f>F13*1000/'F-12 Determinants'!$F$18</f>
        <v>9.715878331164058</v>
      </c>
      <c r="K13" s="185">
        <f>G13*1000/'F-12 Determinants'!$F$18</f>
        <v>0</v>
      </c>
      <c r="L13" s="185">
        <f>SUM(J13:K13)</f>
        <v>9.715878331164058</v>
      </c>
      <c r="N13" s="227"/>
      <c r="O13" s="227"/>
      <c r="P13" s="227"/>
    </row>
    <row r="14" spans="1:16" s="22" customFormat="1">
      <c r="A14" s="57">
        <f t="shared" si="0"/>
        <v>4</v>
      </c>
      <c r="C14" s="22" t="s">
        <v>452</v>
      </c>
      <c r="F14" s="227">
        <f>'F-8 DTS Rate'!K16</f>
        <v>361.67864184093384</v>
      </c>
      <c r="G14" s="76">
        <v>0</v>
      </c>
      <c r="H14" s="451">
        <f>SUM(F14:G14)</f>
        <v>361.67864184093384</v>
      </c>
      <c r="J14" s="185">
        <f>F14*1000/'F-12 Determinants'!$F$18</f>
        <v>6.0595567728100983</v>
      </c>
      <c r="K14" s="185">
        <f>G14*1000/'F-12 Determinants'!$F$18</f>
        <v>0</v>
      </c>
      <c r="L14" s="185">
        <f>SUM(J14:K14)</f>
        <v>6.0595567728100983</v>
      </c>
      <c r="N14" s="227"/>
      <c r="O14" s="227"/>
      <c r="P14" s="227"/>
    </row>
    <row r="15" spans="1:16" s="22" customFormat="1">
      <c r="A15" s="57">
        <f t="shared" si="0"/>
        <v>5</v>
      </c>
      <c r="C15" s="22" t="s">
        <v>362</v>
      </c>
      <c r="F15" s="451">
        <f>SUM('F-8 DTS Rate'!K19:K22)</f>
        <v>379.66705014923247</v>
      </c>
      <c r="G15" s="76">
        <v>0</v>
      </c>
      <c r="H15" s="451">
        <f>SUM(F15:G15)</f>
        <v>379.66705014923247</v>
      </c>
      <c r="J15" s="185">
        <f>F15*1000/'F-12 Determinants'!F18</f>
        <v>6.3609342078773405</v>
      </c>
      <c r="K15" s="185">
        <f>G15*1000/'F-12 Determinants'!F18</f>
        <v>0</v>
      </c>
      <c r="L15" s="185">
        <f>SUM(J15:K15)</f>
        <v>6.3609342078773405</v>
      </c>
      <c r="N15" s="227"/>
      <c r="O15" s="227"/>
      <c r="P15" s="227"/>
    </row>
    <row r="16" spans="1:16" s="22" customFormat="1">
      <c r="A16" s="57">
        <f>A15+1</f>
        <v>6</v>
      </c>
      <c r="C16" s="22" t="s">
        <v>143</v>
      </c>
      <c r="F16" s="631">
        <v>0</v>
      </c>
      <c r="G16" s="451">
        <f>'F-8 DTS Rate'!K24</f>
        <v>205.66825876999997</v>
      </c>
      <c r="H16" s="451">
        <f t="shared" ref="H16:H18" si="1">SUM(F16:G16)</f>
        <v>205.66825876999997</v>
      </c>
      <c r="J16" s="185">
        <f>F16*1000/'F-12 Determinants'!F18</f>
        <v>0</v>
      </c>
      <c r="K16" s="185">
        <f>G16*1000/'F-12 Determinants'!F18</f>
        <v>3.4457619173706067</v>
      </c>
      <c r="L16" s="185">
        <f t="shared" ref="L16:L18" si="2">SUM(J16:K16)</f>
        <v>3.4457619173706067</v>
      </c>
      <c r="N16" s="227"/>
      <c r="O16" s="227"/>
      <c r="P16" s="227"/>
    </row>
    <row r="17" spans="1:16" s="22" customFormat="1">
      <c r="A17" s="57">
        <f t="shared" si="0"/>
        <v>7</v>
      </c>
      <c r="C17" s="22" t="s">
        <v>144</v>
      </c>
      <c r="F17" s="631">
        <v>0</v>
      </c>
      <c r="G17" s="451">
        <f>'F-8 DTS Rate'!K28</f>
        <v>3.2913457400000001</v>
      </c>
      <c r="H17" s="451">
        <f t="shared" si="1"/>
        <v>3.2913457400000001</v>
      </c>
      <c r="J17" s="185">
        <f>F17*1000/'F-12 Determinants'!F18</f>
        <v>0</v>
      </c>
      <c r="K17" s="185">
        <f>G17*1000/'F-12 Determinants'!F18</f>
        <v>5.514314107397051E-2</v>
      </c>
      <c r="L17" s="185">
        <f t="shared" si="2"/>
        <v>5.514314107397051E-2</v>
      </c>
      <c r="N17" s="227"/>
      <c r="O17" s="227"/>
      <c r="P17" s="227"/>
    </row>
    <row r="18" spans="1:16" s="22" customFormat="1">
      <c r="A18" s="57">
        <f t="shared" si="0"/>
        <v>8</v>
      </c>
      <c r="C18" s="22" t="s">
        <v>145</v>
      </c>
      <c r="F18" s="451">
        <f>'F-8 DTS Rate'!K30</f>
        <v>3.7262474399999999</v>
      </c>
      <c r="G18" s="451">
        <f>'F-12 Determinants'!C22</f>
        <v>0</v>
      </c>
      <c r="H18" s="451">
        <f t="shared" si="1"/>
        <v>3.7262474399999999</v>
      </c>
      <c r="J18" s="185">
        <f>F18*1000/'F-12 Determinants'!F18</f>
        <v>6.2429475507012951E-2</v>
      </c>
      <c r="K18" s="185">
        <f>G18*1000/'F-12 Determinants'!F18</f>
        <v>0</v>
      </c>
      <c r="L18" s="185">
        <f t="shared" si="2"/>
        <v>6.2429475507012951E-2</v>
      </c>
      <c r="N18" s="227"/>
      <c r="O18" s="227"/>
      <c r="P18" s="227"/>
    </row>
    <row r="19" spans="1:16">
      <c r="A19" s="57">
        <f t="shared" si="0"/>
        <v>9</v>
      </c>
      <c r="C19" s="22" t="s">
        <v>146</v>
      </c>
      <c r="F19" s="452">
        <f>SUM(F12:F15,F16:F18)</f>
        <v>1324.9865785461816</v>
      </c>
      <c r="G19" s="452">
        <f>SUM(G12:G15,G16:G18)</f>
        <v>832.88562248749872</v>
      </c>
      <c r="H19" s="452">
        <f>SUM(H12:H15,H16:H18)</f>
        <v>2157.8722010336801</v>
      </c>
      <c r="J19" s="452">
        <f>SUM(J12:J15,J16:J18)</f>
        <v>22.198798787358509</v>
      </c>
      <c r="K19" s="452">
        <f>SUM(K12:K15,K16:K18)</f>
        <v>13.954149155813051</v>
      </c>
      <c r="L19" s="452">
        <f>SUM(L12:L15,L16:L18)</f>
        <v>36.152947943171554</v>
      </c>
      <c r="N19" s="379"/>
      <c r="O19" s="379"/>
      <c r="P19" s="379"/>
    </row>
    <row r="20" spans="1:16" s="166" customFormat="1" ht="27.65" customHeight="1">
      <c r="A20" s="247">
        <f t="shared" si="0"/>
        <v>10</v>
      </c>
      <c r="C20" s="25" t="s">
        <v>318</v>
      </c>
      <c r="G20" s="166">
        <v>0</v>
      </c>
      <c r="J20" s="348"/>
      <c r="K20" s="349" t="s">
        <v>310</v>
      </c>
      <c r="L20" s="348"/>
      <c r="M20" s="350"/>
      <c r="N20" s="348"/>
      <c r="O20" s="349" t="s">
        <v>311</v>
      </c>
      <c r="P20" s="348"/>
    </row>
    <row r="21" spans="1:16" s="166" customFormat="1">
      <c r="A21" s="57">
        <f t="shared" si="0"/>
        <v>11</v>
      </c>
      <c r="B21" s="58"/>
      <c r="C21" s="58" t="s">
        <v>450</v>
      </c>
      <c r="D21" s="58"/>
      <c r="J21" s="184">
        <f>0*(100%*J12)</f>
        <v>0</v>
      </c>
      <c r="K21" s="678">
        <f>100%*K12</f>
        <v>10.453244097368472</v>
      </c>
      <c r="L21" s="678">
        <f>SUM(J21:K21)</f>
        <v>10.453244097368472</v>
      </c>
      <c r="M21" s="355"/>
      <c r="N21" s="184">
        <f>100%*J12</f>
        <v>0</v>
      </c>
      <c r="O21" s="184">
        <f>100%*K12</f>
        <v>10.453244097368472</v>
      </c>
      <c r="P21" s="678">
        <f>SUM(N21:O21)</f>
        <v>10.453244097368472</v>
      </c>
    </row>
    <row r="22" spans="1:16" s="22" customFormat="1">
      <c r="A22" s="57">
        <f t="shared" si="0"/>
        <v>12</v>
      </c>
      <c r="B22" s="58"/>
      <c r="C22" s="58" t="s">
        <v>451</v>
      </c>
      <c r="D22" s="58"/>
      <c r="J22" s="679">
        <f t="shared" ref="J22:K27" si="3">0*(100%*J13)</f>
        <v>0</v>
      </c>
      <c r="K22" s="679">
        <f t="shared" ref="K22:K23" si="4">100%*K13</f>
        <v>0</v>
      </c>
      <c r="L22" s="679">
        <f>SUM(J22:K22)</f>
        <v>0</v>
      </c>
      <c r="M22" s="352"/>
      <c r="N22" s="351">
        <f>100%*J13</f>
        <v>9.715878331164058</v>
      </c>
      <c r="O22" s="185">
        <f t="shared" ref="O22:O23" si="5">(100%*K13)</f>
        <v>0</v>
      </c>
      <c r="P22" s="185">
        <f>SUM(N22:O22)</f>
        <v>9.715878331164058</v>
      </c>
    </row>
    <row r="23" spans="1:16" s="166" customFormat="1">
      <c r="A23" s="57">
        <f t="shared" si="0"/>
        <v>13</v>
      </c>
      <c r="B23" s="58"/>
      <c r="C23" s="58" t="s">
        <v>452</v>
      </c>
      <c r="D23" s="58"/>
      <c r="J23" s="679">
        <f t="shared" si="3"/>
        <v>0</v>
      </c>
      <c r="K23" s="679">
        <f t="shared" si="4"/>
        <v>0</v>
      </c>
      <c r="L23" s="679">
        <f>SUM(J23:K23)</f>
        <v>0</v>
      </c>
      <c r="M23" s="355"/>
      <c r="N23" s="351">
        <f>1200%*J14</f>
        <v>72.714681273721183</v>
      </c>
      <c r="O23" s="185">
        <f t="shared" si="5"/>
        <v>0</v>
      </c>
      <c r="P23" s="185">
        <f>SUM(N23:O23)</f>
        <v>72.714681273721183</v>
      </c>
    </row>
    <row r="24" spans="1:16" s="22" customFormat="1">
      <c r="A24" s="57">
        <f t="shared" si="0"/>
        <v>14</v>
      </c>
      <c r="B24" s="58"/>
      <c r="C24" s="58" t="s">
        <v>362</v>
      </c>
      <c r="D24" s="58"/>
      <c r="J24" s="679">
        <f t="shared" si="3"/>
        <v>0</v>
      </c>
      <c r="K24" s="679">
        <f>0*(100%*K15)</f>
        <v>0</v>
      </c>
      <c r="L24" s="679">
        <f>SUM(J24:K24)</f>
        <v>0</v>
      </c>
      <c r="M24" s="352"/>
      <c r="N24" s="677">
        <f>0%*J15</f>
        <v>0</v>
      </c>
      <c r="O24" s="677">
        <f t="shared" ref="O24:O27" si="6">0%*K15</f>
        <v>0</v>
      </c>
      <c r="P24" s="677">
        <f>SUM(N24:O24)</f>
        <v>0</v>
      </c>
    </row>
    <row r="25" spans="1:16" s="22" customFormat="1">
      <c r="A25" s="57">
        <f>A24+1</f>
        <v>15</v>
      </c>
      <c r="C25" s="22" t="s">
        <v>143</v>
      </c>
      <c r="J25" s="679">
        <f t="shared" si="3"/>
        <v>0</v>
      </c>
      <c r="K25" s="679">
        <f t="shared" si="3"/>
        <v>0</v>
      </c>
      <c r="L25" s="679">
        <f>SUM(J25:K25)</f>
        <v>0</v>
      </c>
      <c r="M25" s="352"/>
      <c r="N25" s="677">
        <f t="shared" ref="N25:N27" si="7">0%*J16</f>
        <v>0</v>
      </c>
      <c r="O25" s="677">
        <f t="shared" si="6"/>
        <v>0</v>
      </c>
      <c r="P25" s="677">
        <f t="shared" ref="P25:P27" si="8">SUM(N25:O25)</f>
        <v>0</v>
      </c>
    </row>
    <row r="26" spans="1:16" s="22" customFormat="1">
      <c r="A26" s="57">
        <f t="shared" si="0"/>
        <v>16</v>
      </c>
      <c r="C26" s="22" t="s">
        <v>144</v>
      </c>
      <c r="J26" s="679">
        <f t="shared" si="3"/>
        <v>0</v>
      </c>
      <c r="K26" s="679">
        <f t="shared" si="3"/>
        <v>0</v>
      </c>
      <c r="L26" s="679">
        <f t="shared" ref="L26:L27" si="9">SUM(J26:K26)</f>
        <v>0</v>
      </c>
      <c r="M26" s="352"/>
      <c r="N26" s="677">
        <f t="shared" si="7"/>
        <v>0</v>
      </c>
      <c r="O26" s="677">
        <f t="shared" si="6"/>
        <v>0</v>
      </c>
      <c r="P26" s="677">
        <f t="shared" si="8"/>
        <v>0</v>
      </c>
    </row>
    <row r="27" spans="1:16" s="22" customFormat="1">
      <c r="A27" s="57">
        <f t="shared" si="0"/>
        <v>17</v>
      </c>
      <c r="C27" s="22" t="s">
        <v>145</v>
      </c>
      <c r="J27" s="679">
        <f t="shared" si="3"/>
        <v>0</v>
      </c>
      <c r="K27" s="679">
        <f t="shared" si="3"/>
        <v>0</v>
      </c>
      <c r="L27" s="679">
        <f t="shared" si="9"/>
        <v>0</v>
      </c>
      <c r="M27" s="352"/>
      <c r="N27" s="677">
        <f t="shared" si="7"/>
        <v>0</v>
      </c>
      <c r="O27" s="677">
        <f t="shared" si="6"/>
        <v>0</v>
      </c>
      <c r="P27" s="677">
        <f t="shared" si="8"/>
        <v>0</v>
      </c>
    </row>
    <row r="28" spans="1:16">
      <c r="A28" s="57">
        <f t="shared" si="0"/>
        <v>18</v>
      </c>
      <c r="C28" s="22" t="s">
        <v>317</v>
      </c>
      <c r="J28" s="664">
        <f>SUM(J21:J24,J25:J27)</f>
        <v>0</v>
      </c>
      <c r="K28" s="664">
        <f>SUM(K21:K24,K25:K27)</f>
        <v>10.453244097368472</v>
      </c>
      <c r="L28" s="664">
        <f>SUM(L21:L24,L25:L27)</f>
        <v>10.453244097368472</v>
      </c>
      <c r="M28" s="354"/>
      <c r="N28" s="664">
        <f>SUM(N21:N24,N25:N27)</f>
        <v>82.430559604885246</v>
      </c>
      <c r="O28" s="664">
        <f>SUM(O21:O24,O25:O27)</f>
        <v>10.453244097368472</v>
      </c>
      <c r="P28" s="664">
        <f>SUM(P21:P24,P25:P27)</f>
        <v>92.883803702253715</v>
      </c>
    </row>
    <row r="29" spans="1:16" s="166" customFormat="1" ht="27.65" customHeight="1">
      <c r="A29" s="247">
        <f t="shared" si="0"/>
        <v>19</v>
      </c>
      <c r="C29" s="25" t="s">
        <v>353</v>
      </c>
      <c r="D29" s="25"/>
      <c r="J29" s="348"/>
      <c r="K29" s="349" t="s">
        <v>352</v>
      </c>
      <c r="L29" s="348"/>
      <c r="M29" s="350"/>
      <c r="N29" s="437"/>
      <c r="O29" s="438"/>
      <c r="P29" s="439"/>
    </row>
    <row r="30" spans="1:16" s="166" customFormat="1">
      <c r="A30" s="57">
        <f t="shared" si="0"/>
        <v>20</v>
      </c>
      <c r="B30" s="58"/>
      <c r="C30" s="58" t="s">
        <v>450</v>
      </c>
      <c r="D30" s="58"/>
      <c r="J30" s="678">
        <f>100%*J12</f>
        <v>0</v>
      </c>
      <c r="K30" s="678">
        <f>100%*K12</f>
        <v>10.453244097368472</v>
      </c>
      <c r="L30" s="323">
        <f t="shared" ref="L30:L36" si="10">SUM(J30:K30)</f>
        <v>10.453244097368472</v>
      </c>
      <c r="M30" s="355"/>
      <c r="N30" s="323"/>
      <c r="O30" s="323"/>
      <c r="P30" s="323"/>
    </row>
    <row r="31" spans="1:16" s="166" customFormat="1">
      <c r="A31" s="57">
        <f t="shared" si="0"/>
        <v>21</v>
      </c>
      <c r="B31" s="58"/>
      <c r="C31" s="58" t="s">
        <v>451</v>
      </c>
      <c r="D31" s="58"/>
      <c r="J31" s="679">
        <f>20%*J13</f>
        <v>1.9431756662328117</v>
      </c>
      <c r="K31" s="353">
        <f t="shared" ref="K31:K33" si="11">100%*K13</f>
        <v>0</v>
      </c>
      <c r="L31" s="353">
        <f t="shared" si="10"/>
        <v>1.9431756662328117</v>
      </c>
      <c r="M31" s="355"/>
      <c r="N31" s="323"/>
      <c r="O31" s="323"/>
      <c r="P31" s="323"/>
    </row>
    <row r="32" spans="1:16" s="166" customFormat="1">
      <c r="A32" s="57">
        <f t="shared" si="0"/>
        <v>22</v>
      </c>
      <c r="B32" s="58"/>
      <c r="C32" s="58" t="s">
        <v>452</v>
      </c>
      <c r="D32" s="58"/>
      <c r="J32" s="679">
        <f>20%*J14</f>
        <v>1.2119113545620197</v>
      </c>
      <c r="K32" s="353">
        <f t="shared" si="11"/>
        <v>0</v>
      </c>
      <c r="L32" s="353">
        <f t="shared" si="10"/>
        <v>1.2119113545620197</v>
      </c>
      <c r="M32" s="355"/>
      <c r="N32" s="323"/>
      <c r="O32" s="323"/>
      <c r="P32" s="323"/>
    </row>
    <row r="33" spans="1:16" s="166" customFormat="1">
      <c r="A33" s="57">
        <f t="shared" si="0"/>
        <v>23</v>
      </c>
      <c r="B33" s="58"/>
      <c r="C33" s="58" t="s">
        <v>362</v>
      </c>
      <c r="D33" s="58"/>
      <c r="J33" s="679">
        <f>0*(100%*J15)</f>
        <v>0</v>
      </c>
      <c r="K33" s="353">
        <f t="shared" si="11"/>
        <v>0</v>
      </c>
      <c r="L33" s="353">
        <f t="shared" si="10"/>
        <v>0</v>
      </c>
      <c r="M33" s="355"/>
      <c r="N33" s="323"/>
      <c r="O33" s="323"/>
      <c r="P33" s="323"/>
    </row>
    <row r="34" spans="1:16" s="22" customFormat="1">
      <c r="A34" s="57">
        <f>A33+1</f>
        <v>24</v>
      </c>
      <c r="C34" s="22" t="s">
        <v>143</v>
      </c>
      <c r="J34" s="679">
        <f t="shared" ref="J34:J36" si="12">0*(100%*J16)</f>
        <v>0</v>
      </c>
      <c r="K34" s="679">
        <f>0*(100%*K16)</f>
        <v>0</v>
      </c>
      <c r="L34" s="353">
        <f t="shared" ref="L34" si="13">SUM(J34:K34)</f>
        <v>0</v>
      </c>
      <c r="M34" s="352"/>
      <c r="N34" s="353"/>
      <c r="O34" s="353"/>
      <c r="P34" s="353"/>
    </row>
    <row r="35" spans="1:16" s="22" customFormat="1">
      <c r="A35" s="57">
        <f t="shared" si="0"/>
        <v>25</v>
      </c>
      <c r="C35" s="22" t="s">
        <v>144</v>
      </c>
      <c r="J35" s="679">
        <f t="shared" si="12"/>
        <v>0</v>
      </c>
      <c r="K35" s="679">
        <f t="shared" ref="K35:K36" si="14">0*(100%*K17)</f>
        <v>0</v>
      </c>
      <c r="L35" s="353">
        <f t="shared" si="10"/>
        <v>0</v>
      </c>
      <c r="M35" s="352"/>
      <c r="N35" s="353"/>
      <c r="O35" s="353"/>
      <c r="P35" s="353"/>
    </row>
    <row r="36" spans="1:16" s="22" customFormat="1">
      <c r="A36" s="57">
        <f t="shared" si="0"/>
        <v>26</v>
      </c>
      <c r="C36" s="22" t="s">
        <v>145</v>
      </c>
      <c r="J36" s="679">
        <f t="shared" si="12"/>
        <v>0</v>
      </c>
      <c r="K36" s="679">
        <f t="shared" si="14"/>
        <v>0</v>
      </c>
      <c r="L36" s="353">
        <f t="shared" si="10"/>
        <v>0</v>
      </c>
      <c r="M36" s="352"/>
      <c r="N36" s="353"/>
      <c r="O36" s="353"/>
      <c r="P36" s="353"/>
    </row>
    <row r="37" spans="1:16">
      <c r="A37" s="57">
        <f t="shared" si="0"/>
        <v>27</v>
      </c>
      <c r="C37" s="22" t="s">
        <v>340</v>
      </c>
      <c r="J37" s="186">
        <f t="shared" ref="J37:K37" si="15">SUM(J30:J36)</f>
        <v>3.1550870207948316</v>
      </c>
      <c r="K37" s="186">
        <f t="shared" si="15"/>
        <v>10.453244097368472</v>
      </c>
      <c r="L37" s="186">
        <f>SUM(L30:L36)</f>
        <v>13.608331118163303</v>
      </c>
      <c r="M37" s="354"/>
      <c r="N37" s="379"/>
      <c r="O37" s="379"/>
      <c r="P37" s="379"/>
    </row>
    <row r="38" spans="1:16">
      <c r="F38" s="166"/>
      <c r="G38" s="166"/>
      <c r="H38" s="166"/>
      <c r="J38" s="166"/>
      <c r="K38" s="166"/>
      <c r="L38" s="166"/>
      <c r="N38" s="378"/>
      <c r="O38" s="378"/>
      <c r="P38" s="378"/>
    </row>
    <row r="39" spans="1:16">
      <c r="F39" s="166"/>
      <c r="G39" s="166"/>
      <c r="H39" s="166"/>
      <c r="J39" s="166"/>
      <c r="K39" s="166"/>
      <c r="L39" s="166"/>
      <c r="N39" s="166"/>
      <c r="O39" s="166"/>
      <c r="P39" s="166"/>
    </row>
    <row r="40" spans="1:16">
      <c r="F40" s="22"/>
      <c r="G40" s="22"/>
      <c r="H40" s="22"/>
      <c r="J40" s="22"/>
      <c r="K40" s="22"/>
      <c r="L40" s="22"/>
      <c r="N40" s="22"/>
      <c r="O40" s="22"/>
      <c r="P40" s="22"/>
    </row>
    <row r="41" spans="1:16">
      <c r="F41" s="22"/>
      <c r="G41" s="22"/>
      <c r="H41" s="22"/>
      <c r="J41" s="22"/>
      <c r="K41" s="22"/>
      <c r="L41" s="22"/>
      <c r="N41" s="22"/>
      <c r="O41" s="22"/>
      <c r="P41" s="22"/>
    </row>
    <row r="42" spans="1:16">
      <c r="F42" s="22"/>
      <c r="G42" s="22"/>
      <c r="H42" s="22"/>
      <c r="J42" s="22"/>
      <c r="K42" s="22"/>
      <c r="L42" s="22"/>
      <c r="N42" s="22"/>
      <c r="O42" s="22"/>
      <c r="P42" s="22"/>
    </row>
    <row r="43" spans="1:16">
      <c r="F43" s="22"/>
      <c r="G43" s="22"/>
      <c r="H43" s="22"/>
      <c r="J43" s="22"/>
      <c r="K43" s="22"/>
      <c r="L43" s="22"/>
      <c r="N43" s="22"/>
      <c r="O43" s="22"/>
      <c r="P43" s="22"/>
    </row>
    <row r="44" spans="1:16">
      <c r="F44" s="22"/>
      <c r="G44" s="22"/>
      <c r="H44" s="22"/>
      <c r="J44" s="22"/>
      <c r="K44" s="22"/>
      <c r="L44" s="22"/>
      <c r="N44" s="22"/>
      <c r="O44" s="22"/>
      <c r="P44" s="22"/>
    </row>
  </sheetData>
  <mergeCells count="2">
    <mergeCell ref="J11:L11"/>
    <mergeCell ref="N11:P11"/>
  </mergeCells>
  <phoneticPr fontId="14"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3"/>
  <sheetViews>
    <sheetView showGridLines="0" zoomScaleNormal="100" workbookViewId="0">
      <selection activeCell="D27" sqref="D27"/>
    </sheetView>
  </sheetViews>
  <sheetFormatPr defaultRowHeight="13"/>
  <cols>
    <col min="1" max="1" width="5.77734375" customWidth="1"/>
    <col min="2" max="2" width="1.77734375" customWidth="1"/>
    <col min="3" max="3" width="2.77734375" customWidth="1"/>
    <col min="4" max="4" width="52.77734375" customWidth="1"/>
    <col min="5" max="5" width="1.77734375" customWidth="1"/>
    <col min="6" max="7" width="12.77734375" customWidth="1"/>
    <col min="8" max="8" width="2.77734375" customWidth="1"/>
    <col min="9" max="9" width="1.77734375" customWidth="1"/>
    <col min="10" max="11" width="12.77734375" customWidth="1"/>
  </cols>
  <sheetData>
    <row r="1" spans="1:12" s="3" customFormat="1">
      <c r="A1" s="5" t="str">
        <f>Applicant</f>
        <v>Alberta Electric System Operator</v>
      </c>
      <c r="B1" s="5"/>
      <c r="C1" s="5"/>
      <c r="D1" s="5"/>
      <c r="E1" s="5"/>
      <c r="F1" s="5"/>
      <c r="G1" s="5"/>
      <c r="H1" s="5"/>
      <c r="K1" s="4" t="str">
        <f ca="1">TablePrefix&amp;TRIM(MID(CELL("filename",M2),FIND("]",CELL("filename",M2))+1,5))&amp;TableSuffix</f>
        <v>Table F-12</v>
      </c>
    </row>
    <row r="2" spans="1:12" s="3" customFormat="1">
      <c r="A2" s="5" t="str">
        <f>Application</f>
        <v>Bulk and Regional Tariff Design Application</v>
      </c>
      <c r="B2" s="5"/>
      <c r="C2" s="5"/>
      <c r="D2" s="5"/>
      <c r="E2" s="5"/>
      <c r="F2" s="5"/>
      <c r="G2" s="5"/>
      <c r="H2" s="5"/>
      <c r="K2" s="4" t="str">
        <f>TableDate</f>
        <v>October 15, 2021</v>
      </c>
    </row>
    <row r="4" spans="1:12">
      <c r="A4" s="6" t="str">
        <f>TableGroup1</f>
        <v>Appendix F — 2019 Test Year Proposed Rate Calculations</v>
      </c>
      <c r="B4" s="6"/>
      <c r="C4" s="6"/>
      <c r="D4" s="6"/>
      <c r="E4" s="6"/>
      <c r="F4" s="6"/>
      <c r="G4" s="6"/>
      <c r="H4" s="6"/>
      <c r="I4" s="6"/>
      <c r="J4" s="6"/>
      <c r="K4" s="6"/>
    </row>
    <row r="5" spans="1:12">
      <c r="A5" s="6" t="s">
        <v>479</v>
      </c>
      <c r="B5" s="6"/>
      <c r="C5" s="6"/>
      <c r="D5" s="6"/>
      <c r="E5" s="6"/>
      <c r="F5" s="6"/>
      <c r="G5" s="6"/>
      <c r="H5" s="6"/>
      <c r="I5" s="6"/>
      <c r="J5" s="6"/>
      <c r="K5" s="6"/>
    </row>
    <row r="6" spans="1:12">
      <c r="I6" s="91"/>
    </row>
    <row r="7" spans="1:12" s="240" customFormat="1">
      <c r="F7" s="240" t="s">
        <v>2</v>
      </c>
      <c r="G7" s="240" t="s">
        <v>3</v>
      </c>
      <c r="J7" s="240" t="s">
        <v>4</v>
      </c>
      <c r="K7" s="240" t="s">
        <v>5</v>
      </c>
    </row>
    <row r="9" spans="1:12" s="44" customFormat="1">
      <c r="A9" s="62" t="s">
        <v>57</v>
      </c>
      <c r="F9" s="45" t="s">
        <v>342</v>
      </c>
      <c r="G9" s="45"/>
      <c r="I9" s="98"/>
      <c r="J9" s="45" t="s">
        <v>343</v>
      </c>
      <c r="K9" s="45"/>
    </row>
    <row r="10" spans="1:12" s="47" customFormat="1">
      <c r="A10" s="46"/>
      <c r="C10" s="48" t="s">
        <v>55</v>
      </c>
      <c r="D10" s="48"/>
      <c r="F10" s="436" t="s">
        <v>110</v>
      </c>
      <c r="G10" s="49" t="s">
        <v>56</v>
      </c>
      <c r="I10" s="99"/>
      <c r="J10" s="46" t="s">
        <v>110</v>
      </c>
      <c r="K10" s="49" t="s">
        <v>56</v>
      </c>
    </row>
    <row r="11" spans="1:12" s="22" customFormat="1" ht="25.5" customHeight="1">
      <c r="A11" s="21">
        <v>1</v>
      </c>
      <c r="C11" s="22" t="s">
        <v>159</v>
      </c>
      <c r="F11" s="614">
        <v>93451.157599999933</v>
      </c>
      <c r="G11" s="63" t="s">
        <v>28</v>
      </c>
      <c r="I11" s="121"/>
      <c r="J11" s="66" t="s">
        <v>60</v>
      </c>
      <c r="K11" s="64"/>
    </row>
    <row r="12" spans="1:12" s="22" customFormat="1" ht="25.5" customHeight="1">
      <c r="A12" s="21">
        <f t="shared" ref="A12:A21" si="0">A11+1</f>
        <v>2</v>
      </c>
      <c r="C12" s="22" t="s">
        <v>142</v>
      </c>
      <c r="F12" s="615">
        <v>159114.17204080004</v>
      </c>
      <c r="G12" s="63" t="s">
        <v>28</v>
      </c>
      <c r="I12" s="121"/>
      <c r="J12" s="66" t="s">
        <v>60</v>
      </c>
      <c r="K12" s="64"/>
    </row>
    <row r="13" spans="1:12" s="166" customFormat="1" ht="19.399999999999999" customHeight="1">
      <c r="A13" s="183">
        <f t="shared" si="0"/>
        <v>3</v>
      </c>
      <c r="C13" s="166" t="s">
        <v>184</v>
      </c>
      <c r="F13" s="616">
        <v>36877.829162999951</v>
      </c>
      <c r="G13" s="154" t="s">
        <v>28</v>
      </c>
      <c r="I13" s="219"/>
      <c r="J13" s="220" t="s">
        <v>60</v>
      </c>
      <c r="K13" s="221"/>
      <c r="L13" s="22"/>
    </row>
    <row r="14" spans="1:12" s="22" customFormat="1">
      <c r="A14" s="21">
        <f t="shared" si="0"/>
        <v>4</v>
      </c>
      <c r="C14" s="22" t="s">
        <v>185</v>
      </c>
      <c r="F14" s="616">
        <v>34658.475743399962</v>
      </c>
      <c r="G14" s="63" t="s">
        <v>28</v>
      </c>
      <c r="I14" s="121"/>
      <c r="J14" s="66" t="s">
        <v>60</v>
      </c>
      <c r="K14" s="64"/>
    </row>
    <row r="15" spans="1:12" s="22" customFormat="1">
      <c r="A15" s="21">
        <f t="shared" si="0"/>
        <v>5</v>
      </c>
      <c r="C15" s="22" t="s">
        <v>186</v>
      </c>
      <c r="F15" s="616">
        <v>43396.074517600013</v>
      </c>
      <c r="G15" s="63" t="s">
        <v>28</v>
      </c>
      <c r="I15" s="121"/>
      <c r="J15" s="66" t="s">
        <v>60</v>
      </c>
      <c r="K15" s="64"/>
    </row>
    <row r="16" spans="1:12" s="35" customFormat="1" ht="19.399999999999999" customHeight="1">
      <c r="A16" s="34">
        <f t="shared" si="0"/>
        <v>6</v>
      </c>
      <c r="C16" s="35" t="s">
        <v>187</v>
      </c>
      <c r="F16" s="616">
        <v>44181.792616800056</v>
      </c>
      <c r="G16" s="155" t="s">
        <v>28</v>
      </c>
      <c r="I16" s="222"/>
      <c r="J16" s="223" t="s">
        <v>60</v>
      </c>
      <c r="K16" s="224"/>
      <c r="L16" s="22"/>
    </row>
    <row r="17" spans="1:13" s="22" customFormat="1" ht="25.5" customHeight="1">
      <c r="A17" s="21">
        <f>A16+1</f>
        <v>7</v>
      </c>
      <c r="C17" s="22" t="s">
        <v>149</v>
      </c>
      <c r="F17" s="617">
        <v>119359.93085839976</v>
      </c>
      <c r="G17" s="63" t="s">
        <v>28</v>
      </c>
      <c r="I17" s="121"/>
      <c r="J17" s="66" t="s">
        <v>60</v>
      </c>
      <c r="K17" s="64"/>
    </row>
    <row r="18" spans="1:13" s="22" customFormat="1" ht="25.5" customHeight="1">
      <c r="A18" s="21">
        <f t="shared" si="0"/>
        <v>8</v>
      </c>
      <c r="C18" s="22" t="s">
        <v>59</v>
      </c>
      <c r="F18" s="618">
        <v>59687.309716087802</v>
      </c>
      <c r="G18" s="63" t="s">
        <v>29</v>
      </c>
      <c r="I18" s="121"/>
      <c r="J18" s="195">
        <f>F18</f>
        <v>59687.309716087802</v>
      </c>
      <c r="K18" s="63" t="s">
        <v>29</v>
      </c>
    </row>
    <row r="19" spans="1:13" s="22" customFormat="1" ht="25.5" customHeight="1">
      <c r="A19" s="21">
        <f t="shared" si="0"/>
        <v>9</v>
      </c>
      <c r="C19" s="22" t="s">
        <v>332</v>
      </c>
      <c r="F19" s="619">
        <v>5407.3908299999975</v>
      </c>
      <c r="G19" s="63" t="s">
        <v>108</v>
      </c>
      <c r="I19" s="121"/>
      <c r="J19" s="66" t="s">
        <v>60</v>
      </c>
      <c r="K19" s="64"/>
    </row>
    <row r="20" spans="1:13" s="22" customFormat="1" ht="25.5" customHeight="1">
      <c r="A20" s="21">
        <f t="shared" si="0"/>
        <v>10</v>
      </c>
      <c r="C20" s="22" t="s">
        <v>171</v>
      </c>
      <c r="F20" s="194">
        <v>54.88</v>
      </c>
      <c r="G20" s="67" t="s">
        <v>62</v>
      </c>
      <c r="I20" s="121"/>
      <c r="J20" s="194">
        <f>F20</f>
        <v>54.88</v>
      </c>
      <c r="K20" s="67" t="s">
        <v>62</v>
      </c>
      <c r="M20" s="431"/>
    </row>
    <row r="21" spans="1:13" s="22" customFormat="1" ht="25.5" customHeight="1">
      <c r="A21" s="21">
        <f t="shared" si="0"/>
        <v>11</v>
      </c>
      <c r="C21" s="22" t="s">
        <v>61</v>
      </c>
      <c r="F21" s="66" t="s">
        <v>60</v>
      </c>
      <c r="G21" s="64"/>
      <c r="I21" s="121"/>
      <c r="J21" s="195">
        <v>63874.866666666669</v>
      </c>
      <c r="K21" s="63" t="s">
        <v>28</v>
      </c>
    </row>
    <row r="22" spans="1:13" s="22" customFormat="1" ht="12.75" customHeight="1">
      <c r="A22" s="21"/>
      <c r="F22" s="66"/>
      <c r="G22" s="64"/>
      <c r="I22" s="58"/>
      <c r="J22" s="65"/>
      <c r="K22" s="63"/>
    </row>
    <row r="23" spans="1:13">
      <c r="A23" t="s">
        <v>52</v>
      </c>
      <c r="C23" s="197" t="s">
        <v>132</v>
      </c>
      <c r="D23" s="547" t="s">
        <v>416</v>
      </c>
    </row>
    <row r="24" spans="1:13">
      <c r="D24" s="546" t="s">
        <v>415</v>
      </c>
    </row>
    <row r="25" spans="1:13">
      <c r="C25" s="196" t="s">
        <v>131</v>
      </c>
      <c r="D25" s="468" t="s">
        <v>414</v>
      </c>
    </row>
    <row r="26" spans="1:13">
      <c r="C26" s="196"/>
      <c r="D26" s="468" t="s">
        <v>413</v>
      </c>
    </row>
    <row r="27" spans="1:13">
      <c r="C27" s="91" t="s">
        <v>170</v>
      </c>
      <c r="D27" t="str">
        <f>"The 2019 actual pool price is "&amp;DOLLAR('F-12 Determinants'!$F$20,2)&amp;"/MWh"</f>
        <v>The 2019 actual pool price is $54.88/MWh</v>
      </c>
    </row>
    <row r="30" spans="1:13">
      <c r="K30" s="393"/>
    </row>
    <row r="33" spans="6:6">
      <c r="F33" s="403"/>
    </row>
  </sheetData>
  <phoneticPr fontId="14" type="noConversion"/>
  <printOptions horizontalCentered="1"/>
  <pageMargins left="0.75" right="0.5" top="0.75" bottom="0.5" header="0.5" footer="0.5"/>
  <pageSetup scale="92"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6"/>
  <sheetViews>
    <sheetView showGridLines="0" zoomScaleNormal="100" workbookViewId="0"/>
  </sheetViews>
  <sheetFormatPr defaultRowHeight="13"/>
  <cols>
    <col min="1" max="1" width="6.109375" customWidth="1"/>
    <col min="2" max="2" width="1.77734375" customWidth="1"/>
    <col min="3" max="3" width="2.77734375" customWidth="1"/>
    <col min="4" max="4" width="38.44140625" customWidth="1"/>
    <col min="5" max="6" width="1.77734375" customWidth="1"/>
    <col min="7" max="7" width="16.109375" customWidth="1"/>
    <col min="8" max="8" width="13.33203125" customWidth="1"/>
    <col min="9" max="9" width="11.44140625" bestFit="1" customWidth="1"/>
    <col min="10" max="11" width="1.77734375" customWidth="1"/>
    <col min="12" max="12" width="19.44140625" customWidth="1"/>
    <col min="13" max="13" width="13" bestFit="1" customWidth="1"/>
    <col min="14" max="14" width="14.109375" bestFit="1" customWidth="1"/>
    <col min="15" max="16" width="1.77734375" customWidth="1"/>
    <col min="17" max="17" width="10.6640625" customWidth="1"/>
    <col min="18" max="18" width="9.7773437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F-13</v>
      </c>
    </row>
    <row r="2" spans="1:20" s="3" customFormat="1">
      <c r="A2" s="5" t="str">
        <f>Application</f>
        <v>Bulk and Regional Tariff Design Application</v>
      </c>
      <c r="B2" s="5"/>
      <c r="C2" s="5"/>
      <c r="D2" s="5"/>
      <c r="E2" s="5"/>
      <c r="F2" s="5"/>
      <c r="G2" s="5"/>
      <c r="H2" s="5"/>
      <c r="I2" s="5"/>
      <c r="J2" s="5"/>
      <c r="K2" s="5"/>
      <c r="L2" s="5"/>
      <c r="M2" s="5"/>
      <c r="N2" s="5"/>
      <c r="O2" s="5"/>
      <c r="R2" s="4" t="str">
        <f>TableDate</f>
        <v>October 15, 2021</v>
      </c>
    </row>
    <row r="4" spans="1:20">
      <c r="A4" s="330" t="str">
        <f>TableGroup1</f>
        <v>Appendix F — 2019 Test Year Proposed Rate Calculations</v>
      </c>
      <c r="B4" s="6"/>
      <c r="C4" s="6"/>
      <c r="D4" s="6"/>
      <c r="E4" s="6"/>
      <c r="F4" s="6"/>
      <c r="G4" s="6"/>
      <c r="H4" s="6"/>
      <c r="I4" s="6"/>
      <c r="J4" s="6"/>
      <c r="K4" s="6"/>
      <c r="L4" s="6"/>
      <c r="M4" s="6"/>
      <c r="N4" s="6"/>
      <c r="O4" s="6"/>
      <c r="P4" s="6"/>
      <c r="Q4" s="6"/>
      <c r="R4" s="6"/>
    </row>
    <row r="5" spans="1:20">
      <c r="A5" s="6" t="s">
        <v>533</v>
      </c>
      <c r="B5" s="6"/>
      <c r="C5" s="6"/>
      <c r="D5" s="6"/>
      <c r="E5" s="6"/>
      <c r="F5" s="6"/>
      <c r="G5" s="6"/>
      <c r="H5" s="6"/>
      <c r="I5" s="6"/>
      <c r="J5" s="6"/>
      <c r="K5" s="6"/>
      <c r="L5" s="6"/>
      <c r="M5" s="6"/>
      <c r="N5" s="6"/>
      <c r="O5" s="6"/>
      <c r="P5" s="6"/>
      <c r="Q5" s="6"/>
      <c r="R5" s="6"/>
    </row>
    <row r="6" spans="1:20">
      <c r="I6" s="91"/>
    </row>
    <row r="7" spans="1:20" s="240" customFormat="1">
      <c r="G7" s="240" t="s">
        <v>2</v>
      </c>
      <c r="H7" s="240" t="s">
        <v>3</v>
      </c>
      <c r="I7" s="240" t="s">
        <v>4</v>
      </c>
      <c r="L7" s="240" t="s">
        <v>5</v>
      </c>
      <c r="M7" s="240" t="s">
        <v>25</v>
      </c>
      <c r="N7" s="240" t="s">
        <v>26</v>
      </c>
      <c r="Q7" s="240" t="s">
        <v>27</v>
      </c>
      <c r="R7" s="240" t="s">
        <v>50</v>
      </c>
    </row>
    <row r="9" spans="1:20" s="44" customFormat="1">
      <c r="F9" s="98"/>
      <c r="G9" s="45" t="s">
        <v>483</v>
      </c>
      <c r="H9" s="45"/>
      <c r="I9" s="45"/>
      <c r="K9" s="98"/>
      <c r="L9" s="45" t="s">
        <v>484</v>
      </c>
      <c r="M9" s="45"/>
      <c r="N9" s="45"/>
      <c r="P9" s="98"/>
      <c r="Q9" s="45" t="s">
        <v>67</v>
      </c>
      <c r="R9" s="45"/>
    </row>
    <row r="10" spans="1:20" s="47" customFormat="1" ht="26">
      <c r="A10" s="46"/>
      <c r="C10" s="48" t="s">
        <v>1</v>
      </c>
      <c r="D10" s="48"/>
      <c r="F10" s="99"/>
      <c r="G10" s="401" t="s">
        <v>481</v>
      </c>
      <c r="H10" s="401" t="s">
        <v>480</v>
      </c>
      <c r="I10" s="49" t="s">
        <v>23</v>
      </c>
      <c r="K10" s="99"/>
      <c r="L10" s="401" t="s">
        <v>482</v>
      </c>
      <c r="M10" s="401" t="s">
        <v>480</v>
      </c>
      <c r="N10" s="49" t="s">
        <v>23</v>
      </c>
      <c r="P10" s="99"/>
      <c r="Q10" s="49" t="s">
        <v>23</v>
      </c>
      <c r="R10" s="49" t="s">
        <v>66</v>
      </c>
    </row>
    <row r="11" spans="1:20" ht="19" customHeight="1">
      <c r="A11" s="7">
        <v>1</v>
      </c>
      <c r="C11" s="2" t="s">
        <v>63</v>
      </c>
      <c r="D11" s="2"/>
      <c r="E11" s="18"/>
      <c r="F11" s="109"/>
      <c r="G11" s="39"/>
      <c r="H11" s="39"/>
      <c r="I11" s="39"/>
      <c r="J11" s="18"/>
      <c r="K11" s="109"/>
      <c r="L11" s="39"/>
      <c r="M11" s="39"/>
      <c r="N11" s="39"/>
      <c r="O11" s="18"/>
      <c r="P11" s="109"/>
      <c r="Q11" s="39"/>
      <c r="R11" s="39"/>
    </row>
    <row r="12" spans="1:20">
      <c r="A12" s="7">
        <f t="shared" ref="A12:A31" si="0">A11+1</f>
        <v>2</v>
      </c>
      <c r="C12" s="408" t="s">
        <v>363</v>
      </c>
      <c r="D12" s="2"/>
      <c r="E12" s="18"/>
      <c r="F12" s="109"/>
      <c r="G12" s="39"/>
      <c r="H12" s="39"/>
      <c r="I12" s="39"/>
      <c r="J12" s="18"/>
      <c r="K12" s="109"/>
      <c r="L12" s="39"/>
      <c r="M12" s="39"/>
      <c r="N12" s="39"/>
      <c r="O12" s="18"/>
      <c r="P12" s="109"/>
      <c r="Q12" s="39"/>
      <c r="R12" s="39"/>
    </row>
    <row r="13" spans="1:20" s="22" customFormat="1">
      <c r="A13" s="7">
        <f t="shared" si="0"/>
        <v>3</v>
      </c>
      <c r="C13" s="22" t="s">
        <v>455</v>
      </c>
      <c r="E13" s="23"/>
      <c r="F13" s="112"/>
      <c r="G13" s="635">
        <v>2.0099999999999998</v>
      </c>
      <c r="H13" s="51">
        <f>'F-12 Determinants'!F18</f>
        <v>59687.309716087802</v>
      </c>
      <c r="I13" s="79">
        <f>G13*H13/1000</f>
        <v>119.97149252933646</v>
      </c>
      <c r="J13" s="122"/>
      <c r="K13" s="112"/>
      <c r="L13" s="665">
        <f>'F-8 DTS Rate'!T13</f>
        <v>10.45</v>
      </c>
      <c r="M13" s="51">
        <f>'F-12 Determinants'!F18</f>
        <v>59687.309716087802</v>
      </c>
      <c r="N13" s="79">
        <f>L13*M13/1000</f>
        <v>623.73238653311751</v>
      </c>
      <c r="O13" s="23"/>
      <c r="P13" s="112"/>
      <c r="Q13" s="190">
        <f t="shared" ref="Q13" si="1">N13-I13</f>
        <v>503.76089400378106</v>
      </c>
      <c r="R13" s="68">
        <f t="shared" ref="R13" si="2">Q13/I13</f>
        <v>4.199004975124379</v>
      </c>
      <c r="S13" s="77"/>
      <c r="T13" s="68"/>
    </row>
    <row r="14" spans="1:20" s="22" customFormat="1">
      <c r="A14" s="7">
        <f t="shared" si="0"/>
        <v>4</v>
      </c>
      <c r="C14" s="22" t="s">
        <v>456</v>
      </c>
      <c r="E14" s="23"/>
      <c r="F14" s="112"/>
      <c r="G14" s="635">
        <v>10508</v>
      </c>
      <c r="H14" s="51">
        <f>'F-12 Determinants'!F11</f>
        <v>93451.157599999933</v>
      </c>
      <c r="I14" s="79">
        <f t="shared" ref="I14:I20" si="3">G14*H14/1000000</f>
        <v>981.98476406079919</v>
      </c>
      <c r="J14" s="122"/>
      <c r="K14" s="112"/>
      <c r="L14" s="665">
        <f>'F-8 DTS Rate'!T15</f>
        <v>6206</v>
      </c>
      <c r="M14" s="51">
        <f>'F-12 Determinants'!F11</f>
        <v>93451.157599999933</v>
      </c>
      <c r="N14" s="79">
        <f t="shared" ref="N14:N20" si="4">L14*M14/1000000</f>
        <v>579.95788406559961</v>
      </c>
      <c r="O14" s="23"/>
      <c r="P14" s="112"/>
      <c r="Q14" s="190">
        <f t="shared" ref="Q14:Q15" si="5">N14-I14</f>
        <v>-402.02687999519958</v>
      </c>
      <c r="R14" s="68">
        <f t="shared" ref="R14:R15" si="6">Q14/I14</f>
        <v>-0.40940236010658537</v>
      </c>
      <c r="S14" s="77"/>
      <c r="T14" s="68"/>
    </row>
    <row r="15" spans="1:20" s="22" customFormat="1">
      <c r="A15" s="7">
        <f>A14+1</f>
        <v>5</v>
      </c>
      <c r="C15" s="22" t="s">
        <v>457</v>
      </c>
      <c r="E15" s="23"/>
      <c r="F15" s="112"/>
      <c r="G15" s="635">
        <v>2914</v>
      </c>
      <c r="H15" s="51">
        <f>'F-12 Determinants'!F12</f>
        <v>159114.17204080004</v>
      </c>
      <c r="I15" s="79">
        <f t="shared" si="3"/>
        <v>463.65869732689129</v>
      </c>
      <c r="J15" s="122"/>
      <c r="K15" s="112"/>
      <c r="L15" s="665">
        <f>'F-8 DTS Rate'!T16</f>
        <v>2273</v>
      </c>
      <c r="M15" s="51">
        <f>'F-12 Determinants'!F12</f>
        <v>159114.17204080004</v>
      </c>
      <c r="N15" s="79">
        <f t="shared" si="4"/>
        <v>361.66651304873847</v>
      </c>
      <c r="O15" s="23"/>
      <c r="P15" s="112"/>
      <c r="Q15" s="190">
        <f t="shared" si="5"/>
        <v>-101.99218427815282</v>
      </c>
      <c r="R15" s="68">
        <f t="shared" si="6"/>
        <v>-0.21997254632807139</v>
      </c>
      <c r="S15" s="77"/>
      <c r="T15" s="68"/>
    </row>
    <row r="16" spans="1:20" s="22" customFormat="1">
      <c r="A16" s="7">
        <f>A15+1</f>
        <v>6</v>
      </c>
      <c r="D16" s="22" t="s">
        <v>314</v>
      </c>
      <c r="E16" s="23"/>
      <c r="F16" s="112"/>
      <c r="G16" s="635">
        <v>13499</v>
      </c>
      <c r="H16" s="51">
        <f>'F-12 Determinants'!F19</f>
        <v>5407.3908299999975</v>
      </c>
      <c r="I16" s="79">
        <f t="shared" si="3"/>
        <v>72.994368814169974</v>
      </c>
      <c r="J16" s="23"/>
      <c r="K16" s="112"/>
      <c r="L16" s="693">
        <f>'F-8 DTS Rate'!T18</f>
        <v>13499</v>
      </c>
      <c r="M16" s="51">
        <f>'F-12 Determinants'!F19</f>
        <v>5407.3908299999975</v>
      </c>
      <c r="N16" s="79">
        <f t="shared" si="4"/>
        <v>72.994368814169974</v>
      </c>
      <c r="O16" s="23"/>
      <c r="P16" s="112"/>
      <c r="Q16" s="190">
        <f t="shared" ref="Q16:Q20" si="7">N16-I16</f>
        <v>0</v>
      </c>
      <c r="R16" s="68">
        <f t="shared" ref="R16:R20" si="8">Q16/I16</f>
        <v>0</v>
      </c>
      <c r="S16" s="77"/>
      <c r="T16" s="68"/>
    </row>
    <row r="17" spans="1:24" s="22" customFormat="1">
      <c r="A17" s="7">
        <f t="shared" si="0"/>
        <v>7</v>
      </c>
      <c r="D17" s="22" t="s">
        <v>188</v>
      </c>
      <c r="E17" s="23"/>
      <c r="F17" s="112"/>
      <c r="G17" s="635">
        <v>4443</v>
      </c>
      <c r="H17" s="51">
        <f>'F-12 Determinants'!F13</f>
        <v>36877.829162999951</v>
      </c>
      <c r="I17" s="132">
        <f t="shared" si="3"/>
        <v>163.84819497120878</v>
      </c>
      <c r="J17" s="23"/>
      <c r="K17" s="112"/>
      <c r="L17" s="693">
        <f>'F-8 DTS Rate'!T19</f>
        <v>4443</v>
      </c>
      <c r="M17" s="51">
        <f>'F-12 Determinants'!F13</f>
        <v>36877.829162999951</v>
      </c>
      <c r="N17" s="79">
        <f t="shared" si="4"/>
        <v>163.84819497120878</v>
      </c>
      <c r="O17" s="23"/>
      <c r="P17" s="112"/>
      <c r="Q17" s="190">
        <f t="shared" si="7"/>
        <v>0</v>
      </c>
      <c r="R17" s="68">
        <f t="shared" si="8"/>
        <v>0</v>
      </c>
      <c r="S17" s="77"/>
      <c r="T17" s="68"/>
    </row>
    <row r="18" spans="1:24" s="22" customFormat="1">
      <c r="A18" s="7">
        <f t="shared" si="0"/>
        <v>8</v>
      </c>
      <c r="D18" s="22" t="s">
        <v>189</v>
      </c>
      <c r="E18" s="23"/>
      <c r="F18" s="112"/>
      <c r="G18" s="635">
        <v>2635</v>
      </c>
      <c r="H18" s="51">
        <f>'F-12 Determinants'!F14</f>
        <v>34658.475743399962</v>
      </c>
      <c r="I18" s="132">
        <f t="shared" si="3"/>
        <v>91.325083583858913</v>
      </c>
      <c r="J18" s="23"/>
      <c r="K18" s="112"/>
      <c r="L18" s="693">
        <f>'F-8 DTS Rate'!T20</f>
        <v>2635</v>
      </c>
      <c r="M18" s="51">
        <f>'F-12 Determinants'!F14</f>
        <v>34658.475743399962</v>
      </c>
      <c r="N18" s="79">
        <f t="shared" si="4"/>
        <v>91.325083583858913</v>
      </c>
      <c r="O18" s="23"/>
      <c r="P18" s="112"/>
      <c r="Q18" s="190">
        <f t="shared" si="7"/>
        <v>0</v>
      </c>
      <c r="R18" s="68">
        <f t="shared" si="8"/>
        <v>0</v>
      </c>
      <c r="S18" s="77"/>
      <c r="T18" s="68"/>
    </row>
    <row r="19" spans="1:24" s="22" customFormat="1">
      <c r="A19" s="7">
        <f t="shared" si="0"/>
        <v>9</v>
      </c>
      <c r="D19" s="22" t="s">
        <v>190</v>
      </c>
      <c r="E19" s="23"/>
      <c r="F19" s="112"/>
      <c r="G19" s="635">
        <v>1764</v>
      </c>
      <c r="H19" s="51">
        <f>'F-12 Determinants'!F15</f>
        <v>43396.074517600013</v>
      </c>
      <c r="I19" s="132">
        <f t="shared" si="3"/>
        <v>76.550675449046423</v>
      </c>
      <c r="J19" s="23"/>
      <c r="K19" s="112"/>
      <c r="L19" s="693">
        <f>'F-8 DTS Rate'!T21</f>
        <v>1764</v>
      </c>
      <c r="M19" s="51">
        <f>'F-12 Determinants'!F15</f>
        <v>43396.074517600013</v>
      </c>
      <c r="N19" s="79">
        <f t="shared" si="4"/>
        <v>76.550675449046423</v>
      </c>
      <c r="O19" s="23"/>
      <c r="P19" s="112"/>
      <c r="Q19" s="190">
        <f t="shared" si="7"/>
        <v>0</v>
      </c>
      <c r="R19" s="68">
        <f t="shared" si="8"/>
        <v>0</v>
      </c>
      <c r="S19" s="77"/>
      <c r="T19" s="550"/>
    </row>
    <row r="20" spans="1:24" s="22" customFormat="1">
      <c r="A20" s="7">
        <f t="shared" si="0"/>
        <v>10</v>
      </c>
      <c r="D20" s="22" t="s">
        <v>191</v>
      </c>
      <c r="E20" s="23"/>
      <c r="F20" s="112"/>
      <c r="G20" s="635">
        <v>1086</v>
      </c>
      <c r="H20" s="51">
        <f>'F-12 Determinants'!F16</f>
        <v>44181.792616800056</v>
      </c>
      <c r="I20" s="132">
        <f t="shared" si="3"/>
        <v>47.98142678184486</v>
      </c>
      <c r="J20" s="23"/>
      <c r="K20" s="112"/>
      <c r="L20" s="693">
        <f>'F-8 DTS Rate'!T22</f>
        <v>1086</v>
      </c>
      <c r="M20" s="51">
        <f>'F-12 Determinants'!F16</f>
        <v>44181.792616800056</v>
      </c>
      <c r="N20" s="79">
        <f t="shared" si="4"/>
        <v>47.98142678184486</v>
      </c>
      <c r="O20" s="23"/>
      <c r="P20" s="112"/>
      <c r="Q20" s="190">
        <f t="shared" si="7"/>
        <v>0</v>
      </c>
      <c r="R20" s="68">
        <f t="shared" si="8"/>
        <v>0</v>
      </c>
      <c r="S20" s="77"/>
      <c r="T20" s="68"/>
      <c r="U20" s="431"/>
    </row>
    <row r="21" spans="1:24" s="22" customFormat="1">
      <c r="A21" s="7">
        <f>A20+1</f>
        <v>11</v>
      </c>
      <c r="D21" s="431" t="s">
        <v>349</v>
      </c>
      <c r="E21" s="23"/>
      <c r="F21" s="112"/>
      <c r="G21" s="687" t="s">
        <v>60</v>
      </c>
      <c r="H21" s="191" t="s">
        <v>60</v>
      </c>
      <c r="I21" s="192">
        <f>SUM(I13:I20)</f>
        <v>2018.314703517156</v>
      </c>
      <c r="J21" s="93"/>
      <c r="K21" s="112"/>
      <c r="L21" s="191" t="s">
        <v>60</v>
      </c>
      <c r="M21" s="191" t="s">
        <v>60</v>
      </c>
      <c r="N21" s="192">
        <f>SUM(N13:N20)</f>
        <v>2018.0565332475849</v>
      </c>
      <c r="O21" s="23"/>
      <c r="P21" s="112"/>
      <c r="Q21" s="569">
        <f>N21-I21</f>
        <v>-0.25817026957111011</v>
      </c>
      <c r="R21" s="193">
        <f>Q21/I21</f>
        <v>-1.2791378327731419E-4</v>
      </c>
      <c r="S21" s="77"/>
      <c r="T21" s="550"/>
    </row>
    <row r="22" spans="1:24" s="22" customFormat="1">
      <c r="A22" s="7">
        <f t="shared" si="0"/>
        <v>12</v>
      </c>
      <c r="C22" s="431" t="s">
        <v>64</v>
      </c>
      <c r="E22" s="23"/>
      <c r="F22" s="112"/>
      <c r="G22" s="688">
        <v>6.2799999999999995E-2</v>
      </c>
      <c r="H22" s="51">
        <f>'F-12 Determinants'!F18</f>
        <v>59687.309716087802</v>
      </c>
      <c r="I22" s="51">
        <f>G22*'F-12 Determinants'!$F$20*H22/1000</f>
        <v>205.7101641933468</v>
      </c>
      <c r="J22" s="23"/>
      <c r="K22" s="112"/>
      <c r="L22" s="69">
        <f>'F-8 DTS Rate'!T24</f>
        <v>6.2799999999999995E-2</v>
      </c>
      <c r="M22" s="51">
        <f>'F-12 Determinants'!$F$18</f>
        <v>59687.309716087802</v>
      </c>
      <c r="N22" s="51">
        <f>L22*'F-12 Determinants'!$F$20*M22/1000</f>
        <v>205.7101641933468</v>
      </c>
      <c r="O22" s="122"/>
      <c r="P22" s="112"/>
      <c r="Q22" s="51">
        <f>N22-I22</f>
        <v>0</v>
      </c>
      <c r="R22" s="68">
        <f>Q22/I22</f>
        <v>0</v>
      </c>
      <c r="S22" s="77"/>
      <c r="T22" s="627"/>
      <c r="U22" s="632"/>
      <c r="V22" s="632"/>
      <c r="W22" s="632"/>
      <c r="X22" s="632"/>
    </row>
    <row r="23" spans="1:24" s="22" customFormat="1">
      <c r="A23" s="7">
        <f t="shared" si="0"/>
        <v>13</v>
      </c>
      <c r="C23" s="431" t="s">
        <v>400</v>
      </c>
      <c r="E23" s="23"/>
      <c r="F23" s="112"/>
      <c r="G23" s="689">
        <v>5.0000000000000001E-3</v>
      </c>
      <c r="H23" s="51">
        <f>'F-12 Determinants'!F18</f>
        <v>59687.309716087802</v>
      </c>
      <c r="I23" s="51">
        <f>G23*H23/1000</f>
        <v>0.298436548580439</v>
      </c>
      <c r="J23" s="23"/>
      <c r="K23" s="112"/>
      <c r="L23" s="574">
        <f>'F-8 DTS Rate'!T26</f>
        <v>5.0000000000000001E-3</v>
      </c>
      <c r="M23" s="51">
        <f>'F-12 Determinants'!F18</f>
        <v>59687.309716087802</v>
      </c>
      <c r="N23" s="51">
        <f>L23*M23/1000</f>
        <v>0.298436548580439</v>
      </c>
      <c r="O23" s="122"/>
      <c r="P23" s="112"/>
      <c r="Q23" s="51">
        <f>N23-I23</f>
        <v>0</v>
      </c>
      <c r="R23" s="68">
        <f>Q23/I23</f>
        <v>0</v>
      </c>
      <c r="S23" s="77"/>
      <c r="T23" s="550"/>
    </row>
    <row r="24" spans="1:24" s="22" customFormat="1">
      <c r="A24" s="7">
        <f t="shared" si="0"/>
        <v>14</v>
      </c>
      <c r="C24" s="431" t="s">
        <v>88</v>
      </c>
      <c r="E24" s="23"/>
      <c r="F24" s="112"/>
      <c r="G24" s="635">
        <v>0.06</v>
      </c>
      <c r="H24" s="51">
        <f>'F-12 Determinants'!F18</f>
        <v>59687.309716087802</v>
      </c>
      <c r="I24" s="51">
        <f>G24*H24/1000</f>
        <v>3.581238582965268</v>
      </c>
      <c r="J24" s="23"/>
      <c r="K24" s="112"/>
      <c r="L24" s="53">
        <f>'F-8 DTS Rate'!T28</f>
        <v>0.06</v>
      </c>
      <c r="M24" s="51">
        <f>'F-12 Determinants'!$F$18</f>
        <v>59687.309716087802</v>
      </c>
      <c r="N24" s="51">
        <f>L24*M24/1000</f>
        <v>3.581238582965268</v>
      </c>
      <c r="O24" s="122"/>
      <c r="P24" s="112"/>
      <c r="Q24" s="51">
        <f>N24-I24</f>
        <v>0</v>
      </c>
      <c r="R24" s="68">
        <f>IF(I24=0,0,Q24/I24)</f>
        <v>0</v>
      </c>
      <c r="T24" s="68"/>
    </row>
    <row r="25" spans="1:24" s="22" customFormat="1">
      <c r="A25" s="7">
        <f t="shared" si="0"/>
        <v>15</v>
      </c>
      <c r="C25" s="22" t="s">
        <v>65</v>
      </c>
      <c r="E25" s="23"/>
      <c r="F25" s="112"/>
      <c r="G25" s="635">
        <v>31</v>
      </c>
      <c r="H25" s="51">
        <f>'F-12 Determinants'!F17</f>
        <v>119359.93085839976</v>
      </c>
      <c r="I25" s="51">
        <f>G25*H25/1000000</f>
        <v>3.7001578566103928</v>
      </c>
      <c r="J25" s="23"/>
      <c r="K25" s="112"/>
      <c r="L25" s="53">
        <f>'F-8 DTS Rate'!T30</f>
        <v>31</v>
      </c>
      <c r="M25" s="51">
        <f>'F-12 Determinants'!F17</f>
        <v>119359.93085839976</v>
      </c>
      <c r="N25" s="51">
        <f>L25*M25/1000000</f>
        <v>3.7001578566103928</v>
      </c>
      <c r="O25" s="23"/>
      <c r="P25" s="112"/>
      <c r="Q25" s="51">
        <f>N25-I25</f>
        <v>0</v>
      </c>
      <c r="R25" s="68">
        <f>Q25/I25</f>
        <v>0</v>
      </c>
      <c r="T25" s="68"/>
    </row>
    <row r="26" spans="1:24" s="35" customFormat="1">
      <c r="A26" s="7">
        <f t="shared" si="0"/>
        <v>16</v>
      </c>
      <c r="C26" s="12" t="s">
        <v>49</v>
      </c>
      <c r="D26" s="12"/>
      <c r="E26" s="19"/>
      <c r="F26" s="110"/>
      <c r="G26" s="690"/>
      <c r="H26" s="54"/>
      <c r="I26" s="31">
        <f>SUM(I21:I25)</f>
        <v>2231.6047006986591</v>
      </c>
      <c r="J26" s="19"/>
      <c r="K26" s="110"/>
      <c r="L26" s="52"/>
      <c r="M26" s="54"/>
      <c r="N26" s="31">
        <f>SUM(N21:N25)</f>
        <v>2231.346530429088</v>
      </c>
      <c r="O26" s="19"/>
      <c r="P26" s="110"/>
      <c r="Q26" s="31">
        <f>SUM(Q21:Q25)</f>
        <v>-0.25817026957111011</v>
      </c>
      <c r="R26" s="70">
        <f>Q26/I26</f>
        <v>-1.1568817250218353E-4</v>
      </c>
      <c r="T26" s="68"/>
    </row>
    <row r="27" spans="1:24" ht="19" customHeight="1">
      <c r="A27" s="7">
        <f t="shared" si="0"/>
        <v>17</v>
      </c>
      <c r="C27" s="2" t="s">
        <v>68</v>
      </c>
      <c r="D27" s="2"/>
      <c r="E27" s="18"/>
      <c r="F27" s="109"/>
      <c r="G27" s="691"/>
      <c r="H27" s="39"/>
      <c r="I27" s="39"/>
      <c r="J27" s="18"/>
      <c r="K27" s="109"/>
      <c r="L27" s="39"/>
      <c r="M27" s="39"/>
      <c r="N27" s="39"/>
      <c r="O27" s="18"/>
      <c r="P27" s="109"/>
      <c r="Q27" s="39"/>
      <c r="R27" s="39"/>
      <c r="T27" s="68"/>
    </row>
    <row r="28" spans="1:24" s="22" customFormat="1">
      <c r="A28" s="7">
        <f t="shared" si="0"/>
        <v>18</v>
      </c>
      <c r="C28" s="22" t="s">
        <v>69</v>
      </c>
      <c r="E28" s="23"/>
      <c r="F28" s="112"/>
      <c r="G28" s="692">
        <v>2.7099999999999999E-2</v>
      </c>
      <c r="H28" s="51">
        <f>'F-12 Determinants'!J18</f>
        <v>59687.309716087802</v>
      </c>
      <c r="I28" s="51">
        <f>G28*'F-12 Determinants'!J20*H28/1000</f>
        <v>88.769832000632164</v>
      </c>
      <c r="J28" s="23"/>
      <c r="K28" s="112"/>
      <c r="L28" s="69">
        <f>'F-10 STS Rate'!T12</f>
        <v>2.7099999999999999E-2</v>
      </c>
      <c r="M28" s="51">
        <f>'F-12 Determinants'!$J$18</f>
        <v>59687.309716087802</v>
      </c>
      <c r="N28" s="181">
        <f>L28*'F-12 Determinants'!$F$20*M28/1000</f>
        <v>88.769832000632164</v>
      </c>
      <c r="O28" s="93"/>
      <c r="P28" s="112"/>
      <c r="Q28" s="181">
        <f>N28-I28</f>
        <v>0</v>
      </c>
      <c r="R28" s="68">
        <f>Q28/I28</f>
        <v>0</v>
      </c>
      <c r="T28" s="68"/>
    </row>
    <row r="29" spans="1:24" s="22" customFormat="1">
      <c r="A29" s="7">
        <f t="shared" si="0"/>
        <v>19</v>
      </c>
      <c r="C29" s="22" t="s">
        <v>70</v>
      </c>
      <c r="E29" s="23"/>
      <c r="F29" s="112"/>
      <c r="G29" s="693">
        <v>45</v>
      </c>
      <c r="H29" s="51">
        <f>'F-12 Determinants'!J21</f>
        <v>63874.866666666669</v>
      </c>
      <c r="I29" s="51">
        <f>G29*H29/1000000</f>
        <v>2.8743690000000002</v>
      </c>
      <c r="J29" s="23"/>
      <c r="K29" s="112"/>
      <c r="L29" s="53">
        <f>'F-10 STS Rate'!T14</f>
        <v>45</v>
      </c>
      <c r="M29" s="51">
        <f>'F-12 Determinants'!J21</f>
        <v>63874.866666666669</v>
      </c>
      <c r="N29" s="51">
        <f>L29*M29/1000000</f>
        <v>2.8743690000000002</v>
      </c>
      <c r="O29" s="93"/>
      <c r="P29" s="112"/>
      <c r="Q29" s="51">
        <f>N29-I29</f>
        <v>0</v>
      </c>
      <c r="R29" s="68">
        <f>Q29/I29</f>
        <v>0</v>
      </c>
      <c r="T29" s="68"/>
    </row>
    <row r="30" spans="1:24" s="35" customFormat="1" ht="19.399999999999999" customHeight="1">
      <c r="A30" s="7">
        <f t="shared" si="0"/>
        <v>20</v>
      </c>
      <c r="C30" s="12" t="s">
        <v>53</v>
      </c>
      <c r="D30" s="12"/>
      <c r="E30" s="19"/>
      <c r="F30" s="110"/>
      <c r="G30" s="52"/>
      <c r="H30" s="54"/>
      <c r="I30" s="31">
        <f>SUM(I28:I29)</f>
        <v>91.644201000632165</v>
      </c>
      <c r="J30" s="19"/>
      <c r="K30" s="110"/>
      <c r="L30" s="52"/>
      <c r="M30" s="54"/>
      <c r="N30" s="31">
        <f>SUM(N28:N29)</f>
        <v>91.644201000632165</v>
      </c>
      <c r="O30" s="19"/>
      <c r="P30" s="110"/>
      <c r="Q30" s="180">
        <f>SUM(Q27:Q29)</f>
        <v>0</v>
      </c>
      <c r="R30" s="70">
        <f>Q30/I30</f>
        <v>0</v>
      </c>
      <c r="T30" s="68"/>
    </row>
    <row r="31" spans="1:24" s="24" customFormat="1" ht="19.399999999999999" customHeight="1">
      <c r="A31" s="7">
        <f t="shared" si="0"/>
        <v>21</v>
      </c>
      <c r="C31" s="25" t="s">
        <v>71</v>
      </c>
      <c r="D31" s="25"/>
      <c r="E31" s="114"/>
      <c r="F31" s="111"/>
      <c r="G31" s="106"/>
      <c r="H31" s="118"/>
      <c r="I31" s="32">
        <f>SUM(I26,I30)</f>
        <v>2323.2489016992913</v>
      </c>
      <c r="J31" s="28"/>
      <c r="K31" s="111"/>
      <c r="L31" s="106"/>
      <c r="M31" s="118"/>
      <c r="N31" s="32">
        <f>SUM(N26,N30)</f>
        <v>2322.9907314297202</v>
      </c>
      <c r="O31" s="116"/>
      <c r="P31" s="117"/>
      <c r="Q31" s="357">
        <f>SUM(Q26,Q30)</f>
        <v>-0.25817026957111011</v>
      </c>
      <c r="R31" s="88">
        <f>Q31/I31</f>
        <v>-1.111246708789045E-4</v>
      </c>
      <c r="T31" s="68"/>
    </row>
    <row r="32" spans="1:24" s="10" customFormat="1" ht="12.75" customHeight="1">
      <c r="A32" s="21"/>
      <c r="C32" s="11"/>
      <c r="D32" s="11"/>
      <c r="E32" s="20"/>
      <c r="F32" s="20"/>
      <c r="G32" s="60"/>
      <c r="H32" s="61"/>
      <c r="I32" s="60"/>
      <c r="J32" s="17"/>
      <c r="K32" s="20"/>
      <c r="L32" s="60"/>
      <c r="M32" s="61"/>
      <c r="N32" s="60"/>
      <c r="O32" s="36"/>
      <c r="P32" s="120"/>
      <c r="Q32" s="60"/>
      <c r="R32" s="123"/>
    </row>
    <row r="33" spans="1:24">
      <c r="A33" s="55" t="s">
        <v>130</v>
      </c>
      <c r="B33" s="92"/>
      <c r="C33" s="91" t="s">
        <v>132</v>
      </c>
      <c r="D33" t="s">
        <v>502</v>
      </c>
      <c r="G33" s="56"/>
    </row>
    <row r="34" spans="1:24">
      <c r="A34" s="55"/>
      <c r="B34" s="92"/>
      <c r="C34" s="91"/>
      <c r="D34" t="s">
        <v>412</v>
      </c>
      <c r="G34" s="56"/>
    </row>
    <row r="35" spans="1:24">
      <c r="B35" s="92"/>
      <c r="C35" s="91" t="s">
        <v>131</v>
      </c>
      <c r="D35" t="str">
        <f>"The 2019 actual pool price is "&amp;DOLLAR('F-12 Determinants'!$F$20,2)&amp;"/MWh"</f>
        <v>The 2019 actual pool price is $54.88/MWh</v>
      </c>
    </row>
    <row r="36" spans="1:24">
      <c r="B36" s="92"/>
      <c r="C36" s="91"/>
      <c r="D36" s="174"/>
      <c r="E36" s="174"/>
      <c r="F36" s="174"/>
      <c r="G36" s="174"/>
      <c r="H36" s="174"/>
      <c r="I36" s="174"/>
      <c r="J36" s="174"/>
      <c r="K36" s="174"/>
      <c r="L36" s="174"/>
      <c r="M36" s="174"/>
      <c r="N36" s="174"/>
      <c r="O36" s="174"/>
      <c r="P36" s="174"/>
      <c r="Q36" s="174"/>
      <c r="R36" s="174"/>
      <c r="S36" s="174"/>
      <c r="T36" s="174"/>
      <c r="U36" s="174"/>
      <c r="V36" s="174"/>
      <c r="W36" s="174"/>
      <c r="X36" s="174"/>
    </row>
  </sheetData>
  <phoneticPr fontId="14"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7"/>
  <sheetViews>
    <sheetView showGridLines="0" zoomScaleNormal="100" workbookViewId="0">
      <selection activeCell="F10" sqref="F10"/>
    </sheetView>
  </sheetViews>
  <sheetFormatPr defaultRowHeight="13"/>
  <cols>
    <col min="1" max="1" width="4.77734375" customWidth="1"/>
    <col min="2" max="2" width="1.77734375" customWidth="1"/>
    <col min="3" max="3" width="2.77734375" customWidth="1"/>
    <col min="4" max="4" width="30.77734375" customWidth="1"/>
    <col min="5" max="5" width="1.77734375" customWidth="1"/>
    <col min="6" max="6" width="9.77734375" customWidth="1"/>
    <col min="7" max="8" width="1.77734375" customWidth="1"/>
    <col min="9" max="9" width="12.77734375" customWidth="1"/>
    <col min="10" max="10" width="16.77734375" customWidth="1"/>
    <col min="11" max="12" width="1.77734375" customWidth="1"/>
    <col min="13" max="13" width="10.77734375" customWidth="1"/>
    <col min="14" max="14" width="12.77734375" customWidth="1"/>
    <col min="15" max="16" width="1.77734375" customWidth="1"/>
    <col min="17" max="17" width="11.7773437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F-14</v>
      </c>
    </row>
    <row r="2" spans="1:17" s="3" customFormat="1">
      <c r="A2" s="5" t="str">
        <f>Application</f>
        <v>Bulk and Regional Tariff Design Application</v>
      </c>
      <c r="B2" s="5"/>
      <c r="C2" s="5"/>
      <c r="D2" s="5"/>
      <c r="E2" s="5"/>
      <c r="F2" s="5"/>
      <c r="G2" s="5"/>
      <c r="H2" s="5"/>
      <c r="K2" s="5"/>
      <c r="L2" s="5"/>
      <c r="M2" s="5"/>
      <c r="N2" s="5"/>
      <c r="Q2" s="4" t="str">
        <f>TableDate</f>
        <v>October 15, 2021</v>
      </c>
    </row>
    <row r="4" spans="1:17">
      <c r="A4" s="330" t="str">
        <f>TableGroup1</f>
        <v>Appendix F — 2019 Test Year Proposed Rate Calculations</v>
      </c>
      <c r="B4" s="6"/>
      <c r="C4" s="6"/>
      <c r="D4" s="6"/>
      <c r="E4" s="6"/>
      <c r="F4" s="6"/>
      <c r="G4" s="6"/>
      <c r="H4" s="6"/>
      <c r="I4" s="6"/>
      <c r="J4" s="6"/>
      <c r="K4" s="6"/>
      <c r="L4" s="6"/>
      <c r="M4" s="6"/>
      <c r="N4" s="6"/>
      <c r="O4" s="6"/>
      <c r="P4" s="6"/>
      <c r="Q4" s="6"/>
    </row>
    <row r="5" spans="1:17">
      <c r="A5" s="6" t="s">
        <v>341</v>
      </c>
      <c r="B5" s="6"/>
      <c r="C5" s="6"/>
      <c r="D5" s="6"/>
      <c r="E5" s="6"/>
      <c r="F5" s="6"/>
      <c r="G5" s="6"/>
      <c r="H5" s="6"/>
      <c r="I5" s="6"/>
      <c r="J5" s="6"/>
      <c r="K5" s="6"/>
      <c r="L5" s="6"/>
      <c r="M5" s="6"/>
      <c r="N5" s="6"/>
      <c r="O5" s="6"/>
      <c r="P5" s="6"/>
      <c r="Q5" s="6"/>
    </row>
    <row r="6" spans="1:17">
      <c r="I6" s="91"/>
    </row>
    <row r="7" spans="1:17" s="240" customFormat="1">
      <c r="I7" s="240" t="s">
        <v>2</v>
      </c>
      <c r="J7" s="240" t="s">
        <v>3</v>
      </c>
      <c r="M7" s="240" t="s">
        <v>4</v>
      </c>
      <c r="N7" s="240" t="s">
        <v>5</v>
      </c>
      <c r="Q7" s="240" t="s">
        <v>25</v>
      </c>
    </row>
    <row r="8" spans="1:17" s="1" customFormat="1"/>
    <row r="9" spans="1:17" s="62" customFormat="1">
      <c r="A9" s="62" t="s">
        <v>57</v>
      </c>
      <c r="F9" s="442" t="s">
        <v>531</v>
      </c>
      <c r="G9" s="153"/>
      <c r="H9" s="152"/>
      <c r="I9" s="45" t="s">
        <v>107</v>
      </c>
      <c r="J9" s="45"/>
      <c r="K9" s="153"/>
      <c r="L9" s="152"/>
      <c r="M9" s="45" t="s">
        <v>106</v>
      </c>
      <c r="N9" s="45"/>
      <c r="P9" s="152"/>
      <c r="Q9" s="164" t="s">
        <v>123</v>
      </c>
    </row>
    <row r="10" spans="1:17" s="47" customFormat="1">
      <c r="A10" s="46"/>
      <c r="C10" s="48" t="s">
        <v>1</v>
      </c>
      <c r="D10" s="48"/>
      <c r="F10" s="46" t="s">
        <v>117</v>
      </c>
      <c r="H10" s="99"/>
      <c r="I10" s="49" t="s">
        <v>79</v>
      </c>
      <c r="J10" s="49" t="s">
        <v>56</v>
      </c>
      <c r="L10" s="99"/>
      <c r="M10" s="49" t="s">
        <v>110</v>
      </c>
      <c r="N10" s="49" t="s">
        <v>56</v>
      </c>
      <c r="P10" s="99"/>
      <c r="Q10" s="150" t="s">
        <v>129</v>
      </c>
    </row>
    <row r="11" spans="1:17" s="477" customFormat="1">
      <c r="A11" s="95">
        <v>1</v>
      </c>
      <c r="C11" s="2" t="s">
        <v>453</v>
      </c>
      <c r="D11" s="50"/>
      <c r="F11" s="95"/>
      <c r="H11" s="99"/>
      <c r="I11" s="95"/>
      <c r="J11" s="95"/>
      <c r="L11" s="99"/>
      <c r="M11" s="95"/>
      <c r="N11" s="95"/>
      <c r="P11" s="99"/>
      <c r="Q11" s="645"/>
    </row>
    <row r="12" spans="1:17" s="477" customFormat="1">
      <c r="A12" s="95">
        <f>A11+1</f>
        <v>2</v>
      </c>
      <c r="C12" t="s">
        <v>111</v>
      </c>
      <c r="D12" s="50"/>
      <c r="F12" s="95"/>
      <c r="H12" s="99"/>
      <c r="I12" s="667">
        <f>'F-8 DTS Rate'!T13</f>
        <v>10.45</v>
      </c>
      <c r="J12" s="667" t="str">
        <f>'F-8 DTS Rate'!U13</f>
        <v>/MWh</v>
      </c>
      <c r="L12" s="99"/>
      <c r="M12" s="148">
        <f>'F-15 FTS Determinants'!F14</f>
        <v>15.1227</v>
      </c>
      <c r="N12" s="95" t="str">
        <f>'F-15 FTS Determinants'!G14</f>
        <v>GWh</v>
      </c>
      <c r="P12" s="99"/>
      <c r="Q12" s="668">
        <f>I12*M12</f>
        <v>158.03221499999998</v>
      </c>
    </row>
    <row r="13" spans="1:17" s="477" customFormat="1">
      <c r="A13" s="95">
        <f t="shared" ref="A13:A24" si="0">A12+1</f>
        <v>3</v>
      </c>
      <c r="C13" s="2" t="s">
        <v>454</v>
      </c>
      <c r="D13" s="50"/>
      <c r="F13" s="95"/>
      <c r="H13" s="99"/>
      <c r="I13" s="95"/>
      <c r="J13" s="95"/>
      <c r="L13" s="99"/>
      <c r="M13" s="148"/>
      <c r="N13" s="95"/>
      <c r="P13" s="99"/>
      <c r="Q13" s="645"/>
    </row>
    <row r="14" spans="1:17" s="477" customFormat="1">
      <c r="A14" s="95">
        <f t="shared" si="0"/>
        <v>4</v>
      </c>
      <c r="C14" t="s">
        <v>194</v>
      </c>
      <c r="D14" s="50"/>
      <c r="F14" s="95"/>
      <c r="H14" s="99"/>
      <c r="I14" s="536">
        <f>'F-8 DTS Rate'!T15</f>
        <v>6206</v>
      </c>
      <c r="J14" s="95" t="str">
        <f>'F-8 DTS Rate'!U15</f>
        <v>/MW</v>
      </c>
      <c r="L14" s="99"/>
      <c r="M14" s="148">
        <f>'F-15 FTS Determinants'!F11</f>
        <v>17.7</v>
      </c>
      <c r="N14" s="95" t="str">
        <f>'F-15 FTS Determinants'!G11</f>
        <v>MW-months</v>
      </c>
      <c r="P14" s="99"/>
      <c r="Q14" s="669">
        <f>I14*M14/1000</f>
        <v>109.8462</v>
      </c>
    </row>
    <row r="15" spans="1:17" s="477" customFormat="1">
      <c r="A15" s="95">
        <f t="shared" si="0"/>
        <v>5</v>
      </c>
      <c r="C15" s="9" t="s">
        <v>360</v>
      </c>
      <c r="D15" s="50"/>
      <c r="F15" s="95"/>
      <c r="H15" s="99"/>
      <c r="I15" s="536">
        <f>'F-8 DTS Rate'!T16</f>
        <v>2273</v>
      </c>
      <c r="J15" s="95" t="str">
        <f>'F-8 DTS Rate'!U16</f>
        <v>/MW</v>
      </c>
      <c r="L15" s="99"/>
      <c r="M15" s="148">
        <f>'F-15 FTS Determinants'!F12</f>
        <v>415.8</v>
      </c>
      <c r="N15" s="95" t="str">
        <f>'F-15 FTS Determinants'!G12</f>
        <v>MW-months</v>
      </c>
      <c r="P15" s="99"/>
      <c r="Q15" s="666">
        <f>I15*M15/1000</f>
        <v>945.11340000000007</v>
      </c>
    </row>
    <row r="16" spans="1:17" ht="19" customHeight="1">
      <c r="A16" s="95">
        <f>A15+1</f>
        <v>6</v>
      </c>
      <c r="C16" s="2" t="s">
        <v>124</v>
      </c>
      <c r="D16" s="2"/>
      <c r="E16" s="18"/>
      <c r="F16" s="75"/>
      <c r="G16" s="18"/>
      <c r="H16" s="109"/>
      <c r="I16" s="39"/>
      <c r="J16" s="154"/>
      <c r="K16" s="18"/>
      <c r="L16" s="109"/>
      <c r="M16" s="39"/>
      <c r="N16" s="154"/>
      <c r="O16" s="18"/>
      <c r="P16" s="109"/>
      <c r="Q16" s="80"/>
    </row>
    <row r="17" spans="1:17" s="9" customFormat="1">
      <c r="A17" s="95">
        <f t="shared" si="0"/>
        <v>7</v>
      </c>
      <c r="C17" s="9" t="s">
        <v>112</v>
      </c>
      <c r="E17" s="145"/>
      <c r="F17" s="74" t="s">
        <v>461</v>
      </c>
      <c r="G17" s="145"/>
      <c r="H17" s="146"/>
      <c r="I17" s="149">
        <f>'F-8 DTS Rate'!T24</f>
        <v>6.2799999999999995E-2</v>
      </c>
      <c r="J17" s="162" t="s">
        <v>133</v>
      </c>
      <c r="K17" s="145"/>
      <c r="L17" s="146"/>
      <c r="M17" s="148">
        <f>'F-15 FTS Determinants'!F14</f>
        <v>15.1227</v>
      </c>
      <c r="N17" s="155" t="str">
        <f>'F-12 Determinants'!G18</f>
        <v>GWh</v>
      </c>
      <c r="O17" s="145"/>
      <c r="P17" s="146"/>
      <c r="Q17" s="147">
        <f>I17*M17*'F-15 FTS Determinants'!F15</f>
        <v>52.119841132799998</v>
      </c>
    </row>
    <row r="18" spans="1:17" s="9" customFormat="1">
      <c r="A18" s="95">
        <f t="shared" si="0"/>
        <v>8</v>
      </c>
      <c r="C18" s="12" t="s">
        <v>408</v>
      </c>
      <c r="E18" s="145"/>
      <c r="F18" s="74"/>
      <c r="G18" s="145"/>
      <c r="H18" s="146"/>
      <c r="I18" s="441"/>
      <c r="J18" s="162"/>
      <c r="K18" s="145"/>
      <c r="L18" s="146"/>
      <c r="M18" s="148"/>
      <c r="N18" s="155"/>
      <c r="O18" s="145"/>
      <c r="P18" s="146"/>
      <c r="Q18" s="147"/>
    </row>
    <row r="19" spans="1:17" s="9" customFormat="1">
      <c r="A19" s="95">
        <f t="shared" si="0"/>
        <v>9</v>
      </c>
      <c r="C19" s="9" t="s">
        <v>112</v>
      </c>
      <c r="E19" s="145"/>
      <c r="F19" s="443" t="s">
        <v>394</v>
      </c>
      <c r="G19" s="145"/>
      <c r="H19" s="146"/>
      <c r="I19" s="536">
        <f>'F-8 DTS Rate'!T26</f>
        <v>5.0000000000000001E-3</v>
      </c>
      <c r="J19" s="136" t="s">
        <v>62</v>
      </c>
      <c r="K19" s="145"/>
      <c r="L19" s="146"/>
      <c r="M19" s="148">
        <f>'F-15 FTS Determinants'!F14</f>
        <v>15.1227</v>
      </c>
      <c r="N19" s="155" t="str">
        <f>'F-15 FTS Determinants'!G14</f>
        <v>GWh</v>
      </c>
      <c r="O19" s="145"/>
      <c r="P19" s="146"/>
      <c r="Q19" s="142">
        <f>I19*M19</f>
        <v>7.56135E-2</v>
      </c>
    </row>
    <row r="20" spans="1:17" s="24" customFormat="1" ht="19" customHeight="1">
      <c r="A20" s="95">
        <f t="shared" si="0"/>
        <v>10</v>
      </c>
      <c r="C20" s="25" t="s">
        <v>125</v>
      </c>
      <c r="D20" s="25"/>
      <c r="E20" s="463"/>
      <c r="F20" s="75"/>
      <c r="G20" s="463"/>
      <c r="H20" s="464"/>
      <c r="I20" s="134"/>
      <c r="J20" s="137"/>
      <c r="K20" s="463"/>
      <c r="L20" s="464"/>
      <c r="M20" s="39"/>
      <c r="N20" s="154"/>
      <c r="O20" s="463"/>
      <c r="P20" s="464"/>
      <c r="Q20" s="142"/>
    </row>
    <row r="21" spans="1:17" s="35" customFormat="1">
      <c r="A21" s="95">
        <f t="shared" si="0"/>
        <v>11</v>
      </c>
      <c r="C21" s="9" t="s">
        <v>111</v>
      </c>
      <c r="E21" s="140"/>
      <c r="F21" s="443" t="s">
        <v>365</v>
      </c>
      <c r="G21" s="140"/>
      <c r="H21" s="141"/>
      <c r="I21" s="135">
        <f>'F-8 DTS Rate'!T28</f>
        <v>0.06</v>
      </c>
      <c r="J21" s="136" t="s">
        <v>62</v>
      </c>
      <c r="K21" s="140"/>
      <c r="L21" s="141"/>
      <c r="M21" s="143">
        <f>'F-15 FTS Determinants'!F14</f>
        <v>15.1227</v>
      </c>
      <c r="N21" s="144" t="str">
        <f>'F-12 Determinants'!G18</f>
        <v>GWh</v>
      </c>
      <c r="O21" s="140"/>
      <c r="P21" s="141"/>
      <c r="Q21" s="142">
        <f>I21*M21</f>
        <v>0.907362</v>
      </c>
    </row>
    <row r="22" spans="1:17" s="24" customFormat="1" ht="19" customHeight="1">
      <c r="A22" s="95">
        <f t="shared" si="0"/>
        <v>12</v>
      </c>
      <c r="C22" s="25" t="s">
        <v>126</v>
      </c>
      <c r="D22" s="25"/>
      <c r="E22" s="463"/>
      <c r="F22" s="75"/>
      <c r="G22" s="463"/>
      <c r="H22" s="464"/>
      <c r="I22" s="39"/>
      <c r="J22" s="154"/>
      <c r="K22" s="463"/>
      <c r="L22" s="464"/>
      <c r="M22" s="39"/>
      <c r="N22" s="154"/>
      <c r="O22" s="463"/>
      <c r="P22" s="464"/>
      <c r="Q22" s="80"/>
    </row>
    <row r="23" spans="1:17" s="35" customFormat="1">
      <c r="A23" s="95">
        <f t="shared" si="0"/>
        <v>13</v>
      </c>
      <c r="C23" s="9" t="s">
        <v>150</v>
      </c>
      <c r="E23" s="140"/>
      <c r="F23" s="443" t="s">
        <v>462</v>
      </c>
      <c r="G23" s="140"/>
      <c r="H23" s="141"/>
      <c r="I23" s="135">
        <f>'F-8 DTS Rate'!T30</f>
        <v>31</v>
      </c>
      <c r="J23" s="136" t="s">
        <v>105</v>
      </c>
      <c r="K23" s="140"/>
      <c r="L23" s="141"/>
      <c r="M23" s="143">
        <f>'F-15 FTS Determinants'!$F$13</f>
        <v>79.599999999999994</v>
      </c>
      <c r="N23" s="144" t="str">
        <f>'F-12 Determinants'!G13</f>
        <v>MW-months</v>
      </c>
      <c r="O23" s="140"/>
      <c r="P23" s="141"/>
      <c r="Q23" s="142">
        <f>I23*M23/1000</f>
        <v>2.4676</v>
      </c>
    </row>
    <row r="24" spans="1:17" s="24" customFormat="1" ht="19.399999999999999" customHeight="1">
      <c r="A24" s="95">
        <f t="shared" si="0"/>
        <v>14</v>
      </c>
      <c r="C24" s="25" t="s">
        <v>127</v>
      </c>
      <c r="D24" s="25"/>
      <c r="E24" s="114"/>
      <c r="F24" s="115"/>
      <c r="G24" s="114"/>
      <c r="H24" s="117"/>
      <c r="I24" s="106"/>
      <c r="J24" s="156"/>
      <c r="K24" s="28"/>
      <c r="L24" s="117"/>
      <c r="M24" s="106"/>
      <c r="N24" s="156"/>
      <c r="O24" s="114"/>
      <c r="P24" s="117"/>
      <c r="Q24" s="357">
        <f>SUM(Q16:Q23)</f>
        <v>55.570416632799997</v>
      </c>
    </row>
    <row r="25" spans="1:17" s="24" customFormat="1" ht="12.75" customHeight="1">
      <c r="A25" s="7"/>
      <c r="C25" s="166"/>
      <c r="D25" s="25"/>
      <c r="E25" s="114"/>
      <c r="F25" s="115"/>
      <c r="G25" s="28"/>
      <c r="H25" s="119"/>
      <c r="I25" s="106"/>
      <c r="J25" s="106"/>
      <c r="K25" s="28"/>
      <c r="L25" s="119"/>
      <c r="M25" s="106"/>
      <c r="N25" s="106"/>
      <c r="O25" s="114"/>
      <c r="P25" s="119"/>
      <c r="Q25" s="106"/>
    </row>
    <row r="26" spans="1:17">
      <c r="A26" s="55" t="s">
        <v>130</v>
      </c>
      <c r="C26" s="165" t="s">
        <v>132</v>
      </c>
      <c r="D26" t="s">
        <v>148</v>
      </c>
    </row>
    <row r="27" spans="1:17">
      <c r="D27" t="s">
        <v>364</v>
      </c>
    </row>
    <row r="28" spans="1:17">
      <c r="D28" t="s">
        <v>354</v>
      </c>
      <c r="I28" s="135">
        <f>'F-8 DTS Rate'!$R$16</f>
        <v>1957</v>
      </c>
      <c r="J28" s="136" t="s">
        <v>105</v>
      </c>
      <c r="K28" s="167" t="s">
        <v>134</v>
      </c>
      <c r="M28">
        <f>'F-15 FTS Determinants'!F12</f>
        <v>415.8</v>
      </c>
      <c r="N28" s="133" t="str">
        <f>'F-15 FTS Determinants'!G12</f>
        <v>MW-months</v>
      </c>
      <c r="O28" s="91" t="s">
        <v>135</v>
      </c>
      <c r="Q28" s="249">
        <f>I28*M28</f>
        <v>813720.6</v>
      </c>
    </row>
    <row r="29" spans="1:17">
      <c r="D29" t="s">
        <v>355</v>
      </c>
      <c r="I29" s="135">
        <v>0</v>
      </c>
      <c r="J29" s="136" t="s">
        <v>62</v>
      </c>
      <c r="K29" s="167" t="s">
        <v>134</v>
      </c>
      <c r="M29">
        <f>'F-15 FTS Determinants'!F14</f>
        <v>15.1227</v>
      </c>
      <c r="N29" s="144" t="str">
        <f>'F-15 FTS Determinants'!G14</f>
        <v>GWh</v>
      </c>
      <c r="O29" s="91" t="s">
        <v>135</v>
      </c>
      <c r="Q29" s="126">
        <f>I29*M29*1000</f>
        <v>0</v>
      </c>
    </row>
    <row r="30" spans="1:17">
      <c r="D30" t="s">
        <v>359</v>
      </c>
      <c r="Q30" s="250">
        <f>SUM(Q28:Q29)</f>
        <v>813720.6</v>
      </c>
    </row>
    <row r="31" spans="1:17">
      <c r="D31" t="s">
        <v>153</v>
      </c>
    </row>
    <row r="32" spans="1:17">
      <c r="D32" t="s">
        <v>356</v>
      </c>
    </row>
    <row r="33" spans="3:14">
      <c r="D33" t="s">
        <v>345</v>
      </c>
    </row>
    <row r="34" spans="3:14">
      <c r="I34" s="168" t="s">
        <v>114</v>
      </c>
      <c r="J34" s="168" t="s">
        <v>137</v>
      </c>
      <c r="M34" t="s">
        <v>118</v>
      </c>
      <c r="N34" t="s">
        <v>136</v>
      </c>
    </row>
    <row r="35" spans="3:14">
      <c r="D35" t="s">
        <v>357</v>
      </c>
      <c r="I35" s="169">
        <f>MAX('F-8 DTS Rate'!R16,ROUND((410139*Q28/Q30)/M28,0))</f>
        <v>1957</v>
      </c>
      <c r="J35" s="449">
        <f>'F-8 DTS Rate'!S16</f>
        <v>316</v>
      </c>
      <c r="M35" s="169">
        <f>IF('F-8 DTS Rate'!R16&gt;(410139*Q28/Q30)/M28,'F-8 DTS Rate'!T16,ROUND((((410139*Q28/Q30)/M28)+'F-14 FTS Rate'!J35),0))</f>
        <v>2273</v>
      </c>
      <c r="N35" s="92" t="s">
        <v>105</v>
      </c>
    </row>
    <row r="36" spans="3:14">
      <c r="D36" t="s">
        <v>358</v>
      </c>
      <c r="I36" s="169">
        <f>MAX(0,ROUND((410139*Q29/Q30)/(M29*1000),2))</f>
        <v>0</v>
      </c>
      <c r="J36" s="169">
        <v>0</v>
      </c>
      <c r="M36" s="169">
        <f>MAX(0,ROUND((410139*Q29/Q30)/(M29*1000),2)+J36)</f>
        <v>0</v>
      </c>
      <c r="N36" s="92" t="s">
        <v>62</v>
      </c>
    </row>
    <row r="37" spans="3:14">
      <c r="C37" s="91" t="s">
        <v>131</v>
      </c>
      <c r="D37" t="str">
        <f>"The 2019 actual pool price is "&amp;DOLLAR('F-12 Determinants'!$F$20,2)&amp;"/MWh"</f>
        <v>The 2019 actual pool price is $54.88/MWh</v>
      </c>
    </row>
  </sheetData>
  <phoneticPr fontId="14" type="noConversion"/>
  <printOptions horizontalCentered="1"/>
  <pageMargins left="0.75" right="0.5" top="0.75" bottom="0.5" header="0.5" footer="0.5"/>
  <pageSetup scale="88"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Normal="100" workbookViewId="0"/>
  </sheetViews>
  <sheetFormatPr defaultRowHeight="13"/>
  <cols>
    <col min="1" max="1" width="5.77734375" customWidth="1"/>
    <col min="2" max="2" width="1.77734375" customWidth="1"/>
    <col min="3" max="3" width="2.77734375" customWidth="1"/>
    <col min="4" max="4" width="60.77734375" customWidth="1"/>
    <col min="5" max="5" width="1.77734375" customWidth="1"/>
    <col min="6" max="7" width="12.77734375" customWidth="1"/>
  </cols>
  <sheetData>
    <row r="1" spans="1:9" s="3" customFormat="1">
      <c r="A1" s="5" t="str">
        <f>Applicant</f>
        <v>Alberta Electric System Operator</v>
      </c>
      <c r="B1" s="5"/>
      <c r="C1" s="5"/>
      <c r="D1" s="5"/>
      <c r="G1" s="4" t="str">
        <f ca="1">TablePrefix&amp;TRIM(MID(CELL("filename",I2),FIND("]",CELL("filename",I2))+1,5))&amp;TableSuffix</f>
        <v>Table F-15</v>
      </c>
    </row>
    <row r="2" spans="1:9" s="3" customFormat="1">
      <c r="A2" s="5" t="str">
        <f>Application</f>
        <v>Bulk and Regional Tariff Design Application</v>
      </c>
      <c r="B2" s="5"/>
      <c r="C2" s="5"/>
      <c r="D2" s="5"/>
      <c r="G2" s="4" t="str">
        <f>TableDate</f>
        <v>October 15, 2021</v>
      </c>
    </row>
    <row r="4" spans="1:9">
      <c r="A4" s="330" t="str">
        <f>TableGroup1</f>
        <v>Appendix F — 2019 Test Year Proposed Rate Calculations</v>
      </c>
      <c r="B4" s="6"/>
      <c r="C4" s="6"/>
      <c r="D4" s="6"/>
      <c r="E4" s="6"/>
      <c r="F4" s="6"/>
      <c r="G4" s="6"/>
    </row>
    <row r="5" spans="1:9">
      <c r="A5" s="6" t="s">
        <v>478</v>
      </c>
      <c r="B5" s="6"/>
      <c r="C5" s="6"/>
      <c r="D5" s="6"/>
      <c r="E5" s="6"/>
      <c r="F5" s="6"/>
      <c r="G5" s="6"/>
    </row>
    <row r="6" spans="1:9">
      <c r="I6" s="91"/>
    </row>
    <row r="7" spans="1:9" s="240" customFormat="1">
      <c r="F7" s="240" t="s">
        <v>2</v>
      </c>
      <c r="G7" s="240" t="s">
        <v>3</v>
      </c>
    </row>
    <row r="9" spans="1:9" s="44" customFormat="1">
      <c r="A9" s="62" t="s">
        <v>57</v>
      </c>
      <c r="F9" s="45" t="s">
        <v>344</v>
      </c>
      <c r="G9" s="45"/>
    </row>
    <row r="10" spans="1:9" s="47" customFormat="1">
      <c r="A10" s="46"/>
      <c r="C10" s="48" t="s">
        <v>55</v>
      </c>
      <c r="D10" s="48"/>
      <c r="F10" s="46" t="s">
        <v>110</v>
      </c>
      <c r="G10" s="49" t="s">
        <v>56</v>
      </c>
    </row>
    <row r="11" spans="1:9" s="22" customFormat="1" ht="25.5" customHeight="1">
      <c r="A11" s="21">
        <v>1</v>
      </c>
      <c r="C11" s="22" t="s">
        <v>160</v>
      </c>
      <c r="F11" s="195">
        <v>17.7</v>
      </c>
      <c r="G11" s="63" t="s">
        <v>28</v>
      </c>
      <c r="I11" s="431"/>
    </row>
    <row r="12" spans="1:9" s="22" customFormat="1" ht="25.5" customHeight="1">
      <c r="A12" s="21">
        <f>A11+1</f>
        <v>2</v>
      </c>
      <c r="C12" s="22" t="s">
        <v>128</v>
      </c>
      <c r="F12" s="195">
        <v>415.8</v>
      </c>
      <c r="G12" s="63" t="s">
        <v>28</v>
      </c>
    </row>
    <row r="13" spans="1:9" s="22" customFormat="1" ht="25.5" customHeight="1">
      <c r="A13" s="21">
        <f>A12+1</f>
        <v>3</v>
      </c>
      <c r="C13" s="431" t="s">
        <v>429</v>
      </c>
      <c r="F13" s="620">
        <v>79.599999999999994</v>
      </c>
      <c r="G13" s="63" t="s">
        <v>28</v>
      </c>
    </row>
    <row r="14" spans="1:9" s="22" customFormat="1" ht="25.5" customHeight="1">
      <c r="A14" s="21">
        <f>A13+1</f>
        <v>4</v>
      </c>
      <c r="C14" s="22" t="s">
        <v>59</v>
      </c>
      <c r="F14" s="620">
        <v>15.1227</v>
      </c>
      <c r="G14" s="63" t="s">
        <v>29</v>
      </c>
    </row>
    <row r="15" spans="1:9" s="22" customFormat="1" ht="25.5" customHeight="1">
      <c r="A15" s="21">
        <f>A14+1</f>
        <v>5</v>
      </c>
      <c r="C15" s="22" t="s">
        <v>138</v>
      </c>
      <c r="F15" s="194">
        <f>'F-12 Determinants'!$F$20</f>
        <v>54.88</v>
      </c>
      <c r="G15" s="67" t="s">
        <v>62</v>
      </c>
      <c r="I15" s="431"/>
    </row>
    <row r="16" spans="1:9" s="22" customFormat="1" ht="12.75" customHeight="1">
      <c r="A16" s="21"/>
      <c r="F16" s="65"/>
      <c r="G16" s="63"/>
      <c r="I16" s="431"/>
    </row>
    <row r="17" spans="1:11">
      <c r="A17" t="s">
        <v>52</v>
      </c>
      <c r="C17" s="431" t="str">
        <f>"The 2019 actual pool price is "&amp;DOLLAR('F-12 Determinants'!$F$20,2)&amp;"/MWh"</f>
        <v>The 2019 actual pool price is $54.88/MWh</v>
      </c>
      <c r="K17" s="394"/>
    </row>
    <row r="18" spans="1:11" s="174" customFormat="1">
      <c r="C18" s="568"/>
    </row>
    <row r="19" spans="1:11">
      <c r="K19" s="394"/>
    </row>
    <row r="21" spans="1:11">
      <c r="K21" s="393"/>
    </row>
  </sheetData>
  <phoneticPr fontId="14"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4"/>
  <sheetViews>
    <sheetView showGridLines="0" zoomScaleNormal="100" workbookViewId="0"/>
  </sheetViews>
  <sheetFormatPr defaultColWidth="12" defaultRowHeight="12.5"/>
  <cols>
    <col min="1" max="1" width="10.109375" style="361" customWidth="1"/>
    <col min="2" max="2" width="35.77734375" style="361" customWidth="1"/>
    <col min="3" max="3" width="12.44140625" style="361" customWidth="1"/>
    <col min="4" max="4" width="13.77734375" style="361" customWidth="1"/>
    <col min="5" max="5" width="12.44140625" style="361" customWidth="1"/>
    <col min="6" max="8" width="18.33203125" style="361" customWidth="1"/>
    <col min="9" max="9" width="12" style="361"/>
    <col min="10" max="10" width="12.33203125" style="361" bestFit="1" customWidth="1"/>
    <col min="11" max="16384" width="12" style="361"/>
  </cols>
  <sheetData>
    <row r="1" spans="1:11" s="3" customFormat="1" ht="13">
      <c r="A1" s="5" t="str">
        <f>Applicant</f>
        <v>Alberta Electric System Operator</v>
      </c>
      <c r="B1" s="5"/>
      <c r="C1" s="5"/>
      <c r="D1" s="5"/>
      <c r="H1" s="4" t="str">
        <f ca="1">TablePrefix&amp;TRIM(MID(CELL("filename",I2),FIND("]",CELL("filename",I2))+1,5))&amp;TableSuffix</f>
        <v>Table F-16</v>
      </c>
    </row>
    <row r="2" spans="1:11" s="3" customFormat="1" ht="13">
      <c r="A2" s="5" t="str">
        <f>Application</f>
        <v>Bulk and Regional Tariff Design Application</v>
      </c>
      <c r="B2" s="5"/>
      <c r="C2" s="5"/>
      <c r="D2" s="5"/>
      <c r="H2" s="4" t="str">
        <f>TableDate</f>
        <v>October 15, 2021</v>
      </c>
    </row>
    <row r="3" spans="1:11" customFormat="1" ht="13"/>
    <row r="4" spans="1:11" s="364" customFormat="1" ht="13">
      <c r="B4" s="332"/>
      <c r="C4" s="332"/>
      <c r="D4" s="373" t="str">
        <f>TableGroup1</f>
        <v>Appendix F — 2019 Test Year Proposed Rate Calculations</v>
      </c>
      <c r="E4" s="332"/>
      <c r="F4" s="363"/>
      <c r="G4" s="363"/>
      <c r="H4" s="365"/>
    </row>
    <row r="5" spans="1:11" s="364" customFormat="1" ht="13">
      <c r="B5" s="332"/>
      <c r="C5" s="332"/>
      <c r="D5" s="446" t="s">
        <v>319</v>
      </c>
      <c r="E5" s="332"/>
      <c r="F5" s="363"/>
      <c r="G5" s="363"/>
      <c r="H5" s="363"/>
    </row>
    <row r="6" spans="1:11" s="364" customFormat="1"/>
    <row r="7" spans="1:11" s="364" customFormat="1" ht="13">
      <c r="A7" s="364" t="s">
        <v>336</v>
      </c>
      <c r="B7" s="333" t="s">
        <v>202</v>
      </c>
      <c r="C7" s="334"/>
      <c r="D7" s="334"/>
      <c r="E7" s="334"/>
      <c r="F7" s="335"/>
      <c r="G7" s="365" t="s">
        <v>203</v>
      </c>
      <c r="H7" s="336" t="s">
        <v>204</v>
      </c>
    </row>
    <row r="8" spans="1:11" s="251" customFormat="1">
      <c r="I8" s="337"/>
    </row>
    <row r="9" spans="1:11" s="251" customFormat="1" ht="13">
      <c r="A9" s="445" t="s">
        <v>494</v>
      </c>
      <c r="B9" s="339"/>
      <c r="C9" s="339"/>
      <c r="D9" s="339"/>
      <c r="E9" s="339"/>
      <c r="F9" s="339"/>
      <c r="G9" s="339"/>
      <c r="H9" s="340"/>
      <c r="I9" s="337"/>
    </row>
    <row r="11" spans="1:11" s="269" customFormat="1" ht="13">
      <c r="A11" s="359" t="s">
        <v>1</v>
      </c>
      <c r="B11" s="359"/>
      <c r="C11" s="359"/>
      <c r="D11" s="359"/>
      <c r="E11" s="359"/>
      <c r="F11" s="362" t="s">
        <v>32</v>
      </c>
      <c r="G11" s="362" t="s">
        <v>192</v>
      </c>
      <c r="H11" s="362" t="s">
        <v>118</v>
      </c>
      <c r="J11" s="270"/>
      <c r="K11" s="271"/>
    </row>
    <row r="12" spans="1:11" s="266" customFormat="1">
      <c r="A12" s="268" t="s">
        <v>205</v>
      </c>
      <c r="B12" s="266" t="s">
        <v>483</v>
      </c>
      <c r="D12" s="361"/>
      <c r="E12" s="361"/>
      <c r="F12" s="272">
        <f>'F-16 Bill Estimator'!H92</f>
        <v>346064.69000000006</v>
      </c>
      <c r="G12" s="273">
        <f>F28*F30</f>
        <v>520811.2</v>
      </c>
      <c r="H12" s="272">
        <f>SUM(F12:G12)</f>
        <v>866875.89000000013</v>
      </c>
      <c r="K12" s="268"/>
    </row>
    <row r="13" spans="1:11" s="266" customFormat="1">
      <c r="A13" s="268" t="s">
        <v>206</v>
      </c>
      <c r="B13" s="266" t="s">
        <v>484</v>
      </c>
      <c r="D13" s="361"/>
      <c r="E13" s="361"/>
      <c r="F13" s="272">
        <f>'F-16 Bill Estimator'!H65</f>
        <v>348810.29000000004</v>
      </c>
      <c r="G13" s="273">
        <f>F28*F30</f>
        <v>520811.2</v>
      </c>
      <c r="H13" s="272">
        <f>SUM(F13:G13)</f>
        <v>869621.49</v>
      </c>
      <c r="K13" s="268"/>
    </row>
    <row r="14" spans="1:11" s="266" customFormat="1">
      <c r="A14" s="268" t="s">
        <v>207</v>
      </c>
      <c r="B14" s="266" t="s">
        <v>67</v>
      </c>
      <c r="D14" s="361"/>
      <c r="E14" s="361"/>
      <c r="F14" s="274">
        <f>F13-F12</f>
        <v>2745.5999999999767</v>
      </c>
      <c r="G14" s="274">
        <f>G13-G12</f>
        <v>0</v>
      </c>
      <c r="H14" s="274">
        <f>SUM(F14:G14)</f>
        <v>2745.5999999999767</v>
      </c>
      <c r="K14" s="268"/>
    </row>
    <row r="15" spans="1:11" s="266" customFormat="1">
      <c r="A15" s="268" t="s">
        <v>208</v>
      </c>
      <c r="B15" s="266" t="s">
        <v>294</v>
      </c>
      <c r="D15" s="361"/>
      <c r="E15" s="361"/>
      <c r="F15" s="358">
        <f>F14/F12</f>
        <v>7.9337767745099232E-3</v>
      </c>
      <c r="G15" s="358">
        <f>G14/G12</f>
        <v>0</v>
      </c>
      <c r="H15" s="358">
        <f>H14/H12</f>
        <v>3.1672353928311196E-3</v>
      </c>
      <c r="K15" s="268"/>
    </row>
    <row r="17" spans="1:11" s="251" customFormat="1" ht="13">
      <c r="A17" s="338" t="s">
        <v>309</v>
      </c>
      <c r="B17" s="339"/>
      <c r="C17" s="339"/>
      <c r="D17" s="339"/>
      <c r="E17" s="339"/>
      <c r="F17" s="339"/>
      <c r="G17" s="339"/>
      <c r="H17" s="340"/>
      <c r="I17" s="337"/>
    </row>
    <row r="18" spans="1:11" s="266" customFormat="1">
      <c r="A18" s="361"/>
      <c r="B18" s="361"/>
      <c r="C18" s="361"/>
      <c r="D18" s="361"/>
      <c r="E18" s="361"/>
      <c r="F18" s="361"/>
      <c r="G18" s="361"/>
      <c r="H18" s="361"/>
      <c r="K18" s="268"/>
    </row>
    <row r="19" spans="1:11" s="269" customFormat="1" ht="13">
      <c r="A19" s="359" t="s">
        <v>213</v>
      </c>
      <c r="B19" s="359"/>
      <c r="C19" s="359"/>
      <c r="D19" s="359"/>
      <c r="E19" s="275" t="s">
        <v>136</v>
      </c>
      <c r="F19" s="275" t="s">
        <v>32</v>
      </c>
      <c r="G19" s="324"/>
      <c r="H19" s="324"/>
      <c r="J19" s="270"/>
      <c r="K19" s="271"/>
    </row>
    <row r="20" spans="1:11" s="266" customFormat="1" ht="13">
      <c r="A20" s="268" t="s">
        <v>214</v>
      </c>
      <c r="B20" s="266" t="s">
        <v>215</v>
      </c>
      <c r="E20" s="276" t="s">
        <v>216</v>
      </c>
      <c r="F20" s="277">
        <v>20</v>
      </c>
      <c r="G20" s="324"/>
      <c r="H20" s="324"/>
      <c r="J20" s="267"/>
      <c r="K20" s="268"/>
    </row>
    <row r="21" spans="1:11" s="266" customFormat="1" ht="13">
      <c r="A21" s="268" t="s">
        <v>217</v>
      </c>
      <c r="B21" s="266" t="s">
        <v>218</v>
      </c>
      <c r="E21" s="278" t="s">
        <v>216</v>
      </c>
      <c r="F21" s="277">
        <v>20</v>
      </c>
      <c r="G21" s="324"/>
      <c r="H21" s="324"/>
      <c r="J21" s="267"/>
      <c r="K21" s="268"/>
    </row>
    <row r="22" spans="1:11" s="266" customFormat="1" ht="13">
      <c r="A22" s="268" t="s">
        <v>219</v>
      </c>
      <c r="B22" s="266" t="s">
        <v>492</v>
      </c>
      <c r="E22" s="276" t="s">
        <v>193</v>
      </c>
      <c r="F22" s="279">
        <v>0.75</v>
      </c>
      <c r="G22" s="324"/>
      <c r="H22" s="324"/>
      <c r="J22" s="267"/>
      <c r="K22" s="268"/>
    </row>
    <row r="23" spans="1:11" s="266" customFormat="1" ht="13">
      <c r="A23" s="268" t="s">
        <v>220</v>
      </c>
      <c r="B23" s="266" t="s">
        <v>195</v>
      </c>
      <c r="E23" s="276" t="s">
        <v>216</v>
      </c>
      <c r="F23" s="280">
        <f>F21*F22</f>
        <v>15</v>
      </c>
      <c r="G23" s="3"/>
      <c r="H23" s="3"/>
      <c r="J23" s="267"/>
      <c r="K23" s="268"/>
    </row>
    <row r="24" spans="1:11" s="266" customFormat="1" ht="13">
      <c r="A24" s="268" t="s">
        <v>221</v>
      </c>
      <c r="B24" s="266" t="s">
        <v>222</v>
      </c>
      <c r="E24" s="276" t="s">
        <v>216</v>
      </c>
      <c r="F24" s="277">
        <v>22</v>
      </c>
      <c r="G24" s="324"/>
      <c r="H24" s="324"/>
      <c r="J24" s="267"/>
      <c r="K24" s="268"/>
    </row>
    <row r="25" spans="1:11" s="266" customFormat="1" ht="13">
      <c r="A25" s="268" t="s">
        <v>223</v>
      </c>
      <c r="B25" s="266" t="s">
        <v>224</v>
      </c>
      <c r="E25" s="278" t="s">
        <v>216</v>
      </c>
      <c r="F25" s="281">
        <f>MAX(90%*F20,F21,90%*F24)</f>
        <v>20</v>
      </c>
      <c r="G25" s="3"/>
      <c r="H25" s="3"/>
      <c r="J25" s="267"/>
      <c r="K25" s="268"/>
    </row>
    <row r="26" spans="1:11" s="266" customFormat="1" ht="13">
      <c r="A26" s="268" t="s">
        <v>225</v>
      </c>
      <c r="B26" s="266" t="s">
        <v>196</v>
      </c>
      <c r="E26" s="276" t="s">
        <v>193</v>
      </c>
      <c r="F26" s="282">
        <v>0.65</v>
      </c>
      <c r="G26" s="324"/>
      <c r="H26" s="324"/>
      <c r="J26" s="267"/>
      <c r="K26" s="268"/>
    </row>
    <row r="27" spans="1:11" s="266" customFormat="1" ht="13">
      <c r="A27" s="268" t="s">
        <v>226</v>
      </c>
      <c r="B27" s="266" t="s">
        <v>227</v>
      </c>
      <c r="E27" s="278" t="s">
        <v>228</v>
      </c>
      <c r="F27" s="283">
        <v>730</v>
      </c>
      <c r="G27" s="324"/>
      <c r="H27" s="324"/>
      <c r="J27" s="267"/>
      <c r="K27" s="268"/>
    </row>
    <row r="28" spans="1:11" s="266" customFormat="1" ht="13">
      <c r="A28" s="268" t="s">
        <v>229</v>
      </c>
      <c r="B28" s="266" t="s">
        <v>230</v>
      </c>
      <c r="E28" s="278" t="s">
        <v>231</v>
      </c>
      <c r="F28" s="284">
        <f>F21*F26*F27</f>
        <v>9490</v>
      </c>
      <c r="G28" s="3"/>
      <c r="H28" s="3"/>
      <c r="J28" s="267"/>
      <c r="K28" s="268"/>
    </row>
    <row r="29" spans="1:11" s="266" customFormat="1" ht="13">
      <c r="A29" s="268" t="s">
        <v>232</v>
      </c>
      <c r="B29" s="266" t="s">
        <v>200</v>
      </c>
      <c r="E29" s="278"/>
      <c r="F29" s="360">
        <v>1</v>
      </c>
      <c r="G29" s="324"/>
      <c r="H29" s="324"/>
      <c r="J29" s="267"/>
      <c r="K29" s="268"/>
    </row>
    <row r="30" spans="1:11" s="266" customFormat="1" ht="13">
      <c r="A30" s="268" t="s">
        <v>233</v>
      </c>
      <c r="B30" s="266" t="s">
        <v>234</v>
      </c>
      <c r="E30" s="276" t="s">
        <v>235</v>
      </c>
      <c r="F30" s="285">
        <f>'F-12 Determinants'!F20</f>
        <v>54.88</v>
      </c>
      <c r="G30" s="324"/>
      <c r="H30" s="324"/>
      <c r="J30" s="267"/>
      <c r="K30" s="268"/>
    </row>
    <row r="31" spans="1:11" s="266" customFormat="1">
      <c r="J31" s="267"/>
      <c r="K31" s="268"/>
    </row>
    <row r="32" spans="1:11" s="367" customFormat="1" ht="11.5">
      <c r="A32" s="366" t="s">
        <v>130</v>
      </c>
      <c r="B32" s="367" t="s">
        <v>333</v>
      </c>
    </row>
    <row r="33" spans="1:11" s="367" customFormat="1" ht="11.5">
      <c r="B33" s="367" t="s">
        <v>296</v>
      </c>
    </row>
    <row r="34" spans="1:11" s="367" customFormat="1" ht="11.5">
      <c r="B34" s="367" t="s">
        <v>297</v>
      </c>
    </row>
    <row r="35" spans="1:11" s="368" customFormat="1" ht="11.5">
      <c r="A35" s="367"/>
      <c r="B35" s="367" t="s">
        <v>334</v>
      </c>
      <c r="C35" s="367"/>
      <c r="D35" s="367"/>
      <c r="E35" s="367"/>
      <c r="F35" s="367"/>
      <c r="G35" s="367"/>
      <c r="H35" s="367"/>
      <c r="K35" s="369"/>
    </row>
    <row r="36" spans="1:11" s="367" customFormat="1" ht="11.5">
      <c r="B36" s="367" t="s">
        <v>335</v>
      </c>
    </row>
    <row r="37" spans="1:11" s="367" customFormat="1" ht="11.5">
      <c r="B37" s="367" t="s">
        <v>295</v>
      </c>
    </row>
    <row r="38" spans="1:11" s="367" customFormat="1" ht="11.5">
      <c r="B38" s="367" t="s">
        <v>211</v>
      </c>
    </row>
    <row r="39" spans="1:11" s="367" customFormat="1" ht="11.5">
      <c r="B39" s="367" t="s">
        <v>212</v>
      </c>
    </row>
    <row r="40" spans="1:11" s="367" customFormat="1" ht="11.5"/>
    <row r="41" spans="1:11" s="364" customFormat="1" ht="13">
      <c r="A41" s="445" t="s">
        <v>490</v>
      </c>
      <c r="B41" s="339"/>
      <c r="C41" s="339"/>
      <c r="D41" s="339"/>
      <c r="E41" s="339"/>
      <c r="F41" s="339"/>
      <c r="G41" s="339"/>
      <c r="H41" s="340"/>
    </row>
    <row r="42" spans="1:11" s="266" customFormat="1">
      <c r="J42" s="267"/>
      <c r="K42" s="268"/>
    </row>
    <row r="43" spans="1:11" s="266" customFormat="1" ht="13">
      <c r="A43" s="341" t="s">
        <v>236</v>
      </c>
      <c r="B43" s="342"/>
      <c r="C43" s="345"/>
      <c r="D43" s="346" t="s">
        <v>237</v>
      </c>
      <c r="E43" s="343"/>
      <c r="F43" s="346" t="s">
        <v>55</v>
      </c>
      <c r="G43" s="343"/>
      <c r="H43" s="344" t="s">
        <v>79</v>
      </c>
      <c r="J43" s="267"/>
      <c r="K43" s="268"/>
    </row>
    <row r="44" spans="1:11" s="269" customFormat="1" ht="13">
      <c r="A44" s="269" t="s">
        <v>363</v>
      </c>
      <c r="H44" s="270"/>
      <c r="J44" s="270"/>
      <c r="K44" s="271"/>
    </row>
    <row r="45" spans="1:11" s="269" customFormat="1" ht="13">
      <c r="A45" s="647" t="s">
        <v>205</v>
      </c>
      <c r="B45" s="648" t="s">
        <v>448</v>
      </c>
      <c r="C45" s="649"/>
      <c r="D45" s="649"/>
      <c r="E45" s="649"/>
      <c r="F45" s="649"/>
      <c r="G45" s="649"/>
      <c r="H45" s="650"/>
      <c r="J45" s="270"/>
      <c r="K45" s="271"/>
    </row>
    <row r="46" spans="1:11" s="269" customFormat="1" ht="13">
      <c r="A46" s="296" t="s">
        <v>238</v>
      </c>
      <c r="B46" s="297" t="s">
        <v>85</v>
      </c>
      <c r="C46" s="651"/>
      <c r="D46" s="681">
        <f>'F-13 Impact'!L13</f>
        <v>10.45</v>
      </c>
      <c r="E46" s="670" t="s">
        <v>62</v>
      </c>
      <c r="F46" s="682">
        <f>F28</f>
        <v>9490</v>
      </c>
      <c r="G46" s="651"/>
      <c r="H46" s="299">
        <f>ROUND(D46*F46,2)</f>
        <v>99170.5</v>
      </c>
      <c r="J46" s="270"/>
      <c r="K46" s="271"/>
    </row>
    <row r="47" spans="1:11" s="269" customFormat="1" ht="13">
      <c r="A47" s="647" t="s">
        <v>458</v>
      </c>
      <c r="B47" s="648" t="s">
        <v>449</v>
      </c>
      <c r="C47" s="649"/>
      <c r="D47" s="683"/>
      <c r="E47" s="683"/>
      <c r="F47" s="683"/>
      <c r="G47" s="649"/>
      <c r="H47" s="650"/>
      <c r="J47" s="270"/>
      <c r="K47" s="271"/>
    </row>
    <row r="48" spans="1:11" s="269" customFormat="1" ht="13">
      <c r="A48" s="290" t="s">
        <v>239</v>
      </c>
      <c r="B48" s="291" t="s">
        <v>94</v>
      </c>
      <c r="C48" s="652"/>
      <c r="D48" s="684">
        <f>'F-13 Impact'!L14</f>
        <v>6206</v>
      </c>
      <c r="E48" s="671" t="s">
        <v>105</v>
      </c>
      <c r="F48" s="685">
        <f>F23</f>
        <v>15</v>
      </c>
      <c r="G48" s="652"/>
      <c r="H48" s="295">
        <f>ROUND(D48*F48,2)</f>
        <v>93090</v>
      </c>
      <c r="J48" s="270"/>
      <c r="K48" s="271"/>
    </row>
    <row r="49" spans="1:12" s="269" customFormat="1" ht="13">
      <c r="A49" s="296" t="s">
        <v>240</v>
      </c>
      <c r="B49" s="297" t="s">
        <v>351</v>
      </c>
      <c r="C49" s="651"/>
      <c r="D49" s="684">
        <f>'F-13 Impact'!L15</f>
        <v>2273</v>
      </c>
      <c r="E49" s="670" t="s">
        <v>105</v>
      </c>
      <c r="F49" s="686">
        <f>F25</f>
        <v>20</v>
      </c>
      <c r="G49" s="651"/>
      <c r="H49" s="295">
        <f>ROUND(D49*F49,2)</f>
        <v>45460</v>
      </c>
      <c r="J49" s="270"/>
      <c r="K49" s="271"/>
    </row>
    <row r="50" spans="1:12" s="266" customFormat="1" ht="13">
      <c r="A50" s="252" t="s">
        <v>207</v>
      </c>
      <c r="B50" s="287" t="s">
        <v>199</v>
      </c>
      <c r="C50" s="288"/>
      <c r="D50" s="315"/>
      <c r="E50" s="288"/>
      <c r="F50" s="288"/>
      <c r="G50" s="288"/>
      <c r="H50" s="289"/>
      <c r="K50" s="268"/>
      <c r="L50" s="630"/>
    </row>
    <row r="51" spans="1:12" s="266" customFormat="1">
      <c r="A51" s="256" t="s">
        <v>241</v>
      </c>
      <c r="B51" s="291" t="s">
        <v>247</v>
      </c>
      <c r="C51" s="316"/>
      <c r="D51" s="292">
        <f>'F-13 Impact'!L16</f>
        <v>13499</v>
      </c>
      <c r="E51" s="293" t="s">
        <v>109</v>
      </c>
      <c r="F51" s="372">
        <f>F29</f>
        <v>1</v>
      </c>
      <c r="G51" s="291"/>
      <c r="H51" s="295">
        <f>ROUND(D51*F51,2)</f>
        <v>13499</v>
      </c>
      <c r="J51" s="267"/>
      <c r="K51" s="268"/>
      <c r="L51" s="630"/>
    </row>
    <row r="52" spans="1:12" s="266" customFormat="1">
      <c r="A52" s="256" t="s">
        <v>242</v>
      </c>
      <c r="B52" s="291" t="s">
        <v>252</v>
      </c>
      <c r="C52" s="291"/>
      <c r="D52" s="292">
        <f>'F-13 Impact'!L17</f>
        <v>4443</v>
      </c>
      <c r="E52" s="293" t="s">
        <v>105</v>
      </c>
      <c r="F52" s="294">
        <f>MIN(F25,7.5*F29)</f>
        <v>7.5</v>
      </c>
      <c r="G52" s="293" t="s">
        <v>216</v>
      </c>
      <c r="H52" s="295">
        <f>ROUND(D52*F52,2)</f>
        <v>33322.5</v>
      </c>
      <c r="K52" s="268"/>
      <c r="L52" s="630"/>
    </row>
    <row r="53" spans="1:12" s="266" customFormat="1">
      <c r="A53" s="256" t="s">
        <v>243</v>
      </c>
      <c r="B53" s="291" t="s">
        <v>253</v>
      </c>
      <c r="C53" s="291"/>
      <c r="D53" s="292">
        <f>'F-13 Impact'!L18</f>
        <v>2635</v>
      </c>
      <c r="E53" s="293" t="s">
        <v>62</v>
      </c>
      <c r="F53" s="322">
        <f>MAX(MIN(F25,17*F29)-(7.5*F29),0)</f>
        <v>9.5</v>
      </c>
      <c r="G53" s="293" t="s">
        <v>231</v>
      </c>
      <c r="H53" s="295">
        <f>ROUND(D53*F53,2)</f>
        <v>25032.5</v>
      </c>
      <c r="K53" s="268"/>
      <c r="L53" s="630"/>
    </row>
    <row r="54" spans="1:12" s="266" customFormat="1">
      <c r="A54" s="256" t="s">
        <v>244</v>
      </c>
      <c r="B54" s="291" t="s">
        <v>254</v>
      </c>
      <c r="C54" s="291"/>
      <c r="D54" s="292">
        <f>'F-13 Impact'!L19</f>
        <v>1764</v>
      </c>
      <c r="E54" s="293" t="s">
        <v>109</v>
      </c>
      <c r="F54" s="321">
        <f>MAX(MIN(F25,40*F29)-(17*F29),0)</f>
        <v>3</v>
      </c>
      <c r="G54" s="291" t="s">
        <v>216</v>
      </c>
      <c r="H54" s="295">
        <f>ROUND(D54*F54,2)</f>
        <v>5292</v>
      </c>
      <c r="K54" s="268"/>
      <c r="L54" s="630"/>
    </row>
    <row r="55" spans="1:12" s="266" customFormat="1">
      <c r="A55" s="262" t="s">
        <v>246</v>
      </c>
      <c r="B55" s="297" t="s">
        <v>245</v>
      </c>
      <c r="C55" s="386" t="s">
        <v>255</v>
      </c>
      <c r="D55" s="387">
        <f>'F-13 Impact'!L20</f>
        <v>1086</v>
      </c>
      <c r="E55" s="298" t="s">
        <v>105</v>
      </c>
      <c r="F55" s="388">
        <f>MAX(F25-(40*F29),0)</f>
        <v>0</v>
      </c>
      <c r="G55" s="297" t="s">
        <v>216</v>
      </c>
      <c r="H55" s="299">
        <f>ROUND(D55*F55,2)</f>
        <v>0</v>
      </c>
      <c r="K55" s="268"/>
      <c r="L55" s="630"/>
    </row>
    <row r="56" spans="1:12" s="286" customFormat="1" ht="13">
      <c r="A56" s="286" t="s">
        <v>197</v>
      </c>
      <c r="C56" s="317"/>
      <c r="D56" s="300"/>
      <c r="E56" s="301"/>
      <c r="F56" s="302"/>
      <c r="H56" s="303"/>
      <c r="J56" s="300"/>
      <c r="K56" s="301"/>
      <c r="L56" s="630"/>
    </row>
    <row r="57" spans="1:12" s="266" customFormat="1">
      <c r="A57" s="304" t="s">
        <v>208</v>
      </c>
      <c r="B57" s="305" t="s">
        <v>248</v>
      </c>
      <c r="C57" s="305"/>
      <c r="D57" s="306">
        <f>'F-13 Impact'!L22</f>
        <v>6.2799999999999995E-2</v>
      </c>
      <c r="E57" s="305" t="s">
        <v>298</v>
      </c>
      <c r="F57" s="307">
        <f>F28</f>
        <v>9490</v>
      </c>
      <c r="G57" s="308" t="s">
        <v>231</v>
      </c>
      <c r="H57" s="309">
        <f>ROUND(D57*F30*F57,2)</f>
        <v>32706.94</v>
      </c>
      <c r="J57" s="267"/>
      <c r="K57" s="268"/>
      <c r="L57" s="630"/>
    </row>
    <row r="58" spans="1:12" s="266" customFormat="1" ht="13">
      <c r="A58" s="541" t="s">
        <v>409</v>
      </c>
      <c r="B58" s="291"/>
      <c r="C58" s="291"/>
      <c r="D58" s="537"/>
      <c r="E58" s="291"/>
      <c r="F58" s="538"/>
      <c r="G58" s="293"/>
      <c r="H58" s="292"/>
      <c r="J58" s="267"/>
      <c r="K58" s="268"/>
      <c r="L58" s="630"/>
    </row>
    <row r="59" spans="1:12" s="266" customFormat="1">
      <c r="A59" s="304" t="s">
        <v>209</v>
      </c>
      <c r="B59" s="539" t="s">
        <v>230</v>
      </c>
      <c r="C59" s="539"/>
      <c r="D59" s="572">
        <f>'F-13 Impact'!L23</f>
        <v>5.0000000000000001E-3</v>
      </c>
      <c r="E59" s="308" t="s">
        <v>62</v>
      </c>
      <c r="F59" s="540">
        <f>F28</f>
        <v>9490</v>
      </c>
      <c r="G59" s="308" t="s">
        <v>231</v>
      </c>
      <c r="H59" s="309">
        <f>ROUND(D59*F59,2)</f>
        <v>47.45</v>
      </c>
      <c r="J59" s="267"/>
      <c r="K59" s="268"/>
      <c r="L59" s="630"/>
    </row>
    <row r="60" spans="1:12" s="286" customFormat="1" ht="13">
      <c r="A60" s="286" t="s">
        <v>201</v>
      </c>
      <c r="D60" s="310"/>
      <c r="F60" s="311"/>
      <c r="G60" s="301"/>
      <c r="H60" s="300"/>
      <c r="J60" s="300"/>
      <c r="K60" s="301"/>
      <c r="L60" s="630"/>
    </row>
    <row r="61" spans="1:12" s="266" customFormat="1">
      <c r="A61" s="304" t="s">
        <v>210</v>
      </c>
      <c r="B61" s="305" t="s">
        <v>230</v>
      </c>
      <c r="C61" s="305"/>
      <c r="D61" s="312">
        <f>'F-13 Impact'!L24</f>
        <v>0.06</v>
      </c>
      <c r="E61" s="308" t="s">
        <v>62</v>
      </c>
      <c r="F61" s="307">
        <f>F28</f>
        <v>9490</v>
      </c>
      <c r="G61" s="308" t="s">
        <v>231</v>
      </c>
      <c r="H61" s="309">
        <f>ROUND(D61*F61,2)</f>
        <v>569.4</v>
      </c>
      <c r="J61" s="267"/>
      <c r="K61" s="268"/>
      <c r="L61" s="630"/>
    </row>
    <row r="62" spans="1:12" s="286" customFormat="1" ht="13">
      <c r="A62" s="286" t="s">
        <v>198</v>
      </c>
      <c r="D62" s="300"/>
      <c r="E62" s="301"/>
      <c r="F62" s="311"/>
      <c r="G62" s="301"/>
      <c r="H62" s="300"/>
      <c r="J62" s="300"/>
      <c r="K62" s="301"/>
      <c r="L62" s="630"/>
    </row>
    <row r="63" spans="1:12" s="266" customFormat="1">
      <c r="A63" s="304" t="s">
        <v>410</v>
      </c>
      <c r="B63" s="305" t="s">
        <v>249</v>
      </c>
      <c r="C63" s="305"/>
      <c r="D63" s="312">
        <f>'F-13 Impact'!L25</f>
        <v>31</v>
      </c>
      <c r="E63" s="308" t="s">
        <v>105</v>
      </c>
      <c r="F63" s="313">
        <f>F21</f>
        <v>20</v>
      </c>
      <c r="G63" s="308" t="s">
        <v>216</v>
      </c>
      <c r="H63" s="309">
        <f>ROUND(D63*F63,2)</f>
        <v>620</v>
      </c>
      <c r="J63" s="267"/>
      <c r="K63" s="268"/>
      <c r="L63" s="630"/>
    </row>
    <row r="64" spans="1:12" s="266" customFormat="1">
      <c r="H64" s="315"/>
      <c r="J64" s="267"/>
      <c r="K64" s="268"/>
    </row>
    <row r="65" spans="1:11" s="286" customFormat="1" ht="13">
      <c r="A65" s="286" t="s">
        <v>256</v>
      </c>
      <c r="G65" s="286" t="s">
        <v>250</v>
      </c>
      <c r="H65" s="314">
        <f>SUM(H46:H49,H50:H63)</f>
        <v>348810.29000000004</v>
      </c>
      <c r="J65" s="300"/>
      <c r="K65" s="301"/>
    </row>
    <row r="66" spans="1:11" ht="13">
      <c r="G66" s="286" t="s">
        <v>251</v>
      </c>
      <c r="H66" s="314">
        <f>H65*12</f>
        <v>4185723.4800000004</v>
      </c>
    </row>
    <row r="68" spans="1:11" s="364" customFormat="1" ht="13">
      <c r="A68" s="445" t="s">
        <v>491</v>
      </c>
      <c r="B68" s="339"/>
      <c r="C68" s="339"/>
      <c r="D68" s="339"/>
      <c r="E68" s="339"/>
      <c r="F68" s="339"/>
      <c r="G68" s="339"/>
      <c r="H68" s="340"/>
    </row>
    <row r="69" spans="1:11" s="266" customFormat="1">
      <c r="J69" s="267"/>
      <c r="K69" s="268"/>
    </row>
    <row r="70" spans="1:11" s="266" customFormat="1" ht="13">
      <c r="A70" s="341" t="s">
        <v>236</v>
      </c>
      <c r="B70" s="342"/>
      <c r="C70" s="345"/>
      <c r="D70" s="346" t="s">
        <v>237</v>
      </c>
      <c r="E70" s="343"/>
      <c r="F70" s="346" t="s">
        <v>55</v>
      </c>
      <c r="G70" s="343"/>
      <c r="H70" s="344" t="s">
        <v>79</v>
      </c>
      <c r="J70" s="267"/>
      <c r="K70" s="268"/>
    </row>
    <row r="71" spans="1:11" s="269" customFormat="1" ht="13">
      <c r="A71" s="269" t="s">
        <v>363</v>
      </c>
      <c r="H71" s="270"/>
      <c r="J71" s="270"/>
      <c r="K71" s="271"/>
    </row>
    <row r="72" spans="1:11" s="269" customFormat="1" ht="13">
      <c r="A72" s="647" t="s">
        <v>205</v>
      </c>
      <c r="B72" s="648" t="s">
        <v>448</v>
      </c>
      <c r="C72" s="649"/>
      <c r="D72" s="649"/>
      <c r="E72" s="649"/>
      <c r="F72" s="649"/>
      <c r="G72" s="649"/>
      <c r="H72" s="650"/>
      <c r="J72" s="270"/>
      <c r="K72" s="271"/>
    </row>
    <row r="73" spans="1:11" s="269" customFormat="1" ht="13">
      <c r="A73" s="296" t="s">
        <v>238</v>
      </c>
      <c r="B73" s="297" t="s">
        <v>85</v>
      </c>
      <c r="C73" s="651"/>
      <c r="D73" s="675">
        <f>'F-13 Impact'!G13</f>
        <v>2.0099999999999998</v>
      </c>
      <c r="E73" s="651"/>
      <c r="F73" s="672">
        <f>F28</f>
        <v>9490</v>
      </c>
      <c r="G73" s="651"/>
      <c r="H73" s="299">
        <f>ROUND(D73*F73,2)</f>
        <v>19074.900000000001</v>
      </c>
      <c r="J73" s="270"/>
      <c r="K73" s="271"/>
    </row>
    <row r="74" spans="1:11" s="269" customFormat="1" ht="13">
      <c r="A74" s="647" t="s">
        <v>458</v>
      </c>
      <c r="B74" s="648" t="s">
        <v>449</v>
      </c>
      <c r="C74" s="649"/>
      <c r="D74" s="649"/>
      <c r="E74" s="649"/>
      <c r="F74" s="649"/>
      <c r="G74" s="649"/>
      <c r="H74" s="650"/>
      <c r="J74" s="270"/>
      <c r="K74" s="271"/>
    </row>
    <row r="75" spans="1:11" s="269" customFormat="1" ht="13">
      <c r="A75" s="290" t="s">
        <v>239</v>
      </c>
      <c r="B75" s="291" t="s">
        <v>94</v>
      </c>
      <c r="C75" s="652"/>
      <c r="D75" s="676">
        <f>'F-13 Impact'!G14</f>
        <v>10508</v>
      </c>
      <c r="E75" s="652"/>
      <c r="F75" s="673">
        <f>F23</f>
        <v>15</v>
      </c>
      <c r="G75" s="652"/>
      <c r="H75" s="295">
        <f>ROUND(D75*F75,2)</f>
        <v>157620</v>
      </c>
      <c r="J75" s="270"/>
      <c r="K75" s="271"/>
    </row>
    <row r="76" spans="1:11" s="269" customFormat="1" ht="13">
      <c r="A76" s="296" t="s">
        <v>240</v>
      </c>
      <c r="B76" s="297" t="s">
        <v>351</v>
      </c>
      <c r="C76" s="651"/>
      <c r="D76" s="676">
        <f>'F-13 Impact'!G15</f>
        <v>2914</v>
      </c>
      <c r="E76" s="651"/>
      <c r="F76" s="674">
        <f>F25</f>
        <v>20</v>
      </c>
      <c r="G76" s="651"/>
      <c r="H76" s="299">
        <f>ROUND(D76*F76,2)</f>
        <v>58280</v>
      </c>
      <c r="J76" s="270"/>
      <c r="K76" s="271"/>
    </row>
    <row r="77" spans="1:11" s="364" customFormat="1" ht="13">
      <c r="A77" s="252" t="s">
        <v>207</v>
      </c>
      <c r="B77" s="253" t="s">
        <v>199</v>
      </c>
      <c r="C77" s="265"/>
      <c r="D77" s="254"/>
      <c r="E77" s="254"/>
      <c r="F77" s="254"/>
      <c r="G77" s="254"/>
      <c r="H77" s="255"/>
    </row>
    <row r="78" spans="1:11" s="364" customFormat="1">
      <c r="A78" s="256" t="s">
        <v>241</v>
      </c>
      <c r="B78" s="257" t="s">
        <v>247</v>
      </c>
      <c r="C78" s="257"/>
      <c r="D78" s="258">
        <f>'F-13 Impact'!G16</f>
        <v>13499</v>
      </c>
      <c r="E78" s="259" t="s">
        <v>109</v>
      </c>
      <c r="F78" s="381">
        <f>F29</f>
        <v>1</v>
      </c>
      <c r="G78" s="257"/>
      <c r="H78" s="382">
        <f>ROUND(D78*F78,2)</f>
        <v>13499</v>
      </c>
    </row>
    <row r="79" spans="1:11" s="364" customFormat="1">
      <c r="A79" s="256" t="s">
        <v>242</v>
      </c>
      <c r="B79" s="257" t="s">
        <v>252</v>
      </c>
      <c r="C79" s="257"/>
      <c r="D79" s="258">
        <f>'F-13 Impact'!G17</f>
        <v>4443</v>
      </c>
      <c r="E79" s="259" t="s">
        <v>105</v>
      </c>
      <c r="F79" s="260">
        <f>MIN(F25,7.5*F29)</f>
        <v>7.5</v>
      </c>
      <c r="G79" s="257" t="s">
        <v>216</v>
      </c>
      <c r="H79" s="261">
        <f>ROUND(D79*F79,2)</f>
        <v>33322.5</v>
      </c>
    </row>
    <row r="80" spans="1:11" s="364" customFormat="1">
      <c r="A80" s="256" t="s">
        <v>243</v>
      </c>
      <c r="B80" s="257" t="s">
        <v>253</v>
      </c>
      <c r="C80" s="257"/>
      <c r="D80" s="258">
        <f>'F-13 Impact'!G18</f>
        <v>2635</v>
      </c>
      <c r="E80" s="259" t="s">
        <v>105</v>
      </c>
      <c r="F80" s="260">
        <f>MAX(MIN(F25,17*F29)-(7.5*F29),0)</f>
        <v>9.5</v>
      </c>
      <c r="G80" s="259" t="s">
        <v>216</v>
      </c>
      <c r="H80" s="261">
        <f>ROUND(D80*F80,2)</f>
        <v>25032.5</v>
      </c>
    </row>
    <row r="81" spans="1:11" s="364" customFormat="1">
      <c r="A81" s="256" t="s">
        <v>244</v>
      </c>
      <c r="B81" s="257" t="s">
        <v>254</v>
      </c>
      <c r="C81" s="257"/>
      <c r="D81" s="258">
        <f>'F-13 Impact'!G19</f>
        <v>1764</v>
      </c>
      <c r="E81" s="259" t="s">
        <v>105</v>
      </c>
      <c r="F81" s="260">
        <f>MAX(MIN(F25,40*F29)-(17*F29),0)</f>
        <v>3</v>
      </c>
      <c r="G81" s="259" t="s">
        <v>216</v>
      </c>
      <c r="H81" s="261">
        <f>ROUND(D81*F81,2)</f>
        <v>5292</v>
      </c>
    </row>
    <row r="82" spans="1:11" s="364" customFormat="1">
      <c r="A82" s="262" t="s">
        <v>246</v>
      </c>
      <c r="B82" s="263" t="s">
        <v>245</v>
      </c>
      <c r="C82" s="263"/>
      <c r="D82" s="371">
        <f>'F-13 Impact'!G20</f>
        <v>1086</v>
      </c>
      <c r="E82" s="264" t="s">
        <v>105</v>
      </c>
      <c r="F82" s="383">
        <f>MAX(F25-(40*F29),0)</f>
        <v>0</v>
      </c>
      <c r="G82" s="264" t="s">
        <v>216</v>
      </c>
      <c r="H82" s="384">
        <f>ROUND(D82*F82,2)</f>
        <v>0</v>
      </c>
    </row>
    <row r="83" spans="1:11" s="286" customFormat="1" ht="13">
      <c r="A83" s="286" t="s">
        <v>197</v>
      </c>
      <c r="C83" s="300"/>
      <c r="D83" s="301"/>
      <c r="F83" s="302"/>
      <c r="H83" s="303"/>
      <c r="J83" s="300"/>
      <c r="K83" s="301"/>
    </row>
    <row r="84" spans="1:11" s="266" customFormat="1">
      <c r="A84" s="304" t="s">
        <v>207</v>
      </c>
      <c r="B84" s="305" t="s">
        <v>248</v>
      </c>
      <c r="C84" s="305"/>
      <c r="D84" s="306">
        <f>'F-13 Impact'!G22</f>
        <v>6.2799999999999995E-2</v>
      </c>
      <c r="E84" s="305" t="s">
        <v>298</v>
      </c>
      <c r="F84" s="307">
        <f>F28</f>
        <v>9490</v>
      </c>
      <c r="G84" s="308" t="s">
        <v>231</v>
      </c>
      <c r="H84" s="309">
        <f>ROUND(D84*F30*F84,2)</f>
        <v>32706.94</v>
      </c>
      <c r="J84" s="267"/>
      <c r="K84" s="268"/>
    </row>
    <row r="85" spans="1:11" s="266" customFormat="1" ht="13">
      <c r="A85" s="541" t="s">
        <v>409</v>
      </c>
      <c r="B85" s="291"/>
      <c r="C85" s="291"/>
      <c r="D85" s="537"/>
      <c r="E85" s="291"/>
      <c r="F85" s="538"/>
      <c r="G85" s="293"/>
      <c r="H85" s="292"/>
      <c r="J85" s="267"/>
      <c r="K85" s="268"/>
    </row>
    <row r="86" spans="1:11" s="266" customFormat="1">
      <c r="A86" s="304" t="s">
        <v>208</v>
      </c>
      <c r="B86" s="539" t="s">
        <v>230</v>
      </c>
      <c r="C86" s="539"/>
      <c r="D86" s="312">
        <f>'F-13 Impact'!G23</f>
        <v>5.0000000000000001E-3</v>
      </c>
      <c r="E86" s="308" t="s">
        <v>62</v>
      </c>
      <c r="F86" s="540">
        <f>F28</f>
        <v>9490</v>
      </c>
      <c r="G86" s="308" t="s">
        <v>231</v>
      </c>
      <c r="H86" s="309">
        <f>ROUND(D86*F86,2)</f>
        <v>47.45</v>
      </c>
      <c r="J86" s="267"/>
      <c r="K86" s="268"/>
    </row>
    <row r="87" spans="1:11" s="286" customFormat="1" ht="13">
      <c r="A87" s="286" t="s">
        <v>201</v>
      </c>
      <c r="C87" s="310"/>
      <c r="F87" s="311"/>
      <c r="G87" s="301"/>
      <c r="H87" s="300"/>
      <c r="J87" s="300"/>
      <c r="K87" s="301"/>
    </row>
    <row r="88" spans="1:11" s="266" customFormat="1">
      <c r="A88" s="304" t="s">
        <v>209</v>
      </c>
      <c r="B88" s="305" t="s">
        <v>230</v>
      </c>
      <c r="C88" s="305"/>
      <c r="D88" s="312">
        <f>'F-13 Impact'!G24</f>
        <v>0.06</v>
      </c>
      <c r="E88" s="308" t="s">
        <v>62</v>
      </c>
      <c r="F88" s="307">
        <f>F28</f>
        <v>9490</v>
      </c>
      <c r="G88" s="308" t="s">
        <v>231</v>
      </c>
      <c r="H88" s="309">
        <f>ROUND(D88*F88,2)</f>
        <v>569.4</v>
      </c>
      <c r="J88" s="267"/>
      <c r="K88" s="268"/>
    </row>
    <row r="89" spans="1:11" s="286" customFormat="1" ht="13">
      <c r="A89" s="286" t="s">
        <v>198</v>
      </c>
      <c r="C89" s="300"/>
      <c r="D89" s="301"/>
      <c r="F89" s="311"/>
      <c r="G89" s="301"/>
      <c r="H89" s="300"/>
      <c r="J89" s="300"/>
      <c r="K89" s="301"/>
    </row>
    <row r="90" spans="1:11" s="266" customFormat="1">
      <c r="A90" s="304" t="s">
        <v>210</v>
      </c>
      <c r="B90" s="305" t="s">
        <v>249</v>
      </c>
      <c r="C90" s="305"/>
      <c r="D90" s="312">
        <f>'F-13 Impact'!G25</f>
        <v>31</v>
      </c>
      <c r="E90" s="308" t="s">
        <v>105</v>
      </c>
      <c r="F90" s="313">
        <f>F21</f>
        <v>20</v>
      </c>
      <c r="G90" s="308" t="s">
        <v>216</v>
      </c>
      <c r="H90" s="309">
        <f>ROUND(D90*F90,2)</f>
        <v>620</v>
      </c>
      <c r="J90" s="267"/>
      <c r="K90" s="268"/>
    </row>
    <row r="91" spans="1:11" s="266" customFormat="1">
      <c r="H91" s="292"/>
      <c r="J91" s="267"/>
      <c r="K91" s="268"/>
    </row>
    <row r="92" spans="1:11" s="286" customFormat="1" ht="13">
      <c r="A92" s="286" t="s">
        <v>256</v>
      </c>
      <c r="G92" s="286" t="s">
        <v>250</v>
      </c>
      <c r="H92" s="314">
        <f>SUM(H71:H76,H77:H90)</f>
        <v>346064.69000000006</v>
      </c>
      <c r="J92" s="300"/>
      <c r="K92" s="301"/>
    </row>
    <row r="93" spans="1:11" ht="13">
      <c r="G93" s="286" t="s">
        <v>251</v>
      </c>
      <c r="H93" s="314">
        <f>H92*12</f>
        <v>4152776.2800000007</v>
      </c>
    </row>
    <row r="94" spans="1:11">
      <c r="H94" s="549"/>
    </row>
  </sheetData>
  <phoneticPr fontId="17"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0"/>
  <sheetViews>
    <sheetView showGridLines="0" zoomScaleNormal="100" workbookViewId="0"/>
  </sheetViews>
  <sheetFormatPr defaultColWidth="9.33203125" defaultRowHeight="13"/>
  <cols>
    <col min="1" max="1" width="4.77734375" style="412" customWidth="1"/>
    <col min="2" max="2" width="1.77734375" style="412" customWidth="1"/>
    <col min="3" max="5" width="2.77734375" style="412" customWidth="1"/>
    <col min="6" max="6" width="46.44140625" style="412" customWidth="1"/>
    <col min="7" max="7" width="1.77734375" style="412" customWidth="1"/>
    <col min="8" max="8" width="10.33203125" style="412" customWidth="1"/>
    <col min="9" max="9" width="9.33203125" style="412"/>
    <col min="10" max="10" width="18.44140625" style="412" bestFit="1" customWidth="1"/>
    <col min="11" max="11" width="17.77734375" style="412" bestFit="1" customWidth="1"/>
    <col min="12" max="16384" width="9.33203125" style="412"/>
  </cols>
  <sheetData>
    <row r="1" spans="1:9" s="476" customFormat="1">
      <c r="A1" s="507" t="str">
        <f>Applicant</f>
        <v>Alberta Electric System Operator</v>
      </c>
      <c r="B1" s="467"/>
      <c r="C1" s="507"/>
      <c r="D1" s="467"/>
      <c r="E1" s="467"/>
      <c r="F1" s="467"/>
      <c r="G1" s="467"/>
      <c r="H1" s="704" t="str">
        <f ca="1">TablePrefix&amp;TRIM(MID(CELL("filename",H2),FIND("]",CELL("filename",H2))+1,4))&amp;TableSuffix</f>
        <v>Table F-1</v>
      </c>
    </row>
    <row r="2" spans="1:9" s="476" customFormat="1">
      <c r="A2" s="2" t="str">
        <f>Application</f>
        <v>Bulk and Regional Tariff Design Application</v>
      </c>
      <c r="B2" s="467"/>
      <c r="C2" s="2"/>
      <c r="D2" s="467"/>
      <c r="E2" s="467"/>
      <c r="F2" s="467"/>
      <c r="G2" s="467"/>
      <c r="H2" s="704" t="str">
        <f>TableDate</f>
        <v>October 15, 2021</v>
      </c>
    </row>
    <row r="3" spans="1:9" s="476" customFormat="1">
      <c r="A3" s="467"/>
      <c r="B3" s="467"/>
      <c r="C3" s="507"/>
      <c r="D3" s="467"/>
      <c r="E3" s="467"/>
      <c r="F3" s="467"/>
      <c r="G3" s="467"/>
      <c r="H3" s="467"/>
    </row>
    <row r="4" spans="1:9">
      <c r="A4" s="508" t="str">
        <f>TableGroup1</f>
        <v>Appendix F — 2019 Test Year Proposed Rate Calculations</v>
      </c>
      <c r="B4" s="508"/>
      <c r="C4" s="508"/>
      <c r="D4" s="508"/>
      <c r="E4" s="508"/>
      <c r="F4" s="508"/>
      <c r="G4" s="508"/>
      <c r="H4" s="508"/>
    </row>
    <row r="5" spans="1:9" s="509" customFormat="1">
      <c r="A5" s="508" t="s">
        <v>463</v>
      </c>
      <c r="B5" s="508"/>
      <c r="C5" s="508"/>
      <c r="D5" s="508"/>
      <c r="E5" s="508"/>
      <c r="F5" s="508"/>
      <c r="G5" s="508"/>
      <c r="H5" s="508"/>
    </row>
    <row r="6" spans="1:9" s="408" customFormat="1">
      <c r="A6" s="568"/>
      <c r="B6" s="568"/>
      <c r="C6" s="568"/>
      <c r="D6" s="568"/>
      <c r="E6" s="568"/>
      <c r="F6" s="568"/>
      <c r="G6" s="431"/>
      <c r="H6" s="431"/>
    </row>
    <row r="7" spans="1:9" s="408" customFormat="1">
      <c r="A7" s="431"/>
      <c r="B7" s="431"/>
      <c r="C7" s="431"/>
      <c r="D7" s="431"/>
      <c r="E7" s="431"/>
      <c r="F7" s="431"/>
      <c r="G7" s="431"/>
      <c r="H7" s="396" t="s">
        <v>2</v>
      </c>
    </row>
    <row r="8" spans="1:9" s="408" customFormat="1">
      <c r="A8" s="431"/>
      <c r="B8" s="431"/>
      <c r="C8" s="431"/>
      <c r="D8" s="431"/>
      <c r="E8" s="431"/>
      <c r="F8" s="431"/>
      <c r="G8" s="431"/>
      <c r="H8" s="431"/>
    </row>
    <row r="9" spans="1:9" s="328" customFormat="1" ht="12.75" customHeight="1">
      <c r="H9" s="453">
        <v>2019</v>
      </c>
      <c r="I9" s="395"/>
    </row>
    <row r="10" spans="1:9" s="328" customFormat="1">
      <c r="A10" s="325"/>
      <c r="H10" s="454"/>
      <c r="I10" s="395"/>
    </row>
    <row r="11" spans="1:9" s="328" customFormat="1">
      <c r="A11" s="325"/>
      <c r="H11" s="633" t="s">
        <v>323</v>
      </c>
      <c r="I11" s="395"/>
    </row>
    <row r="12" spans="1:9" s="326" customFormat="1" ht="15">
      <c r="A12" s="327" t="s">
        <v>58</v>
      </c>
      <c r="C12" s="331" t="s">
        <v>1</v>
      </c>
      <c r="D12" s="331"/>
      <c r="E12" s="331"/>
      <c r="F12" s="331"/>
      <c r="H12" s="377" t="s">
        <v>487</v>
      </c>
      <c r="I12" s="400"/>
    </row>
    <row r="13" spans="1:9" s="392" customFormat="1">
      <c r="A13" s="503"/>
    </row>
    <row r="14" spans="1:9" s="328" customFormat="1">
      <c r="A14" s="503"/>
      <c r="C14" s="328" t="s">
        <v>257</v>
      </c>
    </row>
    <row r="15" spans="1:9" s="328" customFormat="1">
      <c r="A15" s="503"/>
      <c r="C15" s="328" t="s">
        <v>258</v>
      </c>
    </row>
    <row r="16" spans="1:9" s="392" customFormat="1">
      <c r="A16" s="503">
        <v>1</v>
      </c>
      <c r="D16" s="392" t="s">
        <v>259</v>
      </c>
      <c r="H16" s="510">
        <f>'F-2 TFO Rev Req'!M11</f>
        <v>859.31642220013794</v>
      </c>
      <c r="I16" s="502"/>
    </row>
    <row r="17" spans="1:17" s="392" customFormat="1">
      <c r="A17" s="503">
        <f>A16+1</f>
        <v>2</v>
      </c>
      <c r="D17" s="392" t="s">
        <v>307</v>
      </c>
      <c r="H17" s="510">
        <f>'F-2 TFO Rev Req'!M12</f>
        <v>686.44167074635698</v>
      </c>
      <c r="I17" s="502"/>
    </row>
    <row r="18" spans="1:17" s="392" customFormat="1">
      <c r="A18" s="503">
        <f t="shared" ref="A18:A28" si="0">A17+1</f>
        <v>3</v>
      </c>
      <c r="E18" s="392" t="s">
        <v>260</v>
      </c>
      <c r="H18" s="694">
        <v>-2.0872218600000001</v>
      </c>
      <c r="I18" s="502"/>
      <c r="J18" s="504"/>
      <c r="K18" s="504"/>
      <c r="L18" s="504"/>
      <c r="M18" s="504"/>
      <c r="N18" s="504"/>
      <c r="O18" s="504"/>
      <c r="P18" s="504"/>
      <c r="Q18" s="504"/>
    </row>
    <row r="19" spans="1:17" s="392" customFormat="1">
      <c r="A19" s="503">
        <f t="shared" si="0"/>
        <v>4</v>
      </c>
      <c r="F19" s="392" t="s">
        <v>261</v>
      </c>
      <c r="H19" s="510">
        <f>SUM(H17:H18)</f>
        <v>684.35444888635698</v>
      </c>
      <c r="I19" s="502"/>
      <c r="J19" s="622"/>
      <c r="K19" s="504"/>
      <c r="L19" s="504"/>
      <c r="M19" s="504"/>
      <c r="N19" s="504"/>
      <c r="O19" s="504"/>
      <c r="P19" s="504"/>
      <c r="Q19" s="504"/>
    </row>
    <row r="20" spans="1:17" s="392" customFormat="1">
      <c r="A20" s="503">
        <f t="shared" si="0"/>
        <v>5</v>
      </c>
      <c r="D20" s="392" t="s">
        <v>305</v>
      </c>
      <c r="H20" s="510">
        <f>'F-2 TFO Rev Req'!M13</f>
        <v>91.058671950000004</v>
      </c>
      <c r="I20" s="502"/>
      <c r="J20" s="504"/>
      <c r="K20" s="504"/>
      <c r="L20" s="504"/>
      <c r="M20" s="504"/>
      <c r="N20" s="504"/>
      <c r="O20" s="504"/>
      <c r="P20" s="504"/>
      <c r="Q20" s="504"/>
    </row>
    <row r="21" spans="1:17" s="392" customFormat="1">
      <c r="A21" s="503">
        <f t="shared" si="0"/>
        <v>6</v>
      </c>
      <c r="D21" s="392" t="s">
        <v>306</v>
      </c>
      <c r="H21" s="510">
        <f>'F-2 TFO Rev Req'!M14</f>
        <v>102.651792</v>
      </c>
      <c r="I21" s="502"/>
      <c r="J21" s="504"/>
      <c r="K21" s="504"/>
      <c r="L21" s="504"/>
      <c r="M21" s="504"/>
      <c r="N21" s="504"/>
      <c r="O21" s="504"/>
      <c r="P21" s="504"/>
      <c r="Q21" s="504"/>
    </row>
    <row r="22" spans="1:17" s="392" customFormat="1">
      <c r="A22" s="503">
        <f t="shared" si="0"/>
        <v>7</v>
      </c>
      <c r="D22" s="392" t="s">
        <v>262</v>
      </c>
      <c r="H22" s="510">
        <f>'F-2 TFO Rev Req'!M15</f>
        <v>8.6511870000000002</v>
      </c>
      <c r="I22" s="502"/>
      <c r="J22" s="504"/>
      <c r="K22" s="504"/>
      <c r="L22" s="504"/>
      <c r="M22" s="504"/>
      <c r="N22" s="504"/>
      <c r="O22" s="504"/>
      <c r="P22" s="504"/>
      <c r="Q22" s="504"/>
    </row>
    <row r="23" spans="1:17" s="392" customFormat="1">
      <c r="A23" s="503">
        <f t="shared" si="0"/>
        <v>8</v>
      </c>
      <c r="D23" s="392" t="s">
        <v>308</v>
      </c>
      <c r="H23" s="510">
        <f>'F-2 TFO Rev Req'!M16</f>
        <v>6.9457929900000002</v>
      </c>
      <c r="I23" s="502"/>
      <c r="J23" s="504"/>
      <c r="K23" s="504"/>
      <c r="L23" s="504"/>
      <c r="M23" s="504"/>
      <c r="N23" s="504"/>
      <c r="O23" s="504"/>
      <c r="P23" s="504"/>
      <c r="Q23" s="504"/>
    </row>
    <row r="24" spans="1:17" s="392" customFormat="1">
      <c r="A24" s="514">
        <f t="shared" si="0"/>
        <v>9</v>
      </c>
      <c r="D24" s="392" t="s">
        <v>263</v>
      </c>
      <c r="H24" s="510">
        <f>'F-2 TFO Rev Req'!M17</f>
        <v>5.1047960000000003</v>
      </c>
      <c r="I24" s="502"/>
      <c r="J24" s="504"/>
      <c r="K24" s="504"/>
      <c r="L24" s="504"/>
      <c r="M24" s="504"/>
      <c r="N24" s="504"/>
      <c r="O24" s="504"/>
      <c r="P24" s="504"/>
      <c r="Q24" s="504"/>
    </row>
    <row r="25" spans="1:17" s="516" customFormat="1">
      <c r="A25" s="514">
        <f t="shared" si="0"/>
        <v>10</v>
      </c>
      <c r="D25" s="516" t="s">
        <v>299</v>
      </c>
      <c r="H25" s="510">
        <f>'F-2 TFO Rev Req'!M18</f>
        <v>4.7710000399999997</v>
      </c>
      <c r="I25" s="502"/>
      <c r="J25" s="621"/>
      <c r="K25" s="621"/>
      <c r="L25" s="621"/>
      <c r="M25" s="621"/>
      <c r="N25" s="621"/>
      <c r="O25" s="504"/>
      <c r="P25" s="504"/>
      <c r="Q25" s="504"/>
    </row>
    <row r="26" spans="1:17" s="504" customFormat="1">
      <c r="A26" s="514">
        <f t="shared" si="0"/>
        <v>11</v>
      </c>
      <c r="D26" s="504" t="s">
        <v>464</v>
      </c>
      <c r="H26" s="510">
        <f>'F-2 TFO Rev Req'!M19</f>
        <v>0.51729828999999994</v>
      </c>
      <c r="I26" s="502"/>
      <c r="J26" s="621"/>
    </row>
    <row r="27" spans="1:17" s="504" customFormat="1">
      <c r="A27" s="514">
        <f t="shared" si="0"/>
        <v>12</v>
      </c>
      <c r="D27" s="504" t="s">
        <v>427</v>
      </c>
      <c r="H27" s="694">
        <f>'F-2 TFO Rev Req'!M20</f>
        <v>83.421856217598901</v>
      </c>
      <c r="I27" s="502"/>
      <c r="J27" s="621"/>
    </row>
    <row r="28" spans="1:17" s="395" customFormat="1">
      <c r="A28" s="514">
        <f t="shared" si="0"/>
        <v>13</v>
      </c>
      <c r="E28" s="395" t="s">
        <v>264</v>
      </c>
      <c r="H28" s="511">
        <f>SUM(H16,H19:H27)</f>
        <v>1846.7932655740938</v>
      </c>
      <c r="I28" s="502"/>
      <c r="J28" s="589"/>
    </row>
    <row r="29" spans="1:17" s="392" customFormat="1">
      <c r="A29" s="503"/>
      <c r="H29" s="517"/>
      <c r="J29" s="504"/>
      <c r="K29" s="504"/>
      <c r="L29" s="504"/>
      <c r="M29" s="504"/>
      <c r="N29" s="504"/>
      <c r="O29" s="504"/>
      <c r="P29" s="504"/>
      <c r="Q29" s="504"/>
    </row>
    <row r="30" spans="1:17" s="392" customFormat="1">
      <c r="A30" s="503"/>
      <c r="C30" s="328" t="s">
        <v>265</v>
      </c>
      <c r="D30" s="328"/>
      <c r="E30" s="328"/>
      <c r="F30" s="328"/>
      <c r="H30" s="517"/>
      <c r="J30" s="504"/>
      <c r="K30" s="504"/>
      <c r="L30" s="504"/>
      <c r="M30" s="504"/>
      <c r="N30" s="504"/>
      <c r="O30" s="504"/>
      <c r="P30" s="504"/>
      <c r="Q30" s="504"/>
    </row>
    <row r="31" spans="1:17" s="392" customFormat="1">
      <c r="A31" s="503">
        <f>A28+1</f>
        <v>14</v>
      </c>
      <c r="D31" s="392" t="s">
        <v>266</v>
      </c>
      <c r="H31" s="521">
        <v>2.0671133999999998</v>
      </c>
      <c r="I31" s="502"/>
      <c r="J31" s="504"/>
      <c r="K31" s="504"/>
      <c r="L31" s="504"/>
      <c r="M31" s="504"/>
      <c r="N31" s="504"/>
      <c r="O31" s="504"/>
      <c r="P31" s="504"/>
      <c r="Q31" s="504"/>
    </row>
    <row r="32" spans="1:17" s="392" customFormat="1">
      <c r="A32" s="503">
        <f>A31+1</f>
        <v>15</v>
      </c>
      <c r="D32" s="392" t="s">
        <v>267</v>
      </c>
      <c r="H32" s="522">
        <v>2.4808515000000009</v>
      </c>
      <c r="I32" s="502"/>
      <c r="J32" s="504"/>
      <c r="K32" s="504"/>
      <c r="L32" s="504"/>
      <c r="M32" s="504"/>
      <c r="N32" s="504"/>
      <c r="O32" s="504"/>
      <c r="P32" s="504"/>
      <c r="Q32" s="504"/>
    </row>
    <row r="33" spans="1:18" s="328" customFormat="1">
      <c r="A33" s="503">
        <f>A32+1</f>
        <v>16</v>
      </c>
      <c r="E33" s="328" t="s">
        <v>268</v>
      </c>
      <c r="H33" s="511">
        <f>SUM(H31:H32)</f>
        <v>4.5479649000000002</v>
      </c>
      <c r="I33" s="502"/>
      <c r="J33" s="395"/>
      <c r="K33" s="629"/>
      <c r="L33" s="395"/>
      <c r="M33" s="395"/>
      <c r="N33" s="395"/>
      <c r="O33" s="395"/>
      <c r="P33" s="395"/>
      <c r="Q33" s="395"/>
    </row>
    <row r="34" spans="1:18" s="395" customFormat="1" ht="13.5" thickBot="1">
      <c r="A34" s="576">
        <f>A33+1</f>
        <v>17</v>
      </c>
      <c r="F34" s="395" t="s">
        <v>269</v>
      </c>
      <c r="H34" s="577">
        <f>SUM(H28,H33)</f>
        <v>1851.3412304740937</v>
      </c>
      <c r="I34" s="502"/>
      <c r="J34" s="628"/>
      <c r="K34" s="629"/>
    </row>
    <row r="35" spans="1:18" s="392" customFormat="1">
      <c r="A35" s="503"/>
      <c r="H35" s="511"/>
      <c r="J35" s="643"/>
      <c r="K35" s="627"/>
      <c r="L35" s="504"/>
      <c r="M35" s="504"/>
      <c r="N35" s="504"/>
      <c r="O35" s="504"/>
      <c r="P35" s="504"/>
      <c r="Q35" s="504"/>
      <c r="R35" s="516"/>
    </row>
    <row r="36" spans="1:18" s="328" customFormat="1">
      <c r="A36" s="503"/>
      <c r="C36" s="328" t="s">
        <v>270</v>
      </c>
      <c r="H36" s="548"/>
      <c r="J36" s="395"/>
      <c r="K36" s="395"/>
      <c r="L36" s="395"/>
      <c r="M36" s="395"/>
      <c r="N36" s="395"/>
      <c r="O36" s="395"/>
      <c r="P36" s="395"/>
      <c r="Q36" s="395"/>
    </row>
    <row r="37" spans="1:18" s="328" customFormat="1">
      <c r="A37" s="503"/>
      <c r="C37" s="328" t="s">
        <v>12</v>
      </c>
      <c r="H37" s="521"/>
      <c r="J37" s="395"/>
      <c r="K37" s="395"/>
      <c r="L37" s="395"/>
      <c r="M37" s="395"/>
      <c r="N37" s="395"/>
      <c r="O37" s="395"/>
      <c r="P37" s="395"/>
      <c r="Q37" s="395"/>
    </row>
    <row r="38" spans="1:18" s="392" customFormat="1">
      <c r="A38" s="503"/>
      <c r="D38" s="392" t="s">
        <v>271</v>
      </c>
      <c r="H38" s="521"/>
      <c r="J38" s="504"/>
      <c r="K38" s="504"/>
      <c r="L38" s="504"/>
      <c r="M38" s="504"/>
      <c r="N38" s="504"/>
      <c r="O38" s="504"/>
      <c r="P38" s="504"/>
      <c r="Q38" s="504"/>
    </row>
    <row r="39" spans="1:18" s="392" customFormat="1">
      <c r="A39" s="503">
        <f>A34+1</f>
        <v>18</v>
      </c>
      <c r="E39" s="392" t="s">
        <v>272</v>
      </c>
      <c r="H39" s="521">
        <v>57.572413509999997</v>
      </c>
      <c r="I39" s="502"/>
      <c r="J39" s="504"/>
      <c r="K39" s="504"/>
      <c r="L39" s="504"/>
      <c r="M39" s="504"/>
      <c r="N39" s="504"/>
      <c r="O39" s="504"/>
      <c r="P39" s="504"/>
      <c r="Q39" s="504"/>
    </row>
    <row r="40" spans="1:18" s="392" customFormat="1">
      <c r="A40" s="503">
        <f>A39+1</f>
        <v>19</v>
      </c>
      <c r="E40" s="392" t="s">
        <v>273</v>
      </c>
      <c r="H40" s="521">
        <v>63.414532350000002</v>
      </c>
      <c r="I40" s="502"/>
      <c r="J40" s="504"/>
      <c r="K40" s="504"/>
      <c r="L40" s="504"/>
      <c r="M40" s="504"/>
      <c r="N40" s="504"/>
      <c r="O40" s="504"/>
      <c r="P40" s="504"/>
      <c r="Q40" s="504"/>
    </row>
    <row r="41" spans="1:18" s="392" customFormat="1">
      <c r="A41" s="503">
        <f>A40+1</f>
        <v>20</v>
      </c>
      <c r="E41" s="392" t="s">
        <v>274</v>
      </c>
      <c r="H41" s="522">
        <v>51.341565789999997</v>
      </c>
      <c r="I41" s="502"/>
      <c r="J41" s="504"/>
      <c r="K41" s="504"/>
      <c r="L41" s="504"/>
      <c r="M41" s="504"/>
      <c r="N41" s="504"/>
      <c r="O41" s="504"/>
      <c r="P41" s="504"/>
      <c r="Q41" s="504"/>
    </row>
    <row r="42" spans="1:18" s="328" customFormat="1">
      <c r="A42" s="503">
        <f>A41+1</f>
        <v>21</v>
      </c>
      <c r="F42" s="328" t="s">
        <v>275</v>
      </c>
      <c r="H42" s="523">
        <f>SUM(H39:H41)</f>
        <v>172.32851165</v>
      </c>
      <c r="I42" s="502"/>
      <c r="J42" s="395"/>
      <c r="K42" s="395"/>
      <c r="L42" s="395"/>
      <c r="M42" s="395"/>
      <c r="N42" s="395"/>
      <c r="O42" s="395"/>
      <c r="P42" s="395"/>
      <c r="Q42" s="395"/>
    </row>
    <row r="43" spans="1:18" s="392" customFormat="1">
      <c r="A43" s="503"/>
      <c r="D43" s="392" t="s">
        <v>276</v>
      </c>
      <c r="H43" s="521"/>
      <c r="I43" s="502"/>
      <c r="J43" s="504"/>
      <c r="K43" s="504"/>
      <c r="L43" s="504"/>
      <c r="M43" s="504"/>
      <c r="N43" s="504"/>
      <c r="O43" s="504"/>
      <c r="P43" s="504"/>
      <c r="Q43" s="504"/>
    </row>
    <row r="44" spans="1:18" s="392" customFormat="1">
      <c r="A44" s="503">
        <f>A42+1</f>
        <v>22</v>
      </c>
      <c r="E44" s="392" t="s">
        <v>272</v>
      </c>
      <c r="H44" s="521">
        <v>3.2535461099999998</v>
      </c>
      <c r="I44" s="502"/>
      <c r="J44" s="504"/>
      <c r="K44" s="504"/>
      <c r="L44" s="504"/>
      <c r="M44" s="504"/>
      <c r="N44" s="504"/>
      <c r="O44" s="504"/>
      <c r="P44" s="504"/>
      <c r="Q44" s="504"/>
    </row>
    <row r="45" spans="1:18" s="392" customFormat="1">
      <c r="A45" s="503">
        <f>A44+1</f>
        <v>23</v>
      </c>
      <c r="E45" s="392" t="s">
        <v>273</v>
      </c>
      <c r="H45" s="521">
        <v>12.265942690000001</v>
      </c>
      <c r="I45" s="502"/>
      <c r="J45" s="504"/>
      <c r="K45" s="504"/>
      <c r="L45" s="504"/>
      <c r="M45" s="504"/>
      <c r="N45" s="504"/>
      <c r="O45" s="504"/>
      <c r="P45" s="504"/>
      <c r="Q45" s="504"/>
    </row>
    <row r="46" spans="1:18" s="392" customFormat="1">
      <c r="A46" s="503">
        <f>A45+1</f>
        <v>24</v>
      </c>
      <c r="E46" s="392" t="s">
        <v>274</v>
      </c>
      <c r="H46" s="521">
        <v>4.8089678200000003</v>
      </c>
      <c r="I46" s="502"/>
      <c r="J46" s="504"/>
      <c r="K46" s="504"/>
      <c r="L46" s="504"/>
      <c r="M46" s="504"/>
      <c r="N46" s="504"/>
      <c r="O46" s="504"/>
      <c r="P46" s="504"/>
      <c r="Q46" s="504"/>
    </row>
    <row r="47" spans="1:18" s="328" customFormat="1">
      <c r="A47" s="503">
        <f>A46+1</f>
        <v>25</v>
      </c>
      <c r="F47" s="328" t="s">
        <v>277</v>
      </c>
      <c r="G47" s="397"/>
      <c r="H47" s="524">
        <f>SUM(H44:H46)</f>
        <v>20.328456620000001</v>
      </c>
      <c r="I47" s="502"/>
      <c r="J47" s="395"/>
      <c r="K47" s="395"/>
      <c r="L47" s="395"/>
      <c r="M47" s="395"/>
      <c r="N47" s="395"/>
      <c r="O47" s="395"/>
      <c r="P47" s="395"/>
      <c r="Q47" s="395"/>
    </row>
    <row r="48" spans="1:18" s="392" customFormat="1">
      <c r="A48" s="503">
        <f>A47+1</f>
        <v>26</v>
      </c>
      <c r="D48" s="392" t="s">
        <v>324</v>
      </c>
      <c r="H48" s="522">
        <v>-5.4295088600000003</v>
      </c>
      <c r="I48" s="502"/>
      <c r="J48" s="504"/>
      <c r="K48" s="504"/>
      <c r="L48" s="504"/>
      <c r="M48" s="504"/>
      <c r="N48" s="504"/>
      <c r="O48" s="504"/>
      <c r="P48" s="504"/>
      <c r="Q48" s="504"/>
    </row>
    <row r="49" spans="1:17" s="328" customFormat="1">
      <c r="A49" s="503">
        <f>A48+1</f>
        <v>27</v>
      </c>
      <c r="E49" s="328" t="s">
        <v>278</v>
      </c>
      <c r="H49" s="523">
        <f>SUM(H42,H47:H48)</f>
        <v>187.22745940999999</v>
      </c>
      <c r="I49" s="502"/>
      <c r="J49" s="395"/>
      <c r="K49" s="395"/>
      <c r="L49" s="395"/>
      <c r="M49" s="395"/>
      <c r="N49" s="395"/>
      <c r="O49" s="395"/>
      <c r="P49" s="395"/>
      <c r="Q49" s="395"/>
    </row>
    <row r="50" spans="1:17" s="392" customFormat="1">
      <c r="A50" s="503"/>
      <c r="H50" s="521"/>
      <c r="I50" s="502"/>
      <c r="J50" s="504"/>
      <c r="K50" s="504"/>
      <c r="L50" s="504"/>
      <c r="M50" s="504"/>
      <c r="N50" s="504"/>
      <c r="O50" s="504"/>
      <c r="P50" s="504"/>
      <c r="Q50" s="504"/>
    </row>
    <row r="51" spans="1:17" s="328" customFormat="1">
      <c r="A51" s="503"/>
      <c r="C51" s="328" t="s">
        <v>13</v>
      </c>
      <c r="H51" s="521"/>
      <c r="I51" s="502"/>
      <c r="J51" s="395"/>
      <c r="K51" s="395"/>
      <c r="L51" s="395"/>
      <c r="M51" s="395"/>
      <c r="N51" s="395"/>
      <c r="O51" s="395"/>
      <c r="P51" s="395"/>
      <c r="Q51" s="395"/>
    </row>
    <row r="52" spans="1:17" s="392" customFormat="1">
      <c r="A52" s="503">
        <f>A49+1</f>
        <v>28</v>
      </c>
      <c r="D52" s="392" t="s">
        <v>14</v>
      </c>
      <c r="H52" s="521">
        <v>2.2928907000000001</v>
      </c>
      <c r="I52" s="502"/>
      <c r="J52" s="504"/>
      <c r="K52" s="504"/>
      <c r="L52" s="504"/>
      <c r="M52" s="504"/>
      <c r="N52" s="504"/>
      <c r="O52" s="504"/>
      <c r="P52" s="504"/>
      <c r="Q52" s="504"/>
    </row>
    <row r="53" spans="1:17" s="392" customFormat="1">
      <c r="A53" s="503">
        <f t="shared" ref="A53:A61" si="1">A52+1</f>
        <v>29</v>
      </c>
      <c r="D53" s="392" t="s">
        <v>15</v>
      </c>
      <c r="H53" s="521">
        <v>3.2913457400000001</v>
      </c>
      <c r="I53" s="502"/>
      <c r="J53" s="504"/>
      <c r="K53" s="504"/>
      <c r="L53" s="504"/>
      <c r="M53" s="504"/>
      <c r="N53" s="504"/>
      <c r="O53" s="504"/>
      <c r="P53" s="504"/>
      <c r="Q53" s="504"/>
    </row>
    <row r="54" spans="1:17" s="392" customFormat="1">
      <c r="A54" s="503">
        <f t="shared" si="1"/>
        <v>30</v>
      </c>
      <c r="D54" s="516" t="s">
        <v>424</v>
      </c>
      <c r="H54" s="521">
        <v>16.147908659999999</v>
      </c>
      <c r="I54" s="502"/>
      <c r="J54" s="504"/>
      <c r="K54" s="504"/>
      <c r="L54" s="504"/>
      <c r="M54" s="504"/>
      <c r="N54" s="504"/>
      <c r="O54" s="504"/>
      <c r="P54" s="504"/>
      <c r="Q54" s="504"/>
    </row>
    <row r="55" spans="1:17" s="392" customFormat="1">
      <c r="A55" s="503">
        <f t="shared" si="1"/>
        <v>31</v>
      </c>
      <c r="D55" s="516" t="s">
        <v>392</v>
      </c>
      <c r="H55" s="521">
        <v>2.8571428800000001</v>
      </c>
      <c r="I55" s="502"/>
      <c r="J55" s="504"/>
      <c r="K55" s="504"/>
      <c r="L55" s="504"/>
      <c r="M55" s="504"/>
      <c r="N55" s="504"/>
      <c r="O55" s="504"/>
      <c r="P55" s="504"/>
      <c r="Q55" s="504"/>
    </row>
    <row r="56" spans="1:17" s="392" customFormat="1">
      <c r="A56" s="503">
        <f t="shared" si="1"/>
        <v>32</v>
      </c>
      <c r="D56" s="516" t="s">
        <v>395</v>
      </c>
      <c r="H56" s="521">
        <v>0.26980104999999999</v>
      </c>
      <c r="I56" s="502"/>
      <c r="J56" s="504"/>
      <c r="K56" s="504"/>
      <c r="L56" s="504"/>
      <c r="M56" s="504"/>
      <c r="N56" s="504"/>
      <c r="O56" s="504"/>
      <c r="P56" s="504"/>
      <c r="Q56" s="504"/>
    </row>
    <row r="57" spans="1:17" s="392" customFormat="1">
      <c r="A57" s="503">
        <f t="shared" si="1"/>
        <v>33</v>
      </c>
      <c r="D57" s="516" t="s">
        <v>17</v>
      </c>
      <c r="H57" s="521">
        <v>0.86910456000000003</v>
      </c>
      <c r="I57" s="502"/>
      <c r="J57" s="504"/>
      <c r="K57" s="504"/>
      <c r="L57" s="504"/>
      <c r="M57" s="504"/>
      <c r="N57" s="504"/>
      <c r="O57" s="504"/>
      <c r="P57" s="504"/>
      <c r="Q57" s="504"/>
    </row>
    <row r="58" spans="1:17" s="392" customFormat="1">
      <c r="A58" s="503">
        <f t="shared" si="1"/>
        <v>34</v>
      </c>
      <c r="D58" s="516" t="s">
        <v>279</v>
      </c>
      <c r="H58" s="521">
        <v>0</v>
      </c>
      <c r="I58" s="502"/>
      <c r="J58" s="504"/>
      <c r="K58" s="504"/>
      <c r="L58" s="504"/>
      <c r="M58" s="504"/>
      <c r="N58" s="504"/>
      <c r="O58" s="504"/>
      <c r="P58" s="504"/>
      <c r="Q58" s="504"/>
    </row>
    <row r="59" spans="1:17" s="515" customFormat="1">
      <c r="A59" s="514">
        <f t="shared" si="1"/>
        <v>35</v>
      </c>
      <c r="D59" s="516" t="s">
        <v>426</v>
      </c>
      <c r="H59" s="521">
        <v>0</v>
      </c>
      <c r="I59" s="502"/>
      <c r="J59" s="504"/>
      <c r="K59" s="504"/>
      <c r="L59" s="504"/>
      <c r="M59" s="504"/>
      <c r="N59" s="504"/>
      <c r="O59" s="504"/>
      <c r="P59" s="504"/>
      <c r="Q59" s="504"/>
    </row>
    <row r="60" spans="1:17" s="328" customFormat="1">
      <c r="A60" s="503">
        <f t="shared" si="1"/>
        <v>36</v>
      </c>
      <c r="E60" s="328" t="s">
        <v>393</v>
      </c>
      <c r="H60" s="525">
        <f t="shared" ref="H60" si="2">SUM(H52:H59)</f>
        <v>25.72819359</v>
      </c>
      <c r="I60" s="502"/>
      <c r="J60" s="628"/>
      <c r="K60" s="395"/>
      <c r="L60" s="395"/>
      <c r="M60" s="395"/>
      <c r="N60" s="395"/>
      <c r="O60" s="395"/>
      <c r="P60" s="395"/>
      <c r="Q60" s="395"/>
    </row>
    <row r="61" spans="1:17" s="392" customFormat="1" ht="13.5" thickBot="1">
      <c r="A61" s="503">
        <f t="shared" si="1"/>
        <v>37</v>
      </c>
      <c r="B61" s="328"/>
      <c r="C61" s="328"/>
      <c r="D61" s="328"/>
      <c r="E61" s="328"/>
      <c r="F61" s="328" t="s">
        <v>280</v>
      </c>
      <c r="G61" s="328"/>
      <c r="H61" s="526">
        <f>SUM(H49,H60)</f>
        <v>212.95565299999998</v>
      </c>
      <c r="I61" s="502"/>
      <c r="J61" s="627"/>
      <c r="K61" s="644"/>
      <c r="L61" s="504"/>
      <c r="M61" s="504"/>
      <c r="N61" s="504"/>
      <c r="O61" s="504"/>
      <c r="P61" s="504"/>
      <c r="Q61" s="504"/>
    </row>
    <row r="62" spans="1:17" s="392" customFormat="1">
      <c r="A62" s="503"/>
      <c r="B62" s="328"/>
      <c r="C62" s="328"/>
      <c r="D62" s="328"/>
      <c r="E62" s="328"/>
      <c r="F62" s="328"/>
      <c r="G62" s="328"/>
      <c r="H62" s="511"/>
      <c r="J62" s="504"/>
      <c r="K62" s="504"/>
      <c r="L62" s="504"/>
      <c r="M62" s="504"/>
      <c r="N62" s="504"/>
      <c r="O62" s="504"/>
      <c r="P62" s="504"/>
      <c r="Q62" s="504"/>
    </row>
    <row r="63" spans="1:17" s="328" customFormat="1">
      <c r="A63" s="503"/>
      <c r="C63" s="328" t="s">
        <v>281</v>
      </c>
      <c r="H63" s="548"/>
      <c r="J63" s="395"/>
      <c r="K63" s="395"/>
      <c r="L63" s="395"/>
      <c r="M63" s="395"/>
      <c r="N63" s="395"/>
      <c r="O63" s="395"/>
      <c r="P63" s="395"/>
      <c r="Q63" s="395"/>
    </row>
    <row r="64" spans="1:17" s="392" customFormat="1">
      <c r="A64" s="503">
        <f>A61+1</f>
        <v>38</v>
      </c>
      <c r="D64" s="392" t="s">
        <v>282</v>
      </c>
      <c r="H64" s="521">
        <v>109.2</v>
      </c>
      <c r="K64" s="504"/>
      <c r="L64" s="504"/>
      <c r="M64" s="504"/>
      <c r="N64" s="504"/>
      <c r="O64" s="504"/>
      <c r="P64" s="504"/>
      <c r="Q64" s="504"/>
    </row>
    <row r="65" spans="1:17" s="392" customFormat="1" ht="13.5" thickBot="1">
      <c r="A65" s="503">
        <f>A64+1</f>
        <v>39</v>
      </c>
      <c r="B65" s="328"/>
      <c r="C65" s="328"/>
      <c r="D65" s="328"/>
      <c r="E65" s="328" t="s">
        <v>283</v>
      </c>
      <c r="F65" s="328"/>
      <c r="G65" s="328"/>
      <c r="H65" s="526">
        <f t="shared" ref="H65" si="3">H64</f>
        <v>109.2</v>
      </c>
      <c r="J65" s="504"/>
      <c r="K65" s="504"/>
      <c r="L65" s="504"/>
      <c r="M65" s="504"/>
      <c r="N65" s="504"/>
      <c r="O65" s="504"/>
      <c r="P65" s="504"/>
      <c r="Q65" s="504"/>
    </row>
    <row r="66" spans="1:17" s="392" customFormat="1">
      <c r="A66" s="503"/>
      <c r="B66" s="328"/>
      <c r="C66" s="328"/>
      <c r="D66" s="328"/>
      <c r="E66" s="328"/>
      <c r="F66" s="328"/>
      <c r="G66" s="328"/>
      <c r="H66" s="548"/>
      <c r="J66" s="504"/>
      <c r="K66" s="504"/>
      <c r="L66" s="504"/>
      <c r="M66" s="504"/>
      <c r="N66" s="504"/>
      <c r="O66" s="504"/>
      <c r="P66" s="504"/>
      <c r="Q66" s="504"/>
    </row>
    <row r="67" spans="1:17" s="506" customFormat="1">
      <c r="A67" s="503"/>
      <c r="B67" s="328"/>
      <c r="C67" s="328" t="s">
        <v>284</v>
      </c>
      <c r="D67" s="328"/>
      <c r="E67" s="328"/>
      <c r="F67" s="328"/>
      <c r="G67" s="328"/>
      <c r="H67" s="521"/>
      <c r="I67" s="505"/>
      <c r="J67" s="505"/>
      <c r="K67" s="505"/>
      <c r="L67" s="505"/>
      <c r="M67" s="505"/>
      <c r="N67" s="505"/>
      <c r="O67" s="505"/>
      <c r="P67" s="505"/>
      <c r="Q67" s="505"/>
    </row>
    <row r="68" spans="1:17" s="326" customFormat="1">
      <c r="A68" s="503">
        <f>A65+1</f>
        <v>40</v>
      </c>
      <c r="B68" s="392"/>
      <c r="D68" s="392" t="s">
        <v>347</v>
      </c>
      <c r="E68" s="392"/>
      <c r="F68" s="392"/>
      <c r="G68" s="392"/>
      <c r="H68" s="521">
        <v>1.6700278099999999</v>
      </c>
      <c r="I68" s="400"/>
      <c r="J68" s="505"/>
      <c r="K68" s="400"/>
      <c r="L68" s="400"/>
      <c r="M68" s="505"/>
      <c r="N68" s="400"/>
      <c r="O68" s="400"/>
      <c r="P68" s="400"/>
      <c r="Q68" s="400"/>
    </row>
    <row r="69" spans="1:17" s="392" customFormat="1">
      <c r="A69" s="503">
        <f>A68+1</f>
        <v>41</v>
      </c>
      <c r="D69" s="392" t="s">
        <v>285</v>
      </c>
      <c r="H69" s="521">
        <v>2.14809319</v>
      </c>
      <c r="I69" s="504"/>
      <c r="J69" s="504"/>
      <c r="K69" s="504"/>
      <c r="L69" s="504"/>
      <c r="M69" s="504"/>
      <c r="N69" s="504"/>
      <c r="O69" s="504"/>
      <c r="P69" s="504"/>
      <c r="Q69" s="504"/>
    </row>
    <row r="70" spans="1:17" s="328" customFormat="1">
      <c r="A70" s="503">
        <f>A69+1</f>
        <v>42</v>
      </c>
      <c r="B70" s="392"/>
      <c r="D70" s="392" t="s">
        <v>396</v>
      </c>
      <c r="E70" s="392"/>
      <c r="F70" s="392"/>
      <c r="G70" s="392"/>
      <c r="H70" s="521">
        <v>11.533866029999999</v>
      </c>
      <c r="I70" s="395"/>
      <c r="J70" s="395"/>
      <c r="K70" s="395"/>
      <c r="L70" s="395"/>
      <c r="M70" s="395"/>
      <c r="N70" s="395"/>
      <c r="O70" s="395"/>
      <c r="P70" s="395"/>
      <c r="Q70" s="395"/>
    </row>
    <row r="71" spans="1:17" s="392" customFormat="1" ht="13.5" thickBot="1">
      <c r="A71" s="503">
        <f>A70+1</f>
        <v>43</v>
      </c>
      <c r="B71" s="328"/>
      <c r="C71" s="328"/>
      <c r="D71" s="328"/>
      <c r="E71" s="328" t="s">
        <v>286</v>
      </c>
      <c r="F71" s="328"/>
      <c r="G71" s="328"/>
      <c r="H71" s="532">
        <f>SUM(H68:H70)</f>
        <v>15.351987029999998</v>
      </c>
      <c r="I71" s="504"/>
      <c r="J71" s="504"/>
      <c r="K71" s="504"/>
      <c r="L71" s="504"/>
      <c r="M71" s="504"/>
      <c r="N71" s="504"/>
      <c r="O71" s="504"/>
      <c r="P71" s="504"/>
      <c r="Q71" s="504"/>
    </row>
    <row r="72" spans="1:17" s="392" customFormat="1">
      <c r="A72" s="503"/>
      <c r="H72" s="521"/>
      <c r="I72" s="504"/>
      <c r="J72" s="504"/>
      <c r="K72" s="504"/>
      <c r="L72" s="504"/>
      <c r="M72" s="504"/>
      <c r="N72" s="504"/>
      <c r="O72" s="504"/>
      <c r="P72" s="504"/>
      <c r="Q72" s="504"/>
    </row>
    <row r="73" spans="1:17" s="392" customFormat="1">
      <c r="A73" s="503"/>
      <c r="B73" s="328"/>
      <c r="C73" s="328" t="s">
        <v>287</v>
      </c>
      <c r="D73" s="328"/>
      <c r="E73" s="328"/>
      <c r="F73" s="328"/>
      <c r="G73" s="328"/>
      <c r="H73" s="521"/>
      <c r="I73" s="504"/>
      <c r="J73" s="504"/>
      <c r="K73" s="504"/>
      <c r="L73" s="504"/>
      <c r="M73" s="504"/>
      <c r="N73" s="504"/>
      <c r="O73" s="504"/>
      <c r="P73" s="504"/>
      <c r="Q73" s="504"/>
    </row>
    <row r="74" spans="1:17" s="328" customFormat="1">
      <c r="A74" s="503"/>
      <c r="C74" s="328" t="s">
        <v>288</v>
      </c>
      <c r="H74" s="521"/>
      <c r="J74" s="395"/>
      <c r="K74" s="395"/>
      <c r="L74" s="395"/>
      <c r="M74" s="395"/>
      <c r="N74" s="395"/>
      <c r="O74" s="395"/>
      <c r="P74" s="395"/>
      <c r="Q74" s="395"/>
    </row>
    <row r="75" spans="1:17" s="392" customFormat="1" ht="12.75" customHeight="1">
      <c r="A75" s="503">
        <f>A71+1</f>
        <v>44</v>
      </c>
      <c r="D75" s="392" t="s">
        <v>289</v>
      </c>
      <c r="H75" s="521">
        <v>54.923073599999995</v>
      </c>
      <c r="I75" s="529"/>
      <c r="J75" s="504"/>
      <c r="K75" s="504"/>
      <c r="L75" s="504"/>
      <c r="M75" s="504"/>
      <c r="N75" s="504"/>
      <c r="O75" s="504"/>
      <c r="P75" s="504"/>
      <c r="Q75" s="504"/>
    </row>
    <row r="76" spans="1:17" s="328" customFormat="1">
      <c r="A76" s="503">
        <f t="shared" ref="A76:A79" si="4">A75+1</f>
        <v>45</v>
      </c>
      <c r="B76" s="392"/>
      <c r="D76" s="392" t="s">
        <v>321</v>
      </c>
      <c r="E76" s="392"/>
      <c r="F76" s="392"/>
      <c r="G76" s="392"/>
      <c r="H76" s="521">
        <v>3.9361810299999997</v>
      </c>
      <c r="I76" s="529"/>
      <c r="J76" s="395"/>
      <c r="K76" s="395"/>
      <c r="L76" s="395"/>
      <c r="M76" s="395"/>
      <c r="N76" s="395"/>
      <c r="O76" s="395"/>
      <c r="P76" s="395"/>
      <c r="Q76" s="395"/>
    </row>
    <row r="77" spans="1:17" s="392" customFormat="1">
      <c r="A77" s="503">
        <f t="shared" si="4"/>
        <v>46</v>
      </c>
      <c r="D77" s="516" t="s">
        <v>322</v>
      </c>
      <c r="H77" s="521">
        <v>2.8155128899999995</v>
      </c>
      <c r="I77" s="529"/>
      <c r="J77" s="504"/>
      <c r="K77" s="504"/>
      <c r="L77" s="504"/>
      <c r="M77" s="504"/>
      <c r="N77" s="504"/>
      <c r="O77" s="504"/>
      <c r="P77" s="504"/>
      <c r="Q77" s="504"/>
    </row>
    <row r="78" spans="1:17" s="392" customFormat="1">
      <c r="A78" s="503">
        <f t="shared" si="4"/>
        <v>47</v>
      </c>
      <c r="D78" s="392" t="s">
        <v>397</v>
      </c>
      <c r="H78" s="521">
        <v>2.7357917399999998</v>
      </c>
      <c r="I78" s="529"/>
      <c r="J78" s="504"/>
      <c r="K78" s="504"/>
      <c r="L78" s="504"/>
      <c r="M78" s="504"/>
      <c r="N78" s="504"/>
      <c r="O78" s="504"/>
      <c r="P78" s="504"/>
      <c r="Q78" s="504"/>
    </row>
    <row r="79" spans="1:17" s="392" customFormat="1">
      <c r="A79" s="503">
        <f t="shared" si="4"/>
        <v>48</v>
      </c>
      <c r="D79" s="392" t="s">
        <v>325</v>
      </c>
      <c r="H79" s="521">
        <v>8.6810430800000002</v>
      </c>
      <c r="I79" s="529"/>
      <c r="J79" s="504"/>
      <c r="K79" s="504"/>
      <c r="L79" s="504"/>
      <c r="M79" s="504"/>
      <c r="N79" s="504"/>
      <c r="O79" s="504"/>
      <c r="P79" s="504"/>
      <c r="Q79" s="504"/>
    </row>
    <row r="80" spans="1:17" s="392" customFormat="1">
      <c r="A80" s="503">
        <f>A79+1</f>
        <v>49</v>
      </c>
      <c r="B80" s="328"/>
      <c r="C80" s="328"/>
      <c r="D80" s="328"/>
      <c r="E80" s="328" t="s">
        <v>301</v>
      </c>
      <c r="F80" s="328"/>
      <c r="G80" s="328"/>
      <c r="H80" s="525">
        <f>SUM(H75:H79)</f>
        <v>73.091602339999994</v>
      </c>
      <c r="I80" s="505"/>
      <c r="J80" s="504"/>
      <c r="K80" s="504"/>
      <c r="L80" s="504"/>
      <c r="M80" s="504"/>
      <c r="N80" s="504"/>
      <c r="O80" s="504"/>
      <c r="P80" s="504"/>
      <c r="Q80" s="504"/>
    </row>
    <row r="81" spans="1:17" s="392" customFormat="1">
      <c r="A81" s="503"/>
      <c r="H81" s="521"/>
      <c r="I81" s="504"/>
      <c r="J81" s="504"/>
      <c r="K81" s="504"/>
      <c r="L81" s="504"/>
      <c r="M81" s="504"/>
      <c r="N81" s="504"/>
      <c r="O81" s="504"/>
      <c r="P81" s="504"/>
      <c r="Q81" s="504"/>
    </row>
    <row r="82" spans="1:17" s="392" customFormat="1">
      <c r="A82" s="503"/>
      <c r="B82" s="328"/>
      <c r="C82" s="328" t="s">
        <v>290</v>
      </c>
      <c r="D82" s="328"/>
      <c r="E82" s="328"/>
      <c r="F82" s="328"/>
      <c r="G82" s="328"/>
      <c r="H82" s="521"/>
      <c r="I82" s="504"/>
      <c r="J82" s="504"/>
      <c r="K82" s="504"/>
      <c r="L82" s="504"/>
      <c r="M82" s="504"/>
      <c r="N82" s="504"/>
      <c r="O82" s="504"/>
      <c r="P82" s="504"/>
      <c r="Q82" s="504"/>
    </row>
    <row r="83" spans="1:17" s="392" customFormat="1">
      <c r="A83" s="503">
        <f>A80+1</f>
        <v>50</v>
      </c>
      <c r="D83" s="392" t="s">
        <v>291</v>
      </c>
      <c r="H83" s="521">
        <v>3.45776577</v>
      </c>
      <c r="I83" s="504"/>
      <c r="J83" s="504"/>
      <c r="K83" s="504"/>
      <c r="L83" s="504"/>
      <c r="M83" s="504"/>
      <c r="N83" s="504"/>
      <c r="O83" s="504"/>
      <c r="P83" s="504"/>
      <c r="Q83" s="504"/>
    </row>
    <row r="84" spans="1:17" s="392" customFormat="1">
      <c r="A84" s="503">
        <f>A83+1</f>
        <v>51</v>
      </c>
      <c r="D84" s="392" t="s">
        <v>292</v>
      </c>
      <c r="H84" s="521">
        <v>20.505487579999997</v>
      </c>
      <c r="I84" s="504"/>
      <c r="J84" s="504"/>
      <c r="K84" s="504"/>
      <c r="L84" s="504"/>
      <c r="M84" s="504"/>
      <c r="N84" s="504"/>
      <c r="O84" s="504"/>
      <c r="P84" s="504"/>
      <c r="Q84" s="504"/>
    </row>
    <row r="85" spans="1:17" s="392" customFormat="1">
      <c r="A85" s="503">
        <f>A84+1</f>
        <v>52</v>
      </c>
      <c r="B85" s="328"/>
      <c r="C85" s="328"/>
      <c r="D85" s="328"/>
      <c r="E85" s="328" t="s">
        <v>302</v>
      </c>
      <c r="F85" s="328"/>
      <c r="G85" s="328"/>
      <c r="H85" s="525">
        <f>SUM(H83:H84)</f>
        <v>23.963253349999995</v>
      </c>
      <c r="I85" s="504"/>
      <c r="J85" s="504"/>
      <c r="K85" s="504"/>
      <c r="L85" s="504"/>
      <c r="M85" s="504"/>
      <c r="N85" s="504"/>
      <c r="O85" s="504"/>
      <c r="P85" s="504"/>
      <c r="Q85" s="504"/>
    </row>
    <row r="86" spans="1:17" s="328" customFormat="1" ht="13.5" thickBot="1">
      <c r="A86" s="503">
        <f>A85+1</f>
        <v>53</v>
      </c>
      <c r="F86" s="328" t="s">
        <v>303</v>
      </c>
      <c r="H86" s="526">
        <f>SUM(H80,H85)</f>
        <v>97.054855689999982</v>
      </c>
      <c r="J86" s="395"/>
      <c r="K86" s="395"/>
      <c r="L86" s="395"/>
      <c r="M86" s="395"/>
      <c r="N86" s="395"/>
      <c r="O86" s="395"/>
      <c r="P86" s="395"/>
      <c r="Q86" s="395"/>
    </row>
    <row r="87" spans="1:17" s="392" customFormat="1">
      <c r="A87" s="503"/>
      <c r="H87" s="521"/>
      <c r="J87" s="504"/>
      <c r="K87" s="504"/>
      <c r="L87" s="504"/>
      <c r="M87" s="504"/>
      <c r="N87" s="504"/>
      <c r="O87" s="504"/>
      <c r="P87" s="504"/>
      <c r="Q87" s="504"/>
    </row>
    <row r="88" spans="1:17" s="392" customFormat="1" ht="13.5" thickBot="1">
      <c r="A88" s="503">
        <f>A86+1</f>
        <v>54</v>
      </c>
      <c r="B88" s="328"/>
      <c r="C88" s="328" t="s">
        <v>304</v>
      </c>
      <c r="D88" s="328"/>
      <c r="E88" s="328"/>
      <c r="F88" s="328"/>
      <c r="G88" s="328"/>
      <c r="H88" s="527">
        <f>SUM(H71,H86)</f>
        <v>112.40684271999999</v>
      </c>
      <c r="J88" s="504"/>
      <c r="K88" s="627"/>
      <c r="L88" s="504"/>
      <c r="M88" s="504"/>
      <c r="N88" s="504"/>
      <c r="O88" s="504"/>
      <c r="P88" s="504"/>
      <c r="Q88" s="504"/>
    </row>
    <row r="89" spans="1:17" s="392" customFormat="1">
      <c r="A89" s="503"/>
      <c r="H89" s="548"/>
      <c r="J89" s="504"/>
      <c r="K89" s="504"/>
      <c r="L89" s="504"/>
      <c r="M89" s="504"/>
      <c r="N89" s="504"/>
      <c r="O89" s="504"/>
      <c r="P89" s="504"/>
      <c r="Q89" s="504"/>
    </row>
    <row r="90" spans="1:17" s="395" customFormat="1" ht="13.5" thickBot="1">
      <c r="A90" s="576">
        <f>A88+1</f>
        <v>55</v>
      </c>
      <c r="C90" s="395" t="s">
        <v>293</v>
      </c>
      <c r="H90" s="579">
        <f>SUM(H34,H61,H65,H88)</f>
        <v>2285.9037261940935</v>
      </c>
    </row>
    <row r="91" spans="1:17" s="328" customFormat="1" ht="15">
      <c r="A91" s="533" t="s">
        <v>130</v>
      </c>
      <c r="C91" s="516" t="s">
        <v>485</v>
      </c>
      <c r="H91" s="548"/>
      <c r="J91" s="395"/>
      <c r="K91" s="395"/>
      <c r="L91" s="395"/>
      <c r="M91" s="395"/>
      <c r="N91" s="395"/>
      <c r="O91" s="395"/>
      <c r="P91" s="395"/>
      <c r="Q91" s="395"/>
    </row>
    <row r="92" spans="1:17" s="392" customFormat="1" ht="15">
      <c r="C92" s="392" t="s">
        <v>486</v>
      </c>
      <c r="H92" s="502"/>
    </row>
    <row r="93" spans="1:17" s="392" customFormat="1">
      <c r="H93" s="550"/>
    </row>
    <row r="94" spans="1:17">
      <c r="H94" s="403"/>
    </row>
    <row r="95" spans="1:17">
      <c r="H95" s="403"/>
    </row>
    <row r="96" spans="1:17">
      <c r="H96" s="403"/>
    </row>
    <row r="97" spans="8:8">
      <c r="H97" s="403"/>
    </row>
    <row r="98" spans="8:8">
      <c r="H98" s="403"/>
    </row>
    <row r="99" spans="8:8">
      <c r="H99" s="403"/>
    </row>
    <row r="100" spans="8:8">
      <c r="H100" s="403"/>
    </row>
  </sheetData>
  <phoneticPr fontId="14" type="noConversion"/>
  <printOptions horizontalCentered="1"/>
  <pageMargins left="0.25" right="0.25" top="0.75" bottom="0.75" header="0.3" footer="0.3"/>
  <pageSetup paperSize="17" scale="90"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showGridLines="0" zoomScaleNormal="100" workbookViewId="0">
      <selection activeCell="C7" sqref="C7"/>
    </sheetView>
  </sheetViews>
  <sheetFormatPr defaultColWidth="12.44140625" defaultRowHeight="13"/>
  <cols>
    <col min="1" max="1" width="10.44140625" style="168" customWidth="1"/>
    <col min="2" max="2" width="21.77734375" style="168" customWidth="1"/>
    <col min="3" max="3" width="20.44140625" style="55" customWidth="1"/>
    <col min="4" max="4" width="14.33203125" style="168" customWidth="1"/>
    <col min="5" max="5" width="11.44140625" style="168" customWidth="1"/>
    <col min="6" max="6" width="18" style="168" bestFit="1" customWidth="1"/>
    <col min="7" max="7" width="14.109375" style="168" customWidth="1"/>
    <col min="8" max="8" width="18.77734375" style="168" customWidth="1"/>
    <col min="9" max="9" width="56.44140625" style="168" customWidth="1"/>
    <col min="10" max="10" width="35.6640625" style="168" customWidth="1"/>
    <col min="11" max="11" width="14.33203125" style="168" customWidth="1"/>
    <col min="12" max="12" width="18.77734375" style="168" customWidth="1"/>
    <col min="13" max="13" width="17.109375" style="168" customWidth="1"/>
    <col min="14" max="16384" width="12.44140625" style="168"/>
  </cols>
  <sheetData>
    <row r="1" spans="1:14" s="240" customFormat="1">
      <c r="A1" s="376" t="str">
        <f>Applicant</f>
        <v>Alberta Electric System Operator</v>
      </c>
      <c r="B1" s="373"/>
      <c r="C1" s="376"/>
      <c r="D1" s="373"/>
      <c r="E1" s="373"/>
      <c r="F1" s="373"/>
      <c r="G1" s="373"/>
      <c r="H1" s="373"/>
      <c r="I1" s="373"/>
      <c r="J1" s="373"/>
      <c r="M1" s="4" t="str">
        <f ca="1">TablePrefix&amp;TRIM(MID(CELL("filename",N2),FIND("]",CELL("filename",N2))+1,4))&amp;TableSuffix</f>
        <v>Table F-2</v>
      </c>
    </row>
    <row r="2" spans="1:14" s="240" customFormat="1">
      <c r="A2" s="5" t="str">
        <f>Application</f>
        <v>Bulk and Regional Tariff Design Application</v>
      </c>
      <c r="B2" s="373"/>
      <c r="C2" s="5"/>
      <c r="D2" s="373"/>
      <c r="E2" s="373"/>
      <c r="F2" s="373"/>
      <c r="G2" s="373"/>
      <c r="H2" s="373"/>
      <c r="I2" s="373"/>
      <c r="J2" s="373"/>
      <c r="M2" s="4" t="str">
        <f>TableDate</f>
        <v>October 15, 2021</v>
      </c>
    </row>
    <row r="3" spans="1:14" s="240" customFormat="1">
      <c r="A3" s="373"/>
      <c r="B3" s="373"/>
      <c r="C3" s="376"/>
      <c r="D3" s="373"/>
      <c r="E3" s="373"/>
      <c r="F3" s="373"/>
      <c r="G3" s="373"/>
      <c r="H3" s="373"/>
      <c r="I3" s="373"/>
      <c r="J3" s="373"/>
      <c r="K3" s="373"/>
      <c r="L3" s="373"/>
    </row>
    <row r="4" spans="1:14" s="375" customFormat="1">
      <c r="A4" s="373"/>
      <c r="B4" s="601"/>
      <c r="C4" s="602"/>
      <c r="D4" s="330"/>
      <c r="E4" s="330"/>
      <c r="F4" s="330"/>
      <c r="G4" s="330"/>
      <c r="H4" s="390"/>
      <c r="I4" s="330"/>
      <c r="J4" s="330"/>
      <c r="K4" s="356"/>
    </row>
    <row r="5" spans="1:14" s="374" customFormat="1">
      <c r="A5" s="330" t="s">
        <v>489</v>
      </c>
      <c r="B5" s="330"/>
      <c r="C5" s="330"/>
      <c r="D5" s="330"/>
      <c r="E5" s="330"/>
      <c r="F5" s="330"/>
      <c r="G5" s="330"/>
      <c r="H5" s="330"/>
      <c r="I5" s="330"/>
      <c r="J5" s="330"/>
      <c r="K5" s="356"/>
    </row>
    <row r="6" spans="1:14" customFormat="1"/>
    <row r="7" spans="1:14">
      <c r="B7" s="478" t="s">
        <v>2</v>
      </c>
      <c r="C7" s="478" t="s">
        <v>3</v>
      </c>
      <c r="D7" s="478" t="s">
        <v>4</v>
      </c>
      <c r="E7" s="476" t="s">
        <v>5</v>
      </c>
      <c r="F7" s="476" t="s">
        <v>25</v>
      </c>
      <c r="G7" s="476" t="s">
        <v>26</v>
      </c>
      <c r="H7" s="476" t="s">
        <v>27</v>
      </c>
      <c r="I7" s="476" t="s">
        <v>50</v>
      </c>
      <c r="J7" s="168" t="s">
        <v>51</v>
      </c>
      <c r="K7" s="168" t="s">
        <v>91</v>
      </c>
      <c r="L7" s="168" t="s">
        <v>92</v>
      </c>
      <c r="M7" s="476" t="s">
        <v>313</v>
      </c>
    </row>
    <row r="8" spans="1:14">
      <c r="B8" s="478"/>
      <c r="C8" s="478"/>
      <c r="D8" s="478"/>
      <c r="E8" s="476"/>
      <c r="F8" s="476"/>
      <c r="G8" s="476"/>
      <c r="H8" s="476"/>
      <c r="J8" s="476"/>
      <c r="L8" s="476"/>
    </row>
    <row r="9" spans="1:14" s="479" customFormat="1" ht="14">
      <c r="A9" s="480"/>
      <c r="B9" s="480"/>
      <c r="C9" s="709" t="s">
        <v>383</v>
      </c>
      <c r="D9" s="709"/>
      <c r="E9" s="710"/>
      <c r="F9" s="711" t="s">
        <v>384</v>
      </c>
      <c r="G9" s="709"/>
      <c r="H9" s="710"/>
      <c r="I9" s="708" t="s">
        <v>488</v>
      </c>
      <c r="J9" s="708"/>
      <c r="K9" s="708"/>
      <c r="L9" s="708"/>
      <c r="M9" s="480"/>
      <c r="N9" s="520"/>
    </row>
    <row r="10" spans="1:14" s="477" customFormat="1" ht="39">
      <c r="A10" s="623" t="s">
        <v>430</v>
      </c>
      <c r="B10" s="481" t="s">
        <v>320</v>
      </c>
      <c r="C10" s="483" t="s">
        <v>379</v>
      </c>
      <c r="D10" s="570" t="s">
        <v>420</v>
      </c>
      <c r="E10" s="481" t="s">
        <v>326</v>
      </c>
      <c r="F10" s="483" t="s">
        <v>379</v>
      </c>
      <c r="G10" s="570" t="s">
        <v>420</v>
      </c>
      <c r="H10" s="481" t="s">
        <v>380</v>
      </c>
      <c r="I10" s="483" t="s">
        <v>381</v>
      </c>
      <c r="J10" s="566" t="s">
        <v>398</v>
      </c>
      <c r="K10" s="567" t="s">
        <v>422</v>
      </c>
      <c r="L10" s="564" t="s">
        <v>423</v>
      </c>
      <c r="M10" s="565" t="s">
        <v>421</v>
      </c>
    </row>
    <row r="11" spans="1:14" s="380" customFormat="1" ht="25" customHeight="1">
      <c r="A11" s="624">
        <v>1</v>
      </c>
      <c r="B11" s="519" t="s">
        <v>436</v>
      </c>
      <c r="C11" s="637" t="s">
        <v>437</v>
      </c>
      <c r="D11" s="638">
        <v>859.31642220013794</v>
      </c>
      <c r="E11" s="639">
        <v>2019</v>
      </c>
      <c r="F11" s="637" t="s">
        <v>465</v>
      </c>
      <c r="G11" s="653">
        <v>859.31642220013794</v>
      </c>
      <c r="H11" s="654">
        <v>25870</v>
      </c>
      <c r="I11" s="655" t="s">
        <v>466</v>
      </c>
      <c r="J11" s="655" t="s">
        <v>467</v>
      </c>
      <c r="K11" s="519" t="s">
        <v>387</v>
      </c>
      <c r="L11" s="519" t="s">
        <v>387</v>
      </c>
      <c r="M11" s="519">
        <v>859.31642220013794</v>
      </c>
    </row>
    <row r="12" spans="1:14" s="380" customFormat="1" ht="25" customHeight="1">
      <c r="A12" s="482">
        <v>2</v>
      </c>
      <c r="B12" s="518" t="s">
        <v>307</v>
      </c>
      <c r="C12" s="640" t="s">
        <v>437</v>
      </c>
      <c r="D12" s="641">
        <v>686.44167074635698</v>
      </c>
      <c r="E12" s="642">
        <v>2019</v>
      </c>
      <c r="F12" s="640" t="s">
        <v>465</v>
      </c>
      <c r="G12" s="656">
        <v>686.44167074635698</v>
      </c>
      <c r="H12" s="657">
        <v>24805</v>
      </c>
      <c r="I12" s="658" t="s">
        <v>466</v>
      </c>
      <c r="J12" s="658" t="s">
        <v>468</v>
      </c>
      <c r="K12" s="518" t="s">
        <v>387</v>
      </c>
      <c r="L12" s="518" t="s">
        <v>387</v>
      </c>
      <c r="M12" s="518">
        <v>686.44167074635698</v>
      </c>
    </row>
    <row r="13" spans="1:14" s="380" customFormat="1" ht="25" customHeight="1">
      <c r="A13" s="482">
        <v>3</v>
      </c>
      <c r="B13" s="518" t="s">
        <v>438</v>
      </c>
      <c r="C13" s="640" t="s">
        <v>437</v>
      </c>
      <c r="D13" s="641">
        <v>91.058671950000004</v>
      </c>
      <c r="E13" s="642">
        <v>2019</v>
      </c>
      <c r="F13" s="640" t="s">
        <v>465</v>
      </c>
      <c r="G13" s="656">
        <v>91.058671950000004</v>
      </c>
      <c r="H13" s="657">
        <v>25738</v>
      </c>
      <c r="I13" s="658" t="s">
        <v>466</v>
      </c>
      <c r="J13" s="658" t="s">
        <v>469</v>
      </c>
      <c r="K13" s="518" t="s">
        <v>387</v>
      </c>
      <c r="L13" s="518" t="s">
        <v>387</v>
      </c>
      <c r="M13" s="518">
        <v>91.058671950000004</v>
      </c>
    </row>
    <row r="14" spans="1:14" s="380" customFormat="1" ht="25" customHeight="1">
      <c r="A14" s="482">
        <v>4</v>
      </c>
      <c r="B14" s="518" t="s">
        <v>439</v>
      </c>
      <c r="C14" s="640" t="s">
        <v>437</v>
      </c>
      <c r="D14" s="641">
        <v>102.651792</v>
      </c>
      <c r="E14" s="642">
        <v>2019</v>
      </c>
      <c r="F14" s="640" t="s">
        <v>465</v>
      </c>
      <c r="G14" s="641">
        <v>102.651792</v>
      </c>
      <c r="H14" s="642">
        <v>24058</v>
      </c>
      <c r="I14" s="658" t="s">
        <v>466</v>
      </c>
      <c r="J14" s="518" t="s">
        <v>470</v>
      </c>
      <c r="K14" s="518" t="s">
        <v>387</v>
      </c>
      <c r="L14" s="518" t="s">
        <v>387</v>
      </c>
      <c r="M14" s="518">
        <v>102.651792</v>
      </c>
    </row>
    <row r="15" spans="1:14" s="380" customFormat="1" ht="25" customHeight="1">
      <c r="A15" s="482">
        <v>5</v>
      </c>
      <c r="B15" s="518" t="s">
        <v>262</v>
      </c>
      <c r="C15" s="640" t="s">
        <v>437</v>
      </c>
      <c r="D15" s="641">
        <v>8.6511870000000002</v>
      </c>
      <c r="E15" s="642">
        <v>2019</v>
      </c>
      <c r="F15" s="640" t="s">
        <v>465</v>
      </c>
      <c r="G15" s="641">
        <v>8.6511870000000002</v>
      </c>
      <c r="H15" s="642">
        <v>25570</v>
      </c>
      <c r="I15" s="658" t="s">
        <v>466</v>
      </c>
      <c r="J15" s="518" t="s">
        <v>475</v>
      </c>
      <c r="K15" s="518" t="s">
        <v>387</v>
      </c>
      <c r="L15" s="518" t="s">
        <v>387</v>
      </c>
      <c r="M15" s="518">
        <v>8.6511870000000002</v>
      </c>
    </row>
    <row r="16" spans="1:14" s="380" customFormat="1" ht="25" customHeight="1">
      <c r="A16" s="482">
        <v>6</v>
      </c>
      <c r="B16" s="518" t="s">
        <v>440</v>
      </c>
      <c r="C16" s="640" t="s">
        <v>437</v>
      </c>
      <c r="D16" s="641">
        <v>6.9457929900000002</v>
      </c>
      <c r="E16" s="642">
        <v>2018</v>
      </c>
      <c r="F16" s="640" t="s">
        <v>441</v>
      </c>
      <c r="G16" s="641">
        <v>6.9457929900000002</v>
      </c>
      <c r="H16" s="642">
        <v>24509</v>
      </c>
      <c r="I16" s="518" t="s">
        <v>442</v>
      </c>
      <c r="J16" s="518" t="s">
        <v>443</v>
      </c>
      <c r="K16" s="518" t="s">
        <v>387</v>
      </c>
      <c r="L16" s="518" t="s">
        <v>387</v>
      </c>
      <c r="M16" s="518">
        <v>6.9457929900000002</v>
      </c>
    </row>
    <row r="17" spans="1:13" s="380" customFormat="1" ht="25" customHeight="1">
      <c r="A17" s="482">
        <v>7</v>
      </c>
      <c r="B17" s="518" t="s">
        <v>263</v>
      </c>
      <c r="C17" s="640" t="s">
        <v>437</v>
      </c>
      <c r="D17" s="641">
        <v>5.1047960000000003</v>
      </c>
      <c r="E17" s="642">
        <v>2019</v>
      </c>
      <c r="F17" s="640" t="s">
        <v>465</v>
      </c>
      <c r="G17" s="641">
        <v>5.1047960000000003</v>
      </c>
      <c r="H17" s="642">
        <v>24451</v>
      </c>
      <c r="I17" s="658" t="s">
        <v>466</v>
      </c>
      <c r="J17" s="518" t="s">
        <v>471</v>
      </c>
      <c r="K17" s="518" t="s">
        <v>387</v>
      </c>
      <c r="L17" s="518" t="s">
        <v>387</v>
      </c>
      <c r="M17" s="518">
        <v>5.1047960000000003</v>
      </c>
    </row>
    <row r="18" spans="1:13" s="380" customFormat="1" ht="25" customHeight="1">
      <c r="A18" s="482">
        <v>8</v>
      </c>
      <c r="B18" s="518" t="s">
        <v>444</v>
      </c>
      <c r="C18" s="640" t="s">
        <v>437</v>
      </c>
      <c r="D18" s="641">
        <v>4.7710000399999997</v>
      </c>
      <c r="E18" s="642">
        <v>2019</v>
      </c>
      <c r="F18" s="640" t="s">
        <v>465</v>
      </c>
      <c r="G18" s="641">
        <v>4.7710000399999997</v>
      </c>
      <c r="H18" s="642">
        <v>24876</v>
      </c>
      <c r="I18" s="658" t="s">
        <v>466</v>
      </c>
      <c r="J18" s="518" t="s">
        <v>472</v>
      </c>
      <c r="K18" s="518" t="s">
        <v>387</v>
      </c>
      <c r="L18" s="518" t="s">
        <v>387</v>
      </c>
      <c r="M18" s="518">
        <v>4.7710000399999997</v>
      </c>
    </row>
    <row r="19" spans="1:13" s="578" customFormat="1" ht="32.25" customHeight="1">
      <c r="A19" s="482">
        <v>9</v>
      </c>
      <c r="B19" s="518" t="s">
        <v>464</v>
      </c>
      <c r="C19" s="640" t="s">
        <v>387</v>
      </c>
      <c r="D19" s="641" t="s">
        <v>387</v>
      </c>
      <c r="E19" s="642" t="s">
        <v>387</v>
      </c>
      <c r="F19" s="640" t="s">
        <v>465</v>
      </c>
      <c r="G19" s="641">
        <v>0.51729828999999994</v>
      </c>
      <c r="H19" s="642">
        <v>23701</v>
      </c>
      <c r="I19" s="658" t="s">
        <v>466</v>
      </c>
      <c r="J19" s="518" t="s">
        <v>473</v>
      </c>
      <c r="K19" s="518" t="s">
        <v>387</v>
      </c>
      <c r="L19" s="518" t="s">
        <v>387</v>
      </c>
      <c r="M19" s="518">
        <v>0.51729828999999994</v>
      </c>
    </row>
    <row r="20" spans="1:13" s="578" customFormat="1" ht="32.25" customHeight="1">
      <c r="A20" s="482">
        <v>10</v>
      </c>
      <c r="B20" s="518" t="s">
        <v>445</v>
      </c>
      <c r="C20" s="640" t="s">
        <v>387</v>
      </c>
      <c r="D20" s="641" t="s">
        <v>387</v>
      </c>
      <c r="E20" s="642" t="s">
        <v>387</v>
      </c>
      <c r="F20" s="640" t="s">
        <v>446</v>
      </c>
      <c r="G20" s="641">
        <v>83.421856217598901</v>
      </c>
      <c r="H20" s="642">
        <v>23161</v>
      </c>
      <c r="I20" s="659" t="s">
        <v>474</v>
      </c>
      <c r="J20" s="518" t="s">
        <v>447</v>
      </c>
      <c r="K20" s="518" t="s">
        <v>387</v>
      </c>
      <c r="L20" s="518" t="s">
        <v>387</v>
      </c>
      <c r="M20" s="518">
        <v>83.421856217598901</v>
      </c>
    </row>
    <row r="21" spans="1:13" ht="18.75" customHeight="1">
      <c r="A21" s="513" t="s">
        <v>382</v>
      </c>
      <c r="C21" s="168"/>
    </row>
    <row r="22" spans="1:13" ht="17.5" customHeight="1">
      <c r="A22" s="571"/>
      <c r="C22" s="168"/>
    </row>
    <row r="23" spans="1:13">
      <c r="A23" s="571"/>
      <c r="B23" s="501"/>
    </row>
  </sheetData>
  <mergeCells count="3">
    <mergeCell ref="I9:L9"/>
    <mergeCell ref="C9:E9"/>
    <mergeCell ref="F9:H9"/>
  </mergeCells>
  <phoneticPr fontId="14" type="noConversion"/>
  <printOptions horizontalCentered="1"/>
  <pageMargins left="0.25" right="0.25" top="0.75" bottom="0.75" header="0.3" footer="0.3"/>
  <pageSetup paperSize="17" scale="60"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2"/>
  <sheetViews>
    <sheetView showGridLines="0" zoomScaleNormal="100" workbookViewId="0"/>
  </sheetViews>
  <sheetFormatPr defaultRowHeight="13"/>
  <cols>
    <col min="1" max="1" width="5.77734375" customWidth="1"/>
    <col min="2" max="2" width="1.77734375" customWidth="1"/>
    <col min="3" max="3" width="2.77734375" customWidth="1"/>
    <col min="4" max="4" width="28.77734375" customWidth="1"/>
    <col min="5" max="5" width="1.77734375" customWidth="1"/>
    <col min="6" max="6" width="14.33203125" customWidth="1"/>
    <col min="7" max="7" width="1.77734375" customWidth="1"/>
    <col min="8" max="8" width="10.77734375" customWidth="1"/>
    <col min="9" max="10" width="1.77734375" customWidth="1"/>
    <col min="11" max="12" width="10.77734375" customWidth="1"/>
    <col min="13" max="14" width="1.77734375" customWidth="1"/>
    <col min="15" max="16" width="10.7773437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F-3</v>
      </c>
    </row>
    <row r="2" spans="1:18" s="3" customFormat="1">
      <c r="A2" s="5" t="str">
        <f>Application</f>
        <v>Bulk and Regional Tariff Design Application</v>
      </c>
      <c r="B2" s="5"/>
      <c r="C2" s="5"/>
      <c r="D2" s="5"/>
      <c r="E2" s="5"/>
      <c r="F2" s="5"/>
      <c r="G2" s="5"/>
      <c r="H2" s="5"/>
      <c r="I2" s="5"/>
      <c r="J2" s="5"/>
      <c r="K2" s="5"/>
      <c r="L2" s="5"/>
      <c r="M2" s="5"/>
      <c r="P2" s="4" t="str">
        <f>TableDate</f>
        <v>October 15, 2021</v>
      </c>
    </row>
    <row r="4" spans="1:18">
      <c r="A4" s="330" t="str">
        <f>TableGroup1</f>
        <v>Appendix F — 2019 Test Year Proposed Rate Calculations</v>
      </c>
      <c r="B4" s="6"/>
      <c r="C4" s="6"/>
      <c r="D4" s="6"/>
      <c r="E4" s="6"/>
      <c r="F4" s="6"/>
      <c r="G4" s="6"/>
      <c r="H4" s="6"/>
      <c r="I4" s="6"/>
      <c r="J4" s="6"/>
      <c r="K4" s="6"/>
      <c r="L4" s="6"/>
      <c r="M4" s="6"/>
      <c r="N4" s="6"/>
      <c r="O4" s="6"/>
      <c r="P4" s="6"/>
    </row>
    <row r="5" spans="1:18">
      <c r="A5" s="6" t="s">
        <v>31</v>
      </c>
      <c r="B5" s="6"/>
      <c r="C5" s="6"/>
      <c r="D5" s="6"/>
      <c r="E5" s="6"/>
      <c r="F5" s="6"/>
      <c r="G5" s="6"/>
      <c r="H5" s="6"/>
      <c r="I5" s="6"/>
      <c r="J5" s="6"/>
      <c r="K5" s="6"/>
      <c r="L5" s="6"/>
      <c r="M5" s="6"/>
      <c r="N5" s="6"/>
      <c r="O5" s="6"/>
      <c r="P5" s="6"/>
    </row>
    <row r="6" spans="1:18">
      <c r="K6" s="91"/>
    </row>
    <row r="7" spans="1:18" s="240" customFormat="1">
      <c r="F7" s="478" t="s">
        <v>2</v>
      </c>
      <c r="G7" s="478"/>
      <c r="H7" s="476" t="s">
        <v>3</v>
      </c>
      <c r="K7" s="476" t="s">
        <v>4</v>
      </c>
      <c r="L7" s="476" t="s">
        <v>5</v>
      </c>
      <c r="O7" s="476" t="s">
        <v>25</v>
      </c>
      <c r="P7" s="476" t="s">
        <v>26</v>
      </c>
    </row>
    <row r="9" spans="1:18" s="44" customFormat="1">
      <c r="F9" s="62"/>
      <c r="H9" s="62"/>
      <c r="J9" s="98"/>
      <c r="K9" s="45" t="s">
        <v>21</v>
      </c>
      <c r="L9" s="45"/>
      <c r="M9" s="94"/>
      <c r="N9" s="98"/>
      <c r="O9" s="45" t="s">
        <v>30</v>
      </c>
      <c r="P9" s="45"/>
    </row>
    <row r="10" spans="1:18" s="47" customFormat="1" ht="26">
      <c r="A10" s="46"/>
      <c r="C10" s="48" t="s">
        <v>1</v>
      </c>
      <c r="D10" s="48"/>
      <c r="F10" s="416" t="s">
        <v>431</v>
      </c>
      <c r="G10" s="477"/>
      <c r="H10" s="46" t="s">
        <v>20</v>
      </c>
      <c r="J10" s="99"/>
      <c r="K10" s="46" t="s">
        <v>22</v>
      </c>
      <c r="L10" s="49" t="s">
        <v>23</v>
      </c>
      <c r="M10" s="95"/>
      <c r="N10" s="99"/>
      <c r="O10" s="46" t="s">
        <v>22</v>
      </c>
      <c r="P10" s="49" t="s">
        <v>23</v>
      </c>
    </row>
    <row r="11" spans="1:18" s="24" customFormat="1" ht="19" customHeight="1">
      <c r="A11" s="7">
        <v>1</v>
      </c>
      <c r="C11" s="25" t="s">
        <v>6</v>
      </c>
      <c r="D11" s="25"/>
      <c r="E11" s="25"/>
      <c r="F11" s="124"/>
      <c r="G11" s="25"/>
      <c r="H11" s="124"/>
      <c r="I11" s="25"/>
      <c r="J11" s="103"/>
      <c r="K11" s="125"/>
      <c r="L11" s="124"/>
      <c r="M11" s="124"/>
      <c r="N11" s="103"/>
      <c r="O11" s="125"/>
      <c r="P11" s="124"/>
    </row>
    <row r="12" spans="1:18">
      <c r="A12" s="7">
        <f>A11+1</f>
        <v>2</v>
      </c>
      <c r="C12" t="s">
        <v>450</v>
      </c>
      <c r="F12" s="699">
        <v>0.31330000000000002</v>
      </c>
      <c r="H12" s="592">
        <f>F12*$H$16</f>
        <v>580.02520750753354</v>
      </c>
      <c r="J12" s="101"/>
      <c r="K12" s="38">
        <v>1</v>
      </c>
      <c r="L12" s="41">
        <f t="shared" ref="L12:L15" si="0">H12*K12</f>
        <v>580.02520750753354</v>
      </c>
      <c r="M12" s="37"/>
      <c r="N12" s="101"/>
      <c r="O12" s="38">
        <f>1-K12</f>
        <v>0</v>
      </c>
      <c r="P12" s="80">
        <f t="shared" ref="P12:P15" si="1">H12*O12</f>
        <v>0</v>
      </c>
      <c r="Q12" s="459"/>
      <c r="R12" s="528"/>
    </row>
    <row r="13" spans="1:18">
      <c r="A13" s="7">
        <f t="shared" ref="A13:A35" si="2">A12+1</f>
        <v>3</v>
      </c>
      <c r="C13" t="s">
        <v>451</v>
      </c>
      <c r="F13" s="699">
        <v>0.29120000000000001</v>
      </c>
      <c r="H13" s="592">
        <f>F13*$H$16</f>
        <v>539.11056631405609</v>
      </c>
      <c r="J13" s="101"/>
      <c r="K13" s="38">
        <v>1</v>
      </c>
      <c r="L13" s="41">
        <f t="shared" si="0"/>
        <v>539.11056631405609</v>
      </c>
      <c r="M13" s="37"/>
      <c r="N13" s="101"/>
      <c r="O13" s="38">
        <f>1-K13</f>
        <v>0</v>
      </c>
      <c r="P13" s="80">
        <f t="shared" si="1"/>
        <v>0</v>
      </c>
      <c r="Q13" s="459"/>
      <c r="R13" s="528"/>
    </row>
    <row r="14" spans="1:18">
      <c r="A14" s="7">
        <f t="shared" si="2"/>
        <v>4</v>
      </c>
      <c r="C14" t="s">
        <v>452</v>
      </c>
      <c r="F14" s="699">
        <v>0.16819999999999999</v>
      </c>
      <c r="H14" s="592">
        <f>F14*$H$16</f>
        <v>311.39559496574253</v>
      </c>
      <c r="J14" s="101"/>
      <c r="K14" s="38">
        <v>1</v>
      </c>
      <c r="L14" s="41">
        <f t="shared" si="0"/>
        <v>311.39559496574253</v>
      </c>
      <c r="M14" s="37"/>
      <c r="N14" s="101"/>
      <c r="O14" s="38">
        <f>1-K14</f>
        <v>0</v>
      </c>
      <c r="P14" s="80">
        <f t="shared" si="1"/>
        <v>0</v>
      </c>
      <c r="Q14" s="459"/>
      <c r="R14" s="528"/>
    </row>
    <row r="15" spans="1:18">
      <c r="A15" s="7">
        <f t="shared" si="2"/>
        <v>5</v>
      </c>
      <c r="C15" t="s">
        <v>95</v>
      </c>
      <c r="F15" s="699">
        <v>0.2273</v>
      </c>
      <c r="H15" s="584">
        <f>$F15*$H$16</f>
        <v>420.80986168676151</v>
      </c>
      <c r="J15" s="101"/>
      <c r="K15" s="38">
        <v>1</v>
      </c>
      <c r="L15" s="41">
        <f t="shared" si="0"/>
        <v>420.80986168676151</v>
      </c>
      <c r="M15" s="41"/>
      <c r="N15" s="101"/>
      <c r="O15" s="38">
        <f>1-K15</f>
        <v>0</v>
      </c>
      <c r="P15" s="80">
        <f t="shared" si="1"/>
        <v>0</v>
      </c>
      <c r="Q15" s="459"/>
      <c r="R15" s="528"/>
    </row>
    <row r="16" spans="1:18" s="9" customFormat="1">
      <c r="A16" s="7">
        <f>A15+1</f>
        <v>6</v>
      </c>
      <c r="C16" s="12" t="s">
        <v>96</v>
      </c>
      <c r="D16" s="12"/>
      <c r="E16" s="12"/>
      <c r="F16" s="70">
        <f>SUM(F12:F15)</f>
        <v>1</v>
      </c>
      <c r="G16" s="12"/>
      <c r="H16" s="16">
        <f>'F-1 Rev Req'!H34</f>
        <v>1851.3412304740937</v>
      </c>
      <c r="I16" s="12"/>
      <c r="J16" s="102"/>
      <c r="K16" s="14">
        <f>L16/H16</f>
        <v>1</v>
      </c>
      <c r="L16" s="16">
        <f>SUM(L12:L15)</f>
        <v>1851.3412304740937</v>
      </c>
      <c r="M16" s="96"/>
      <c r="N16" s="102"/>
      <c r="O16" s="14">
        <f>P16/H16</f>
        <v>0</v>
      </c>
      <c r="P16" s="31">
        <f>SUM(P7:P15)</f>
        <v>0</v>
      </c>
    </row>
    <row r="17" spans="1:18" ht="19" customHeight="1">
      <c r="A17" s="7">
        <f t="shared" si="2"/>
        <v>7</v>
      </c>
      <c r="C17" s="2" t="s">
        <v>11</v>
      </c>
      <c r="D17" s="2"/>
      <c r="F17" s="405"/>
      <c r="H17" s="405"/>
      <c r="J17" s="101"/>
      <c r="K17" s="38"/>
      <c r="L17" s="37"/>
      <c r="M17" s="37"/>
      <c r="N17" s="101"/>
      <c r="O17" s="38"/>
      <c r="P17" s="37"/>
    </row>
    <row r="18" spans="1:18">
      <c r="A18" s="7">
        <f t="shared" si="2"/>
        <v>8</v>
      </c>
      <c r="C18" t="s">
        <v>12</v>
      </c>
      <c r="F18" s="134"/>
      <c r="H18" s="39">
        <f>'F-1 Rev Req'!H49</f>
        <v>187.22745940999999</v>
      </c>
      <c r="J18" s="101"/>
      <c r="K18" s="38">
        <v>1</v>
      </c>
      <c r="L18" s="37">
        <f>H18*K18</f>
        <v>187.22745940999999</v>
      </c>
      <c r="M18" s="37"/>
      <c r="N18" s="101"/>
      <c r="O18" s="38">
        <f>1-K18</f>
        <v>0</v>
      </c>
      <c r="P18" s="39">
        <f>H18*O18</f>
        <v>0</v>
      </c>
    </row>
    <row r="19" spans="1:18">
      <c r="A19" s="7">
        <f t="shared" si="2"/>
        <v>9</v>
      </c>
      <c r="C19" t="s">
        <v>13</v>
      </c>
      <c r="F19" s="406"/>
      <c r="H19" s="406"/>
      <c r="J19" s="101"/>
      <c r="K19" s="38"/>
      <c r="L19" s="41"/>
      <c r="M19" s="41"/>
      <c r="N19" s="101"/>
      <c r="O19" s="38"/>
      <c r="P19" s="37"/>
    </row>
    <row r="20" spans="1:18">
      <c r="A20" s="7">
        <f t="shared" si="2"/>
        <v>10</v>
      </c>
      <c r="D20" s="516" t="s">
        <v>14</v>
      </c>
      <c r="F20" s="469"/>
      <c r="H20" s="469">
        <f>'F-1 Rev Req'!H52</f>
        <v>2.2928907000000001</v>
      </c>
      <c r="J20" s="101"/>
      <c r="K20" s="38">
        <v>1</v>
      </c>
      <c r="L20" s="41">
        <f t="shared" ref="L20:L27" si="3">H20*K20</f>
        <v>2.2928907000000001</v>
      </c>
      <c r="M20" s="41"/>
      <c r="N20" s="101"/>
      <c r="O20" s="38">
        <f t="shared" ref="O20:O26" si="4">1-K20</f>
        <v>0</v>
      </c>
      <c r="P20" s="80">
        <f>H20*O20</f>
        <v>0</v>
      </c>
    </row>
    <row r="21" spans="1:18">
      <c r="A21" s="7">
        <f t="shared" si="2"/>
        <v>11</v>
      </c>
      <c r="D21" s="516" t="s">
        <v>15</v>
      </c>
      <c r="F21" s="469"/>
      <c r="H21" s="469">
        <f>'F-1 Rev Req'!H53</f>
        <v>3.2913457400000001</v>
      </c>
      <c r="J21" s="101"/>
      <c r="K21" s="38">
        <v>1</v>
      </c>
      <c r="L21" s="41">
        <f t="shared" si="3"/>
        <v>3.2913457400000001</v>
      </c>
      <c r="M21" s="41"/>
      <c r="N21" s="101"/>
      <c r="O21" s="38">
        <f t="shared" si="4"/>
        <v>0</v>
      </c>
      <c r="P21" s="80">
        <f>H21*O21</f>
        <v>0</v>
      </c>
    </row>
    <row r="22" spans="1:18">
      <c r="A22" s="7">
        <f t="shared" si="2"/>
        <v>12</v>
      </c>
      <c r="D22" s="516" t="s">
        <v>424</v>
      </c>
      <c r="F22" s="406"/>
      <c r="H22" s="406">
        <f>'F-1 Rev Req'!H54</f>
        <v>16.147908659999999</v>
      </c>
      <c r="J22" s="101"/>
      <c r="K22" s="38">
        <v>1</v>
      </c>
      <c r="L22" s="41">
        <f t="shared" si="3"/>
        <v>16.147908659999999</v>
      </c>
      <c r="M22" s="41"/>
      <c r="N22" s="101"/>
      <c r="O22" s="38">
        <f t="shared" si="4"/>
        <v>0</v>
      </c>
      <c r="P22" s="80">
        <f>H22*O22</f>
        <v>0</v>
      </c>
    </row>
    <row r="23" spans="1:18">
      <c r="A23" s="7">
        <f t="shared" si="2"/>
        <v>13</v>
      </c>
      <c r="D23" s="516" t="s">
        <v>392</v>
      </c>
      <c r="F23" s="469"/>
      <c r="H23" s="469">
        <f>'F-1 Rev Req'!H55</f>
        <v>2.8571428800000001</v>
      </c>
      <c r="J23" s="101"/>
      <c r="K23" s="38">
        <v>1</v>
      </c>
      <c r="L23" s="41">
        <f t="shared" si="3"/>
        <v>2.8571428800000001</v>
      </c>
      <c r="M23" s="41"/>
      <c r="N23" s="101"/>
      <c r="O23" s="38">
        <f t="shared" si="4"/>
        <v>0</v>
      </c>
      <c r="P23" s="80">
        <f>H23*O23</f>
        <v>0</v>
      </c>
    </row>
    <row r="24" spans="1:18">
      <c r="A24" s="7">
        <f t="shared" si="2"/>
        <v>14</v>
      </c>
      <c r="D24" s="516" t="s">
        <v>395</v>
      </c>
      <c r="F24" s="470"/>
      <c r="H24" s="470">
        <f>'F-1 Rev Req'!H56</f>
        <v>0.26980104999999999</v>
      </c>
      <c r="J24" s="101"/>
      <c r="K24" s="38">
        <v>1</v>
      </c>
      <c r="L24" s="41">
        <f t="shared" si="3"/>
        <v>0.26980104999999999</v>
      </c>
      <c r="M24" s="41"/>
      <c r="N24" s="101"/>
      <c r="O24" s="38">
        <f t="shared" si="4"/>
        <v>0</v>
      </c>
      <c r="P24" s="80">
        <f>H24*O24</f>
        <v>0</v>
      </c>
    </row>
    <row r="25" spans="1:18">
      <c r="A25" s="7">
        <f t="shared" si="2"/>
        <v>15</v>
      </c>
      <c r="D25" s="516" t="s">
        <v>17</v>
      </c>
      <c r="F25" s="471"/>
      <c r="H25" s="471">
        <f>'F-1 Rev Req'!H57</f>
        <v>0.86910456000000003</v>
      </c>
      <c r="J25" s="101"/>
      <c r="K25" s="38">
        <v>1</v>
      </c>
      <c r="L25" s="41">
        <f t="shared" si="3"/>
        <v>0.86910456000000003</v>
      </c>
      <c r="M25" s="41"/>
      <c r="N25" s="101"/>
      <c r="O25" s="38">
        <f t="shared" si="4"/>
        <v>0</v>
      </c>
      <c r="P25" s="80"/>
    </row>
    <row r="26" spans="1:18">
      <c r="A26" s="7">
        <f t="shared" si="2"/>
        <v>16</v>
      </c>
      <c r="D26" s="516" t="s">
        <v>279</v>
      </c>
      <c r="F26" s="471"/>
      <c r="H26" s="471">
        <f>'F-1 Rev Req'!H58</f>
        <v>0</v>
      </c>
      <c r="J26" s="101"/>
      <c r="K26" s="38">
        <v>1</v>
      </c>
      <c r="L26" s="41">
        <f t="shared" si="3"/>
        <v>0</v>
      </c>
      <c r="M26" s="41"/>
      <c r="N26" s="101"/>
      <c r="O26" s="38">
        <f t="shared" si="4"/>
        <v>0</v>
      </c>
      <c r="P26" s="80"/>
    </row>
    <row r="27" spans="1:18">
      <c r="A27" s="7">
        <f t="shared" si="2"/>
        <v>17</v>
      </c>
      <c r="D27" s="516" t="s">
        <v>425</v>
      </c>
      <c r="F27" s="471"/>
      <c r="H27" s="471">
        <f>'F-1 Rev Req'!H59</f>
        <v>0</v>
      </c>
      <c r="J27" s="101"/>
      <c r="K27" s="38">
        <v>1</v>
      </c>
      <c r="L27" s="41">
        <f t="shared" si="3"/>
        <v>0</v>
      </c>
      <c r="M27" s="41"/>
      <c r="N27" s="101"/>
      <c r="O27" s="38"/>
      <c r="P27" s="80"/>
    </row>
    <row r="28" spans="1:18" s="9" customFormat="1">
      <c r="A28" s="7">
        <f t="shared" si="2"/>
        <v>18</v>
      </c>
      <c r="C28" s="12" t="s">
        <v>80</v>
      </c>
      <c r="D28" s="12"/>
      <c r="E28" s="12"/>
      <c r="F28" s="96"/>
      <c r="G28" s="12"/>
      <c r="H28" s="16">
        <f>SUM(H18:H27)</f>
        <v>212.95565299999998</v>
      </c>
      <c r="I28" s="12"/>
      <c r="J28" s="102"/>
      <c r="K28" s="14">
        <f>L28/H28</f>
        <v>1</v>
      </c>
      <c r="L28" s="16">
        <f>SUM(L18:L27)</f>
        <v>212.95565299999998</v>
      </c>
      <c r="M28" s="96"/>
      <c r="N28" s="102"/>
      <c r="O28" s="14">
        <f>P28/H28</f>
        <v>0</v>
      </c>
      <c r="P28" s="31">
        <f>SUM(P18:P24)</f>
        <v>0</v>
      </c>
    </row>
    <row r="29" spans="1:18" s="10" customFormat="1" ht="25.5" customHeight="1">
      <c r="A29" s="7">
        <f t="shared" si="2"/>
        <v>19</v>
      </c>
      <c r="C29" s="11" t="s">
        <v>9</v>
      </c>
      <c r="D29" s="11"/>
      <c r="E29" s="11"/>
      <c r="F29" s="590"/>
      <c r="G29" s="11"/>
      <c r="H29" s="15">
        <f>'F-1 Rev Req'!H65</f>
        <v>109.2</v>
      </c>
      <c r="I29" s="11"/>
      <c r="J29" s="100"/>
      <c r="K29" s="13">
        <v>0</v>
      </c>
      <c r="L29" s="15">
        <f>H29*K29</f>
        <v>0</v>
      </c>
      <c r="M29" s="15"/>
      <c r="N29" s="100"/>
      <c r="O29" s="13">
        <f>1-K29</f>
        <v>1</v>
      </c>
      <c r="P29" s="15">
        <f>H29*O29</f>
        <v>109.2</v>
      </c>
    </row>
    <row r="30" spans="1:18" s="9" customFormat="1" ht="19" customHeight="1">
      <c r="A30" s="7">
        <f t="shared" si="2"/>
        <v>20</v>
      </c>
      <c r="C30" s="12" t="s">
        <v>8</v>
      </c>
      <c r="D30" s="12"/>
      <c r="E30" s="12"/>
      <c r="F30" s="542"/>
      <c r="G30" s="12"/>
      <c r="H30" s="542">
        <f>SUM('F-1 Rev Req'!H68:H70)</f>
        <v>15.351987029999998</v>
      </c>
      <c r="I30" s="12"/>
      <c r="J30" s="102"/>
      <c r="K30" s="244">
        <v>1</v>
      </c>
      <c r="L30" s="243">
        <f>H30*K30</f>
        <v>15.351987029999998</v>
      </c>
      <c r="M30" s="243"/>
      <c r="N30" s="102"/>
      <c r="O30" s="244">
        <f>1-K30</f>
        <v>0</v>
      </c>
      <c r="P30" s="245">
        <f>H30*O30</f>
        <v>0</v>
      </c>
    </row>
    <row r="31" spans="1:18" s="9" customFormat="1" ht="19" customHeight="1">
      <c r="A31" s="7">
        <f t="shared" si="2"/>
        <v>21</v>
      </c>
      <c r="C31" s="12" t="s">
        <v>7</v>
      </c>
      <c r="D31" s="12"/>
      <c r="E31" s="12"/>
      <c r="F31" s="591"/>
      <c r="G31" s="12"/>
      <c r="H31" s="543">
        <f>'F-1 Rev Req'!$H$86</f>
        <v>97.054855689999982</v>
      </c>
      <c r="I31" s="12"/>
      <c r="J31" s="102"/>
      <c r="K31" s="244">
        <v>1</v>
      </c>
      <c r="L31" s="243">
        <f>H31*K31</f>
        <v>97.054855689999982</v>
      </c>
      <c r="M31" s="243"/>
      <c r="N31" s="102"/>
      <c r="O31" s="244">
        <f>1-K31</f>
        <v>0</v>
      </c>
      <c r="P31" s="245">
        <f>H31*O31</f>
        <v>0</v>
      </c>
    </row>
    <row r="32" spans="1:18" s="24" customFormat="1" ht="19" customHeight="1">
      <c r="A32" s="7">
        <f t="shared" si="2"/>
        <v>22</v>
      </c>
      <c r="C32" s="25" t="s">
        <v>10</v>
      </c>
      <c r="D32" s="25"/>
      <c r="E32" s="25"/>
      <c r="F32" s="97"/>
      <c r="G32" s="25"/>
      <c r="H32" s="26">
        <f>SUM(H16,H28:H31)</f>
        <v>2285.9037261940935</v>
      </c>
      <c r="I32" s="25"/>
      <c r="J32" s="103"/>
      <c r="K32" s="27">
        <f>L32/H32</f>
        <v>0.9522289592738834</v>
      </c>
      <c r="L32" s="26">
        <f>SUM(L16,L28:L31)</f>
        <v>2176.7037261940936</v>
      </c>
      <c r="M32" s="97"/>
      <c r="N32" s="103"/>
      <c r="O32" s="27">
        <f>P32/H32</f>
        <v>4.7771040726116723E-2</v>
      </c>
      <c r="P32" s="26">
        <f>SUM(P16,P28:P31)</f>
        <v>109.2</v>
      </c>
      <c r="R32" s="544"/>
    </row>
    <row r="33" spans="1:16">
      <c r="A33" s="7">
        <f t="shared" si="2"/>
        <v>23</v>
      </c>
      <c r="B33" s="22"/>
      <c r="C33" s="22" t="s">
        <v>34</v>
      </c>
      <c r="D33" s="22"/>
      <c r="J33" s="101"/>
      <c r="L33" s="698">
        <f>'F-4 Offsets'!I41</f>
        <v>27.717033660354865</v>
      </c>
      <c r="M33" s="40"/>
      <c r="N33" s="101"/>
      <c r="P33" s="40">
        <f>'F-4 Offsets'!L41</f>
        <v>-20.494581316112001</v>
      </c>
    </row>
    <row r="34" spans="1:16">
      <c r="A34" s="7">
        <f t="shared" si="2"/>
        <v>24</v>
      </c>
      <c r="B34" s="22"/>
      <c r="C34" s="22" t="s">
        <v>42</v>
      </c>
      <c r="D34" s="22"/>
      <c r="J34" s="101"/>
      <c r="L34">
        <v>0</v>
      </c>
      <c r="N34" s="101"/>
      <c r="P34" s="40">
        <f>-'F-4 Offsets'!F26</f>
        <v>2.8743690000000002</v>
      </c>
    </row>
    <row r="35" spans="1:16" s="9" customFormat="1" ht="12.75" customHeight="1">
      <c r="A35" s="7">
        <f t="shared" si="2"/>
        <v>25</v>
      </c>
      <c r="C35" s="12" t="s">
        <v>44</v>
      </c>
      <c r="D35" s="12"/>
      <c r="J35" s="104"/>
      <c r="L35" s="29">
        <f>SUM(L32:L34)</f>
        <v>2204.4207598544485</v>
      </c>
      <c r="M35" s="96"/>
      <c r="N35" s="104"/>
      <c r="P35" s="29">
        <f>SUM(P32:P34)</f>
        <v>91.579787683888</v>
      </c>
    </row>
    <row r="36" spans="1:16" s="9" customFormat="1" ht="12.75" customHeight="1">
      <c r="A36" s="8"/>
      <c r="C36" s="12"/>
      <c r="D36" s="12"/>
      <c r="J36" s="105"/>
      <c r="L36" s="96"/>
      <c r="M36" s="96"/>
      <c r="N36" s="105"/>
      <c r="P36" s="96"/>
    </row>
    <row r="37" spans="1:16">
      <c r="A37" t="s">
        <v>52</v>
      </c>
      <c r="B37" s="174"/>
      <c r="C37" s="174" t="s">
        <v>520</v>
      </c>
      <c r="D37" s="174"/>
      <c r="E37" s="174"/>
      <c r="F37" s="174"/>
      <c r="G37" s="174"/>
      <c r="H37" s="174"/>
      <c r="I37" s="174"/>
      <c r="J37" s="174"/>
      <c r="K37" s="174"/>
    </row>
    <row r="42" spans="1:16">
      <c r="J42">
        <v>103.23537399999999</v>
      </c>
    </row>
  </sheetData>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topLeftCell="A10" zoomScaleNormal="100" workbookViewId="0"/>
  </sheetViews>
  <sheetFormatPr defaultRowHeight="13"/>
  <cols>
    <col min="1" max="1" width="5.77734375" customWidth="1"/>
    <col min="2" max="2" width="1.77734375" customWidth="1"/>
    <col min="3" max="3" width="2.77734375" customWidth="1"/>
    <col min="4" max="4" width="28.77734375" customWidth="1"/>
    <col min="5" max="5" width="2" customWidth="1"/>
    <col min="6" max="6" width="9.109375" bestFit="1" customWidth="1"/>
    <col min="7" max="7" width="2.109375" customWidth="1"/>
    <col min="8" max="9" width="9.109375" bestFit="1" customWidth="1"/>
    <col min="10" max="10" width="3.109375" customWidth="1"/>
    <col min="11" max="12" width="9.109375" bestFit="1" customWidth="1"/>
    <col min="13" max="13" width="3" style="225" customWidth="1"/>
    <col min="14" max="14" width="11.109375" bestFit="1" customWidth="1"/>
    <col min="15" max="15" width="12.77734375" bestFit="1" customWidth="1"/>
    <col min="16" max="16" width="3" style="225" customWidth="1"/>
    <col min="17" max="17" width="10.109375" bestFit="1" customWidth="1"/>
    <col min="18" max="18" width="9.44140625" bestFit="1" customWidth="1"/>
    <col min="20" max="20" width="10.44140625" bestFit="1" customWidth="1"/>
    <col min="21" max="21" width="10.21875" bestFit="1" customWidth="1"/>
  </cols>
  <sheetData>
    <row r="1" spans="1:23" s="3" customFormat="1">
      <c r="A1" s="5" t="str">
        <f>Applicant</f>
        <v>Alberta Electric System Operator</v>
      </c>
      <c r="B1" s="5"/>
      <c r="C1" s="5"/>
      <c r="D1" s="5"/>
      <c r="E1" s="5"/>
      <c r="F1" s="5"/>
      <c r="G1" s="5"/>
      <c r="H1" s="5"/>
      <c r="I1" s="5"/>
      <c r="J1" s="5"/>
      <c r="M1" s="204"/>
      <c r="O1" s="4" t="str">
        <f ca="1">TablePrefix&amp;TRIM(MID(CELL("filename",A1),FIND("]",CELL("filename",A1))+1,4))&amp;TableSuffix</f>
        <v>Table F-4</v>
      </c>
      <c r="P1" s="204"/>
    </row>
    <row r="2" spans="1:23" s="3" customFormat="1">
      <c r="A2" s="5" t="str">
        <f>Application</f>
        <v>Bulk and Regional Tariff Design Application</v>
      </c>
      <c r="B2" s="5"/>
      <c r="C2" s="5"/>
      <c r="D2" s="5"/>
      <c r="E2" s="5"/>
      <c r="F2" s="5"/>
      <c r="G2" s="5"/>
      <c r="H2" s="5"/>
      <c r="I2" s="5"/>
      <c r="J2" s="5"/>
      <c r="M2" s="204"/>
      <c r="O2" s="4" t="str">
        <f>TableDate</f>
        <v>October 15, 2021</v>
      </c>
      <c r="P2" s="204"/>
    </row>
    <row r="3" spans="1:23">
      <c r="L3" s="385"/>
    </row>
    <row r="4" spans="1:23">
      <c r="A4" s="330" t="str">
        <f>TableGroup1</f>
        <v>Appendix F — 2019 Test Year Proposed Rate Calculations</v>
      </c>
      <c r="B4" s="6"/>
      <c r="C4" s="6"/>
      <c r="D4" s="6"/>
      <c r="E4" s="6"/>
      <c r="F4" s="6"/>
      <c r="G4" s="6"/>
      <c r="H4" s="6"/>
      <c r="I4" s="6"/>
      <c r="J4" s="6"/>
      <c r="K4" s="6"/>
      <c r="L4" s="6"/>
    </row>
    <row r="5" spans="1:23">
      <c r="A5" s="6" t="s">
        <v>34</v>
      </c>
      <c r="B5" s="6"/>
      <c r="C5" s="6"/>
      <c r="D5" s="6"/>
      <c r="E5" s="6"/>
      <c r="F5" s="6"/>
      <c r="G5" s="6"/>
      <c r="H5" s="6"/>
      <c r="I5" s="6"/>
      <c r="J5" s="6"/>
      <c r="K5" s="6"/>
      <c r="L5" s="6"/>
      <c r="Q5" s="174"/>
      <c r="R5" s="174"/>
      <c r="S5" s="174"/>
      <c r="T5" s="174"/>
      <c r="U5" s="174"/>
      <c r="V5" s="174"/>
      <c r="W5" s="174"/>
    </row>
    <row r="6" spans="1:23" ht="13" customHeight="1">
      <c r="I6" s="91"/>
      <c r="Q6" s="713"/>
      <c r="R6" s="713"/>
      <c r="S6" s="174"/>
      <c r="T6" s="174"/>
      <c r="U6" s="174"/>
      <c r="V6" s="174"/>
      <c r="W6" s="174"/>
    </row>
    <row r="7" spans="1:23" s="240" customFormat="1">
      <c r="F7" s="476" t="s">
        <v>2</v>
      </c>
      <c r="H7" s="476" t="s">
        <v>3</v>
      </c>
      <c r="I7" s="476" t="s">
        <v>4</v>
      </c>
      <c r="K7" s="476" t="s">
        <v>5</v>
      </c>
      <c r="L7" s="476" t="s">
        <v>25</v>
      </c>
      <c r="M7" s="370"/>
      <c r="N7" s="476" t="s">
        <v>26</v>
      </c>
      <c r="O7" s="476" t="s">
        <v>27</v>
      </c>
      <c r="P7" s="370"/>
      <c r="Q7" s="713"/>
      <c r="R7" s="713"/>
      <c r="S7" s="603"/>
      <c r="T7" s="603"/>
      <c r="U7" s="603"/>
      <c r="V7" s="603"/>
      <c r="W7" s="603"/>
    </row>
    <row r="8" spans="1:23">
      <c r="Q8" s="713"/>
      <c r="R8" s="713"/>
      <c r="S8" s="174"/>
      <c r="T8" s="174"/>
      <c r="U8" s="174"/>
      <c r="V8" s="174"/>
      <c r="W8" s="174"/>
    </row>
    <row r="9" spans="1:23" s="44" customFormat="1">
      <c r="F9" s="62"/>
      <c r="H9" s="45" t="s">
        <v>21</v>
      </c>
      <c r="I9" s="45"/>
      <c r="J9" s="129"/>
      <c r="K9" s="45" t="s">
        <v>30</v>
      </c>
      <c r="L9" s="45"/>
      <c r="M9" s="129"/>
      <c r="N9" s="712" t="s">
        <v>385</v>
      </c>
      <c r="O9" s="712"/>
      <c r="P9" s="129"/>
      <c r="Q9" s="553" t="s">
        <v>300</v>
      </c>
      <c r="R9" s="554" t="s">
        <v>417</v>
      </c>
    </row>
    <row r="10" spans="1:23" s="47" customFormat="1" ht="29.5" customHeight="1">
      <c r="A10" s="46"/>
      <c r="C10" s="48" t="s">
        <v>1</v>
      </c>
      <c r="D10" s="48"/>
      <c r="F10" s="46" t="s">
        <v>20</v>
      </c>
      <c r="H10" s="46" t="s">
        <v>22</v>
      </c>
      <c r="I10" s="436" t="s">
        <v>23</v>
      </c>
      <c r="J10" s="151"/>
      <c r="K10" s="46" t="s">
        <v>22</v>
      </c>
      <c r="L10" s="49" t="s">
        <v>23</v>
      </c>
      <c r="M10" s="151"/>
      <c r="N10" s="494" t="s">
        <v>373</v>
      </c>
      <c r="O10" s="493" t="s">
        <v>107</v>
      </c>
      <c r="P10" s="151"/>
      <c r="Q10" s="552" t="s">
        <v>418</v>
      </c>
      <c r="R10" s="555" t="s">
        <v>419</v>
      </c>
    </row>
    <row r="11" spans="1:23" ht="19" customHeight="1">
      <c r="A11" s="7">
        <v>1</v>
      </c>
      <c r="C11" s="2" t="s">
        <v>36</v>
      </c>
      <c r="D11" s="2"/>
      <c r="F11" s="37"/>
      <c r="H11" s="38"/>
      <c r="I11" s="405"/>
      <c r="J11" s="225"/>
      <c r="K11" s="38"/>
      <c r="L11" s="37"/>
      <c r="N11" s="495"/>
      <c r="O11" s="487"/>
      <c r="Q11" s="556"/>
    </row>
    <row r="12" spans="1:23">
      <c r="A12" s="7">
        <f>A11+1</f>
        <v>2</v>
      </c>
      <c r="C12" t="s">
        <v>45</v>
      </c>
      <c r="F12" s="584">
        <v>-0.55843164000000001</v>
      </c>
      <c r="G12" s="174"/>
      <c r="H12" s="38">
        <v>1</v>
      </c>
      <c r="I12" s="134">
        <f>F12</f>
        <v>-0.55843164000000001</v>
      </c>
      <c r="J12" s="225"/>
      <c r="K12" s="38"/>
      <c r="L12" s="39"/>
      <c r="N12" s="604">
        <v>1396.0790999999999</v>
      </c>
      <c r="O12" s="593">
        <v>400</v>
      </c>
      <c r="Q12" s="557">
        <f>-N12*O12/1000000</f>
        <v>-0.55843164000000001</v>
      </c>
      <c r="R12" s="354">
        <f>Q12-F12</f>
        <v>0</v>
      </c>
    </row>
    <row r="13" spans="1:23">
      <c r="A13" s="7">
        <f>A12+1</f>
        <v>3</v>
      </c>
      <c r="C13" t="s">
        <v>37</v>
      </c>
      <c r="F13" s="585"/>
      <c r="G13" s="174"/>
      <c r="H13" s="38"/>
      <c r="I13" s="134">
        <f t="shared" ref="I13:I28" si="0">F13</f>
        <v>0</v>
      </c>
      <c r="J13" s="225"/>
      <c r="K13" s="38"/>
      <c r="L13" s="42"/>
      <c r="N13" s="605"/>
      <c r="O13" s="487"/>
      <c r="Q13" s="557"/>
      <c r="R13" s="354"/>
    </row>
    <row r="14" spans="1:23">
      <c r="A14" s="7"/>
      <c r="D14" s="486" t="s">
        <v>107</v>
      </c>
      <c r="F14" s="585">
        <v>-0.10820136599999999</v>
      </c>
      <c r="G14" s="174"/>
      <c r="H14" s="38">
        <v>1</v>
      </c>
      <c r="I14" s="134">
        <f t="shared" si="0"/>
        <v>-0.10820136599999999</v>
      </c>
      <c r="J14" s="225"/>
      <c r="K14" s="38"/>
      <c r="L14" s="42"/>
      <c r="N14" s="606">
        <v>15413.3</v>
      </c>
      <c r="O14" s="697">
        <v>7.02</v>
      </c>
      <c r="Q14" s="557">
        <f>-N14*O14/1000000</f>
        <v>-0.10820136599999999</v>
      </c>
      <c r="R14" s="354">
        <f>Q14-F14</f>
        <v>0</v>
      </c>
    </row>
    <row r="15" spans="1:23">
      <c r="A15" s="7"/>
      <c r="D15" s="486" t="s">
        <v>391</v>
      </c>
      <c r="F15" s="585">
        <v>-2.5999999999999999E-2</v>
      </c>
      <c r="G15" s="174"/>
      <c r="H15" s="38">
        <v>1</v>
      </c>
      <c r="I15" s="134">
        <f t="shared" si="0"/>
        <v>-2.5999999999999999E-2</v>
      </c>
      <c r="J15" s="225"/>
      <c r="K15" s="38"/>
      <c r="L15" s="42"/>
      <c r="N15" s="606">
        <v>52</v>
      </c>
      <c r="O15" s="593">
        <v>500</v>
      </c>
      <c r="Q15" s="557">
        <f>-N15*O15/1000000</f>
        <v>-2.5999999999999999E-2</v>
      </c>
      <c r="R15" s="354">
        <f>Q15-F15</f>
        <v>0</v>
      </c>
    </row>
    <row r="16" spans="1:23">
      <c r="A16" s="7">
        <f>A13+1</f>
        <v>4</v>
      </c>
      <c r="C16" t="s">
        <v>328</v>
      </c>
      <c r="F16" s="584"/>
      <c r="G16" s="174"/>
      <c r="H16" s="38"/>
      <c r="I16" s="134">
        <f t="shared" si="0"/>
        <v>0</v>
      </c>
      <c r="J16" s="225"/>
      <c r="K16" s="38"/>
      <c r="L16" s="41"/>
      <c r="N16" s="580"/>
      <c r="O16" s="487"/>
      <c r="Q16" s="557"/>
      <c r="R16" s="354"/>
    </row>
    <row r="17" spans="1:22">
      <c r="A17" s="7"/>
      <c r="D17" s="486" t="s">
        <v>107</v>
      </c>
      <c r="F17" s="584">
        <v>-4.8529104000000007</v>
      </c>
      <c r="G17" s="174"/>
      <c r="H17" s="38">
        <v>1</v>
      </c>
      <c r="I17" s="134">
        <f t="shared" si="0"/>
        <v>-4.8529104000000007</v>
      </c>
      <c r="J17" s="225"/>
      <c r="K17" s="38"/>
      <c r="L17" s="41"/>
      <c r="N17">
        <v>584688</v>
      </c>
      <c r="O17" s="697">
        <v>8.3000000000000007</v>
      </c>
      <c r="Q17" s="557">
        <f>-N17*O17/1000000</f>
        <v>-4.8529104000000007</v>
      </c>
      <c r="R17" s="354">
        <f>Q17-F17</f>
        <v>0</v>
      </c>
    </row>
    <row r="18" spans="1:22">
      <c r="A18" s="7"/>
      <c r="D18" s="486" t="s">
        <v>391</v>
      </c>
      <c r="F18" s="584">
        <v>-5.45E-2</v>
      </c>
      <c r="G18" s="174"/>
      <c r="H18" s="38">
        <v>1</v>
      </c>
      <c r="I18" s="134">
        <f t="shared" si="0"/>
        <v>-5.45E-2</v>
      </c>
      <c r="J18" s="225"/>
      <c r="K18" s="38"/>
      <c r="L18" s="41"/>
      <c r="N18" s="594">
        <f>62+19+28</f>
        <v>109</v>
      </c>
      <c r="O18" s="593">
        <v>500</v>
      </c>
      <c r="Q18" s="557">
        <f>-N18*O18/1000000</f>
        <v>-5.45E-2</v>
      </c>
      <c r="R18" s="354">
        <f>Q18-F18</f>
        <v>0</v>
      </c>
    </row>
    <row r="19" spans="1:22">
      <c r="A19" s="7">
        <f>A16+1</f>
        <v>5</v>
      </c>
      <c r="C19" t="s">
        <v>82</v>
      </c>
      <c r="F19" s="586">
        <v>2.8743689300000002</v>
      </c>
      <c r="G19" s="174"/>
      <c r="H19" s="38">
        <v>1</v>
      </c>
      <c r="I19" s="134">
        <f t="shared" si="0"/>
        <v>2.8743689300000002</v>
      </c>
      <c r="J19" s="225"/>
      <c r="K19" s="38"/>
      <c r="L19" s="41"/>
      <c r="N19" s="580" t="s">
        <v>387</v>
      </c>
      <c r="O19" s="581" t="s">
        <v>387</v>
      </c>
      <c r="Q19" s="557">
        <v>2.8743689300000002</v>
      </c>
      <c r="R19" s="354">
        <f>Q19-F19</f>
        <v>0</v>
      </c>
      <c r="T19" s="174"/>
    </row>
    <row r="20" spans="1:22">
      <c r="A20" s="7">
        <f>A19+1</f>
        <v>6</v>
      </c>
      <c r="C20" t="s">
        <v>83</v>
      </c>
      <c r="F20" s="587"/>
      <c r="G20" s="174"/>
      <c r="H20" s="38"/>
      <c r="I20" s="134">
        <f t="shared" si="0"/>
        <v>0</v>
      </c>
      <c r="J20" s="225"/>
      <c r="K20" s="38"/>
      <c r="L20" s="41"/>
      <c r="N20" s="580"/>
      <c r="O20" s="487"/>
      <c r="Q20" s="557"/>
      <c r="R20" s="354"/>
    </row>
    <row r="21" spans="1:22">
      <c r="A21" s="7"/>
      <c r="D21" s="484" t="s">
        <v>374</v>
      </c>
      <c r="F21" s="587">
        <v>2.3998280529599993</v>
      </c>
      <c r="G21" s="174"/>
      <c r="H21" s="38">
        <v>1</v>
      </c>
      <c r="I21" s="134">
        <f t="shared" si="0"/>
        <v>2.3998280529599993</v>
      </c>
      <c r="J21" s="225"/>
      <c r="K21" s="38"/>
      <c r="L21" s="41"/>
      <c r="N21" s="604">
        <v>225.04013999999995</v>
      </c>
      <c r="O21" s="551">
        <f>'F-8 DTS Rate'!V18</f>
        <v>10664</v>
      </c>
      <c r="Q21" s="557">
        <f>N21*O21/1000000</f>
        <v>2.3998280529599993</v>
      </c>
      <c r="R21" s="354">
        <f t="shared" ref="R21:R28" si="1">Q21-F21</f>
        <v>0</v>
      </c>
    </row>
    <row r="22" spans="1:22">
      <c r="A22" s="7"/>
      <c r="D22" s="485" t="s">
        <v>375</v>
      </c>
      <c r="F22" s="587">
        <v>5.4931580785892402</v>
      </c>
      <c r="G22" s="174"/>
      <c r="H22" s="38">
        <v>1</v>
      </c>
      <c r="I22" s="134">
        <f t="shared" si="0"/>
        <v>5.4931580785892402</v>
      </c>
      <c r="J22" s="225"/>
      <c r="K22" s="38"/>
      <c r="L22" s="41"/>
      <c r="N22" s="604">
        <v>1565.0023015923762</v>
      </c>
      <c r="O22" s="551">
        <f>'F-8 DTS Rate'!V19</f>
        <v>3510</v>
      </c>
      <c r="Q22" s="557">
        <f>N22*O22/1000000</f>
        <v>5.4931580785892402</v>
      </c>
      <c r="R22" s="354">
        <f t="shared" si="1"/>
        <v>0</v>
      </c>
    </row>
    <row r="23" spans="1:22">
      <c r="A23" s="7"/>
      <c r="D23" s="484" t="s">
        <v>376</v>
      </c>
      <c r="F23" s="587">
        <v>3.3341396323304648</v>
      </c>
      <c r="G23" s="174"/>
      <c r="H23" s="38">
        <v>1</v>
      </c>
      <c r="I23" s="134">
        <f t="shared" si="0"/>
        <v>3.3341396323304648</v>
      </c>
      <c r="J23" s="225"/>
      <c r="K23" s="38"/>
      <c r="L23" s="41"/>
      <c r="N23" s="604">
        <v>1601.4119271520003</v>
      </c>
      <c r="O23" s="551">
        <f>'F-8 DTS Rate'!V20</f>
        <v>2082</v>
      </c>
      <c r="Q23" s="557">
        <f>N23*O23/1000000</f>
        <v>3.3341396323304648</v>
      </c>
      <c r="R23" s="354">
        <f t="shared" si="1"/>
        <v>0</v>
      </c>
    </row>
    <row r="24" spans="1:22">
      <c r="A24" s="7"/>
      <c r="D24" s="484" t="s">
        <v>377</v>
      </c>
      <c r="F24" s="587">
        <v>4.153494887665536</v>
      </c>
      <c r="G24" s="174"/>
      <c r="H24" s="38">
        <v>1</v>
      </c>
      <c r="I24" s="134">
        <f t="shared" si="0"/>
        <v>4.153494887665536</v>
      </c>
      <c r="J24" s="225"/>
      <c r="K24" s="38"/>
      <c r="L24" s="41"/>
      <c r="N24" s="604">
        <v>2979.5515693440002</v>
      </c>
      <c r="O24" s="551">
        <f>'F-8 DTS Rate'!V21</f>
        <v>1394</v>
      </c>
      <c r="Q24" s="557">
        <f>N24*O24/1000000</f>
        <v>4.153494887665536</v>
      </c>
      <c r="R24" s="354">
        <f t="shared" si="1"/>
        <v>0</v>
      </c>
    </row>
    <row r="25" spans="1:22">
      <c r="A25" s="7"/>
      <c r="D25" s="484" t="s">
        <v>378</v>
      </c>
      <c r="F25" s="587">
        <v>18.609294901442425</v>
      </c>
      <c r="G25" s="174"/>
      <c r="H25" s="38">
        <v>1</v>
      </c>
      <c r="I25" s="134">
        <f t="shared" si="0"/>
        <v>18.609294901442425</v>
      </c>
      <c r="J25" s="225"/>
      <c r="K25" s="38"/>
      <c r="L25" s="41"/>
      <c r="N25" s="604">
        <v>17135.630664311622</v>
      </c>
      <c r="O25" s="551">
        <f>'F-8 DTS Rate'!V22</f>
        <v>1086</v>
      </c>
      <c r="Q25" s="557">
        <f>N25*O25/1000000</f>
        <v>18.609294901442425</v>
      </c>
      <c r="R25" s="354">
        <f t="shared" si="1"/>
        <v>0</v>
      </c>
    </row>
    <row r="26" spans="1:22">
      <c r="A26" s="7">
        <f>A20+1</f>
        <v>7</v>
      </c>
      <c r="C26" t="s">
        <v>54</v>
      </c>
      <c r="F26" s="584">
        <v>-2.8743690000000002</v>
      </c>
      <c r="G26" s="174"/>
      <c r="H26" s="38">
        <v>1</v>
      </c>
      <c r="I26" s="134">
        <f t="shared" si="0"/>
        <v>-2.8743690000000002</v>
      </c>
      <c r="J26" s="225"/>
      <c r="K26" s="38"/>
      <c r="L26" s="41"/>
      <c r="N26" s="604">
        <f>'F-12 Determinants'!$J$21</f>
        <v>63874.866666666669</v>
      </c>
      <c r="O26" s="593">
        <v>45</v>
      </c>
      <c r="P26" s="634"/>
      <c r="Q26" s="557">
        <f>-N26*O26/1000000</f>
        <v>-2.8743690000000002</v>
      </c>
      <c r="R26" s="354">
        <f t="shared" si="1"/>
        <v>0</v>
      </c>
      <c r="T26" s="174"/>
      <c r="U26" s="174"/>
      <c r="V26" s="174"/>
    </row>
    <row r="27" spans="1:22">
      <c r="A27" s="7">
        <f t="shared" ref="A27:A32" si="2">A26+1</f>
        <v>8</v>
      </c>
      <c r="C27" t="s">
        <v>151</v>
      </c>
      <c r="F27" s="584">
        <v>-5.5570416632799997E-2</v>
      </c>
      <c r="G27" s="174"/>
      <c r="H27" s="38">
        <v>1</v>
      </c>
      <c r="I27" s="134">
        <f t="shared" si="0"/>
        <v>-5.5570416632799997E-2</v>
      </c>
      <c r="J27" s="225"/>
      <c r="K27" s="38"/>
      <c r="L27" s="41"/>
      <c r="N27" s="626" t="s">
        <v>387</v>
      </c>
      <c r="O27" s="581" t="s">
        <v>387</v>
      </c>
      <c r="Q27" s="557">
        <f>-'F-14 FTS Rate'!Q24/1000</f>
        <v>-5.5570416632799997E-2</v>
      </c>
      <c r="R27" s="354">
        <f t="shared" si="1"/>
        <v>0</v>
      </c>
    </row>
    <row r="28" spans="1:22">
      <c r="A28" s="7">
        <f t="shared" si="2"/>
        <v>9</v>
      </c>
      <c r="C28" t="s">
        <v>38</v>
      </c>
      <c r="F28" s="584">
        <v>-0.61726800000000004</v>
      </c>
      <c r="G28" s="174"/>
      <c r="H28" s="38">
        <v>1</v>
      </c>
      <c r="I28" s="134">
        <f t="shared" si="0"/>
        <v>-0.61726800000000004</v>
      </c>
      <c r="J28" s="225"/>
      <c r="K28" s="38"/>
      <c r="L28" s="41"/>
      <c r="N28" s="580" t="s">
        <v>387</v>
      </c>
      <c r="O28" s="582" t="s">
        <v>387</v>
      </c>
      <c r="Q28">
        <v>-0.61726800000000004</v>
      </c>
      <c r="R28" s="558">
        <f t="shared" si="1"/>
        <v>0</v>
      </c>
    </row>
    <row r="29" spans="1:22" s="9" customFormat="1" ht="19" customHeight="1">
      <c r="A29" s="8">
        <f t="shared" si="2"/>
        <v>10</v>
      </c>
      <c r="C29" s="12" t="s">
        <v>35</v>
      </c>
      <c r="D29" s="12"/>
      <c r="E29" s="12"/>
      <c r="F29" s="499">
        <f>SUM(F12:F28)</f>
        <v>27.717033660354865</v>
      </c>
      <c r="G29" s="12"/>
      <c r="H29" s="14">
        <v>1</v>
      </c>
      <c r="I29" s="499">
        <f>SUM(I12:I28)</f>
        <v>27.717033660354865</v>
      </c>
      <c r="J29" s="498"/>
      <c r="K29" s="14">
        <f>L29/F29</f>
        <v>0</v>
      </c>
      <c r="L29" s="16">
        <f>SUM(L12:L28)</f>
        <v>0</v>
      </c>
      <c r="M29" s="105"/>
      <c r="N29" s="490"/>
      <c r="O29" s="488"/>
      <c r="P29" s="105"/>
      <c r="Q29" s="559">
        <f>SUM(Q12:Q28)</f>
        <v>27.717033660354865</v>
      </c>
      <c r="R29" s="354"/>
    </row>
    <row r="30" spans="1:22" ht="19" customHeight="1">
      <c r="A30" s="7">
        <f t="shared" si="2"/>
        <v>11</v>
      </c>
      <c r="C30" s="2" t="s">
        <v>39</v>
      </c>
      <c r="D30" s="2"/>
      <c r="F30" s="83"/>
      <c r="H30" s="38"/>
      <c r="I30" s="405"/>
      <c r="J30" s="225"/>
      <c r="K30" s="38"/>
      <c r="L30" s="37"/>
      <c r="N30" s="489"/>
      <c r="O30" s="488"/>
      <c r="Q30" s="560"/>
      <c r="R30" s="354"/>
    </row>
    <row r="31" spans="1:22">
      <c r="A31" s="7">
        <f t="shared" si="2"/>
        <v>12</v>
      </c>
      <c r="C31" t="s">
        <v>41</v>
      </c>
      <c r="F31" s="584">
        <v>-3.2143512351999998E-2</v>
      </c>
      <c r="H31" s="38"/>
      <c r="I31" s="134"/>
      <c r="J31" s="225"/>
      <c r="K31" s="38">
        <f>1-H31</f>
        <v>1</v>
      </c>
      <c r="L31" s="39">
        <f>F31*K31</f>
        <v>-3.2143512351999998E-2</v>
      </c>
      <c r="N31" s="604">
        <f>N14</f>
        <v>15413.3</v>
      </c>
      <c r="O31" s="607">
        <v>3.7999999999999999E-2</v>
      </c>
      <c r="Q31" s="557">
        <f>-N31*O31*'F-12 Determinants'!$J$20/1000000</f>
        <v>-3.2143512351999998E-2</v>
      </c>
      <c r="R31" s="354">
        <f>Q31-F31</f>
        <v>0</v>
      </c>
    </row>
    <row r="32" spans="1:22">
      <c r="A32" s="7">
        <f t="shared" si="2"/>
        <v>13</v>
      </c>
      <c r="C32" t="s">
        <v>327</v>
      </c>
      <c r="F32" s="585"/>
      <c r="H32" s="38"/>
      <c r="I32" s="134"/>
      <c r="J32" s="225"/>
      <c r="K32" s="38"/>
      <c r="L32" s="39"/>
      <c r="N32" s="608"/>
      <c r="O32" s="609"/>
      <c r="Q32" s="560"/>
      <c r="R32" s="354"/>
    </row>
    <row r="33" spans="1:18">
      <c r="A33" s="7"/>
      <c r="D33" s="486" t="s">
        <v>388</v>
      </c>
      <c r="F33" s="585">
        <v>-0.30882676182399998</v>
      </c>
      <c r="H33" s="38"/>
      <c r="I33" s="134"/>
      <c r="J33" s="225"/>
      <c r="K33" s="38">
        <f>1-H33</f>
        <v>1</v>
      </c>
      <c r="L33" s="39">
        <f>F33*K33</f>
        <v>-0.30882676182399998</v>
      </c>
      <c r="N33" s="604">
        <v>423106</v>
      </c>
      <c r="O33" s="610">
        <v>1.3299999999999999E-2</v>
      </c>
      <c r="Q33" s="560">
        <f>-N33*O33*'F-12 Determinants'!$J$20/1000000</f>
        <v>-0.30882676182399998</v>
      </c>
      <c r="R33" s="354">
        <f>Q33-F33</f>
        <v>0</v>
      </c>
    </row>
    <row r="34" spans="1:18">
      <c r="A34" s="7"/>
      <c r="D34" s="486" t="s">
        <v>390</v>
      </c>
      <c r="F34" s="585">
        <v>-4.941385321600001E-2</v>
      </c>
      <c r="H34" s="38"/>
      <c r="I34" s="134"/>
      <c r="J34" s="225"/>
      <c r="K34" s="38">
        <f>1-H34</f>
        <v>1</v>
      </c>
      <c r="L34" s="39">
        <f>F34*K34</f>
        <v>-4.941385321600001E-2</v>
      </c>
      <c r="N34" s="604">
        <v>40742</v>
      </c>
      <c r="O34" s="610">
        <v>2.2100000000000002E-2</v>
      </c>
      <c r="Q34" s="560">
        <f>-N34*O34*'F-12 Determinants'!$J$20/1000000</f>
        <v>-4.941385321600001E-2</v>
      </c>
      <c r="R34" s="354">
        <f>Q34-F34</f>
        <v>0</v>
      </c>
    </row>
    <row r="35" spans="1:18">
      <c r="A35" s="7">
        <f>A32+1</f>
        <v>14</v>
      </c>
      <c r="C35" t="s">
        <v>84</v>
      </c>
      <c r="F35" s="584"/>
      <c r="H35" s="38"/>
      <c r="I35" s="134"/>
      <c r="J35" s="225"/>
      <c r="K35" s="38"/>
      <c r="L35" s="39"/>
      <c r="N35" s="611"/>
      <c r="O35" s="548"/>
      <c r="Q35" s="560"/>
      <c r="R35" s="354"/>
    </row>
    <row r="36" spans="1:18">
      <c r="A36" s="7"/>
      <c r="D36" s="486" t="s">
        <v>388</v>
      </c>
      <c r="F36" s="584">
        <v>-11.451901875232</v>
      </c>
      <c r="H36" s="38"/>
      <c r="I36" s="134"/>
      <c r="J36" s="225"/>
      <c r="K36" s="38">
        <f>1-H36</f>
        <v>1</v>
      </c>
      <c r="L36" s="39">
        <f>F36*K36</f>
        <v>-11.451901875232</v>
      </c>
      <c r="N36" s="604">
        <v>6480487</v>
      </c>
      <c r="O36" s="610">
        <v>3.2199999999999999E-2</v>
      </c>
      <c r="Q36" s="560">
        <f>-N36*O36*'F-12 Determinants'!$J$20/1000000</f>
        <v>-11.451901875232</v>
      </c>
      <c r="R36" s="354">
        <f>Q36-F36</f>
        <v>0</v>
      </c>
    </row>
    <row r="37" spans="1:18">
      <c r="A37" s="7"/>
      <c r="D37" s="486" t="s">
        <v>389</v>
      </c>
      <c r="F37" s="584">
        <v>-5.8998934268960008</v>
      </c>
      <c r="H37" s="38"/>
      <c r="I37" s="134"/>
      <c r="J37" s="225"/>
      <c r="K37" s="38">
        <f>1-H37</f>
        <v>1</v>
      </c>
      <c r="L37" s="39">
        <f>F37*K37</f>
        <v>-5.8998934268960008</v>
      </c>
      <c r="N37" s="604">
        <v>2929301</v>
      </c>
      <c r="O37" s="610">
        <v>3.6700000000000003E-2</v>
      </c>
      <c r="Q37" s="560">
        <f>-N37*O37*'F-12 Determinants'!$J$20/1000000</f>
        <v>-5.8998934268960008</v>
      </c>
      <c r="R37" s="354">
        <f>Q37-F37</f>
        <v>0</v>
      </c>
    </row>
    <row r="38" spans="1:18">
      <c r="A38" s="7"/>
      <c r="D38" s="486" t="s">
        <v>390</v>
      </c>
      <c r="F38" s="584">
        <v>-2.4874018865920005</v>
      </c>
      <c r="H38" s="38"/>
      <c r="I38" s="134"/>
      <c r="J38" s="225"/>
      <c r="K38" s="38">
        <f>1-H38</f>
        <v>1</v>
      </c>
      <c r="L38" s="39">
        <f>F38*K38</f>
        <v>-2.4874018865920005</v>
      </c>
      <c r="N38" s="604">
        <v>874988</v>
      </c>
      <c r="O38" s="610">
        <v>5.1799999999999999E-2</v>
      </c>
      <c r="Q38" s="561">
        <f>-N38*O38*'F-12 Determinants'!$J$20/1000000</f>
        <v>-2.4874018865920005</v>
      </c>
      <c r="R38" s="379">
        <f>Q38-F38</f>
        <v>0</v>
      </c>
    </row>
    <row r="39" spans="1:18">
      <c r="A39" s="7"/>
      <c r="D39" s="486" t="s">
        <v>386</v>
      </c>
      <c r="F39" s="584">
        <v>-0.26500000000000001</v>
      </c>
      <c r="H39" s="38"/>
      <c r="I39" s="134"/>
      <c r="J39" s="225"/>
      <c r="K39" s="38">
        <v>1</v>
      </c>
      <c r="L39" s="39">
        <f>F39*K39</f>
        <v>-0.26500000000000001</v>
      </c>
      <c r="N39" s="612">
        <v>530</v>
      </c>
      <c r="O39" s="613">
        <v>500</v>
      </c>
      <c r="Q39" s="583">
        <f>-N39*O39/10^6</f>
        <v>-0.26500000000000001</v>
      </c>
      <c r="R39" s="558">
        <f>Q39-F39</f>
        <v>0</v>
      </c>
    </row>
    <row r="40" spans="1:18" s="9" customFormat="1" ht="19" customHeight="1">
      <c r="A40" s="8">
        <f>A35+1</f>
        <v>15</v>
      </c>
      <c r="C40" s="12" t="s">
        <v>40</v>
      </c>
      <c r="D40" s="12"/>
      <c r="E40" s="12"/>
      <c r="F40" s="31">
        <f>SUM(F31:F39)</f>
        <v>-20.494581316112001</v>
      </c>
      <c r="G40" s="12"/>
      <c r="H40" s="531">
        <v>0</v>
      </c>
      <c r="I40" s="530">
        <v>0</v>
      </c>
      <c r="J40" s="498"/>
      <c r="K40" s="14">
        <v>1</v>
      </c>
      <c r="L40" s="545">
        <f>F40*K40</f>
        <v>-20.494581316112001</v>
      </c>
      <c r="M40" s="105"/>
      <c r="N40" s="492"/>
      <c r="O40" s="491"/>
      <c r="P40" s="105"/>
      <c r="Q40" s="562">
        <f>SUM(Q31:Q39)</f>
        <v>-20.494581316112001</v>
      </c>
      <c r="R40" s="354"/>
    </row>
    <row r="41" spans="1:18" s="24" customFormat="1" ht="19.399999999999999" customHeight="1">
      <c r="A41" s="7">
        <f>A40+1</f>
        <v>16</v>
      </c>
      <c r="C41" s="25" t="s">
        <v>43</v>
      </c>
      <c r="D41" s="25"/>
      <c r="E41" s="25"/>
      <c r="F41" s="357">
        <f>F29+F40</f>
        <v>7.2224523442428641</v>
      </c>
      <c r="G41" s="25"/>
      <c r="H41" s="27">
        <f>I41/F41</f>
        <v>3.8376208439019428</v>
      </c>
      <c r="I41" s="500">
        <f>SUM(I29,I40)</f>
        <v>27.717033660354865</v>
      </c>
      <c r="J41" s="474"/>
      <c r="K41" s="27">
        <f>L41/F41</f>
        <v>-2.8376208439019428</v>
      </c>
      <c r="L41" s="357">
        <f>SUM(L29,L40)</f>
        <v>-20.494581316112001</v>
      </c>
      <c r="M41" s="496"/>
      <c r="N41" s="488"/>
      <c r="O41" s="488"/>
      <c r="P41" s="496"/>
      <c r="Q41" s="560"/>
      <c r="R41" s="354"/>
    </row>
    <row r="42" spans="1:18" s="24" customFormat="1" ht="19.399999999999999" customHeight="1">
      <c r="A42" s="7"/>
      <c r="C42" s="25"/>
      <c r="D42" s="25"/>
      <c r="E42" s="25"/>
      <c r="F42" s="473"/>
      <c r="G42" s="25"/>
      <c r="H42" s="474"/>
      <c r="I42" s="475"/>
      <c r="J42" s="25"/>
      <c r="K42" s="474"/>
      <c r="L42" s="473"/>
      <c r="M42" s="497"/>
      <c r="P42" s="497"/>
      <c r="Q42" s="420"/>
    </row>
  </sheetData>
  <mergeCells count="2">
    <mergeCell ref="N9:O9"/>
    <mergeCell ref="Q6:R8"/>
  </mergeCells>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8"/>
  <sheetViews>
    <sheetView showGridLines="0" tabSelected="1" topLeftCell="A16" zoomScaleNormal="100" workbookViewId="0">
      <selection activeCell="M39" sqref="M39"/>
    </sheetView>
  </sheetViews>
  <sheetFormatPr defaultColWidth="9" defaultRowHeight="13"/>
  <cols>
    <col min="1" max="1" width="4.77734375" style="408" customWidth="1"/>
    <col min="2" max="2" width="1" style="408" customWidth="1"/>
    <col min="3" max="3" width="2.77734375" style="408" customWidth="1"/>
    <col min="4" max="4" width="28.77734375" style="408" customWidth="1"/>
    <col min="5" max="5" width="1" style="408" customWidth="1"/>
    <col min="6" max="6" width="10.109375" style="408" customWidth="1"/>
    <col min="7" max="8" width="1" style="408" customWidth="1"/>
    <col min="9" max="9" width="9.33203125" style="408" customWidth="1"/>
    <col min="10" max="10" width="10.33203125" style="408" customWidth="1"/>
    <col min="11" max="12" width="1" style="408" customWidth="1"/>
    <col min="13" max="14" width="9.33203125" style="408" customWidth="1"/>
    <col min="15" max="16" width="1" style="408" customWidth="1"/>
    <col min="17" max="18" width="9.33203125" style="408" customWidth="1"/>
    <col min="19" max="20" width="1" style="408" customWidth="1"/>
    <col min="21" max="22" width="9.33203125" style="408" customWidth="1"/>
    <col min="23" max="24" width="1" style="408" customWidth="1"/>
    <col min="25" max="26" width="9.33203125" style="408" customWidth="1"/>
    <col min="27" max="16384" width="9" style="408"/>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09" t="str">
        <f ca="1">TablePrefix&amp;TRIM(MID(CELL("filename",AB2),FIND("]",CELL("filename",AB2))+1,4))&amp;TableSuffix</f>
        <v>Table F-5</v>
      </c>
    </row>
    <row r="2" spans="1:29">
      <c r="A2" s="5" t="str">
        <f>Application</f>
        <v>Bulk and Regional Tariff Design Application</v>
      </c>
      <c r="B2" s="5"/>
      <c r="C2" s="5"/>
      <c r="D2" s="5"/>
      <c r="E2" s="5"/>
      <c r="F2" s="5"/>
      <c r="G2" s="5"/>
      <c r="H2" s="5"/>
      <c r="I2" s="5"/>
      <c r="J2" s="5"/>
      <c r="K2" s="5"/>
      <c r="L2" s="5"/>
      <c r="M2" s="5"/>
      <c r="N2" s="5"/>
      <c r="O2" s="5"/>
      <c r="P2" s="5"/>
      <c r="Q2" s="5"/>
      <c r="R2" s="5"/>
      <c r="S2" s="5"/>
      <c r="T2" s="5"/>
      <c r="U2" s="5"/>
      <c r="V2" s="5"/>
      <c r="W2" s="2"/>
      <c r="Z2" s="409" t="str">
        <f>TableDate</f>
        <v>October 15, 2021</v>
      </c>
    </row>
    <row r="3" spans="1:29">
      <c r="A3" s="167"/>
      <c r="B3" s="167"/>
      <c r="C3" s="167"/>
      <c r="D3" s="167"/>
      <c r="E3" s="167"/>
      <c r="F3" s="167"/>
      <c r="G3" s="167"/>
      <c r="H3" s="167"/>
      <c r="I3" s="167"/>
      <c r="J3" s="167"/>
      <c r="K3" s="167"/>
      <c r="L3" s="167"/>
      <c r="M3" s="167"/>
      <c r="N3" s="167"/>
      <c r="O3" s="167"/>
      <c r="P3" s="167"/>
      <c r="Q3" s="167"/>
      <c r="R3" s="167"/>
      <c r="S3" s="167"/>
      <c r="T3" s="167"/>
      <c r="U3" s="167"/>
      <c r="V3" s="167"/>
      <c r="Z3" s="2"/>
    </row>
    <row r="4" spans="1:29" s="167" customFormat="1">
      <c r="A4" s="330" t="str">
        <f>TableGroup1</f>
        <v>Appendix F — 2019 Test Year Proposed Rate Calculations</v>
      </c>
      <c r="B4" s="6"/>
      <c r="C4" s="6"/>
      <c r="D4" s="6"/>
      <c r="E4" s="6"/>
      <c r="F4" s="6"/>
      <c r="G4" s="6"/>
      <c r="H4" s="6"/>
      <c r="I4" s="6"/>
      <c r="J4" s="6"/>
      <c r="K4" s="6"/>
      <c r="L4" s="6"/>
      <c r="M4" s="6"/>
      <c r="N4" s="6"/>
      <c r="O4" s="6"/>
      <c r="P4" s="6"/>
      <c r="Q4" s="6"/>
      <c r="R4" s="6"/>
      <c r="S4" s="6"/>
      <c r="T4" s="6"/>
      <c r="U4" s="6"/>
      <c r="V4" s="6"/>
      <c r="W4" s="6"/>
      <c r="X4" s="6"/>
      <c r="Y4" s="6"/>
      <c r="Z4" s="6"/>
    </row>
    <row r="5" spans="1:29" s="167" customFormat="1">
      <c r="A5" s="6" t="s">
        <v>329</v>
      </c>
      <c r="B5" s="6"/>
      <c r="C5" s="6"/>
      <c r="D5" s="6"/>
      <c r="E5" s="6"/>
      <c r="F5" s="6"/>
      <c r="G5" s="6"/>
      <c r="H5" s="6"/>
      <c r="I5" s="6"/>
      <c r="J5" s="6"/>
      <c r="K5" s="6"/>
      <c r="L5" s="6"/>
      <c r="M5" s="6"/>
      <c r="N5" s="6"/>
      <c r="O5" s="6"/>
      <c r="P5" s="6"/>
      <c r="Q5" s="6"/>
      <c r="R5" s="6"/>
      <c r="S5" s="6"/>
      <c r="T5" s="6"/>
      <c r="U5" s="6"/>
      <c r="V5" s="6"/>
      <c r="W5" s="6"/>
      <c r="X5" s="6"/>
      <c r="Y5" s="6"/>
      <c r="Z5" s="6"/>
    </row>
    <row r="6" spans="1:29">
      <c r="I6" s="410"/>
    </row>
    <row r="7" spans="1:29" s="411" customFormat="1">
      <c r="F7" s="411" t="s">
        <v>2</v>
      </c>
      <c r="I7" s="411" t="s">
        <v>3</v>
      </c>
      <c r="J7" s="411" t="s">
        <v>4</v>
      </c>
      <c r="M7" s="411" t="s">
        <v>5</v>
      </c>
      <c r="N7" s="411" t="s">
        <v>25</v>
      </c>
      <c r="Q7" s="411" t="s">
        <v>26</v>
      </c>
      <c r="R7" s="411" t="s">
        <v>27</v>
      </c>
      <c r="U7" s="411" t="s">
        <v>50</v>
      </c>
      <c r="V7" s="411" t="s">
        <v>51</v>
      </c>
      <c r="Y7" s="411" t="s">
        <v>91</v>
      </c>
      <c r="Z7" s="411" t="s">
        <v>92</v>
      </c>
    </row>
    <row r="9" spans="1:29" s="412" customFormat="1">
      <c r="F9" s="399" t="s">
        <v>32</v>
      </c>
      <c r="H9" s="198"/>
      <c r="I9" s="45" t="s">
        <v>432</v>
      </c>
      <c r="J9" s="45"/>
      <c r="K9" s="45"/>
      <c r="L9" s="45"/>
      <c r="M9" s="45"/>
      <c r="N9" s="45"/>
      <c r="O9" s="45"/>
      <c r="P9" s="45"/>
      <c r="Q9" s="45"/>
      <c r="R9" s="45"/>
      <c r="S9" s="45"/>
      <c r="T9" s="45"/>
      <c r="U9" s="45"/>
      <c r="V9" s="45"/>
      <c r="W9" s="45"/>
      <c r="X9" s="45"/>
      <c r="Y9" s="45"/>
      <c r="Z9" s="45"/>
    </row>
    <row r="10" spans="1:29" s="412" customFormat="1">
      <c r="F10" s="413" t="s">
        <v>79</v>
      </c>
      <c r="H10" s="414"/>
      <c r="I10" s="45" t="s">
        <v>155</v>
      </c>
      <c r="J10" s="45"/>
      <c r="L10" s="414"/>
      <c r="M10" s="45" t="s">
        <v>93</v>
      </c>
      <c r="N10" s="45"/>
      <c r="P10" s="415"/>
      <c r="Q10" s="45" t="s">
        <v>85</v>
      </c>
      <c r="R10" s="45"/>
      <c r="T10" s="415"/>
      <c r="U10" s="45" t="s">
        <v>86</v>
      </c>
      <c r="V10" s="45"/>
      <c r="X10" s="415"/>
      <c r="Y10" s="45" t="s">
        <v>90</v>
      </c>
      <c r="Z10" s="45"/>
    </row>
    <row r="11" spans="1:29" s="399" customFormat="1" ht="26">
      <c r="A11" s="416" t="s">
        <v>0</v>
      </c>
      <c r="C11" s="417" t="s">
        <v>1</v>
      </c>
      <c r="D11" s="417"/>
      <c r="F11" s="416" t="s">
        <v>521</v>
      </c>
      <c r="H11" s="418"/>
      <c r="I11" s="416" t="s">
        <v>22</v>
      </c>
      <c r="J11" s="401" t="s">
        <v>23</v>
      </c>
      <c r="L11" s="418"/>
      <c r="M11" s="416" t="s">
        <v>22</v>
      </c>
      <c r="N11" s="401" t="s">
        <v>23</v>
      </c>
      <c r="P11" s="418"/>
      <c r="Q11" s="416" t="s">
        <v>22</v>
      </c>
      <c r="R11" s="401" t="s">
        <v>23</v>
      </c>
      <c r="T11" s="418"/>
      <c r="U11" s="416" t="s">
        <v>22</v>
      </c>
      <c r="V11" s="401" t="s">
        <v>23</v>
      </c>
      <c r="X11" s="418"/>
      <c r="Y11" s="416" t="s">
        <v>22</v>
      </c>
      <c r="Z11" s="401" t="s">
        <v>23</v>
      </c>
    </row>
    <row r="12" spans="1:29" s="420" customFormat="1" ht="19" customHeight="1">
      <c r="A12" s="419">
        <v>1</v>
      </c>
      <c r="C12" s="25" t="s">
        <v>6</v>
      </c>
      <c r="D12" s="25"/>
      <c r="E12" s="25"/>
      <c r="F12" s="124"/>
      <c r="G12" s="28"/>
      <c r="H12" s="111"/>
      <c r="I12" s="127"/>
      <c r="J12" s="128"/>
      <c r="K12" s="28"/>
      <c r="L12" s="111"/>
      <c r="M12" s="127"/>
      <c r="N12" s="128"/>
      <c r="O12" s="28"/>
      <c r="P12" s="111"/>
      <c r="Q12" s="407"/>
      <c r="R12" s="128"/>
      <c r="S12" s="28"/>
      <c r="T12" s="111"/>
      <c r="U12" s="127"/>
      <c r="V12" s="128"/>
      <c r="W12" s="28"/>
      <c r="X12" s="111"/>
      <c r="Y12" s="127"/>
      <c r="Z12" s="128"/>
    </row>
    <row r="13" spans="1:29">
      <c r="A13" s="419">
        <f>A12+1</f>
        <v>2</v>
      </c>
      <c r="C13" s="408" t="s">
        <v>450</v>
      </c>
      <c r="F13" s="421">
        <f>'F-3 Allocation'!L12</f>
        <v>580.02520750753354</v>
      </c>
      <c r="G13" s="422"/>
      <c r="H13" s="423"/>
      <c r="I13" s="595">
        <v>0</v>
      </c>
      <c r="J13" s="598">
        <f t="shared" ref="J13:J16" si="0">$F13*I13</f>
        <v>0</v>
      </c>
      <c r="K13" s="596"/>
      <c r="L13" s="597"/>
      <c r="M13" s="595">
        <v>0</v>
      </c>
      <c r="N13" s="598">
        <f>F13*M13</f>
        <v>0</v>
      </c>
      <c r="O13" s="596"/>
      <c r="P13" s="597"/>
      <c r="Q13" s="595">
        <v>1</v>
      </c>
      <c r="R13" s="424">
        <f>F13*Q13</f>
        <v>580.02520750753354</v>
      </c>
      <c r="S13" s="422"/>
      <c r="T13" s="423"/>
      <c r="U13" s="595">
        <v>0</v>
      </c>
      <c r="V13" s="424">
        <f>F13*U13</f>
        <v>0</v>
      </c>
      <c r="W13" s="422"/>
      <c r="X13" s="423"/>
      <c r="Y13" s="595">
        <f>IF(IF(F13=0,0,ABS(1-I13-M13-Q13-U13))&lt;0.0001,0,IF(F13=0,0,1-I13-M13-Q13-U13))</f>
        <v>0</v>
      </c>
      <c r="Z13" s="424">
        <f>F13*Y13</f>
        <v>0</v>
      </c>
      <c r="AB13" s="472"/>
      <c r="AC13" s="472"/>
    </row>
    <row r="14" spans="1:29">
      <c r="A14" s="419">
        <f t="shared" ref="A14:A35" si="1">A13+1</f>
        <v>3</v>
      </c>
      <c r="C14" s="408" t="s">
        <v>451</v>
      </c>
      <c r="F14" s="421">
        <f>'F-3 Allocation'!L13</f>
        <v>539.11056631405609</v>
      </c>
      <c r="G14" s="422"/>
      <c r="H14" s="423"/>
      <c r="I14" s="595">
        <v>1</v>
      </c>
      <c r="J14" s="598">
        <f t="shared" si="0"/>
        <v>539.11056631405609</v>
      </c>
      <c r="K14" s="596"/>
      <c r="L14" s="597"/>
      <c r="M14" s="595">
        <v>0</v>
      </c>
      <c r="N14" s="598">
        <f>F14*M14</f>
        <v>0</v>
      </c>
      <c r="O14" s="596"/>
      <c r="P14" s="597"/>
      <c r="Q14" s="595">
        <v>0</v>
      </c>
      <c r="R14" s="424">
        <f>F14*Q14</f>
        <v>0</v>
      </c>
      <c r="S14" s="422"/>
      <c r="T14" s="423"/>
      <c r="U14" s="595">
        <v>0</v>
      </c>
      <c r="V14" s="424">
        <f>F14*U14</f>
        <v>0</v>
      </c>
      <c r="W14" s="422"/>
      <c r="X14" s="423"/>
      <c r="Y14" s="595">
        <f>IF(IF(F14=0,0,ABS(1-I14-M14-Q14-U14))&lt;0.0001,0,IF(F14=0,0,1-I14-M14-Q14-U14))</f>
        <v>0</v>
      </c>
      <c r="Z14" s="424">
        <f>F14*Y14</f>
        <v>0</v>
      </c>
      <c r="AB14" s="472"/>
      <c r="AC14" s="472"/>
    </row>
    <row r="15" spans="1:29">
      <c r="A15" s="419">
        <f t="shared" si="1"/>
        <v>4</v>
      </c>
      <c r="C15" s="408" t="s">
        <v>452</v>
      </c>
      <c r="F15" s="421">
        <f>'F-3 Allocation'!L14</f>
        <v>311.39559496574253</v>
      </c>
      <c r="G15" s="422"/>
      <c r="H15" s="423"/>
      <c r="I15" s="595">
        <v>0</v>
      </c>
      <c r="J15" s="598">
        <f t="shared" si="0"/>
        <v>0</v>
      </c>
      <c r="K15" s="596"/>
      <c r="L15" s="597"/>
      <c r="M15" s="595">
        <v>1</v>
      </c>
      <c r="N15" s="598">
        <f>F15*M15</f>
        <v>311.39559496574253</v>
      </c>
      <c r="O15" s="596"/>
      <c r="P15" s="597"/>
      <c r="Q15" s="595">
        <v>0</v>
      </c>
      <c r="R15" s="424">
        <f>F15*Q15</f>
        <v>0</v>
      </c>
      <c r="S15" s="422"/>
      <c r="T15" s="423"/>
      <c r="U15" s="595">
        <v>0</v>
      </c>
      <c r="V15" s="424">
        <f>F15*U15</f>
        <v>0</v>
      </c>
      <c r="W15" s="422"/>
      <c r="X15" s="423"/>
      <c r="Y15" s="595">
        <f>IF(IF(F15=0,0,ABS(1-I15-M15-Q15-U15))&lt;0.0001,0,IF(F15=0,0,1-I15-M15-Q15-U15))</f>
        <v>0</v>
      </c>
      <c r="Z15" s="424">
        <f>F15*Y15</f>
        <v>0</v>
      </c>
      <c r="AB15" s="472"/>
      <c r="AC15" s="472"/>
    </row>
    <row r="16" spans="1:29">
      <c r="A16" s="419">
        <f t="shared" si="1"/>
        <v>5</v>
      </c>
      <c r="C16" s="408" t="s">
        <v>95</v>
      </c>
      <c r="F16" s="425">
        <f>'F-3 Allocation'!L15</f>
        <v>420.80986168676151</v>
      </c>
      <c r="G16" s="422"/>
      <c r="H16" s="423"/>
      <c r="I16" s="595">
        <v>0</v>
      </c>
      <c r="J16" s="598">
        <f t="shared" si="0"/>
        <v>0</v>
      </c>
      <c r="K16" s="596"/>
      <c r="L16" s="597"/>
      <c r="M16" s="595">
        <f>SUM('F-6 POD Classification'!L19:R19)</f>
        <v>0.83874659654232275</v>
      </c>
      <c r="N16" s="598">
        <f>F16*M16</f>
        <v>352.95283928121677</v>
      </c>
      <c r="O16" s="596"/>
      <c r="P16" s="597"/>
      <c r="Q16" s="595">
        <v>0</v>
      </c>
      <c r="R16" s="424">
        <f>F16*Q16</f>
        <v>0</v>
      </c>
      <c r="S16" s="422"/>
      <c r="T16" s="423"/>
      <c r="U16" s="595">
        <v>0</v>
      </c>
      <c r="V16" s="424">
        <f>F16*U16</f>
        <v>0</v>
      </c>
      <c r="W16" s="422"/>
      <c r="X16" s="423"/>
      <c r="Y16" s="426">
        <f>'F-6 POD Classification'!I19</f>
        <v>0.16125340345767727</v>
      </c>
      <c r="Z16" s="424">
        <f>F16*Y16</f>
        <v>67.857022405544726</v>
      </c>
      <c r="AB16" s="472"/>
      <c r="AC16" s="472"/>
    </row>
    <row r="17" spans="1:26" s="427" customFormat="1" ht="19" customHeight="1">
      <c r="A17" s="419">
        <f>A16+1</f>
        <v>6</v>
      </c>
      <c r="C17" s="12" t="s">
        <v>96</v>
      </c>
      <c r="D17" s="12"/>
      <c r="E17" s="12"/>
      <c r="F17" s="16">
        <f>SUM(F13:F16)</f>
        <v>1851.3412304740937</v>
      </c>
      <c r="G17" s="19"/>
      <c r="H17" s="110"/>
      <c r="I17" s="70">
        <f>J17/$F17</f>
        <v>0.29120000000000001</v>
      </c>
      <c r="J17" s="16">
        <f>SUM(J13:J16)</f>
        <v>539.11056631405609</v>
      </c>
      <c r="K17" s="19"/>
      <c r="L17" s="110"/>
      <c r="M17" s="70">
        <f>N17/$F17</f>
        <v>0.35884710139406995</v>
      </c>
      <c r="N17" s="16">
        <f>SUM(N13:N16)</f>
        <v>664.3484342469593</v>
      </c>
      <c r="O17" s="19"/>
      <c r="P17" s="110"/>
      <c r="Q17" s="70">
        <f>R17/$F17</f>
        <v>0.31330000000000002</v>
      </c>
      <c r="R17" s="16">
        <f>SUM(R13:R16)</f>
        <v>580.02520750753354</v>
      </c>
      <c r="S17" s="19"/>
      <c r="T17" s="110"/>
      <c r="U17" s="70">
        <f>V17/$F17</f>
        <v>0</v>
      </c>
      <c r="V17" s="31">
        <f>SUM(V13:V16)</f>
        <v>0</v>
      </c>
      <c r="W17" s="19"/>
      <c r="X17" s="110"/>
      <c r="Y17" s="70">
        <f>Z17/$F17</f>
        <v>3.6652898605930045E-2</v>
      </c>
      <c r="Z17" s="16">
        <f>SUM(Z13:Z16)</f>
        <v>67.857022405544726</v>
      </c>
    </row>
    <row r="18" spans="1:26" ht="19" customHeight="1">
      <c r="A18" s="419">
        <f t="shared" si="1"/>
        <v>7</v>
      </c>
      <c r="C18" s="2" t="s">
        <v>11</v>
      </c>
      <c r="D18" s="2"/>
      <c r="F18" s="428"/>
      <c r="G18" s="422"/>
      <c r="H18" s="423"/>
      <c r="I18" s="429"/>
      <c r="J18" s="430"/>
      <c r="K18" s="422"/>
      <c r="L18" s="423"/>
      <c r="M18" s="429"/>
      <c r="N18" s="430"/>
      <c r="O18" s="422"/>
      <c r="P18" s="423"/>
      <c r="Q18" s="403"/>
      <c r="R18" s="430"/>
      <c r="S18" s="422"/>
      <c r="T18" s="423"/>
      <c r="U18" s="429"/>
      <c r="V18" s="430"/>
      <c r="W18" s="422"/>
      <c r="X18" s="423"/>
      <c r="Y18" s="429"/>
      <c r="Z18" s="430"/>
    </row>
    <row r="19" spans="1:26">
      <c r="A19" s="419">
        <f t="shared" si="1"/>
        <v>8</v>
      </c>
      <c r="C19" s="408" t="s">
        <v>12</v>
      </c>
      <c r="F19" s="428">
        <f>'F-3 Allocation'!L18</f>
        <v>187.22745940999999</v>
      </c>
      <c r="G19" s="422"/>
      <c r="H19" s="423"/>
      <c r="I19" s="403">
        <v>0</v>
      </c>
      <c r="J19" s="425">
        <f>$F19*I19</f>
        <v>0</v>
      </c>
      <c r="K19" s="422"/>
      <c r="L19" s="423"/>
      <c r="M19" s="403">
        <v>0</v>
      </c>
      <c r="N19" s="425">
        <f>$F19*M19</f>
        <v>0</v>
      </c>
      <c r="O19" s="422"/>
      <c r="P19" s="423"/>
      <c r="Q19" s="403">
        <v>0</v>
      </c>
      <c r="R19" s="425">
        <f>$F19*Q19</f>
        <v>0</v>
      </c>
      <c r="S19" s="422"/>
      <c r="T19" s="423"/>
      <c r="U19" s="403">
        <v>1</v>
      </c>
      <c r="V19" s="573">
        <f>$F19*U19</f>
        <v>187.22745940999999</v>
      </c>
      <c r="W19" s="422"/>
      <c r="X19" s="423"/>
      <c r="Y19" s="403">
        <f>IF(IF(F19=0,0,ABS(1-I19-M19-Q19-U19))&lt;0.0001,0,IF(F19=0,0,1-I19-M19-Q19-U19))</f>
        <v>0</v>
      </c>
      <c r="Z19" s="425">
        <f>$F19*Y19</f>
        <v>0</v>
      </c>
    </row>
    <row r="20" spans="1:26">
      <c r="A20" s="419">
        <f t="shared" si="1"/>
        <v>9</v>
      </c>
      <c r="C20" s="408" t="s">
        <v>13</v>
      </c>
      <c r="F20" s="425"/>
      <c r="G20" s="422"/>
      <c r="H20" s="423"/>
      <c r="I20" s="429"/>
      <c r="J20" s="425"/>
      <c r="K20" s="422"/>
      <c r="L20" s="423"/>
      <c r="M20" s="429"/>
      <c r="N20" s="425"/>
      <c r="O20" s="422"/>
      <c r="P20" s="423"/>
      <c r="Q20" s="429"/>
      <c r="R20" s="425"/>
      <c r="S20" s="422"/>
      <c r="T20" s="423"/>
      <c r="U20" s="429"/>
      <c r="V20" s="425"/>
      <c r="W20" s="422"/>
      <c r="X20" s="423"/>
      <c r="Y20" s="429"/>
      <c r="Z20" s="425"/>
    </row>
    <row r="21" spans="1:26">
      <c r="A21" s="419">
        <f t="shared" si="1"/>
        <v>10</v>
      </c>
      <c r="D21" s="516" t="s">
        <v>14</v>
      </c>
      <c r="F21" s="425">
        <f>'F-3 Allocation'!L20</f>
        <v>2.2928907000000001</v>
      </c>
      <c r="G21" s="422"/>
      <c r="H21" s="423"/>
      <c r="I21" s="403">
        <v>0</v>
      </c>
      <c r="J21" s="425">
        <f>$F21*I21</f>
        <v>0</v>
      </c>
      <c r="K21" s="422"/>
      <c r="L21" s="423"/>
      <c r="M21" s="403">
        <v>0</v>
      </c>
      <c r="N21" s="425">
        <f>$F21*M21</f>
        <v>0</v>
      </c>
      <c r="O21" s="422"/>
      <c r="P21" s="423"/>
      <c r="Q21" s="403">
        <v>0</v>
      </c>
      <c r="R21" s="425">
        <f>$F21*Q21</f>
        <v>0</v>
      </c>
      <c r="S21" s="422"/>
      <c r="T21" s="423"/>
      <c r="U21" s="403">
        <v>1</v>
      </c>
      <c r="V21" s="425">
        <f>$F21*U21</f>
        <v>2.2928907000000001</v>
      </c>
      <c r="W21" s="422"/>
      <c r="X21" s="423"/>
      <c r="Y21" s="403">
        <f>IF(IF(F21=0,0,ABS(1-I21-M21-Q21-U21))&lt;0.0001,0,IF(F21=0,0,1-I21-M21-Q21-U21))</f>
        <v>0</v>
      </c>
      <c r="Z21" s="425">
        <f>$F21*Y21</f>
        <v>0</v>
      </c>
    </row>
    <row r="22" spans="1:26">
      <c r="A22" s="419">
        <f t="shared" si="1"/>
        <v>11</v>
      </c>
      <c r="D22" s="516" t="s">
        <v>15</v>
      </c>
      <c r="F22" s="425">
        <f>'F-3 Allocation'!L21</f>
        <v>3.2913457400000001</v>
      </c>
      <c r="G22" s="422"/>
      <c r="H22" s="423"/>
      <c r="I22" s="403">
        <v>0</v>
      </c>
      <c r="J22" s="425">
        <f>$F22*I22</f>
        <v>0</v>
      </c>
      <c r="K22" s="422"/>
      <c r="L22" s="423"/>
      <c r="M22" s="403">
        <v>0</v>
      </c>
      <c r="N22" s="425">
        <f>$F22*M22</f>
        <v>0</v>
      </c>
      <c r="O22" s="422"/>
      <c r="P22" s="423"/>
      <c r="Q22" s="403">
        <v>1</v>
      </c>
      <c r="R22" s="425">
        <f>$F22*Q22</f>
        <v>3.2913457400000001</v>
      </c>
      <c r="S22" s="422"/>
      <c r="T22" s="423"/>
      <c r="U22" s="403">
        <v>0</v>
      </c>
      <c r="V22" s="425">
        <f>$F22*U22</f>
        <v>0</v>
      </c>
      <c r="W22" s="422"/>
      <c r="X22" s="423"/>
      <c r="Y22" s="403">
        <f>IF(IF(F22=0,0,ABS(1-I22-M22-Q22-U22))&lt;0.0001,0,IF(F22=0,0,1-I22-M22-Q22-U22))</f>
        <v>0</v>
      </c>
      <c r="Z22" s="425">
        <f>$F22*Y22</f>
        <v>0</v>
      </c>
    </row>
    <row r="23" spans="1:26">
      <c r="A23" s="419">
        <f t="shared" si="1"/>
        <v>12</v>
      </c>
      <c r="D23" s="516" t="s">
        <v>424</v>
      </c>
      <c r="F23" s="425">
        <f>'F-3 Allocation'!L22</f>
        <v>16.147908659999999</v>
      </c>
      <c r="G23" s="422"/>
      <c r="H23" s="423"/>
      <c r="I23" s="403">
        <v>0</v>
      </c>
      <c r="J23" s="425">
        <f>$F23*I23</f>
        <v>0</v>
      </c>
      <c r="K23" s="422"/>
      <c r="L23" s="423"/>
      <c r="M23" s="403">
        <v>0</v>
      </c>
      <c r="N23" s="425">
        <f>$F23*M23</f>
        <v>0</v>
      </c>
      <c r="O23" s="422"/>
      <c r="P23" s="423"/>
      <c r="Q23" s="403">
        <v>0</v>
      </c>
      <c r="R23" s="425">
        <f>$F23*Q23</f>
        <v>0</v>
      </c>
      <c r="S23" s="422"/>
      <c r="T23" s="423"/>
      <c r="U23" s="403">
        <v>1</v>
      </c>
      <c r="V23" s="425">
        <f>$F23*U23</f>
        <v>16.147908659999999</v>
      </c>
      <c r="W23" s="422"/>
      <c r="X23" s="423"/>
      <c r="Y23" s="403">
        <f>IF(IF(F23=0,0,ABS(1-I23-M23-Q23-U23))&lt;0.0001,0,IF(F23=0,0,1-I23-M23-Q23-U23))</f>
        <v>0</v>
      </c>
      <c r="Z23" s="425">
        <f>$F23*Y23</f>
        <v>0</v>
      </c>
    </row>
    <row r="24" spans="1:26">
      <c r="A24" s="419">
        <f t="shared" si="1"/>
        <v>13</v>
      </c>
      <c r="D24" s="516" t="s">
        <v>392</v>
      </c>
      <c r="F24" s="425">
        <f>'F-3 Allocation'!L23</f>
        <v>2.8571428800000001</v>
      </c>
      <c r="G24" s="422"/>
      <c r="H24" s="423"/>
      <c r="I24" s="403">
        <v>0</v>
      </c>
      <c r="J24" s="425">
        <f>$F24*I24</f>
        <v>0</v>
      </c>
      <c r="K24" s="422"/>
      <c r="L24" s="423"/>
      <c r="M24" s="403">
        <v>1</v>
      </c>
      <c r="N24" s="425">
        <f>$F24*M24</f>
        <v>2.8571428800000001</v>
      </c>
      <c r="O24" s="422"/>
      <c r="P24" s="423"/>
      <c r="Q24" s="403">
        <v>0</v>
      </c>
      <c r="R24" s="425">
        <f>$F24*Q24</f>
        <v>0</v>
      </c>
      <c r="S24" s="422"/>
      <c r="T24" s="423"/>
      <c r="U24" s="403">
        <v>0</v>
      </c>
      <c r="V24" s="425">
        <f>$F24*U24</f>
        <v>0</v>
      </c>
      <c r="W24" s="422"/>
      <c r="X24" s="423"/>
      <c r="Y24" s="403">
        <f>IF(IF(F24=0,0,ABS(1-I24-M24-Q24-U24))&lt;0.0001,0,IF(F24=0,0,1-I24-M24-Q24-U24))</f>
        <v>0</v>
      </c>
      <c r="Z24" s="425">
        <f>$F24*Y24</f>
        <v>0</v>
      </c>
    </row>
    <row r="25" spans="1:26">
      <c r="A25" s="419">
        <f t="shared" si="1"/>
        <v>14</v>
      </c>
      <c r="D25" s="516" t="s">
        <v>395</v>
      </c>
      <c r="F25" s="425">
        <f>'F-3 Allocation'!L24</f>
        <v>0.26980104999999999</v>
      </c>
      <c r="G25" s="422"/>
      <c r="H25" s="423"/>
      <c r="I25" s="403"/>
      <c r="J25" s="425">
        <f>$F25*I25</f>
        <v>0</v>
      </c>
      <c r="K25" s="422"/>
      <c r="L25" s="423"/>
      <c r="M25" s="403">
        <v>0</v>
      </c>
      <c r="N25" s="425">
        <f>$F25*M25</f>
        <v>0</v>
      </c>
      <c r="O25" s="422"/>
      <c r="P25" s="423"/>
      <c r="Q25" s="403"/>
      <c r="R25" s="425">
        <f>$F25*Q25</f>
        <v>0</v>
      </c>
      <c r="S25" s="422"/>
      <c r="T25" s="423"/>
      <c r="U25" s="403">
        <v>1</v>
      </c>
      <c r="V25" s="425">
        <f>$F25*U25</f>
        <v>0.26980104999999999</v>
      </c>
      <c r="W25" s="422"/>
      <c r="X25" s="423"/>
      <c r="Y25" s="403">
        <f>IF(IF(F25=0,0,ABS(1-I25-M25-Q25-U25))&lt;0.0001,0,IF(F25=0,0,1-I25-M25-Q25-U25))</f>
        <v>0</v>
      </c>
      <c r="Z25" s="425">
        <f>$F25*Y25</f>
        <v>0</v>
      </c>
    </row>
    <row r="26" spans="1:26">
      <c r="A26" s="419">
        <f t="shared" si="1"/>
        <v>15</v>
      </c>
      <c r="D26" s="516" t="s">
        <v>17</v>
      </c>
      <c r="F26" s="425">
        <f>'F-3 Allocation'!L25</f>
        <v>0.86910456000000003</v>
      </c>
      <c r="G26" s="422"/>
      <c r="H26" s="423"/>
      <c r="I26" s="403">
        <v>0</v>
      </c>
      <c r="J26" s="425">
        <v>0</v>
      </c>
      <c r="K26" s="422"/>
      <c r="L26" s="423">
        <v>0</v>
      </c>
      <c r="M26" s="403">
        <v>1</v>
      </c>
      <c r="N26" s="425">
        <f>F26*M26</f>
        <v>0.86910456000000003</v>
      </c>
      <c r="O26" s="422"/>
      <c r="P26" s="423"/>
      <c r="Q26" s="403">
        <v>0</v>
      </c>
      <c r="R26" s="425">
        <v>0</v>
      </c>
      <c r="S26" s="422"/>
      <c r="T26" s="423"/>
      <c r="U26" s="403">
        <v>0</v>
      </c>
      <c r="V26" s="425">
        <f>U26*F26</f>
        <v>0</v>
      </c>
      <c r="W26" s="422"/>
      <c r="X26" s="423"/>
      <c r="Y26" s="403">
        <v>0</v>
      </c>
      <c r="Z26" s="425">
        <v>0</v>
      </c>
    </row>
    <row r="27" spans="1:26">
      <c r="A27" s="419">
        <f t="shared" si="1"/>
        <v>16</v>
      </c>
      <c r="D27" s="516" t="s">
        <v>279</v>
      </c>
      <c r="F27" s="425">
        <f>'F-3 Allocation'!L26</f>
        <v>0</v>
      </c>
      <c r="G27" s="422"/>
      <c r="H27" s="423"/>
      <c r="I27" s="403">
        <f>I14</f>
        <v>1</v>
      </c>
      <c r="J27" s="425">
        <f>I27*F27</f>
        <v>0</v>
      </c>
      <c r="K27" s="422"/>
      <c r="L27" s="423"/>
      <c r="M27" s="403"/>
      <c r="N27" s="425">
        <f>M27*F27</f>
        <v>0</v>
      </c>
      <c r="O27" s="422"/>
      <c r="P27" s="423"/>
      <c r="Q27" s="403">
        <f>Q14</f>
        <v>0</v>
      </c>
      <c r="R27" s="425">
        <f>Q27*F27</f>
        <v>0</v>
      </c>
      <c r="S27" s="422"/>
      <c r="T27" s="423"/>
      <c r="U27" s="403">
        <v>0</v>
      </c>
      <c r="V27" s="425">
        <f>U27*F27</f>
        <v>0</v>
      </c>
      <c r="W27" s="422"/>
      <c r="X27" s="423"/>
      <c r="Y27" s="403">
        <v>0</v>
      </c>
      <c r="Z27" s="425">
        <f>Y27*F27</f>
        <v>0</v>
      </c>
    </row>
    <row r="28" spans="1:26">
      <c r="A28" s="419">
        <f t="shared" si="1"/>
        <v>17</v>
      </c>
      <c r="D28" s="516" t="s">
        <v>425</v>
      </c>
      <c r="F28" s="425">
        <f>'F-3 Allocation'!L27</f>
        <v>0</v>
      </c>
      <c r="G28" s="422"/>
      <c r="H28" s="423"/>
      <c r="I28" s="403"/>
      <c r="J28" s="425"/>
      <c r="K28" s="422"/>
      <c r="L28" s="423"/>
      <c r="M28" s="403"/>
      <c r="N28" s="425"/>
      <c r="O28" s="422"/>
      <c r="P28" s="423"/>
      <c r="Q28" s="403"/>
      <c r="R28" s="425"/>
      <c r="S28" s="422"/>
      <c r="T28" s="423"/>
      <c r="U28" s="403"/>
      <c r="V28" s="425">
        <f>U28*F28</f>
        <v>0</v>
      </c>
      <c r="W28" s="422"/>
      <c r="X28" s="423"/>
      <c r="Y28" s="403"/>
      <c r="Z28" s="425"/>
    </row>
    <row r="29" spans="1:26" s="427" customFormat="1" ht="19" customHeight="1">
      <c r="A29" s="419">
        <f t="shared" si="1"/>
        <v>18</v>
      </c>
      <c r="C29" s="12" t="s">
        <v>19</v>
      </c>
      <c r="D29" s="12"/>
      <c r="E29" s="12"/>
      <c r="F29" s="16">
        <f>SUM(F19:F28)</f>
        <v>212.95565299999998</v>
      </c>
      <c r="G29" s="19"/>
      <c r="H29" s="110"/>
      <c r="I29" s="70">
        <f>J29/$F29</f>
        <v>0</v>
      </c>
      <c r="J29" s="31">
        <f>SUM(J19:J27)</f>
        <v>0</v>
      </c>
      <c r="K29" s="19"/>
      <c r="L29" s="110"/>
      <c r="M29" s="70">
        <f>N29/$F29</f>
        <v>1.7497762503632622E-2</v>
      </c>
      <c r="N29" s="31">
        <f>SUM(N19:N28)</f>
        <v>3.7262474399999999</v>
      </c>
      <c r="O29" s="19"/>
      <c r="P29" s="110"/>
      <c r="Q29" s="70">
        <f>R29/$F29</f>
        <v>1.5455545291394543E-2</v>
      </c>
      <c r="R29" s="31">
        <f>SUM(R19:R28)</f>
        <v>3.2913457400000001</v>
      </c>
      <c r="S29" s="19"/>
      <c r="T29" s="110"/>
      <c r="U29" s="70">
        <f>V29/$F29</f>
        <v>0.96704669220497286</v>
      </c>
      <c r="V29" s="31">
        <f>SUM(V19:V28)</f>
        <v>205.93805981999998</v>
      </c>
      <c r="W29" s="19"/>
      <c r="X29" s="110"/>
      <c r="Y29" s="70">
        <f>Z29/$F29</f>
        <v>0</v>
      </c>
      <c r="Z29" s="31">
        <f>SUM(Z19:Z25)</f>
        <v>0</v>
      </c>
    </row>
    <row r="30" spans="1:26" s="431" customFormat="1" ht="25.5" customHeight="1">
      <c r="A30" s="419">
        <f t="shared" si="1"/>
        <v>19</v>
      </c>
      <c r="C30" s="11" t="s">
        <v>9</v>
      </c>
      <c r="D30" s="11"/>
      <c r="E30" s="11"/>
      <c r="F30" s="81">
        <f>'F-3 Allocation'!L29</f>
        <v>0</v>
      </c>
      <c r="G30" s="17"/>
      <c r="H30" s="108"/>
      <c r="I30" s="87">
        <v>0</v>
      </c>
      <c r="J30" s="82">
        <f>$F30*I30</f>
        <v>0</v>
      </c>
      <c r="K30" s="17"/>
      <c r="L30" s="108"/>
      <c r="M30" s="87">
        <v>0</v>
      </c>
      <c r="N30" s="82">
        <f>$F30*M30</f>
        <v>0</v>
      </c>
      <c r="O30" s="17"/>
      <c r="P30" s="108"/>
      <c r="Q30" s="87">
        <v>0</v>
      </c>
      <c r="R30" s="82">
        <f>$F30*Q30</f>
        <v>0</v>
      </c>
      <c r="S30" s="17"/>
      <c r="T30" s="108"/>
      <c r="U30" s="87">
        <v>0</v>
      </c>
      <c r="V30" s="82">
        <f>$F30*U30</f>
        <v>0</v>
      </c>
      <c r="W30" s="17"/>
      <c r="X30" s="108"/>
      <c r="Y30" s="87">
        <f>IF(IF(F30=0,0,ABS(1-I30-M30-Q30-U30))&lt;0.0001,0,IF(F30=0,0,1-I30-M30-Q30-U30))</f>
        <v>0</v>
      </c>
      <c r="Z30" s="82">
        <f>$F30*Y30</f>
        <v>0</v>
      </c>
    </row>
    <row r="31" spans="1:26" s="431" customFormat="1" ht="25.5" customHeight="1">
      <c r="A31" s="419">
        <f t="shared" si="1"/>
        <v>20</v>
      </c>
      <c r="C31" s="11" t="s">
        <v>8</v>
      </c>
      <c r="D31" s="11"/>
      <c r="E31" s="11"/>
      <c r="F31" s="15">
        <f>'F-3 Allocation'!L30</f>
        <v>15.351987029999998</v>
      </c>
      <c r="G31" s="17"/>
      <c r="H31" s="108"/>
      <c r="I31" s="87">
        <f>I17</f>
        <v>0.29120000000000001</v>
      </c>
      <c r="J31" s="30">
        <f>$F31*I31</f>
        <v>4.4704986231359998</v>
      </c>
      <c r="K31" s="17"/>
      <c r="L31" s="108"/>
      <c r="M31" s="87">
        <f>M17</f>
        <v>0.35884710139406995</v>
      </c>
      <c r="N31" s="575">
        <f>$F31*M31</f>
        <v>5.5090160463548559</v>
      </c>
      <c r="O31" s="17"/>
      <c r="P31" s="108"/>
      <c r="Q31" s="87">
        <f>Q17</f>
        <v>0.31330000000000002</v>
      </c>
      <c r="R31" s="30">
        <f>$F31*Q31</f>
        <v>4.8097775364989994</v>
      </c>
      <c r="S31" s="17"/>
      <c r="T31" s="108"/>
      <c r="U31" s="87">
        <f>U17</f>
        <v>0</v>
      </c>
      <c r="V31" s="30">
        <f>$F31*U31</f>
        <v>0</v>
      </c>
      <c r="W31" s="17"/>
      <c r="X31" s="108"/>
      <c r="Y31" s="87">
        <f>IF(IF(F31=0,0,ABS(1-I31-M31-Q31-U31))&lt;0.0001,0,IF(F31=0,0,1-I31-M31-Q31-U31))</f>
        <v>3.6652898605930018E-2</v>
      </c>
      <c r="Z31" s="30">
        <f>$F31*Y31</f>
        <v>0.5626948240101427</v>
      </c>
    </row>
    <row r="32" spans="1:26" s="431" customFormat="1" ht="25.5" customHeight="1">
      <c r="A32" s="419">
        <f t="shared" si="1"/>
        <v>21</v>
      </c>
      <c r="C32" s="11" t="s">
        <v>7</v>
      </c>
      <c r="D32" s="11"/>
      <c r="E32" s="11"/>
      <c r="F32" s="15">
        <f>'F-3 Allocation'!L31</f>
        <v>97.054855689999982</v>
      </c>
      <c r="G32" s="17"/>
      <c r="H32" s="108"/>
      <c r="I32" s="87">
        <f>I17</f>
        <v>0.29120000000000001</v>
      </c>
      <c r="J32" s="30">
        <f>$F32*I32</f>
        <v>28.262373976927996</v>
      </c>
      <c r="K32" s="17"/>
      <c r="L32" s="108"/>
      <c r="M32" s="87">
        <f>M17</f>
        <v>0.35884710139406995</v>
      </c>
      <c r="N32" s="30">
        <f>$F32*M32</f>
        <v>34.827853640576251</v>
      </c>
      <c r="O32" s="17"/>
      <c r="P32" s="108"/>
      <c r="Q32" s="87">
        <f>Q17</f>
        <v>0.31330000000000002</v>
      </c>
      <c r="R32" s="30">
        <f>$F32*Q32</f>
        <v>30.407286287676996</v>
      </c>
      <c r="S32" s="17"/>
      <c r="T32" s="108"/>
      <c r="U32" s="87">
        <f>U17</f>
        <v>0</v>
      </c>
      <c r="V32" s="30">
        <f>$F32*U32</f>
        <v>0</v>
      </c>
      <c r="W32" s="17"/>
      <c r="X32" s="108"/>
      <c r="Y32" s="87">
        <f>IF(IF(F32=0,0,ABS(1-I32-M32-Q32-U32))&lt;0.0001,0,IF(F32=0,0,1-I32-M32-Q32-U32))</f>
        <v>3.6652898605930018E-2</v>
      </c>
      <c r="Z32" s="30">
        <f>$F32*Y32</f>
        <v>3.5573417848187394</v>
      </c>
    </row>
    <row r="33" spans="1:26" s="420" customFormat="1" ht="19" customHeight="1">
      <c r="A33" s="419">
        <f t="shared" si="1"/>
        <v>22</v>
      </c>
      <c r="C33" s="25" t="s">
        <v>10</v>
      </c>
      <c r="D33" s="25"/>
      <c r="E33" s="25"/>
      <c r="F33" s="26">
        <f>SUM(F17,F29:F32)</f>
        <v>2176.7037261940936</v>
      </c>
      <c r="G33" s="28"/>
      <c r="H33" s="111"/>
      <c r="I33" s="88">
        <f>J33/$F33</f>
        <v>0.26271073643723325</v>
      </c>
      <c r="J33" s="32">
        <f>SUM(J17,J29:J32)</f>
        <v>571.84343891412004</v>
      </c>
      <c r="K33" s="28"/>
      <c r="L33" s="111"/>
      <c r="M33" s="88">
        <f>N33/$F33</f>
        <v>0.32545152693450313</v>
      </c>
      <c r="N33" s="32">
        <f>SUM(N17,N29:N32)</f>
        <v>708.41155137389035</v>
      </c>
      <c r="O33" s="28"/>
      <c r="P33" s="111"/>
      <c r="Q33" s="88">
        <f>R33/$F33</f>
        <v>0.28416068279223217</v>
      </c>
      <c r="R33" s="32">
        <f>SUM(R17,R29:R32)</f>
        <v>618.53361707170961</v>
      </c>
      <c r="S33" s="28"/>
      <c r="T33" s="111"/>
      <c r="U33" s="88">
        <f>V33/$F33</f>
        <v>9.4610055260059209E-2</v>
      </c>
      <c r="V33" s="32">
        <f>SUM(V17,V29:V32)</f>
        <v>205.93805981999998</v>
      </c>
      <c r="W33" s="28"/>
      <c r="X33" s="111"/>
      <c r="Y33" s="88">
        <f>Z33/$F33</f>
        <v>3.3066998575972263E-2</v>
      </c>
      <c r="Z33" s="32">
        <f>SUM(Z17,Z29:Z32)</f>
        <v>71.977059014373609</v>
      </c>
    </row>
    <row r="34" spans="1:26" s="431" customFormat="1">
      <c r="A34" s="419">
        <f t="shared" si="1"/>
        <v>23</v>
      </c>
      <c r="C34" s="431" t="s">
        <v>36</v>
      </c>
      <c r="F34" s="432">
        <f>'F-3 Allocation'!L33</f>
        <v>27.717033660354865</v>
      </c>
      <c r="G34" s="433"/>
      <c r="H34" s="434"/>
      <c r="I34" s="435">
        <f>I17</f>
        <v>0.29120000000000001</v>
      </c>
      <c r="J34" s="425">
        <f>$F34*I34</f>
        <v>8.071200201895337</v>
      </c>
      <c r="K34" s="433"/>
      <c r="L34" s="434"/>
      <c r="M34" s="435">
        <f>M17</f>
        <v>0.35884710139406995</v>
      </c>
      <c r="N34" s="425">
        <f>$F34*M34</f>
        <v>9.9461771882602115</v>
      </c>
      <c r="O34" s="433"/>
      <c r="P34" s="423"/>
      <c r="Q34" s="403">
        <f>Q17</f>
        <v>0.31330000000000002</v>
      </c>
      <c r="R34" s="425">
        <f>$F34*Q34</f>
        <v>8.6837466457891797</v>
      </c>
      <c r="S34" s="422"/>
      <c r="T34" s="423"/>
      <c r="U34" s="403">
        <f>U17</f>
        <v>0</v>
      </c>
      <c r="V34" s="425">
        <f>$F34*U34</f>
        <v>0</v>
      </c>
      <c r="W34" s="422"/>
      <c r="X34" s="423"/>
      <c r="Y34" s="403">
        <f>IF(IF(F34=0,0,ABS(1-I34-M34-Q34-U34))&lt;0.0001,0,IF(F34=0,0,1-I34-M34-Q34-U34))</f>
        <v>3.6652898605930018E-2</v>
      </c>
      <c r="Z34" s="430">
        <f>$F34*Y34</f>
        <v>1.0159096244101362</v>
      </c>
    </row>
    <row r="35" spans="1:26" s="427" customFormat="1" ht="12.75" customHeight="1">
      <c r="A35" s="419">
        <f t="shared" si="1"/>
        <v>24</v>
      </c>
      <c r="C35" s="12" t="s">
        <v>72</v>
      </c>
      <c r="D35" s="12"/>
      <c r="E35" s="12"/>
      <c r="F35" s="29">
        <f>SUM(F33:F34)</f>
        <v>2204.4207598544485</v>
      </c>
      <c r="G35" s="19"/>
      <c r="H35" s="110"/>
      <c r="I35" s="89">
        <f>J35/$F35</f>
        <v>0.26306894295184619</v>
      </c>
      <c r="J35" s="33">
        <f>SUM(J33:J34)</f>
        <v>579.91463911601534</v>
      </c>
      <c r="K35" s="19"/>
      <c r="L35" s="110"/>
      <c r="M35" s="89">
        <f>N35/$F35</f>
        <v>0.32587142239106004</v>
      </c>
      <c r="N35" s="33">
        <f>SUM(N33:N34)</f>
        <v>718.35772856215056</v>
      </c>
      <c r="O35" s="19"/>
      <c r="P35" s="110"/>
      <c r="Q35" s="89">
        <f>R35/$F35</f>
        <v>0.28452706268240374</v>
      </c>
      <c r="R35" s="33">
        <f>SUM(R33:R34)</f>
        <v>627.21736371749876</v>
      </c>
      <c r="S35" s="19"/>
      <c r="T35" s="110"/>
      <c r="U35" s="89">
        <f>V35/$F35</f>
        <v>9.3420486492604732E-2</v>
      </c>
      <c r="V35" s="33">
        <f>SUM(V33:V34)</f>
        <v>205.93805981999998</v>
      </c>
      <c r="W35" s="19"/>
      <c r="X35" s="110"/>
      <c r="Y35" s="89">
        <f>Z35/$F35</f>
        <v>3.3112085482085218E-2</v>
      </c>
      <c r="Z35" s="33">
        <f>SUM(Z33:Z34)</f>
        <v>72.992968638783751</v>
      </c>
    </row>
    <row r="37" spans="1:26">
      <c r="A37" s="174" t="s">
        <v>52</v>
      </c>
      <c r="B37" s="174"/>
      <c r="C37" s="174" t="s">
        <v>534</v>
      </c>
      <c r="D37" s="705"/>
      <c r="E37" s="705"/>
      <c r="F37" s="705"/>
      <c r="G37" s="705"/>
      <c r="H37" s="705"/>
      <c r="I37" s="705"/>
      <c r="J37" s="705"/>
    </row>
    <row r="38" spans="1:26">
      <c r="C38"/>
    </row>
  </sheetData>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heetViews>
  <sheetFormatPr defaultColWidth="9" defaultRowHeight="13"/>
  <cols>
    <col min="1" max="1" width="4.77734375" style="3" customWidth="1"/>
    <col min="2" max="2" width="1.77734375" style="3" customWidth="1"/>
    <col min="3" max="3" width="2.77734375" style="3" customWidth="1"/>
    <col min="4" max="4" width="30.77734375" style="3" customWidth="1"/>
    <col min="5" max="5" width="1.77734375" style="3" customWidth="1"/>
    <col min="6" max="6" width="12.77734375" style="3" customWidth="1"/>
    <col min="7" max="8" width="1.77734375" style="3" customWidth="1"/>
    <col min="9" max="9" width="10.77734375" style="3" customWidth="1"/>
    <col min="10" max="11" width="1.77734375" style="3" customWidth="1"/>
    <col min="12" max="12" width="11.77734375" style="204" customWidth="1"/>
    <col min="13" max="13" width="1.77734375" style="204" customWidth="1"/>
    <col min="14" max="14" width="11.77734375" style="204" customWidth="1"/>
    <col min="15" max="15" width="5.109375" style="204" customWidth="1"/>
    <col min="16" max="16" width="11.77734375" style="204" customWidth="1"/>
    <col min="17" max="17" width="1.77734375" style="204" customWidth="1"/>
    <col min="18" max="18" width="11.77734375" style="204" customWidth="1"/>
    <col min="19" max="20" width="1.77734375" style="3" customWidth="1"/>
    <col min="21" max="21" width="10.77734375" style="3" customWidth="1"/>
    <col min="22" max="16384" width="9" style="3"/>
  </cols>
  <sheetData>
    <row r="1" spans="1:22" s="167" customFormat="1">
      <c r="A1" s="5" t="str">
        <f>Applicant</f>
        <v>Alberta Electric System Operator</v>
      </c>
      <c r="B1" s="5"/>
      <c r="C1" s="5"/>
      <c r="D1" s="5"/>
      <c r="E1" s="5"/>
      <c r="F1" s="5"/>
      <c r="G1" s="5"/>
      <c r="H1" s="5"/>
      <c r="I1" s="5"/>
      <c r="J1" s="5"/>
      <c r="K1" s="5"/>
      <c r="L1" s="199"/>
      <c r="M1" s="199"/>
      <c r="N1" s="199"/>
      <c r="O1" s="199"/>
      <c r="P1" s="200"/>
      <c r="Q1" s="199"/>
      <c r="R1" s="201"/>
      <c r="S1" s="3"/>
      <c r="T1" s="3"/>
      <c r="U1" s="4" t="str">
        <f ca="1">TablePrefix&amp;TRIM(MID(CELL("filename",W2),FIND("]",CELL("filename",W2))+1,4))&amp;TableSuffix</f>
        <v>Table F-6</v>
      </c>
    </row>
    <row r="2" spans="1:22" s="167" customFormat="1">
      <c r="A2" s="5" t="str">
        <f>Application</f>
        <v>Bulk and Regional Tariff Design Application</v>
      </c>
      <c r="B2" s="5"/>
      <c r="C2" s="5"/>
      <c r="D2" s="5"/>
      <c r="E2" s="5"/>
      <c r="F2" s="5"/>
      <c r="G2" s="5"/>
      <c r="H2" s="5"/>
      <c r="I2" s="5"/>
      <c r="J2" s="5"/>
      <c r="K2" s="5"/>
      <c r="L2" s="199"/>
      <c r="M2" s="199"/>
      <c r="N2" s="199"/>
      <c r="O2" s="199"/>
      <c r="P2" s="200"/>
      <c r="Q2" s="199"/>
      <c r="R2" s="201"/>
      <c r="S2" s="3"/>
      <c r="T2" s="3"/>
      <c r="U2" s="4" t="str">
        <f>TableDate</f>
        <v>October 15, 2021</v>
      </c>
    </row>
    <row r="3" spans="1:22" s="167" customFormat="1">
      <c r="L3" s="202"/>
      <c r="M3" s="202"/>
      <c r="N3" s="202"/>
      <c r="O3" s="202"/>
      <c r="P3" s="200"/>
      <c r="Q3" s="202"/>
      <c r="R3" s="201"/>
    </row>
    <row r="4" spans="1:22" s="167" customFormat="1">
      <c r="A4" s="330" t="str">
        <f>TableGroup1</f>
        <v>Appendix F — 2019 Test Year Proposed Rate Calculations</v>
      </c>
      <c r="B4" s="6"/>
      <c r="C4" s="6"/>
      <c r="D4" s="6"/>
      <c r="E4" s="6"/>
      <c r="F4" s="6"/>
      <c r="G4" s="6"/>
      <c r="H4" s="6"/>
      <c r="I4" s="6"/>
      <c r="J4" s="6"/>
      <c r="K4" s="6"/>
      <c r="L4" s="203"/>
      <c r="M4" s="203"/>
      <c r="N4" s="203"/>
      <c r="O4" s="203"/>
      <c r="P4" s="203"/>
      <c r="Q4" s="203"/>
      <c r="R4" s="203"/>
      <c r="S4" s="6"/>
      <c r="T4" s="6"/>
      <c r="U4" s="6"/>
    </row>
    <row r="5" spans="1:22" s="167" customFormat="1">
      <c r="A5" s="6" t="s">
        <v>166</v>
      </c>
      <c r="B5" s="6"/>
      <c r="C5" s="6"/>
      <c r="D5" s="6"/>
      <c r="E5" s="6"/>
      <c r="F5" s="6"/>
      <c r="G5" s="6"/>
      <c r="H5" s="6"/>
      <c r="I5" s="6"/>
      <c r="J5" s="6"/>
      <c r="K5" s="6"/>
      <c r="L5" s="203"/>
      <c r="M5" s="203"/>
      <c r="N5" s="203"/>
      <c r="O5" s="203"/>
      <c r="P5" s="203"/>
      <c r="Q5" s="203"/>
      <c r="R5" s="203"/>
      <c r="S5" s="6"/>
      <c r="T5" s="6"/>
      <c r="U5" s="6"/>
    </row>
    <row r="6" spans="1:22">
      <c r="I6" s="242"/>
    </row>
    <row r="7" spans="1:22" s="240" customFormat="1">
      <c r="I7" s="240" t="s">
        <v>2</v>
      </c>
      <c r="L7" s="370" t="s">
        <v>3</v>
      </c>
      <c r="M7" s="370"/>
      <c r="N7" s="370" t="s">
        <v>4</v>
      </c>
      <c r="O7" s="370"/>
      <c r="P7" s="370" t="s">
        <v>5</v>
      </c>
      <c r="Q7" s="370"/>
      <c r="R7" s="370" t="s">
        <v>25</v>
      </c>
      <c r="U7" s="240" t="s">
        <v>26</v>
      </c>
    </row>
    <row r="8" spans="1:22">
      <c r="A8" s="3" t="s">
        <v>57</v>
      </c>
    </row>
    <row r="9" spans="1:22" s="47" customFormat="1">
      <c r="A9" s="46" t="s">
        <v>58</v>
      </c>
      <c r="C9" s="48" t="s">
        <v>1</v>
      </c>
      <c r="D9" s="48"/>
      <c r="F9" s="46" t="s">
        <v>117</v>
      </c>
      <c r="H9" s="99"/>
      <c r="I9" s="48" t="s">
        <v>90</v>
      </c>
      <c r="J9" s="205"/>
      <c r="K9" s="206"/>
      <c r="L9" s="48" t="s">
        <v>24</v>
      </c>
      <c r="M9" s="48"/>
      <c r="N9" s="48"/>
      <c r="O9" s="48"/>
      <c r="P9" s="48"/>
      <c r="Q9" s="48"/>
      <c r="R9" s="48"/>
      <c r="T9" s="99"/>
      <c r="U9" s="48" t="s">
        <v>118</v>
      </c>
    </row>
    <row r="10" spans="1:22" s="22" customFormat="1" ht="25.5" customHeight="1">
      <c r="A10" s="21">
        <v>1</v>
      </c>
      <c r="C10" s="715" t="s">
        <v>433</v>
      </c>
      <c r="D10" s="715"/>
      <c r="F10" s="398" t="s">
        <v>428</v>
      </c>
      <c r="G10" s="234"/>
      <c r="H10" s="121"/>
      <c r="I10" s="714" t="s">
        <v>369</v>
      </c>
      <c r="J10" s="714"/>
      <c r="K10" s="714"/>
      <c r="L10" s="599">
        <v>2.9582999999999999</v>
      </c>
      <c r="M10" s="568" t="s">
        <v>370</v>
      </c>
      <c r="N10" s="568" t="s">
        <v>371</v>
      </c>
      <c r="O10" s="600">
        <v>0.52349999999999997</v>
      </c>
      <c r="P10" s="465"/>
      <c r="Q10" s="58"/>
      <c r="R10" s="58"/>
      <c r="S10" s="234"/>
      <c r="T10" s="121"/>
      <c r="V10" s="431"/>
    </row>
    <row r="11" spans="1:22" ht="19.399999999999999" customHeight="1">
      <c r="A11" s="183">
        <v>2</v>
      </c>
      <c r="C11" s="3" t="s">
        <v>161</v>
      </c>
      <c r="F11" s="411" t="s">
        <v>403</v>
      </c>
      <c r="G11" s="235"/>
      <c r="H11" s="236"/>
      <c r="I11" s="228">
        <v>1.5</v>
      </c>
      <c r="L11" s="229">
        <v>7.5</v>
      </c>
      <c r="N11" s="230">
        <v>17</v>
      </c>
      <c r="P11" s="230">
        <v>40</v>
      </c>
      <c r="R11" s="229">
        <v>122.8</v>
      </c>
      <c r="S11" s="235"/>
      <c r="T11" s="236"/>
      <c r="V11" s="408"/>
    </row>
    <row r="12" spans="1:22" s="35" customFormat="1" ht="19.399999999999999" customHeight="1">
      <c r="A12" s="34">
        <v>3</v>
      </c>
      <c r="C12" s="35" t="s">
        <v>168</v>
      </c>
      <c r="F12" s="241" t="s">
        <v>163</v>
      </c>
      <c r="G12" s="237"/>
      <c r="H12" s="222"/>
      <c r="I12" s="239">
        <f>$L$10*(I11^$O$10)</f>
        <v>3.6578508047460767</v>
      </c>
      <c r="J12" s="239">
        <f t="shared" ref="J12:R12" si="0">$L$10*(J11^$O$10)</f>
        <v>0</v>
      </c>
      <c r="K12" s="239">
        <f t="shared" si="0"/>
        <v>0</v>
      </c>
      <c r="L12" s="239">
        <f>$L$10*(L11^$O$10)</f>
        <v>8.494479740966991</v>
      </c>
      <c r="M12" s="239">
        <f t="shared" si="0"/>
        <v>0</v>
      </c>
      <c r="N12" s="239">
        <f t="shared" si="0"/>
        <v>13.037136836510088</v>
      </c>
      <c r="O12" s="239"/>
      <c r="P12" s="239">
        <f t="shared" si="0"/>
        <v>20.404249199495844</v>
      </c>
      <c r="Q12" s="239">
        <f t="shared" si="0"/>
        <v>0</v>
      </c>
      <c r="R12" s="239">
        <f t="shared" si="0"/>
        <v>36.706042113322781</v>
      </c>
      <c r="S12" s="237"/>
      <c r="T12" s="222"/>
    </row>
    <row r="13" spans="1:22" s="47" customFormat="1" ht="19.399999999999999" customHeight="1">
      <c r="E13"/>
      <c r="F13"/>
      <c r="G13" s="238"/>
      <c r="H13" s="99"/>
      <c r="J13" s="205"/>
      <c r="K13" s="206"/>
      <c r="L13" s="45" t="s">
        <v>24</v>
      </c>
      <c r="M13" s="45"/>
      <c r="N13" s="45"/>
      <c r="O13" s="45"/>
      <c r="P13" s="45"/>
      <c r="Q13" s="45"/>
      <c r="R13" s="45"/>
      <c r="S13" s="238"/>
      <c r="T13" s="99"/>
    </row>
    <row r="14" spans="1:22" s="151" customFormat="1">
      <c r="A14" s="247"/>
      <c r="B14" s="225"/>
      <c r="C14" s="226"/>
      <c r="D14" s="225"/>
      <c r="E14" s="225"/>
      <c r="F14" s="225"/>
      <c r="H14" s="99"/>
      <c r="I14" s="94" t="s">
        <v>90</v>
      </c>
      <c r="J14" s="205"/>
      <c r="K14" s="99"/>
      <c r="N14" s="151" t="s">
        <v>172</v>
      </c>
      <c r="P14" s="151" t="s">
        <v>173</v>
      </c>
      <c r="T14" s="99"/>
    </row>
    <row r="15" spans="1:22" s="204" customFormat="1">
      <c r="A15" s="183"/>
      <c r="B15"/>
      <c r="C15" s="2" t="s">
        <v>165</v>
      </c>
      <c r="D15"/>
      <c r="E15" s="211"/>
      <c r="F15" s="75"/>
      <c r="G15" s="211"/>
      <c r="H15" s="208"/>
      <c r="I15" s="231" t="s">
        <v>147</v>
      </c>
      <c r="J15" s="210"/>
      <c r="K15" s="209"/>
      <c r="L15" s="232" t="s">
        <v>174</v>
      </c>
      <c r="M15" s="233"/>
      <c r="N15" s="232" t="s">
        <v>175</v>
      </c>
      <c r="O15" s="233"/>
      <c r="P15" s="232" t="s">
        <v>176</v>
      </c>
      <c r="Q15" s="233"/>
      <c r="R15" s="173" t="s">
        <v>177</v>
      </c>
      <c r="S15" s="211"/>
      <c r="T15" s="208"/>
      <c r="U15" s="45" t="s">
        <v>118</v>
      </c>
    </row>
    <row r="16" spans="1:22">
      <c r="A16" s="183">
        <f>A12+1</f>
        <v>4</v>
      </c>
      <c r="C16" s="3" t="s">
        <v>162</v>
      </c>
      <c r="E16" s="207"/>
      <c r="F16" s="240" t="s">
        <v>164</v>
      </c>
      <c r="G16" s="207"/>
      <c r="H16" s="215"/>
      <c r="I16" s="212">
        <f>ROUND(L12-(L11*((L12-I12)/(L11-I11))),3)</f>
        <v>2.4489999999999998</v>
      </c>
      <c r="J16" s="93"/>
      <c r="K16" s="112"/>
      <c r="L16" s="212">
        <f>ROUND((L12-I12)/(L11-I11),3)</f>
        <v>0.80600000000000005</v>
      </c>
      <c r="M16" s="93"/>
      <c r="N16" s="212">
        <f>ROUND((N12-L12)/(N11-L11),3)</f>
        <v>0.47799999999999998</v>
      </c>
      <c r="O16" s="93"/>
      <c r="P16" s="212">
        <f>ROUND((P12-N12)/(P11-N11),3)</f>
        <v>0.32</v>
      </c>
      <c r="Q16" s="189"/>
      <c r="R16" s="212">
        <f>ROUND((R12-P12)/(R11-P11),3)</f>
        <v>0.19700000000000001</v>
      </c>
      <c r="S16" s="207"/>
      <c r="T16" s="215"/>
      <c r="U16" s="216"/>
    </row>
    <row r="17" spans="1:21">
      <c r="A17" s="183">
        <f>A16+1</f>
        <v>5</v>
      </c>
      <c r="C17" s="22" t="s">
        <v>330</v>
      </c>
      <c r="E17" s="22"/>
      <c r="F17" s="447" t="s">
        <v>404</v>
      </c>
      <c r="G17" s="207"/>
      <c r="H17" s="215"/>
      <c r="I17" s="132">
        <f>'F-12 Determinants'!F19</f>
        <v>5407.3908299999975</v>
      </c>
      <c r="J17" s="93"/>
      <c r="K17" s="112"/>
      <c r="L17" s="132">
        <f>'F-12 Determinants'!F13</f>
        <v>36877.829162999951</v>
      </c>
      <c r="M17" s="93"/>
      <c r="N17" s="190">
        <f>'F-12 Determinants'!F14</f>
        <v>34658.475743399962</v>
      </c>
      <c r="O17" s="93"/>
      <c r="P17" s="190">
        <f>'F-12 Determinants'!F15</f>
        <v>43396.074517600013</v>
      </c>
      <c r="Q17" s="189"/>
      <c r="R17" s="190">
        <f>'F-12 Determinants'!F16</f>
        <v>44181.792616800056</v>
      </c>
      <c r="S17" s="207"/>
      <c r="T17" s="215"/>
      <c r="U17" s="189"/>
    </row>
    <row r="18" spans="1:21">
      <c r="A18" s="183">
        <f>A17+1</f>
        <v>6</v>
      </c>
      <c r="C18" s="22" t="s">
        <v>156</v>
      </c>
      <c r="E18" s="22"/>
      <c r="F18" s="447" t="s">
        <v>405</v>
      </c>
      <c r="G18" s="207"/>
      <c r="H18" s="215"/>
      <c r="I18" s="213">
        <f>I16*I17</f>
        <v>13242.700142669994</v>
      </c>
      <c r="J18" s="93"/>
      <c r="K18" s="112"/>
      <c r="L18" s="213">
        <f>L16*L17</f>
        <v>29723.530305377961</v>
      </c>
      <c r="M18" s="93"/>
      <c r="N18" s="213">
        <f>N16*N17</f>
        <v>16566.751405345181</v>
      </c>
      <c r="O18" s="93"/>
      <c r="P18" s="213">
        <f>P16*P17</f>
        <v>13886.743845632005</v>
      </c>
      <c r="Q18" s="189"/>
      <c r="R18" s="213">
        <f>R16*R17</f>
        <v>8703.8131455096118</v>
      </c>
      <c r="S18" s="207"/>
      <c r="T18" s="215"/>
      <c r="U18" s="213">
        <f>SUM(I18,L18,N18,P18,R18)</f>
        <v>82123.538844534749</v>
      </c>
    </row>
    <row r="19" spans="1:21" s="35" customFormat="1">
      <c r="A19" s="34">
        <f>A18+1</f>
        <v>7</v>
      </c>
      <c r="C19" s="35" t="s">
        <v>157</v>
      </c>
      <c r="E19" s="140"/>
      <c r="F19" s="443" t="s">
        <v>406</v>
      </c>
      <c r="G19" s="19"/>
      <c r="H19" s="110"/>
      <c r="I19" s="404">
        <f>I18/$U$18</f>
        <v>0.16125340345767727</v>
      </c>
      <c r="J19" s="404"/>
      <c r="K19" s="404"/>
      <c r="L19" s="404">
        <f t="shared" ref="L19:R19" si="1">L18/$U$18</f>
        <v>0.36193679331874085</v>
      </c>
      <c r="M19" s="404"/>
      <c r="N19" s="404">
        <f>N18/$U$18</f>
        <v>0.20172963365238228</v>
      </c>
      <c r="O19" s="404"/>
      <c r="P19" s="404">
        <f t="shared" si="1"/>
        <v>0.16909577985820268</v>
      </c>
      <c r="Q19" s="404"/>
      <c r="R19" s="404">
        <f t="shared" si="1"/>
        <v>0.10598438971299692</v>
      </c>
      <c r="S19" s="19"/>
      <c r="T19" s="110"/>
      <c r="U19" s="214">
        <f>SUM(I19:R19)</f>
        <v>1</v>
      </c>
    </row>
    <row r="21" spans="1:21">
      <c r="A21" s="3" t="s">
        <v>52</v>
      </c>
      <c r="C21" s="242" t="s">
        <v>132</v>
      </c>
      <c r="D21" s="408" t="s">
        <v>435</v>
      </c>
    </row>
    <row r="22" spans="1:21">
      <c r="C22" s="410"/>
      <c r="D22" s="408" t="s">
        <v>434</v>
      </c>
    </row>
    <row r="23" spans="1:21">
      <c r="C23" s="410" t="s">
        <v>131</v>
      </c>
      <c r="D23" s="408" t="s">
        <v>401</v>
      </c>
    </row>
    <row r="24" spans="1:21">
      <c r="C24" s="410" t="s">
        <v>170</v>
      </c>
      <c r="D24" s="408" t="s">
        <v>402</v>
      </c>
    </row>
    <row r="25" spans="1:21">
      <c r="D25" s="3" t="s">
        <v>337</v>
      </c>
    </row>
  </sheetData>
  <mergeCells count="2">
    <mergeCell ref="I10:K10"/>
    <mergeCell ref="C10:D10"/>
  </mergeCells>
  <phoneticPr fontId="14" type="noConversion"/>
  <printOptions horizontalCentered="1"/>
  <pageMargins left="0.75" right="0.5" top="0.75" bottom="0.5" header="0.5" footer="0.5"/>
  <pageSetup scale="79"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6"/>
  <sheetViews>
    <sheetView showGridLines="0" zoomScaleNormal="100" workbookViewId="0"/>
  </sheetViews>
  <sheetFormatPr defaultRowHeight="13"/>
  <cols>
    <col min="1" max="1" width="4.77734375" customWidth="1"/>
    <col min="2" max="2" width="1.77734375" customWidth="1"/>
    <col min="3" max="3" width="2.77734375" customWidth="1"/>
    <col min="4" max="4" width="34.33203125" customWidth="1"/>
    <col min="5" max="5" width="1.77734375" customWidth="1"/>
    <col min="6" max="6" width="11.33203125" customWidth="1"/>
    <col min="7" max="8" width="1.77734375" customWidth="1"/>
    <col min="9" max="9" width="12.77734375" customWidth="1"/>
    <col min="10" max="11" width="1.77734375" customWidth="1"/>
    <col min="12" max="12" width="12.77734375" customWidth="1"/>
    <col min="13" max="14" width="1.77734375" customWidth="1"/>
    <col min="15" max="15" width="12.77734375" customWidth="1"/>
    <col min="16" max="17" width="1.77734375" customWidth="1"/>
    <col min="18" max="18" width="12.77734375" customWidth="1"/>
    <col min="19" max="20" width="1.77734375" customWidth="1"/>
    <col min="21" max="21" width="12.77734375" customWidth="1"/>
    <col min="22" max="23" width="1.7773437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F-7</v>
      </c>
    </row>
    <row r="2" spans="1:24" s="3" customFormat="1">
      <c r="A2" s="5" t="str">
        <f>Application</f>
        <v>Bulk and Regional Tariff Design Application</v>
      </c>
      <c r="B2" s="5"/>
      <c r="C2" s="5"/>
      <c r="D2" s="5"/>
      <c r="E2" s="5"/>
      <c r="F2" s="5"/>
      <c r="G2" s="5"/>
      <c r="H2" s="5"/>
      <c r="I2" s="5"/>
      <c r="J2" s="5"/>
      <c r="K2" s="5"/>
      <c r="L2" s="5"/>
      <c r="M2" s="5"/>
      <c r="N2" s="5"/>
      <c r="O2" s="5"/>
      <c r="P2" s="5"/>
      <c r="Q2" s="5"/>
      <c r="R2" s="5"/>
      <c r="S2" s="5"/>
      <c r="T2" s="5"/>
      <c r="U2" s="4"/>
      <c r="X2" s="4" t="str">
        <f>TableDate</f>
        <v>October 15, 2021</v>
      </c>
    </row>
    <row r="3" spans="1:24">
      <c r="U3" s="4"/>
    </row>
    <row r="4" spans="1:24">
      <c r="A4" s="330" t="str">
        <f>TableGroup1</f>
        <v>Appendix F — 2019 Test Year Proposed Rate Calculations</v>
      </c>
      <c r="B4" s="6"/>
      <c r="C4" s="6"/>
      <c r="D4" s="6"/>
      <c r="E4" s="6"/>
      <c r="F4" s="6"/>
      <c r="G4" s="6"/>
      <c r="H4" s="6"/>
      <c r="I4" s="6"/>
      <c r="J4" s="6"/>
      <c r="K4" s="6"/>
      <c r="L4" s="6"/>
      <c r="M4" s="6"/>
      <c r="N4" s="6"/>
      <c r="O4" s="6"/>
      <c r="P4" s="6"/>
      <c r="Q4" s="6"/>
      <c r="R4" s="6"/>
      <c r="S4" s="6"/>
      <c r="T4" s="6"/>
      <c r="U4" s="6"/>
      <c r="V4" s="6"/>
      <c r="W4" s="6"/>
      <c r="X4" s="6"/>
    </row>
    <row r="5" spans="1:24">
      <c r="A5" s="6" t="s">
        <v>100</v>
      </c>
      <c r="B5" s="6"/>
      <c r="C5" s="6"/>
      <c r="D5" s="6"/>
      <c r="E5" s="6"/>
      <c r="F5" s="6"/>
      <c r="G5" s="6"/>
      <c r="H5" s="6"/>
      <c r="I5" s="6"/>
      <c r="J5" s="6"/>
      <c r="K5" s="6"/>
      <c r="L5" s="6"/>
      <c r="M5" s="6"/>
      <c r="N5" s="6"/>
      <c r="O5" s="6"/>
      <c r="P5" s="6"/>
      <c r="Q5" s="6"/>
      <c r="R5" s="6"/>
      <c r="S5" s="6"/>
      <c r="T5" s="6"/>
      <c r="U5" s="6"/>
      <c r="V5" s="6"/>
      <c r="W5" s="6"/>
      <c r="X5" s="6"/>
    </row>
    <row r="6" spans="1:24">
      <c r="I6" s="91"/>
    </row>
    <row r="7" spans="1:24" s="240" customFormat="1">
      <c r="I7" s="240" t="s">
        <v>2</v>
      </c>
      <c r="L7" s="240" t="s">
        <v>3</v>
      </c>
      <c r="O7" s="240" t="s">
        <v>4</v>
      </c>
      <c r="R7" s="240" t="s">
        <v>5</v>
      </c>
      <c r="U7" s="240" t="s">
        <v>25</v>
      </c>
      <c r="X7" s="240" t="s">
        <v>26</v>
      </c>
    </row>
    <row r="9" spans="1:24">
      <c r="G9" s="44"/>
      <c r="H9" s="98"/>
      <c r="I9" s="94" t="s">
        <v>158</v>
      </c>
      <c r="J9" s="129"/>
      <c r="K9" s="98"/>
      <c r="L9" s="94" t="s">
        <v>101</v>
      </c>
      <c r="M9" s="129"/>
      <c r="N9" s="98"/>
      <c r="O9" s="94" t="s">
        <v>102</v>
      </c>
      <c r="P9" s="129"/>
      <c r="Q9" s="98"/>
      <c r="R9" s="94" t="s">
        <v>104</v>
      </c>
      <c r="S9" s="129"/>
      <c r="T9" s="98"/>
      <c r="U9" s="94"/>
      <c r="V9" s="129"/>
      <c r="W9" s="98"/>
      <c r="X9" s="94"/>
    </row>
    <row r="10" spans="1:24" s="44" customFormat="1">
      <c r="F10" s="50"/>
      <c r="H10" s="98"/>
      <c r="I10" s="45" t="s">
        <v>24</v>
      </c>
      <c r="J10" s="129"/>
      <c r="K10" s="98"/>
      <c r="L10" s="45" t="s">
        <v>24</v>
      </c>
      <c r="M10" s="129"/>
      <c r="N10" s="98"/>
      <c r="O10" s="45" t="s">
        <v>103</v>
      </c>
      <c r="P10" s="129"/>
      <c r="Q10" s="98"/>
      <c r="R10" s="45" t="s">
        <v>103</v>
      </c>
      <c r="S10" s="129"/>
      <c r="T10" s="98"/>
      <c r="U10" s="45" t="s">
        <v>90</v>
      </c>
      <c r="V10" s="129"/>
      <c r="W10" s="98"/>
      <c r="X10" s="45" t="s">
        <v>118</v>
      </c>
    </row>
    <row r="11" spans="1:24" s="47" customFormat="1" ht="39">
      <c r="A11" s="46" t="s">
        <v>0</v>
      </c>
      <c r="C11" s="48" t="s">
        <v>1</v>
      </c>
      <c r="D11" s="48"/>
      <c r="F11" s="416" t="s">
        <v>522</v>
      </c>
      <c r="H11" s="99"/>
      <c r="I11" s="49" t="s">
        <v>523</v>
      </c>
      <c r="K11" s="99"/>
      <c r="L11" s="49" t="s">
        <v>524</v>
      </c>
      <c r="N11" s="99"/>
      <c r="O11" s="49" t="s">
        <v>525</v>
      </c>
      <c r="Q11" s="99"/>
      <c r="R11" s="49" t="s">
        <v>526</v>
      </c>
      <c r="T11" s="99"/>
      <c r="U11" s="49" t="s">
        <v>527</v>
      </c>
      <c r="W11" s="99"/>
      <c r="X11" s="49" t="s">
        <v>315</v>
      </c>
    </row>
    <row r="12" spans="1:24" ht="15.65" customHeight="1">
      <c r="A12" s="7">
        <v>1</v>
      </c>
      <c r="C12" s="2" t="s">
        <v>361</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36" si="0">A12+1</f>
        <v>2</v>
      </c>
      <c r="C13" s="22" t="s">
        <v>114</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s="22" t="s">
        <v>450</v>
      </c>
      <c r="F14" s="72" t="s">
        <v>97</v>
      </c>
      <c r="G14" s="23"/>
      <c r="H14" s="112"/>
      <c r="I14" s="175">
        <f>'F-5 DTS Classification'!J13</f>
        <v>0</v>
      </c>
      <c r="J14" s="23"/>
      <c r="K14" s="112"/>
      <c r="L14" s="217">
        <f>'F-5 DTS Classification'!N13</f>
        <v>0</v>
      </c>
      <c r="M14" s="23"/>
      <c r="N14" s="112"/>
      <c r="O14" s="175">
        <f>'F-5 DTS Classification'!R13</f>
        <v>580.02520750753354</v>
      </c>
      <c r="P14" s="23"/>
      <c r="Q14" s="112"/>
      <c r="R14" s="85">
        <f>'F-5 DTS Classification'!V13</f>
        <v>0</v>
      </c>
      <c r="S14" s="23"/>
      <c r="T14" s="112"/>
      <c r="U14" s="85">
        <f>'F-5 DTS Classification'!Z13</f>
        <v>0</v>
      </c>
      <c r="V14" s="23"/>
      <c r="W14" s="112"/>
      <c r="X14" s="176">
        <f>SUM(I14:U14)</f>
        <v>580.02520750753354</v>
      </c>
    </row>
    <row r="15" spans="1:24" s="22" customFormat="1">
      <c r="A15" s="21">
        <f t="shared" si="0"/>
        <v>4</v>
      </c>
      <c r="D15" s="22" t="s">
        <v>451</v>
      </c>
      <c r="F15" s="72" t="s">
        <v>76</v>
      </c>
      <c r="G15" s="23"/>
      <c r="H15" s="112"/>
      <c r="I15" s="175">
        <f>'F-5 DTS Classification'!J14</f>
        <v>539.11056631405609</v>
      </c>
      <c r="J15" s="23"/>
      <c r="K15" s="112"/>
      <c r="L15" s="217">
        <f>'F-5 DTS Classification'!N14</f>
        <v>0</v>
      </c>
      <c r="M15" s="23"/>
      <c r="N15" s="112"/>
      <c r="O15" s="175">
        <f>'F-5 DTS Classification'!R14</f>
        <v>0</v>
      </c>
      <c r="P15" s="23"/>
      <c r="Q15" s="112"/>
      <c r="R15" s="85">
        <f>'F-5 DTS Classification'!V14</f>
        <v>0</v>
      </c>
      <c r="S15" s="23"/>
      <c r="T15" s="112"/>
      <c r="U15" s="85">
        <f>'F-5 DTS Classification'!Z14</f>
        <v>0</v>
      </c>
      <c r="V15" s="23"/>
      <c r="W15" s="112"/>
      <c r="X15" s="176">
        <f>SUM(I15:U15)</f>
        <v>539.11056631405609</v>
      </c>
    </row>
    <row r="16" spans="1:24" s="22" customFormat="1">
      <c r="A16" s="21">
        <f t="shared" si="0"/>
        <v>5</v>
      </c>
      <c r="D16" s="22" t="s">
        <v>452</v>
      </c>
      <c r="F16" s="72" t="s">
        <v>98</v>
      </c>
      <c r="G16" s="23"/>
      <c r="H16" s="112"/>
      <c r="I16" s="175">
        <f>'F-5 DTS Classification'!J15</f>
        <v>0</v>
      </c>
      <c r="J16" s="23"/>
      <c r="K16" s="112"/>
      <c r="L16" s="217">
        <f>'F-5 DTS Classification'!N15</f>
        <v>311.39559496574253</v>
      </c>
      <c r="M16" s="23"/>
      <c r="N16" s="112"/>
      <c r="O16" s="175">
        <f>'F-5 DTS Classification'!R15</f>
        <v>0</v>
      </c>
      <c r="P16" s="23"/>
      <c r="Q16" s="112"/>
      <c r="R16" s="85">
        <f>'F-5 DTS Classification'!V15</f>
        <v>0</v>
      </c>
      <c r="S16" s="23"/>
      <c r="T16" s="112"/>
      <c r="U16" s="85">
        <f>'F-5 DTS Classification'!Z15</f>
        <v>0</v>
      </c>
      <c r="V16" s="23"/>
      <c r="W16" s="112"/>
      <c r="X16" s="176">
        <f>SUM(I16:U16)</f>
        <v>311.39559496574253</v>
      </c>
    </row>
    <row r="17" spans="1:24" s="22" customFormat="1">
      <c r="A17" s="21">
        <f t="shared" si="0"/>
        <v>6</v>
      </c>
      <c r="D17" t="s">
        <v>95</v>
      </c>
      <c r="F17" s="72" t="s">
        <v>459</v>
      </c>
      <c r="G17" s="23"/>
      <c r="H17" s="112"/>
      <c r="I17" s="79">
        <f>'F-5 DTS Classification'!J16</f>
        <v>0</v>
      </c>
      <c r="J17" s="23"/>
      <c r="K17" s="112"/>
      <c r="L17" s="79">
        <f>'F-5 DTS Classification'!N16</f>
        <v>352.95283928121677</v>
      </c>
      <c r="M17" s="23"/>
      <c r="N17" s="112"/>
      <c r="O17" s="79">
        <f>'F-5 DTS Classification'!R16</f>
        <v>0</v>
      </c>
      <c r="P17" s="23"/>
      <c r="Q17" s="112"/>
      <c r="R17" s="85">
        <f>'F-5 DTS Classification'!V16</f>
        <v>0</v>
      </c>
      <c r="S17" s="23"/>
      <c r="T17" s="112"/>
      <c r="U17" s="85">
        <f>'F-5 DTS Classification'!Z16</f>
        <v>67.857022405544726</v>
      </c>
      <c r="V17" s="23"/>
      <c r="W17" s="112"/>
      <c r="X17" s="176">
        <f>SUM(I17:U17)</f>
        <v>420.80986168676151</v>
      </c>
    </row>
    <row r="18" spans="1:24" s="22" customFormat="1">
      <c r="A18" s="21"/>
    </row>
    <row r="19" spans="1:24" s="22" customFormat="1">
      <c r="A19" s="21">
        <f>A17+1</f>
        <v>7</v>
      </c>
      <c r="C19" s="22" t="s">
        <v>113</v>
      </c>
      <c r="E19" s="23"/>
      <c r="F19" s="73"/>
      <c r="G19" s="23"/>
      <c r="H19" s="113"/>
      <c r="I19" s="79"/>
      <c r="J19" s="79"/>
      <c r="K19" s="113"/>
      <c r="L19" s="79"/>
      <c r="M19" s="79"/>
      <c r="N19" s="113"/>
      <c r="O19" s="79"/>
      <c r="P19" s="79"/>
      <c r="Q19" s="113"/>
      <c r="R19" s="79"/>
      <c r="S19" s="79"/>
      <c r="T19" s="113"/>
      <c r="U19" s="79"/>
      <c r="V19" s="79"/>
      <c r="W19" s="113"/>
      <c r="X19" s="176">
        <f t="shared" ref="X19:X23" si="1">SUM(I19:U19)</f>
        <v>0</v>
      </c>
    </row>
    <row r="20" spans="1:24" s="22" customFormat="1">
      <c r="A20" s="21">
        <f t="shared" si="0"/>
        <v>8</v>
      </c>
      <c r="D20" s="22" t="s">
        <v>18</v>
      </c>
      <c r="E20" s="23"/>
      <c r="F20" s="455" t="s">
        <v>169</v>
      </c>
      <c r="G20" s="23"/>
      <c r="H20" s="113"/>
      <c r="I20" s="79">
        <f>'F-5 DTS Classification'!J27</f>
        <v>0</v>
      </c>
      <c r="J20" s="79"/>
      <c r="K20" s="113"/>
      <c r="L20" s="79">
        <f>'F-5 DTS Classification'!N27</f>
        <v>0</v>
      </c>
      <c r="M20" s="79"/>
      <c r="N20" s="113"/>
      <c r="O20" s="79">
        <f>'F-5 DTS Classification'!R27</f>
        <v>0</v>
      </c>
      <c r="P20" s="79"/>
      <c r="Q20" s="113"/>
      <c r="R20" s="79">
        <f>'F-5 DTS Classification'!V27</f>
        <v>0</v>
      </c>
      <c r="S20" s="79"/>
      <c r="T20" s="113"/>
      <c r="U20" s="79">
        <f>'F-5 DTS Classification'!Z27</f>
        <v>0</v>
      </c>
      <c r="V20" s="79"/>
      <c r="W20" s="113"/>
      <c r="X20" s="176">
        <f t="shared" si="1"/>
        <v>0</v>
      </c>
    </row>
    <row r="21" spans="1:24" s="22" customFormat="1">
      <c r="A21" s="21">
        <f t="shared" si="0"/>
        <v>9</v>
      </c>
      <c r="D21" s="22" t="s">
        <v>8</v>
      </c>
      <c r="E21" s="23"/>
      <c r="F21" s="455" t="s">
        <v>350</v>
      </c>
      <c r="G21" s="23"/>
      <c r="H21" s="113"/>
      <c r="I21" s="79">
        <f>'F-5 DTS Classification'!J31</f>
        <v>4.4704986231359998</v>
      </c>
      <c r="J21" s="79"/>
      <c r="K21" s="113"/>
      <c r="L21" s="79">
        <f>'F-5 DTS Classification'!N31</f>
        <v>5.5090160463548559</v>
      </c>
      <c r="M21" s="79"/>
      <c r="N21" s="113"/>
      <c r="O21" s="79">
        <f>'F-5 DTS Classification'!R31</f>
        <v>4.8097775364989994</v>
      </c>
      <c r="P21" s="79"/>
      <c r="Q21" s="113"/>
      <c r="R21" s="79">
        <f>'F-5 DTS Classification'!V31</f>
        <v>0</v>
      </c>
      <c r="S21" s="79"/>
      <c r="T21" s="113"/>
      <c r="U21" s="79">
        <f>'F-5 DTS Classification'!Z31</f>
        <v>0.5626948240101427</v>
      </c>
      <c r="V21" s="79"/>
      <c r="W21" s="113"/>
      <c r="X21" s="176">
        <f t="shared" si="1"/>
        <v>15.351987029999998</v>
      </c>
    </row>
    <row r="22" spans="1:24" s="22" customFormat="1">
      <c r="A22" s="21">
        <f t="shared" si="0"/>
        <v>10</v>
      </c>
      <c r="D22" s="22" t="s">
        <v>7</v>
      </c>
      <c r="E22" s="23"/>
      <c r="F22" s="455" t="s">
        <v>367</v>
      </c>
      <c r="G22" s="23"/>
      <c r="H22" s="113"/>
      <c r="I22" s="79">
        <f>'F-5 DTS Classification'!J32</f>
        <v>28.262373976927996</v>
      </c>
      <c r="J22" s="79"/>
      <c r="K22" s="113"/>
      <c r="L22" s="79">
        <f>'F-5 DTS Classification'!N32</f>
        <v>34.827853640576251</v>
      </c>
      <c r="M22" s="79"/>
      <c r="N22" s="113"/>
      <c r="O22" s="79">
        <f>'F-5 DTS Classification'!R32</f>
        <v>30.407286287676996</v>
      </c>
      <c r="P22" s="79"/>
      <c r="Q22" s="113"/>
      <c r="R22" s="79">
        <f>'F-5 DTS Classification'!V32</f>
        <v>0</v>
      </c>
      <c r="S22" s="79"/>
      <c r="T22" s="113"/>
      <c r="U22" s="79">
        <f>'F-5 DTS Classification'!Z32</f>
        <v>3.5573417848187394</v>
      </c>
      <c r="V22" s="79"/>
      <c r="W22" s="113"/>
      <c r="X22" s="176">
        <f t="shared" si="1"/>
        <v>97.054855689999997</v>
      </c>
    </row>
    <row r="23" spans="1:24" s="22" customFormat="1">
      <c r="A23" s="21">
        <f t="shared" si="0"/>
        <v>11</v>
      </c>
      <c r="D23" s="22" t="s">
        <v>36</v>
      </c>
      <c r="E23" s="23"/>
      <c r="F23" s="455" t="s">
        <v>460</v>
      </c>
      <c r="G23" s="23"/>
      <c r="H23" s="113"/>
      <c r="I23" s="79">
        <f>'F-5 DTS Classification'!J34</f>
        <v>8.071200201895337</v>
      </c>
      <c r="J23" s="79"/>
      <c r="K23" s="113"/>
      <c r="L23" s="79">
        <f>'F-5 DTS Classification'!N34</f>
        <v>9.9461771882602115</v>
      </c>
      <c r="M23" s="79"/>
      <c r="N23" s="113"/>
      <c r="O23" s="79">
        <f>'F-5 DTS Classification'!R34</f>
        <v>8.6837466457891797</v>
      </c>
      <c r="P23" s="79"/>
      <c r="Q23" s="113"/>
      <c r="R23" s="79">
        <f>'F-5 DTS Classification'!V34</f>
        <v>0</v>
      </c>
      <c r="S23" s="79"/>
      <c r="T23" s="113"/>
      <c r="U23" s="79">
        <f>'F-5 DTS Classification'!Z34</f>
        <v>1.0159096244101362</v>
      </c>
      <c r="V23" s="79"/>
      <c r="W23" s="113"/>
      <c r="X23" s="176">
        <f t="shared" si="1"/>
        <v>27.717033660354865</v>
      </c>
    </row>
    <row r="24" spans="1:24" s="35" customFormat="1" ht="15.65" customHeight="1">
      <c r="A24" s="21">
        <f t="shared" si="0"/>
        <v>12</v>
      </c>
      <c r="C24" s="12" t="s">
        <v>361</v>
      </c>
      <c r="D24" s="12"/>
      <c r="E24" s="19"/>
      <c r="F24" s="74"/>
      <c r="G24" s="19"/>
      <c r="H24" s="110"/>
      <c r="I24" s="31">
        <f>SUM(I12:I17,I18:I23)</f>
        <v>579.91463911601534</v>
      </c>
      <c r="J24" s="19"/>
      <c r="K24" s="110"/>
      <c r="L24" s="31">
        <f>SUM(L12:L17,L18:L23)</f>
        <v>714.6314811221506</v>
      </c>
      <c r="M24" s="19"/>
      <c r="N24" s="110"/>
      <c r="O24" s="31">
        <f>SUM(O12:O17,O18:O23)</f>
        <v>623.92601797749876</v>
      </c>
      <c r="P24" s="19"/>
      <c r="Q24" s="110"/>
      <c r="R24" s="31">
        <f>SUM(R12:R17,R18:R23)</f>
        <v>0</v>
      </c>
      <c r="S24" s="19"/>
      <c r="T24" s="110"/>
      <c r="U24" s="31">
        <f>SUM(U12:U17,U18:U23)</f>
        <v>72.992968638783751</v>
      </c>
      <c r="V24" s="19"/>
      <c r="W24" s="110"/>
      <c r="X24" s="31">
        <f>SUM(X12:X17,X18:X23)</f>
        <v>1991.4651068544485</v>
      </c>
    </row>
    <row r="25" spans="1:24" ht="15.65" customHeight="1">
      <c r="A25" s="21">
        <f t="shared" si="0"/>
        <v>13</v>
      </c>
      <c r="C25" s="2" t="s">
        <v>46</v>
      </c>
      <c r="D25" s="2"/>
      <c r="E25" s="18"/>
      <c r="F25" s="75"/>
      <c r="G25" s="18"/>
      <c r="H25" s="109"/>
      <c r="I25" s="39"/>
      <c r="J25" s="18"/>
      <c r="K25" s="109"/>
      <c r="L25" s="39"/>
      <c r="M25" s="18"/>
      <c r="N25" s="109"/>
      <c r="O25" s="39"/>
      <c r="P25" s="18"/>
      <c r="Q25" s="109"/>
      <c r="R25" s="39"/>
      <c r="S25" s="18"/>
      <c r="T25" s="109"/>
      <c r="U25" s="39"/>
      <c r="V25" s="18"/>
      <c r="W25" s="109"/>
      <c r="X25" s="39"/>
    </row>
    <row r="26" spans="1:24">
      <c r="A26" s="21">
        <f t="shared" si="0"/>
        <v>14</v>
      </c>
      <c r="C26" t="s">
        <v>12</v>
      </c>
      <c r="E26" s="18"/>
      <c r="F26" s="75" t="s">
        <v>499</v>
      </c>
      <c r="G26" s="18"/>
      <c r="H26" s="109"/>
      <c r="I26" s="83">
        <f>'F-5 DTS Classification'!J19</f>
        <v>0</v>
      </c>
      <c r="J26" s="18"/>
      <c r="K26" s="109"/>
      <c r="L26" s="83">
        <f>'F-5 DTS Classification'!N19</f>
        <v>0</v>
      </c>
      <c r="M26" s="18"/>
      <c r="N26" s="109"/>
      <c r="O26" s="83">
        <f>'F-5 DTS Classification'!R19</f>
        <v>0</v>
      </c>
      <c r="P26" s="18"/>
      <c r="Q26" s="109"/>
      <c r="R26" s="39">
        <f>'F-5 DTS Classification'!V19</f>
        <v>187.22745940999999</v>
      </c>
      <c r="S26" s="18"/>
      <c r="T26" s="109"/>
      <c r="U26" s="80">
        <f>'F-5 DTS Classification'!Z19</f>
        <v>0</v>
      </c>
      <c r="V26" s="18"/>
      <c r="W26" s="109"/>
      <c r="X26" s="177">
        <f>SUM(I26:U26)</f>
        <v>187.22745940999999</v>
      </c>
    </row>
    <row r="27" spans="1:24">
      <c r="A27" s="21">
        <f t="shared" si="0"/>
        <v>15</v>
      </c>
      <c r="C27" t="s">
        <v>14</v>
      </c>
      <c r="E27" s="18"/>
      <c r="F27" s="456" t="s">
        <v>77</v>
      </c>
      <c r="G27" s="18"/>
      <c r="H27" s="248"/>
      <c r="I27" s="80">
        <f>'F-5 DTS Classification'!J21</f>
        <v>0</v>
      </c>
      <c r="J27" s="80"/>
      <c r="K27" s="248"/>
      <c r="L27" s="80">
        <f>'F-5 DTS Classification'!N21</f>
        <v>0</v>
      </c>
      <c r="M27" s="80"/>
      <c r="N27" s="248"/>
      <c r="O27" s="80">
        <f>'F-5 DTS Classification'!R21</f>
        <v>0</v>
      </c>
      <c r="P27" s="80"/>
      <c r="Q27" s="248"/>
      <c r="R27" s="80">
        <f>'F-5 DTS Classification'!V21</f>
        <v>2.2928907000000001</v>
      </c>
      <c r="S27" s="80"/>
      <c r="T27" s="248"/>
      <c r="U27" s="80">
        <f>'F-5 DTS Classification'!Z21</f>
        <v>0</v>
      </c>
      <c r="V27" s="80"/>
      <c r="W27" s="248"/>
      <c r="X27" s="177">
        <f t="shared" ref="X27:X28" si="2">SUM(I27:U27)</f>
        <v>2.2928907000000001</v>
      </c>
    </row>
    <row r="28" spans="1:24">
      <c r="A28" s="21">
        <f t="shared" si="0"/>
        <v>16</v>
      </c>
      <c r="C28" s="408" t="s">
        <v>346</v>
      </c>
      <c r="E28" s="18"/>
      <c r="F28" s="457" t="s">
        <v>78</v>
      </c>
      <c r="G28" s="18"/>
      <c r="H28" s="109"/>
      <c r="I28" s="83">
        <v>0</v>
      </c>
      <c r="J28" s="18"/>
      <c r="K28" s="109"/>
      <c r="L28" s="83">
        <v>0</v>
      </c>
      <c r="M28" s="18"/>
      <c r="N28" s="109"/>
      <c r="O28" s="83">
        <v>0</v>
      </c>
      <c r="P28" s="18"/>
      <c r="Q28" s="109"/>
      <c r="R28" s="83">
        <f>'F-5 DTS Classification'!V23</f>
        <v>16.147908659999999</v>
      </c>
      <c r="S28" s="18"/>
      <c r="T28" s="109"/>
      <c r="U28" s="80">
        <v>0</v>
      </c>
      <c r="V28" s="18"/>
      <c r="W28" s="109"/>
      <c r="X28" s="177">
        <f t="shared" si="2"/>
        <v>16.147908659999999</v>
      </c>
    </row>
    <row r="29" spans="1:24" s="35" customFormat="1" ht="15.65" customHeight="1">
      <c r="A29" s="21">
        <f t="shared" si="0"/>
        <v>17</v>
      </c>
      <c r="C29" s="12" t="s">
        <v>46</v>
      </c>
      <c r="D29" s="12"/>
      <c r="E29" s="19"/>
      <c r="F29" s="74"/>
      <c r="G29" s="19"/>
      <c r="H29" s="110"/>
      <c r="I29" s="84">
        <f>SUM(I25:I28)</f>
        <v>0</v>
      </c>
      <c r="J29" s="19"/>
      <c r="K29" s="110"/>
      <c r="L29" s="84">
        <f>SUM(L25:L28)</f>
        <v>0</v>
      </c>
      <c r="M29" s="19"/>
      <c r="N29" s="110"/>
      <c r="O29" s="84">
        <f>SUM(O25:O28)</f>
        <v>0</v>
      </c>
      <c r="P29" s="19"/>
      <c r="Q29" s="110"/>
      <c r="R29" s="31">
        <f>SUM(R25:R28)</f>
        <v>205.66825876999997</v>
      </c>
      <c r="S29" s="19"/>
      <c r="T29" s="110"/>
      <c r="U29" s="84">
        <f>SUM(U25:U28)</f>
        <v>0</v>
      </c>
      <c r="V29" s="19"/>
      <c r="W29" s="110"/>
      <c r="X29" s="31">
        <f>SUM(X25:X28)</f>
        <v>205.66825876999997</v>
      </c>
    </row>
    <row r="30" spans="1:24" s="35" customFormat="1" ht="15.65" customHeight="1">
      <c r="A30" s="21">
        <f t="shared" si="0"/>
        <v>18</v>
      </c>
      <c r="C30" s="12" t="s">
        <v>399</v>
      </c>
      <c r="D30" s="12"/>
      <c r="E30" s="19"/>
      <c r="F30" s="443" t="s">
        <v>75</v>
      </c>
      <c r="G30" s="19"/>
      <c r="H30" s="110"/>
      <c r="I30" s="534">
        <v>0</v>
      </c>
      <c r="J30" s="19"/>
      <c r="K30" s="110"/>
      <c r="L30" s="534">
        <v>0</v>
      </c>
      <c r="M30" s="19"/>
      <c r="N30" s="110"/>
      <c r="O30" s="534">
        <v>0</v>
      </c>
      <c r="P30" s="19"/>
      <c r="Q30" s="110"/>
      <c r="R30" s="52">
        <f>'F-5 DTS Classification'!V25</f>
        <v>0.26980104999999999</v>
      </c>
      <c r="S30" s="19"/>
      <c r="T30" s="110"/>
      <c r="U30" s="534"/>
      <c r="V30" s="19"/>
      <c r="W30" s="110"/>
      <c r="X30" s="179">
        <f>SUM(I30:U30)</f>
        <v>0.26980104999999999</v>
      </c>
    </row>
    <row r="31" spans="1:24" s="58" customFormat="1" ht="19" customHeight="1">
      <c r="A31" s="21">
        <f t="shared" si="0"/>
        <v>19</v>
      </c>
      <c r="C31" s="59" t="s">
        <v>81</v>
      </c>
      <c r="D31" s="59"/>
      <c r="E31" s="20"/>
      <c r="F31" s="447" t="s">
        <v>500</v>
      </c>
      <c r="G31" s="20"/>
      <c r="H31" s="108"/>
      <c r="I31" s="86">
        <f>'F-5 DTS Classification'!J22</f>
        <v>0</v>
      </c>
      <c r="J31" s="20"/>
      <c r="K31" s="108"/>
      <c r="L31" s="86">
        <f>'F-5 DTS Classification'!N22</f>
        <v>0</v>
      </c>
      <c r="M31" s="20"/>
      <c r="N31" s="108"/>
      <c r="O31" s="60">
        <f>'F-5 DTS Classification'!R22</f>
        <v>3.2913457400000001</v>
      </c>
      <c r="P31" s="20"/>
      <c r="Q31" s="108"/>
      <c r="R31" s="131">
        <f>'F-5 DTS Classification'!V22</f>
        <v>0</v>
      </c>
      <c r="S31" s="20"/>
      <c r="T31" s="108"/>
      <c r="U31" s="131">
        <f>'F-5 DTS Classification'!Z22</f>
        <v>0</v>
      </c>
      <c r="V31" s="20"/>
      <c r="W31" s="108"/>
      <c r="X31" s="179">
        <f>SUM(I31:U31)</f>
        <v>3.2913457400000001</v>
      </c>
    </row>
    <row r="32" spans="1:24" ht="15.65" customHeight="1">
      <c r="A32" s="21">
        <f t="shared" si="0"/>
        <v>20</v>
      </c>
      <c r="C32" s="2" t="s">
        <v>47</v>
      </c>
      <c r="D32" s="2"/>
      <c r="E32" s="18"/>
      <c r="F32" s="75"/>
      <c r="G32" s="18"/>
      <c r="H32" s="109"/>
      <c r="I32" s="39"/>
      <c r="J32" s="18"/>
      <c r="K32" s="109"/>
      <c r="L32" s="39"/>
      <c r="M32" s="18"/>
      <c r="N32" s="109"/>
      <c r="O32" s="39"/>
      <c r="P32" s="18"/>
      <c r="Q32" s="109"/>
      <c r="R32" s="39"/>
      <c r="S32" s="18"/>
      <c r="T32" s="109"/>
      <c r="U32" s="39"/>
      <c r="V32" s="18"/>
      <c r="W32" s="109"/>
      <c r="X32" s="39"/>
    </row>
    <row r="33" spans="1:24">
      <c r="A33" s="21">
        <f>A32+1</f>
        <v>21</v>
      </c>
      <c r="C33" t="s">
        <v>17</v>
      </c>
      <c r="E33" s="18"/>
      <c r="F33" s="456" t="s">
        <v>394</v>
      </c>
      <c r="G33" s="18"/>
      <c r="H33" s="248"/>
      <c r="I33" s="80">
        <f>'F-5 DTS Classification'!J24</f>
        <v>0</v>
      </c>
      <c r="J33" s="80"/>
      <c r="K33" s="248"/>
      <c r="L33" s="80">
        <f>'F-5 DTS Classification'!N26</f>
        <v>0.86910456000000003</v>
      </c>
      <c r="M33" s="80"/>
      <c r="N33" s="248"/>
      <c r="O33" s="80">
        <f>'F-5 DTS Classification'!R24</f>
        <v>0</v>
      </c>
      <c r="P33" s="80"/>
      <c r="Q33" s="248"/>
      <c r="R33" s="80">
        <f>'F-5 DTS Classification'!V24</f>
        <v>0</v>
      </c>
      <c r="S33" s="80"/>
      <c r="T33" s="248"/>
      <c r="U33" s="80">
        <f>'F-5 DTS Classification'!Z24</f>
        <v>0</v>
      </c>
      <c r="V33" s="80"/>
      <c r="W33" s="248"/>
      <c r="X33" s="178">
        <f>SUM(I33:U33)</f>
        <v>0.86910456000000003</v>
      </c>
    </row>
    <row r="34" spans="1:24">
      <c r="A34" s="21">
        <f t="shared" si="0"/>
        <v>22</v>
      </c>
      <c r="C34" t="str">
        <f>'F-5 DTS Classification'!D24</f>
        <v>Reliability Services from BC</v>
      </c>
      <c r="E34" s="18"/>
      <c r="F34" s="456" t="s">
        <v>461</v>
      </c>
      <c r="G34" s="18"/>
      <c r="H34" s="248"/>
      <c r="I34" s="80">
        <f>'F-5 DTS Classification'!J27</f>
        <v>0</v>
      </c>
      <c r="J34" s="80"/>
      <c r="K34" s="248"/>
      <c r="L34" s="80">
        <f>'F-5 DTS Classification'!N24</f>
        <v>2.8571428800000001</v>
      </c>
      <c r="M34" s="80"/>
      <c r="N34" s="248"/>
      <c r="O34" s="80">
        <f>'F-5 DTS Classification'!R27</f>
        <v>0</v>
      </c>
      <c r="P34" s="80"/>
      <c r="Q34" s="248"/>
      <c r="R34" s="80">
        <f>'F-5 DTS Classification'!V27</f>
        <v>0</v>
      </c>
      <c r="S34" s="80"/>
      <c r="T34" s="248"/>
      <c r="U34" s="80">
        <f>'F-5 DTS Classification'!Z27</f>
        <v>0</v>
      </c>
      <c r="V34" s="80"/>
      <c r="W34" s="248"/>
      <c r="X34" s="178">
        <f>SUM(I34:U34)</f>
        <v>2.8571428800000001</v>
      </c>
    </row>
    <row r="35" spans="1:24" s="35" customFormat="1" ht="15.65" customHeight="1">
      <c r="A35" s="21">
        <f t="shared" si="0"/>
        <v>23</v>
      </c>
      <c r="C35" s="12" t="s">
        <v>48</v>
      </c>
      <c r="D35" s="12"/>
      <c r="E35" s="19"/>
      <c r="F35" s="74"/>
      <c r="G35" s="19"/>
      <c r="H35" s="110"/>
      <c r="I35" s="31">
        <f>SUM(I33:I33)</f>
        <v>0</v>
      </c>
      <c r="J35" s="461"/>
      <c r="K35" s="110"/>
      <c r="L35" s="31">
        <f>SUM(L33:L34)</f>
        <v>3.7262474399999999</v>
      </c>
      <c r="M35" s="461"/>
      <c r="N35" s="110"/>
      <c r="O35" s="84">
        <f>SUM(O33:O33)</f>
        <v>0</v>
      </c>
      <c r="P35" s="461"/>
      <c r="Q35" s="110"/>
      <c r="R35" s="84">
        <f>SUM(R33:R33)</f>
        <v>0</v>
      </c>
      <c r="S35" s="461"/>
      <c r="T35" s="110"/>
      <c r="U35" s="84">
        <f>SUM(U33:U33)</f>
        <v>0</v>
      </c>
      <c r="V35" s="461"/>
      <c r="W35" s="110"/>
      <c r="X35" s="180">
        <f>SUM(X33:X34)</f>
        <v>3.7262474399999999</v>
      </c>
    </row>
    <row r="36" spans="1:24" s="24" customFormat="1" ht="15.65" customHeight="1">
      <c r="A36" s="21">
        <f t="shared" si="0"/>
        <v>24</v>
      </c>
      <c r="C36" s="25" t="s">
        <v>49</v>
      </c>
      <c r="D36" s="25"/>
      <c r="E36" s="114"/>
      <c r="F36" s="115"/>
      <c r="G36" s="114"/>
      <c r="H36" s="117"/>
      <c r="I36" s="32">
        <f>SUM(I24,I29,I30,I31,I35)</f>
        <v>579.91463911601534</v>
      </c>
      <c r="J36" s="106">
        <f>SUM(J24,J29,J28,J31,J35)</f>
        <v>0</v>
      </c>
      <c r="K36" s="106">
        <f>SUM(K24,K29,K28,K31,K35)</f>
        <v>0</v>
      </c>
      <c r="L36" s="32">
        <f>SUM(L24,L29,L30,L31,L35)</f>
        <v>718.35772856215056</v>
      </c>
      <c r="M36" s="106">
        <f>SUM(M24,M29,M28,M31,M35)</f>
        <v>0</v>
      </c>
      <c r="N36" s="106">
        <f>SUM(N24,N29,N28,N31,N35)</f>
        <v>0</v>
      </c>
      <c r="O36" s="32">
        <f>SUM(O24,O29,O30,O31,O35)</f>
        <v>627.21736371749876</v>
      </c>
      <c r="P36" s="106">
        <f>SUM(P24,P29,P28,P31,P35)</f>
        <v>0</v>
      </c>
      <c r="Q36" s="106">
        <f>SUM(Q24,Q29,Q28,Q31,Q35)</f>
        <v>0</v>
      </c>
      <c r="R36" s="32">
        <f>SUM(R24,R29,R30,R31,R35)</f>
        <v>205.93805981999998</v>
      </c>
      <c r="S36" s="106">
        <f>SUM(S24,S29,S28,S31,S35)</f>
        <v>0</v>
      </c>
      <c r="T36" s="106">
        <f>SUM(T24,T29,T28,T31,T35)</f>
        <v>0</v>
      </c>
      <c r="U36" s="32">
        <f>SUM(U24,U29,U30,U31,U35)</f>
        <v>72.992968638783751</v>
      </c>
      <c r="V36" s="106">
        <f>SUM(V24,V29,V28,V31,V35)</f>
        <v>0</v>
      </c>
      <c r="W36" s="106">
        <f>SUM(W24,W29,W28,W31,W35)</f>
        <v>0</v>
      </c>
      <c r="X36" s="32">
        <f>SUM(X24,X29,X30,X31,X35)</f>
        <v>2204.4207598544485</v>
      </c>
    </row>
  </sheetData>
  <phoneticPr fontId="14"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6"/>
  <sheetViews>
    <sheetView showGridLines="0" zoomScaleNormal="100" workbookViewId="0"/>
  </sheetViews>
  <sheetFormatPr defaultRowHeight="13"/>
  <cols>
    <col min="1" max="1" width="4.77734375" customWidth="1"/>
    <col min="2" max="2" width="1.77734375" customWidth="1"/>
    <col min="3" max="3" width="2.77734375" customWidth="1"/>
    <col min="4" max="4" width="27.6640625" customWidth="1"/>
    <col min="5" max="5" width="1.77734375" customWidth="1"/>
    <col min="6" max="6" width="9.33203125" customWidth="1"/>
    <col min="7" max="8" width="1.77734375" customWidth="1"/>
    <col min="9" max="9" width="10.33203125" customWidth="1"/>
    <col min="10" max="10" width="9.33203125" customWidth="1"/>
    <col min="11" max="11" width="10.77734375" customWidth="1"/>
    <col min="12" max="13" width="1.77734375" customWidth="1"/>
    <col min="14" max="15" width="12.77734375" customWidth="1"/>
    <col min="16" max="17" width="1.77734375" customWidth="1"/>
    <col min="18" max="18" width="13.109375" customWidth="1"/>
    <col min="19" max="19" width="11.33203125" customWidth="1"/>
    <col min="20" max="20" width="14" customWidth="1"/>
    <col min="21" max="21" width="11" customWidth="1"/>
    <col min="22" max="22" width="12.44140625" customWidth="1"/>
    <col min="23" max="23" width="11.10937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F-8</v>
      </c>
    </row>
    <row r="2" spans="1:23" s="3" customFormat="1">
      <c r="A2" s="5" t="str">
        <f>Application</f>
        <v>Bulk and Regional Tariff Design Application</v>
      </c>
      <c r="B2" s="5"/>
      <c r="C2" s="5"/>
      <c r="D2" s="5"/>
      <c r="E2" s="5"/>
      <c r="F2" s="5"/>
      <c r="G2" s="5"/>
      <c r="H2" s="5"/>
      <c r="I2" s="5"/>
      <c r="J2" s="5"/>
      <c r="K2" s="5"/>
      <c r="L2" s="5"/>
      <c r="M2" s="5"/>
      <c r="N2" s="5"/>
      <c r="O2" s="5"/>
      <c r="P2" s="5"/>
      <c r="Q2" s="5"/>
      <c r="R2" s="5"/>
      <c r="U2" s="4" t="str">
        <f>TableDate</f>
        <v>October 15, 2021</v>
      </c>
    </row>
    <row r="4" spans="1:23">
      <c r="A4" s="330" t="str">
        <f>TableGroup1</f>
        <v>Appendix F — 2019 Test Year Proposed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40" customFormat="1">
      <c r="I7" s="240" t="s">
        <v>2</v>
      </c>
      <c r="J7" s="240" t="s">
        <v>3</v>
      </c>
      <c r="K7" s="240" t="s">
        <v>4</v>
      </c>
      <c r="N7" s="240" t="s">
        <v>5</v>
      </c>
      <c r="O7" s="240" t="s">
        <v>25</v>
      </c>
      <c r="R7" s="240" t="s">
        <v>26</v>
      </c>
      <c r="S7" s="240" t="s">
        <v>27</v>
      </c>
      <c r="T7" s="240" t="s">
        <v>50</v>
      </c>
      <c r="U7" s="240" t="s">
        <v>51</v>
      </c>
    </row>
    <row r="8" spans="1:23" s="1" customFormat="1"/>
    <row r="10" spans="1:23" s="62" customFormat="1">
      <c r="F10" s="700" t="s">
        <v>528</v>
      </c>
      <c r="H10" s="152"/>
      <c r="I10" s="45" t="s">
        <v>139</v>
      </c>
      <c r="J10" s="45"/>
      <c r="K10" s="45"/>
      <c r="L10" s="153"/>
      <c r="M10" s="152"/>
      <c r="N10" s="45" t="s">
        <v>106</v>
      </c>
      <c r="O10" s="45"/>
      <c r="P10" s="153"/>
      <c r="Q10" s="152"/>
      <c r="R10" s="45" t="s">
        <v>107</v>
      </c>
      <c r="S10" s="45"/>
      <c r="T10" s="45"/>
      <c r="U10" s="45"/>
    </row>
    <row r="11" spans="1:23" s="47" customFormat="1" ht="12.75" customHeight="1">
      <c r="A11" s="46" t="s">
        <v>58</v>
      </c>
      <c r="C11" s="48" t="s">
        <v>1</v>
      </c>
      <c r="D11" s="48"/>
      <c r="F11" s="46" t="s">
        <v>117</v>
      </c>
      <c r="H11" s="99"/>
      <c r="I11" s="150" t="s">
        <v>114</v>
      </c>
      <c r="J11" s="172" t="s">
        <v>113</v>
      </c>
      <c r="K11" s="150" t="s">
        <v>118</v>
      </c>
      <c r="M11" s="99"/>
      <c r="N11" s="49" t="s">
        <v>110</v>
      </c>
      <c r="O11" s="49" t="s">
        <v>56</v>
      </c>
      <c r="Q11" s="99"/>
      <c r="R11" s="46" t="s">
        <v>114</v>
      </c>
      <c r="S11" s="46" t="s">
        <v>113</v>
      </c>
      <c r="T11" s="46" t="s">
        <v>118</v>
      </c>
      <c r="U11" s="46" t="s">
        <v>56</v>
      </c>
      <c r="V11" s="467"/>
      <c r="W11" s="2"/>
    </row>
    <row r="12" spans="1:23" s="477" customFormat="1" ht="12.75" customHeight="1">
      <c r="A12" s="95">
        <v>1</v>
      </c>
      <c r="C12" s="2" t="s">
        <v>453</v>
      </c>
      <c r="D12" s="50"/>
      <c r="F12" s="95"/>
      <c r="H12" s="99"/>
      <c r="I12" s="645"/>
      <c r="J12" s="646"/>
      <c r="K12" s="645"/>
      <c r="M12" s="99"/>
      <c r="N12" s="95"/>
      <c r="O12" s="95"/>
      <c r="Q12" s="99"/>
      <c r="R12" s="95"/>
      <c r="S12" s="95"/>
      <c r="T12" s="95"/>
      <c r="U12" s="95"/>
      <c r="V12" s="467"/>
      <c r="W12" s="2"/>
    </row>
    <row r="13" spans="1:23" s="477" customFormat="1" ht="12.75" customHeight="1">
      <c r="A13" s="95">
        <f>A12+1</f>
        <v>2</v>
      </c>
      <c r="C13" t="s">
        <v>111</v>
      </c>
      <c r="D13" s="50"/>
      <c r="F13" s="74" t="s">
        <v>495</v>
      </c>
      <c r="H13" s="99"/>
      <c r="I13" s="660">
        <f>'F-7 DTS Costs'!O14</f>
        <v>580.02520750753354</v>
      </c>
      <c r="J13" s="661">
        <f>SUM('F-7 DTS Costs'!O20:O23)</f>
        <v>43.900810469965172</v>
      </c>
      <c r="K13" s="660">
        <f>SUM(I13:J13)</f>
        <v>623.92601797749876</v>
      </c>
      <c r="M13" s="99"/>
      <c r="N13" s="662">
        <f>'F-12 Determinants'!F18</f>
        <v>59687.309716087802</v>
      </c>
      <c r="O13" s="95" t="str">
        <f>'F-12 Determinants'!G18</f>
        <v>GWh</v>
      </c>
      <c r="Q13" s="99"/>
      <c r="R13" s="663">
        <f>ROUND(I13*1000/$N13,2)</f>
        <v>9.7200000000000006</v>
      </c>
      <c r="S13" s="663">
        <f>ROUND(J13*1000/$N13,2)</f>
        <v>0.74</v>
      </c>
      <c r="T13" s="663">
        <f>ROUND(K13*1000/N13,2)</f>
        <v>10.45</v>
      </c>
      <c r="U13" s="95" t="s">
        <v>62</v>
      </c>
      <c r="V13" s="467"/>
      <c r="W13" s="2"/>
    </row>
    <row r="14" spans="1:23" s="477" customFormat="1" ht="12.75" customHeight="1">
      <c r="A14" s="95">
        <f t="shared" ref="A14:A16" si="0">A13+1</f>
        <v>3</v>
      </c>
      <c r="C14" s="2" t="s">
        <v>454</v>
      </c>
      <c r="D14" s="50"/>
      <c r="F14" s="74"/>
      <c r="H14" s="99"/>
      <c r="I14" s="645"/>
      <c r="J14" s="646"/>
      <c r="K14" s="645"/>
      <c r="M14" s="99"/>
      <c r="N14" s="95"/>
      <c r="O14" s="95"/>
      <c r="Q14" s="99"/>
      <c r="R14" s="95"/>
      <c r="S14" s="95"/>
      <c r="T14" s="95"/>
      <c r="U14" s="95"/>
      <c r="V14" s="467"/>
      <c r="W14" s="2"/>
    </row>
    <row r="15" spans="1:23" s="477" customFormat="1" ht="12.75" customHeight="1">
      <c r="A15" s="95">
        <f t="shared" si="0"/>
        <v>4</v>
      </c>
      <c r="C15" t="s">
        <v>194</v>
      </c>
      <c r="D15" s="50"/>
      <c r="F15" s="74" t="s">
        <v>496</v>
      </c>
      <c r="H15" s="99"/>
      <c r="I15" s="142">
        <f>'F-7 DTS Costs'!I15</f>
        <v>539.11056631405609</v>
      </c>
      <c r="J15" s="142">
        <f>SUM('F-7 DTS Costs'!I20:I23)</f>
        <v>40.804072801959336</v>
      </c>
      <c r="K15" s="142">
        <f>SUM(I15:J15)</f>
        <v>579.91463911601545</v>
      </c>
      <c r="M15" s="99"/>
      <c r="N15" s="662">
        <f>'F-12 Determinants'!F11</f>
        <v>93451.157599999933</v>
      </c>
      <c r="O15" s="95" t="str">
        <f>'F-12 Determinants'!G11</f>
        <v>MW-months</v>
      </c>
      <c r="Q15" s="99"/>
      <c r="R15" s="449">
        <f>ROUND(I15*1000000/$N15,0)</f>
        <v>5769</v>
      </c>
      <c r="S15" s="449">
        <f>ROUND(J15*1000000/$N15,0)</f>
        <v>437</v>
      </c>
      <c r="T15" s="449">
        <f>ROUND(K15*1000000/N15,0)</f>
        <v>6206</v>
      </c>
      <c r="U15" s="95" t="s">
        <v>105</v>
      </c>
      <c r="V15" s="467"/>
      <c r="W15" s="2"/>
    </row>
    <row r="16" spans="1:23" s="477" customFormat="1" ht="12.75" customHeight="1">
      <c r="A16" s="95">
        <f t="shared" si="0"/>
        <v>5</v>
      </c>
      <c r="C16" s="9" t="s">
        <v>360</v>
      </c>
      <c r="D16" s="50"/>
      <c r="F16" s="74" t="s">
        <v>497</v>
      </c>
      <c r="H16" s="99"/>
      <c r="I16" s="142">
        <f>'F-7 DTS Costs'!L16</f>
        <v>311.39559496574253</v>
      </c>
      <c r="J16" s="142">
        <f>SUM('F-7 DTS Costs'!L20:L23)</f>
        <v>50.283046875191317</v>
      </c>
      <c r="K16" s="142">
        <f>SUM(I16:J16)</f>
        <v>361.67864184093384</v>
      </c>
      <c r="M16" s="99"/>
      <c r="N16" s="662">
        <f>'F-12 Determinants'!F12</f>
        <v>159114.17204080004</v>
      </c>
      <c r="O16" s="95" t="str">
        <f>'F-12 Determinants'!G12</f>
        <v>MW-months</v>
      </c>
      <c r="Q16" s="99"/>
      <c r="R16" s="449">
        <f>ROUND(I16*1000000/$N16,0)</f>
        <v>1957</v>
      </c>
      <c r="S16" s="449">
        <f>ROUND(J16*1000000/$N16,0)</f>
        <v>316</v>
      </c>
      <c r="T16" s="449">
        <f>ROUND(K16*1000000/N16,0)</f>
        <v>2273</v>
      </c>
      <c r="U16" s="95" t="s">
        <v>105</v>
      </c>
      <c r="V16" s="467"/>
      <c r="W16" s="2"/>
    </row>
    <row r="17" spans="1:25" ht="19" customHeight="1">
      <c r="A17" s="7">
        <f>A16+1</f>
        <v>6</v>
      </c>
      <c r="C17" s="2" t="s">
        <v>178</v>
      </c>
      <c r="D17" s="2"/>
      <c r="E17" s="18"/>
      <c r="F17" s="75"/>
      <c r="G17" s="18"/>
      <c r="H17" s="109"/>
      <c r="I17" s="139"/>
      <c r="J17" s="139"/>
      <c r="K17" s="139"/>
      <c r="L17" s="18"/>
      <c r="M17" s="109"/>
      <c r="N17" s="39"/>
      <c r="O17" s="154"/>
      <c r="P17" s="18"/>
      <c r="Q17" s="109"/>
      <c r="R17" s="448"/>
      <c r="S17" s="448"/>
      <c r="T17" s="458"/>
      <c r="U17" s="137"/>
      <c r="V17" s="467" t="s">
        <v>372</v>
      </c>
      <c r="W17" s="2"/>
    </row>
    <row r="18" spans="1:25" s="35" customFormat="1" ht="13.75" customHeight="1">
      <c r="A18" s="34">
        <f>A17+1</f>
        <v>7</v>
      </c>
      <c r="C18" s="9" t="s">
        <v>183</v>
      </c>
      <c r="E18" s="140"/>
      <c r="F18" s="74" t="s">
        <v>498</v>
      </c>
      <c r="G18" s="140"/>
      <c r="H18" s="141"/>
      <c r="I18" s="142">
        <f>('F-7 DTS Costs'!X17-'F-7 DTS Costs'!O17)*'F-6 POD Classification'!I19</f>
        <v>67.857022405544726</v>
      </c>
      <c r="J18" s="142">
        <f>SUM('F-7 DTS Costs'!U20:U23)</f>
        <v>5.135946233239018</v>
      </c>
      <c r="K18" s="142">
        <f>SUM(I18:J18)</f>
        <v>72.992968638783736</v>
      </c>
      <c r="L18" s="140"/>
      <c r="M18" s="141"/>
      <c r="N18" s="35">
        <f>'F-12 Determinants'!F19</f>
        <v>5407.3908299999975</v>
      </c>
      <c r="O18" s="155" t="str">
        <f>'F-12 Determinants'!G19</f>
        <v>customer-months</v>
      </c>
      <c r="P18" s="18"/>
      <c r="Q18" s="109"/>
      <c r="R18" s="466">
        <f>ROUND(I18*1000000/$N18,0)</f>
        <v>12549</v>
      </c>
      <c r="S18" s="449">
        <f>ROUND(J18*1000000/$N18,0)</f>
        <v>950</v>
      </c>
      <c r="T18" s="449">
        <f>ROUND(K18*1000000/N18,0)</f>
        <v>13499</v>
      </c>
      <c r="U18" s="136" t="s">
        <v>109</v>
      </c>
      <c r="V18" s="466">
        <f>MROUND(0.79*T18,1)</f>
        <v>10664</v>
      </c>
      <c r="W18" s="246"/>
    </row>
    <row r="19" spans="1:25" s="22" customFormat="1">
      <c r="A19" s="21">
        <f>A18+1</f>
        <v>8</v>
      </c>
      <c r="C19" t="s">
        <v>179</v>
      </c>
      <c r="E19" s="23"/>
      <c r="F19" s="74" t="s">
        <v>498</v>
      </c>
      <c r="G19" s="23"/>
      <c r="H19" s="112"/>
      <c r="I19" s="132">
        <f>('F-7 DTS Costs'!X17-'F-7 DTS Costs'!O17)*'F-6 POD Classification'!L19</f>
        <v>152.30657193580933</v>
      </c>
      <c r="J19" s="132">
        <f>SUM('F-7 DTS Costs'!L20:L23)*I19/SUM(I16,I19:I22)</f>
        <v>11.527743727926232</v>
      </c>
      <c r="K19" s="132">
        <f>SUM(I19:J19)</f>
        <v>163.83431566373557</v>
      </c>
      <c r="L19" s="23"/>
      <c r="M19" s="112"/>
      <c r="N19" s="22">
        <f>'F-12 Determinants'!F13</f>
        <v>36877.829162999951</v>
      </c>
      <c r="O19" s="63" t="str">
        <f>'F-12 Determinants'!G13</f>
        <v>MW-months</v>
      </c>
      <c r="P19" s="23"/>
      <c r="Q19" s="112"/>
      <c r="R19" s="449">
        <f t="shared" ref="R19:S22" si="1">ROUND(I19*1000000/$N19,0)</f>
        <v>4130</v>
      </c>
      <c r="S19" s="449">
        <f t="shared" si="1"/>
        <v>313</v>
      </c>
      <c r="T19" s="449">
        <f>ROUND(K19*1000000/N19,0)</f>
        <v>4443</v>
      </c>
      <c r="U19" s="138" t="s">
        <v>105</v>
      </c>
      <c r="V19" s="466">
        <f>MROUND(0.79*T19,1)</f>
        <v>3510</v>
      </c>
      <c r="W19" s="246"/>
      <c r="X19" s="35"/>
      <c r="Y19" s="35"/>
    </row>
    <row r="20" spans="1:25" s="22" customFormat="1">
      <c r="A20" s="21">
        <f t="shared" ref="A20:A31" si="2">A19+1</f>
        <v>9</v>
      </c>
      <c r="C20" s="9" t="s">
        <v>180</v>
      </c>
      <c r="E20" s="23"/>
      <c r="F20" s="74" t="s">
        <v>498</v>
      </c>
      <c r="G20" s="23"/>
      <c r="H20" s="112"/>
      <c r="I20" s="132">
        <f>('F-7 DTS Costs'!X17-'F-7 DTS Costs'!O17)*'F-6 POD Classification'!N19</f>
        <v>84.88981923538006</v>
      </c>
      <c r="J20" s="132">
        <f>SUM('F-7 DTS Costs'!L20:L23)*I20/SUM(I16,I19:I22)</f>
        <v>6.4251205238069229</v>
      </c>
      <c r="K20" s="132">
        <f>SUM(I20:J20)</f>
        <v>91.314939759186984</v>
      </c>
      <c r="L20" s="23"/>
      <c r="M20" s="112"/>
      <c r="N20" s="22">
        <f>'F-12 Determinants'!F14</f>
        <v>34658.475743399962</v>
      </c>
      <c r="O20" s="63" t="str">
        <f>'F-12 Determinants'!G14</f>
        <v>MW-months</v>
      </c>
      <c r="P20" s="23"/>
      <c r="Q20" s="112"/>
      <c r="R20" s="449">
        <f t="shared" si="1"/>
        <v>2449</v>
      </c>
      <c r="S20" s="449">
        <f t="shared" si="1"/>
        <v>185</v>
      </c>
      <c r="T20" s="449">
        <f>ROUND(K20*1000000/N20,0)</f>
        <v>2635</v>
      </c>
      <c r="U20" s="138" t="s">
        <v>105</v>
      </c>
      <c r="V20" s="466">
        <f>MROUND(0.79*T20,1)</f>
        <v>2082</v>
      </c>
      <c r="W20" s="246"/>
      <c r="X20" s="35"/>
      <c r="Y20" s="35"/>
    </row>
    <row r="21" spans="1:25" s="22" customFormat="1">
      <c r="A21" s="21">
        <f t="shared" si="2"/>
        <v>10</v>
      </c>
      <c r="C21" s="9" t="s">
        <v>181</v>
      </c>
      <c r="E21" s="23"/>
      <c r="F21" s="74" t="s">
        <v>498</v>
      </c>
      <c r="G21" s="23"/>
      <c r="H21" s="112"/>
      <c r="I21" s="132">
        <f>('F-7 DTS Costs'!X17-'F-7 DTS Costs'!O17)*'F-6 POD Classification'!P19</f>
        <v>71.157171733945347</v>
      </c>
      <c r="J21" s="132">
        <f>SUM('F-7 DTS Costs'!L20:L23)*I21/SUM(I16,I19:I22)</f>
        <v>5.3857271536429279</v>
      </c>
      <c r="K21" s="132">
        <f>SUM(I21:J21)</f>
        <v>76.542898887588279</v>
      </c>
      <c r="L21" s="23"/>
      <c r="M21" s="112"/>
      <c r="N21" s="22">
        <f>'F-12 Determinants'!F15</f>
        <v>43396.074517600013</v>
      </c>
      <c r="O21" s="63" t="str">
        <f>'F-12 Determinants'!G15</f>
        <v>MW-months</v>
      </c>
      <c r="P21" s="23"/>
      <c r="Q21" s="112"/>
      <c r="R21" s="449">
        <f t="shared" si="1"/>
        <v>1640</v>
      </c>
      <c r="S21" s="449">
        <f t="shared" si="1"/>
        <v>124</v>
      </c>
      <c r="T21" s="449">
        <f>ROUND(K21*1000000/N21,0)</f>
        <v>1764</v>
      </c>
      <c r="U21" s="138" t="s">
        <v>105</v>
      </c>
      <c r="V21" s="466">
        <f>MROUND(0.79*T21,1)</f>
        <v>1394</v>
      </c>
      <c r="W21" s="246"/>
      <c r="X21" s="35"/>
      <c r="Y21" s="35"/>
    </row>
    <row r="22" spans="1:25" s="22" customFormat="1">
      <c r="A22" s="21">
        <f t="shared" si="2"/>
        <v>11</v>
      </c>
      <c r="C22" s="9" t="s">
        <v>182</v>
      </c>
      <c r="E22" s="23"/>
      <c r="F22" s="74" t="s">
        <v>498</v>
      </c>
      <c r="G22" s="23"/>
      <c r="H22" s="112"/>
      <c r="I22" s="132">
        <f>('F-7 DTS Costs'!X17-'F-7 DTS Costs'!O17)*'F-6 POD Classification'!R19</f>
        <v>44.599276376082067</v>
      </c>
      <c r="J22" s="132">
        <f>SUM('F-7 DTS Costs'!L20:L23)*I22/SUM(I16,I19:I22)</f>
        <v>3.3756194626395497</v>
      </c>
      <c r="K22" s="132">
        <f>SUM(I22:J22)</f>
        <v>47.974895838721615</v>
      </c>
      <c r="L22" s="23"/>
      <c r="M22" s="112"/>
      <c r="N22" s="22">
        <f>'F-12 Determinants'!F16</f>
        <v>44181.792616800056</v>
      </c>
      <c r="O22" s="63" t="str">
        <f>'F-12 Determinants'!G16</f>
        <v>MW-months</v>
      </c>
      <c r="P22" s="23"/>
      <c r="Q22" s="112"/>
      <c r="R22" s="449">
        <f t="shared" si="1"/>
        <v>1009</v>
      </c>
      <c r="S22" s="449">
        <f t="shared" si="1"/>
        <v>76</v>
      </c>
      <c r="T22" s="449">
        <f>ROUND(K22*1000000/N22,0)</f>
        <v>1086</v>
      </c>
      <c r="U22" s="138" t="s">
        <v>105</v>
      </c>
      <c r="V22" s="466">
        <f>T22</f>
        <v>1086</v>
      </c>
      <c r="W22" s="246"/>
      <c r="X22" s="35"/>
      <c r="Y22" s="35"/>
    </row>
    <row r="23" spans="1:25" ht="19" customHeight="1">
      <c r="A23" s="7">
        <f>A22+1</f>
        <v>12</v>
      </c>
      <c r="C23" s="2" t="s">
        <v>46</v>
      </c>
      <c r="D23" s="2"/>
      <c r="E23" s="18"/>
      <c r="F23" s="75"/>
      <c r="G23" s="18"/>
      <c r="H23" s="109"/>
      <c r="I23" s="80"/>
      <c r="J23" s="80"/>
      <c r="K23" s="80"/>
      <c r="L23" s="18"/>
      <c r="M23" s="109"/>
      <c r="N23" s="39"/>
      <c r="O23" s="154"/>
      <c r="P23" s="18"/>
      <c r="Q23" s="109"/>
      <c r="R23" s="134"/>
      <c r="S23" s="134"/>
      <c r="T23" s="134"/>
      <c r="U23" s="137"/>
    </row>
    <row r="24" spans="1:25" s="9" customFormat="1" ht="19" customHeight="1">
      <c r="A24" s="8">
        <f t="shared" si="2"/>
        <v>13</v>
      </c>
      <c r="C24" s="9" t="s">
        <v>366</v>
      </c>
      <c r="E24" s="145"/>
      <c r="F24" s="443" t="s">
        <v>365</v>
      </c>
      <c r="G24" s="462"/>
      <c r="H24" s="146"/>
      <c r="I24" s="147">
        <f>'F-7 DTS Costs'!R29</f>
        <v>205.66825876999997</v>
      </c>
      <c r="J24" s="147">
        <v>0</v>
      </c>
      <c r="K24" s="147">
        <f>SUM(I24:J24)</f>
        <v>205.66825876999997</v>
      </c>
      <c r="L24" s="145"/>
      <c r="M24" s="146"/>
      <c r="N24" s="148">
        <f>'F-12 Determinants'!F18</f>
        <v>59687.309716087802</v>
      </c>
      <c r="O24" s="155" t="str">
        <f>'F-12 Determinants'!G18</f>
        <v>GWh</v>
      </c>
      <c r="P24" s="145"/>
      <c r="Q24" s="146"/>
      <c r="R24" s="170">
        <f>ROUND(I24*1000/(N24*'F-12 Determinants'!$F20),4)</f>
        <v>6.2799999999999995E-2</v>
      </c>
      <c r="S24" s="170">
        <f>ROUND(J24*1000/('F-12 Determinants'!$F18*'F-12 Determinants'!$F20),4)</f>
        <v>0</v>
      </c>
      <c r="T24" s="170">
        <f>ROUND(K24*1000/('F-12 Determinants'!F18*'F-12 Determinants'!F20),4)</f>
        <v>6.2799999999999995E-2</v>
      </c>
      <c r="U24" s="171" t="s">
        <v>140</v>
      </c>
    </row>
    <row r="25" spans="1:25" s="9" customFormat="1" ht="19" customHeight="1">
      <c r="A25" s="8">
        <f t="shared" si="2"/>
        <v>14</v>
      </c>
      <c r="C25" s="12" t="s">
        <v>411</v>
      </c>
      <c r="E25" s="145"/>
      <c r="F25" s="443"/>
      <c r="G25" s="535"/>
      <c r="H25" s="146"/>
      <c r="I25" s="147"/>
      <c r="J25" s="147"/>
      <c r="K25" s="147"/>
      <c r="L25" s="145"/>
      <c r="M25" s="146"/>
      <c r="N25" s="148"/>
      <c r="O25" s="155"/>
      <c r="P25" s="145"/>
      <c r="Q25" s="146"/>
      <c r="R25" s="440"/>
      <c r="S25" s="440"/>
      <c r="T25" s="440"/>
      <c r="U25" s="171"/>
    </row>
    <row r="26" spans="1:25" s="9" customFormat="1" ht="19" customHeight="1">
      <c r="A26" s="8">
        <f t="shared" si="2"/>
        <v>15</v>
      </c>
      <c r="C26" s="9" t="s">
        <v>112</v>
      </c>
      <c r="E26" s="145"/>
      <c r="F26" s="443" t="s">
        <v>99</v>
      </c>
      <c r="G26" s="535"/>
      <c r="H26" s="146"/>
      <c r="I26" s="147">
        <f>'F-7 DTS Costs'!R30</f>
        <v>0.26980104999999999</v>
      </c>
      <c r="J26" s="147">
        <v>0</v>
      </c>
      <c r="K26" s="147">
        <f>SUM(I26:J26)</f>
        <v>0.26980104999999999</v>
      </c>
      <c r="L26" s="145"/>
      <c r="M26" s="146"/>
      <c r="N26" s="148">
        <f>'F-12 Determinants'!F18</f>
        <v>59687.309716087802</v>
      </c>
      <c r="O26" s="155" t="str">
        <f>'F-12 Determinants'!G18</f>
        <v>GWh</v>
      </c>
      <c r="P26" s="145"/>
      <c r="Q26" s="146"/>
      <c r="R26" s="563">
        <f>ROUND(I26*1000/$N26,3)</f>
        <v>5.0000000000000001E-3</v>
      </c>
      <c r="S26" s="449">
        <f>ROUND(J26*1000/$N26,2)</f>
        <v>0</v>
      </c>
      <c r="T26" s="563">
        <f>ROUND(K26*1000/N26,3)</f>
        <v>5.0000000000000001E-3</v>
      </c>
      <c r="U26" s="136" t="s">
        <v>62</v>
      </c>
    </row>
    <row r="27" spans="1:25" s="24" customFormat="1" ht="19" customHeight="1">
      <c r="A27" s="8">
        <f t="shared" si="2"/>
        <v>16</v>
      </c>
      <c r="C27" s="25" t="s">
        <v>115</v>
      </c>
      <c r="D27" s="25"/>
      <c r="E27" s="463"/>
      <c r="F27" s="457"/>
      <c r="G27" s="463"/>
      <c r="H27" s="464"/>
      <c r="I27" s="139"/>
      <c r="J27" s="139"/>
      <c r="K27" s="139"/>
      <c r="L27" s="463"/>
      <c r="M27" s="464"/>
      <c r="N27" s="39"/>
      <c r="O27" s="154"/>
      <c r="P27" s="463"/>
      <c r="Q27" s="464"/>
      <c r="R27" s="134"/>
      <c r="S27" s="449"/>
      <c r="T27" s="449"/>
      <c r="U27" s="137"/>
    </row>
    <row r="28" spans="1:25" s="35" customFormat="1" ht="19" customHeight="1">
      <c r="A28" s="8">
        <f t="shared" si="2"/>
        <v>17</v>
      </c>
      <c r="C28" s="9" t="s">
        <v>111</v>
      </c>
      <c r="E28" s="140"/>
      <c r="F28" s="443" t="s">
        <v>462</v>
      </c>
      <c r="G28" s="140"/>
      <c r="H28" s="141"/>
      <c r="I28" s="142">
        <f>'F-7 DTS Costs'!O31</f>
        <v>3.2913457400000001</v>
      </c>
      <c r="J28" s="142">
        <v>0</v>
      </c>
      <c r="K28" s="142">
        <f>SUM(I28:J28)</f>
        <v>3.2913457400000001</v>
      </c>
      <c r="L28" s="140"/>
      <c r="M28" s="141"/>
      <c r="N28" s="143">
        <f>'F-12 Determinants'!F18</f>
        <v>59687.309716087802</v>
      </c>
      <c r="O28" s="144" t="str">
        <f>'F-12 Determinants'!G18</f>
        <v>GWh</v>
      </c>
      <c r="P28" s="140"/>
      <c r="Q28" s="141"/>
      <c r="R28" s="449">
        <f>ROUND(I28*1000/$N28,2)</f>
        <v>0.06</v>
      </c>
      <c r="S28" s="449">
        <f>ROUND(J28*1000/$N28,2)</f>
        <v>0</v>
      </c>
      <c r="T28" s="449">
        <f>ROUND(K28*1000/N28,2)</f>
        <v>0.06</v>
      </c>
      <c r="U28" s="136" t="s">
        <v>62</v>
      </c>
    </row>
    <row r="29" spans="1:25" s="24" customFormat="1" ht="19" customHeight="1">
      <c r="A29" s="7">
        <f t="shared" si="2"/>
        <v>18</v>
      </c>
      <c r="C29" s="25" t="s">
        <v>47</v>
      </c>
      <c r="D29" s="25"/>
      <c r="E29" s="463"/>
      <c r="F29" s="75"/>
      <c r="G29" s="463"/>
      <c r="H29" s="464"/>
      <c r="I29" s="80"/>
      <c r="J29" s="80"/>
      <c r="K29" s="80"/>
      <c r="L29" s="463"/>
      <c r="M29" s="464"/>
      <c r="N29" s="39"/>
      <c r="O29" s="154"/>
      <c r="P29" s="463"/>
      <c r="Q29" s="464"/>
      <c r="R29" s="448"/>
      <c r="S29" s="448"/>
      <c r="T29" s="448"/>
      <c r="U29" s="137"/>
    </row>
    <row r="30" spans="1:25" s="35" customFormat="1" ht="19" customHeight="1">
      <c r="A30" s="8">
        <f t="shared" si="2"/>
        <v>19</v>
      </c>
      <c r="C30" s="9" t="s">
        <v>150</v>
      </c>
      <c r="E30" s="140"/>
      <c r="F30" s="443" t="s">
        <v>460</v>
      </c>
      <c r="G30" s="140"/>
      <c r="H30" s="141"/>
      <c r="I30" s="142">
        <f>'F-7 DTS Costs'!L35</f>
        <v>3.7262474399999999</v>
      </c>
      <c r="J30" s="142">
        <v>0</v>
      </c>
      <c r="K30" s="142">
        <f>SUM(I30:J30)</f>
        <v>3.7262474399999999</v>
      </c>
      <c r="L30" s="140"/>
      <c r="M30" s="141"/>
      <c r="N30" s="143">
        <f>'F-12 Determinants'!F17</f>
        <v>119359.93085839976</v>
      </c>
      <c r="O30" s="144" t="str">
        <f>'F-12 Determinants'!G13</f>
        <v>MW-months</v>
      </c>
      <c r="P30" s="140"/>
      <c r="Q30" s="141"/>
      <c r="R30" s="449">
        <f>ROUND(I30*1000000/$N30,0)</f>
        <v>31</v>
      </c>
      <c r="S30" s="449">
        <f>ROUND(J30*1000000/$N30,0)</f>
        <v>0</v>
      </c>
      <c r="T30" s="449">
        <f>ROUND(K30*1000000/N30,0)</f>
        <v>31</v>
      </c>
      <c r="U30" s="136" t="s">
        <v>105</v>
      </c>
    </row>
    <row r="31" spans="1:25" s="24" customFormat="1" ht="19.399999999999999" customHeight="1">
      <c r="A31" s="7">
        <f t="shared" si="2"/>
        <v>20</v>
      </c>
      <c r="C31" s="25" t="s">
        <v>116</v>
      </c>
      <c r="D31" s="25"/>
      <c r="E31" s="114"/>
      <c r="F31" s="115"/>
      <c r="G31" s="114"/>
      <c r="H31" s="117"/>
      <c r="I31" s="32">
        <f>SUM(I13:I16,I17:I30)</f>
        <v>2064.2968834740936</v>
      </c>
      <c r="J31" s="32">
        <f>SUM(J13:J16,J17:J30)</f>
        <v>166.8380872483705</v>
      </c>
      <c r="K31" s="32">
        <f>SUM(K13:K16,K17:K30)</f>
        <v>2231.134970722464</v>
      </c>
      <c r="L31" s="28"/>
      <c r="M31" s="117"/>
      <c r="N31" s="106"/>
      <c r="O31" s="156"/>
      <c r="P31" s="114"/>
      <c r="Q31" s="117"/>
      <c r="R31" s="106"/>
      <c r="S31" s="106"/>
      <c r="T31" s="106"/>
      <c r="U31" s="156"/>
      <c r="V31" s="695"/>
      <c r="W31" s="696"/>
    </row>
    <row r="32" spans="1:25" s="24" customFormat="1" ht="12.75" customHeight="1">
      <c r="A32" s="7"/>
      <c r="C32" s="25"/>
      <c r="D32" s="25"/>
      <c r="E32" s="114"/>
      <c r="F32" s="115"/>
      <c r="G32" s="114"/>
      <c r="H32" s="119"/>
      <c r="I32" s="106"/>
      <c r="J32" s="106"/>
      <c r="K32" s="106"/>
      <c r="L32" s="28"/>
      <c r="M32" s="119"/>
      <c r="N32" s="106"/>
      <c r="O32" s="106"/>
      <c r="P32" s="28"/>
      <c r="Q32" s="119"/>
      <c r="R32" s="106"/>
      <c r="S32" s="106"/>
      <c r="T32" s="106"/>
      <c r="U32" s="106"/>
    </row>
    <row r="33" spans="1:21">
      <c r="A33" s="55" t="s">
        <v>52</v>
      </c>
      <c r="C33" s="165" t="s">
        <v>132</v>
      </c>
      <c r="D33" t="s">
        <v>368</v>
      </c>
      <c r="F33" s="56"/>
      <c r="I33" s="56"/>
      <c r="J33" s="56"/>
      <c r="K33" s="56"/>
      <c r="N33" s="56"/>
      <c r="O33" s="56"/>
      <c r="U33" s="56"/>
    </row>
    <row r="34" spans="1:21">
      <c r="D34" t="s">
        <v>331</v>
      </c>
    </row>
    <row r="35" spans="1:21">
      <c r="C35" s="165" t="s">
        <v>131</v>
      </c>
      <c r="D35" t="str">
        <f>"The 2019 actual pool price is "&amp;DOLLAR('F-12 Determinants'!$J$20,2)&amp;"/MWh"</f>
        <v>The 2019 actual pool price is $54.88/MWh</v>
      </c>
    </row>
    <row r="36" spans="1:21">
      <c r="C36" s="460"/>
    </row>
  </sheetData>
  <phoneticPr fontId="14"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6" PreviousValue="false"/>
</file>

<file path=customXml/item4.xml><?xml version="1.0" encoding="utf-8"?>
<ct:contentTypeSchema xmlns:ct="http://schemas.microsoft.com/office/2006/metadata/contentType" xmlns:ma="http://schemas.microsoft.com/office/2006/metadata/properties/metaAttributes" ct:_="" ma:_="" ma:contentTypeName="Tariff Document" ma:contentTypeID="0x010100BC84ACA119491D43B8AEA0C41A758E3B0B0600B71823FBBAAF324C862125ECD85A823C" ma:contentTypeVersion="59" ma:contentTypeDescription="" ma:contentTypeScope="" ma:versionID="0666845f98739f745cbf642c9ce73a4c">
  <xsd:schema xmlns:xsd="http://www.w3.org/2001/XMLSchema" xmlns:xs="http://www.w3.org/2001/XMLSchema" xmlns:p="http://schemas.microsoft.com/office/2006/metadata/properties" xmlns:ns2="bfc2574c-8110-4e43-9784-1ee86de75c6c" xmlns:ns4="650fffc6-a86a-4844-afad-966e4497fd3d" xmlns:ns5="3874a12c-cb96-46c0-a01b-e4d7e8d40966" targetNamespace="http://schemas.microsoft.com/office/2006/metadata/properties" ma:root="true" ma:fieldsID="e52f02ee89e1a906b315266b2f828704" ns2:_="" ns4:_="" ns5:_="">
    <xsd:import namespace="bfc2574c-8110-4e43-9784-1ee86de75c6c"/>
    <xsd:import namespace="650fffc6-a86a-4844-afad-966e4497fd3d"/>
    <xsd:import namespace="3874a12c-cb96-46c0-a01b-e4d7e8d40966"/>
    <xsd:element name="properties">
      <xsd:complexType>
        <xsd:sequence>
          <xsd:element name="documentManagement">
            <xsd:complexType>
              <xsd:all>
                <xsd:element ref="ns2:Activity_x0020_Complete_x0020_Date" minOccurs="0"/>
                <xsd:element ref="ns2:LARA_x0020_Status" minOccurs="0"/>
                <xsd:element ref="ns2:Filing_x0020_Date"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4:CWRMItemUniqueId" minOccurs="0"/>
                <xsd:element ref="ns2:o74c417c636446b2936ee46a3b1dd71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5" nillable="true" ma:displayName="LARA Status" ma:default="Active" ma:format="Dropdown" ma:internalName="LARA_x0020_Status">
      <xsd:simpleType>
        <xsd:restriction base="dms:Choice">
          <xsd:enumeration value="Active"/>
          <xsd:enumeration value="Inactive"/>
        </xsd:restriction>
      </xsd:simpleType>
    </xsd:element>
    <xsd:element name="Filing_x0020_Date" ma:index="6" nillable="true" ma:displayName="AUC Registration Date" ma:format="DateOnly" ma:internalName="Filing_x0020_Date">
      <xsd:simpleType>
        <xsd:restriction base="dms:DateTime"/>
      </xsd:simpleType>
    </xsd:element>
    <xsd:element name="TaxCatchAll" ma:index="10"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8"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74c417c636446b2936ee46a3b1dd71d" ma:index="26"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RecordState" ma:index="7"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8"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9"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3"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xsd:simpleType>
        <xsd:restriction base="dms:Note"/>
      </xsd:simpleType>
    </xsd:element>
    <xsd:element name="CWRMItemUniqueId" ma:index="25" nillable="true" ma:displayName="Content ID" ma:description="A universally unique identifier assigned to the item." ma:hidden="true" ma:internalName="CWRMItemUniqu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CWRMItemRecordState xmlns="650fffc6-a86a-4844-afad-966e4497fd3d" xsi:nil="true"/>
    <_dlc_DocId xmlns="bfc2574c-8110-4e43-9784-1ee86de75c6c">0000011IU7</_dlc_DocId>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TaxCatchAll xmlns="bfc2574c-8110-4e43-9784-1ee86de75c6c">
      <Value>1329</Value>
      <Value>1321</Value>
      <Value>1271</Value>
    </TaxCatchAll>
    <CWRMItemRecordVital xmlns="650fffc6-a86a-4844-afad-966e4497fd3d">false</CWRMItemRecordVital>
    <Filing_x0020_Date xmlns="bfc2574c-8110-4e43-9784-1ee86de75c6c" xsi:nil="true"/>
    <CWRMItemRecordStatus xmlns="650fffc6-a86a-4844-afad-966e4497fd3d"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c658717d-8430-44ce-8a58-d7dd4c19296a</TermId>
        </TermInfo>
      </Terms>
    </o74c417c636446b2936ee46a3b1dd71d>
    <Activity_x0020_Complete_x0020_Date xmlns="bfc2574c-8110-4e43-9784-1ee86de75c6c" xsi:nil="true"/>
    <_dlc_DocIdUrl xmlns="bfc2574c-8110-4e43-9784-1ee86de75c6c">
      <Url>https://share.aeso.ca/sites/records-law/LARA/_layouts/15/DocIdRedir.aspx?ID=0000011IU7</Url>
      <Description>0000011IU7</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CWRMItemUniqueId xmlns="650fffc6-a86a-4844-afad-966e4497fd3d">0000011IU7</CWRMItemUniqueId>
    <LARA_x0020_Status xmlns="bfc2574c-8110-4e43-9784-1ee86de75c6c">Active</LARA_x0020_Status>
    <CWRMItemRecordDeclaredDate xmlns="650fffc6-a86a-4844-afad-966e4497fd3d" xsi:nil="true"/>
  </documentManagement>
</p:properties>
</file>

<file path=customXml/itemProps1.xml><?xml version="1.0" encoding="utf-8"?>
<ds:datastoreItem xmlns:ds="http://schemas.openxmlformats.org/officeDocument/2006/customXml" ds:itemID="{31F5BBE4-BA75-4D9B-B7BE-C07237E3CCF3}"/>
</file>

<file path=customXml/itemProps2.xml><?xml version="1.0" encoding="utf-8"?>
<ds:datastoreItem xmlns:ds="http://schemas.openxmlformats.org/officeDocument/2006/customXml" ds:itemID="{DAC4097C-F3AF-442A-B3A7-3C00E509AFFA}"/>
</file>

<file path=customXml/itemProps3.xml><?xml version="1.0" encoding="utf-8"?>
<ds:datastoreItem xmlns:ds="http://schemas.openxmlformats.org/officeDocument/2006/customXml" ds:itemID="{DBF0DCA4-F4E3-4506-80EF-9C6D5672A10E}"/>
</file>

<file path=customXml/itemProps4.xml><?xml version="1.0" encoding="utf-8"?>
<ds:datastoreItem xmlns:ds="http://schemas.openxmlformats.org/officeDocument/2006/customXml" ds:itemID="{DC2175C9-CFB0-43F0-8CB3-1B03ED9089D7}"/>
</file>

<file path=customXml/itemProps5.xml><?xml version="1.0" encoding="utf-8"?>
<ds:datastoreItem xmlns:ds="http://schemas.openxmlformats.org/officeDocument/2006/customXml" ds:itemID="{206CC5D0-4A2C-41A5-82C0-4101906F8E09}"/>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2</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F-1 Rev Req</vt:lpstr>
      <vt:lpstr>F-2 TFO Rev Req</vt:lpstr>
      <vt:lpstr>F-3 Allocation</vt:lpstr>
      <vt:lpstr>F-4 Offsets</vt:lpstr>
      <vt:lpstr>F-5 DTS Classification</vt:lpstr>
      <vt:lpstr>F-6 POD Classification</vt:lpstr>
      <vt:lpstr>F-7 DTS Costs</vt:lpstr>
      <vt:lpstr>F-8 DTS Rate</vt:lpstr>
      <vt:lpstr>F-9 STS Classification</vt:lpstr>
      <vt:lpstr>F-10 STS Rate</vt:lpstr>
      <vt:lpstr>F-11 Other Rates</vt:lpstr>
      <vt:lpstr>F-12 Determinants</vt:lpstr>
      <vt:lpstr>F-13 Impact</vt:lpstr>
      <vt:lpstr>F-14 FTS Rate</vt:lpstr>
      <vt:lpstr>F-15 FTS Determinants</vt:lpstr>
      <vt:lpstr>F-16 Bill Estimator</vt:lpstr>
      <vt:lpstr>Contents!Print_Area</vt:lpstr>
      <vt:lpstr>'F-1 Rev Req'!Print_Area</vt:lpstr>
      <vt:lpstr>'F-10 STS Rate'!Print_Area</vt:lpstr>
      <vt:lpstr>'F-11 Other Rates'!Print_Area</vt:lpstr>
      <vt:lpstr>'F-12 Determinants'!Print_Area</vt:lpstr>
      <vt:lpstr>'F-13 Impact'!Print_Area</vt:lpstr>
      <vt:lpstr>'F-14 FTS Rate'!Print_Area</vt:lpstr>
      <vt:lpstr>'F-15 FTS Determinants'!Print_Area</vt:lpstr>
      <vt:lpstr>'F-16 Bill Estimator'!Print_Area</vt:lpstr>
      <vt:lpstr>'F-2 TFO Rev Req'!Print_Area</vt:lpstr>
      <vt:lpstr>'F-3 Allocation'!Print_Area</vt:lpstr>
      <vt:lpstr>'F-4 Offsets'!Print_Area</vt:lpstr>
      <vt:lpstr>'F-5 DTS Classification'!Print_Area</vt:lpstr>
      <vt:lpstr>'F-6 POD Classification'!Print_Area</vt:lpstr>
      <vt:lpstr>'F-7 DTS Costs'!Print_Area</vt:lpstr>
      <vt:lpstr>'F-8 DTS Rate'!Print_Area</vt:lpstr>
      <vt:lpstr>'F-9 STS Classification'!Print_Area</vt:lpstr>
      <vt:lpstr>'F-1 Rev Req'!Print_Titles</vt:lpstr>
      <vt:lpstr>'F-16 Bill Estimator'!Print_Titles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2021-10-15T16:16:45Z</dcterms:created>
  <dcterms:modified xsi:type="dcterms:W3CDTF">2021-10-15T16:16:55Z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Type">
    <vt:lpwstr>Application</vt:lpwstr>
  </property>
  <property fmtid="{D5CDD505-2E9C-101B-9397-08002B2CF9AE}" pid="3" name="DocumentDescription">
    <vt:lpwstr>Appendix B - 2021 Rate Calculations</vt:lpwstr>
  </property>
  <property fmtid="{D5CDD505-2E9C-101B-9397-08002B2CF9AE}" pid="4" name="ProceedingStatus">
    <vt:lpwstr>1341;#Active|898b100d-994d-40ab-964e-65d12fdd6881</vt:lpwstr>
  </property>
  <property fmtid="{D5CDD505-2E9C-101B-9397-08002B2CF9AE}" pid="5" name="DocumentTypeTemp">
    <vt:lpwstr>Appendix</vt:lpwstr>
  </property>
  <property fmtid="{D5CDD505-2E9C-101B-9397-08002B2CF9AE}" pid="6" name="ContentTypeId">
    <vt:lpwstr>0x010100BC84ACA119491D43B8AEA0C41A758E3B0B0600B71823FBBAAF324C862125ECD85A823C</vt:lpwstr>
  </property>
  <property fmtid="{D5CDD505-2E9C-101B-9397-08002B2CF9AE}" pid="7" name="CommentsAdded">
    <vt:bool>false</vt:bool>
  </property>
  <property fmtid="{D5CDD505-2E9C-101B-9397-08002B2CF9AE}" pid="8" name="SubmittingPCE">
    <vt:lpwstr>Independent System Operator</vt:lpwstr>
  </property>
  <property fmtid="{D5CDD505-2E9C-101B-9397-08002B2CF9AE}" pid="9" name="Name">
    <vt:lpwstr>26054_X0004.01_Appendix B - 2021 Rate Calculations_blackline_000013.xlsx</vt:lpwstr>
  </property>
  <property fmtid="{D5CDD505-2E9C-101B-9397-08002B2CF9AE}" pid="10" name="Confidentiality Classification">
    <vt:lpwstr>1271;#AESO Internal|fe2129cc-e616-4c1e-9a39-b6921e014562</vt:lpwstr>
  </property>
  <property fmtid="{D5CDD505-2E9C-101B-9397-08002B2CF9AE}" pid="11" name="LibraryName">
    <vt:lpwstr>Public</vt:lpwstr>
  </property>
  <property fmtid="{D5CDD505-2E9C-101B-9397-08002B2CF9AE}" pid="12" name="Proceeding Sub-Type">
    <vt:lpwstr/>
  </property>
  <property fmtid="{D5CDD505-2E9C-101B-9397-08002B2CF9AE}" pid="13" name="AucDocumentId">
    <vt:r8>13</vt:r8>
  </property>
  <property fmtid="{D5CDD505-2E9C-101B-9397-08002B2CF9AE}" pid="14" name="Related Proceeding(s)">
    <vt:lpwstr/>
  </property>
  <property fmtid="{D5CDD505-2E9C-101B-9397-08002B2CF9AE}" pid="15" name="AUCFileName">
    <vt:lpwstr>26054_X0004.01_Appendix B - 2021 Rate Calculations_blackline_000013.xlsx</vt:lpwstr>
  </property>
  <property fmtid="{D5CDD505-2E9C-101B-9397-08002B2CF9AE}" pid="16" name="AUC Number">
    <vt:lpwstr>1913;#26054|7be2990e-2639-417e-bc71-cbe3c65e57fb</vt:lpwstr>
  </property>
  <property fmtid="{D5CDD505-2E9C-101B-9397-08002B2CF9AE}" pid="17" name="ExhibitNumberTemp">
    <vt:lpwstr>26054-X0004.01</vt:lpwstr>
  </property>
  <property fmtid="{D5CDD505-2E9C-101B-9397-08002B2CF9AE}" pid="18" name="ProceedingID">
    <vt:r8>26054</vt:r8>
  </property>
  <property fmtid="{D5CDD505-2E9C-101B-9397-08002B2CF9AE}" pid="19" name="_dlc_DocIdItemGuid">
    <vt:lpwstr>356ce229-4605-42af-b80f-c2bdbb88da12</vt:lpwstr>
  </property>
  <property fmtid="{D5CDD505-2E9C-101B-9397-08002B2CF9AE}" pid="20" name="RevisionStatus">
    <vt:lpwstr>Latest</vt:lpwstr>
  </property>
  <property fmtid="{D5CDD505-2E9C-101B-9397-08002B2CF9AE}" pid="21" name="RevisionType">
    <vt:lpwstr>Blackline</vt:lpwstr>
  </property>
  <property fmtid="{D5CDD505-2E9C-101B-9397-08002B2CF9AE}" pid="22" name="CWRMItemRecordClassification">
    <vt:lpwstr>1321;#REG-00 - Tariff Development and Application Administration|a0f21eea-a95c-4984-bbc5-f702b4b89e29</vt:lpwstr>
  </property>
  <property fmtid="{D5CDD505-2E9C-101B-9397-08002B2CF9AE}" pid="23" name="Applications">
    <vt:lpwstr>&lt;a href="http&amp;#58;//efiling.auc.ab.ca/Proceeding23065/sitepages/ManageApplications.aspx?AppNumber=23065-A001"&gt;23065-A001&lt;/a&gt;</vt:lpwstr>
  </property>
  <property fmtid="{D5CDD505-2E9C-101B-9397-08002B2CF9AE}" pid="24" name="OriginalFilename">
    <vt:lpwstr>Appendix B - 2021 Rate Calculations_blackline.xlsx</vt:lpwstr>
  </property>
  <property fmtid="{D5CDD505-2E9C-101B-9397-08002B2CF9AE}" pid="25" name="LARA Category0">
    <vt:lpwstr>1329;#Applications|c658717d-8430-44ce-8a58-d7dd4c19296a</vt:lpwstr>
  </property>
  <property fmtid="{D5CDD505-2E9C-101B-9397-08002B2CF9AE}" pid="26" name="DocumentCategory">
    <vt:lpwstr>Application and support</vt:lpwstr>
  </property>
  <property fmtid="{D5CDD505-2E9C-101B-9397-08002B2CF9AE}" pid="27" name="LARA File Type">
    <vt:lpwstr/>
  </property>
  <property fmtid="{D5CDD505-2E9C-101B-9397-08002B2CF9AE}" pid="28" name="Proceeding Type">
    <vt:lpwstr>1566;#Tariff - AESO|71517199-512a-4696-b726-f34be08e058c</vt:lpwstr>
  </property>
  <property fmtid="{D5CDD505-2E9C-101B-9397-08002B2CF9AE}" pid="29" name="DocumentStatus">
    <vt:lpwstr>Active</vt:lpwstr>
  </property>
  <property fmtid="{D5CDD505-2E9C-101B-9397-08002B2CF9AE}" pid="30" name="ApplicationsTemp">
    <vt:lpwstr>26054-A001</vt:lpwstr>
  </property>
  <property fmtid="{D5CDD505-2E9C-101B-9397-08002B2CF9AE}" pid="31" name="OnBehalfOf">
    <vt:lpwstr>Independent System Operator</vt:lpwstr>
  </property>
</Properties>
</file>