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2F828593-8FCF-4CFC-BEB8-C2D71493043A}" xr6:coauthVersionLast="47" xr6:coauthVersionMax="47" xr10:uidLastSave="{00000000-0000-0000-0000-000000000000}"/>
  <bookViews>
    <workbookView xWindow="-52920" yWindow="10275" windowWidth="24240" windowHeight="13020" tabRatio="777" xr2:uid="{00000000-000D-0000-FFFF-FFFF00000000}"/>
  </bookViews>
  <sheets>
    <sheet name="A - Inputs and Summary" sheetId="1" r:id="rId1"/>
    <sheet name="B - Rate DTS and Riders" sheetId="32" r:id="rId2"/>
    <sheet name="C - Rate PSC and Rider" sheetId="41" r:id="rId3"/>
    <sheet name="D - Rate STS and Riders" sheetId="33" r:id="rId4"/>
    <sheet name="Lookup" sheetId="43" state="hidden" r:id="rId5"/>
  </sheets>
  <definedNames>
    <definedName name="AccountID">'A - Inputs and Summary'!$D$15</definedName>
    <definedName name="AESOTariff">Lookup!$C$1:$Z$1</definedName>
    <definedName name="EstimateType">'A - Inputs and Summary'!$I$19</definedName>
    <definedName name="OtherParticipant">'A - Inputs and Summary'!$I$20</definedName>
    <definedName name="ParticipantName">'A - Inputs and Summary'!$D$14</definedName>
    <definedName name="PreparationDate">'A - Inputs and Summary'!$D$16</definedName>
    <definedName name="PrimaryServiceCredit">'A - Inputs and Summary'!$I$21</definedName>
    <definedName name="_xlnm.Print_Area" localSheetId="0">'A - Inputs and Summary'!$A$1:$L$66</definedName>
    <definedName name="_xlnm.Print_Area" localSheetId="1">'B - Rate DTS and Riders'!$A$1:$L$63</definedName>
    <definedName name="_xlnm.Print_Area" localSheetId="2">'C - Rate PSC and Rider'!$A$1:$L$40</definedName>
    <definedName name="_xlnm.Print_Area" localSheetId="3">'D - Rate STS and Riders'!$B$1:$M$44</definedName>
    <definedName name="ReceivePSC">'A - Inputs and Summary'!$H$33</definedName>
    <definedName name="RegulatedGeneratingUnit">'A - Inputs and Summary'!$I$22</definedName>
    <definedName name="RiderC">'A - Inputs and Summary'!$I$23</definedName>
    <definedName name="RiderE">'A - Inputs and Summary'!$I$24</definedName>
    <definedName name="RiderF">'A - Inputs and Summary'!$I$25</definedName>
    <definedName name="RiderJ">'A - Inputs and Summary'!$I$26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3" l="1"/>
  <c r="B15" i="41"/>
  <c r="B8" i="32"/>
  <c r="I47" i="1" l="1"/>
  <c r="G59" i="32" s="1"/>
  <c r="I22" i="32"/>
  <c r="I47" i="32" s="1"/>
  <c r="I41" i="1"/>
  <c r="I21" i="32" s="1"/>
  <c r="F40" i="32" s="1"/>
  <c r="I40" i="1"/>
  <c r="J40" i="1" s="1"/>
  <c r="J24" i="33" s="1"/>
  <c r="K16" i="1"/>
  <c r="K19" i="41" s="1"/>
  <c r="K15" i="1"/>
  <c r="K11" i="32" s="1"/>
  <c r="G35" i="41"/>
  <c r="J23" i="41"/>
  <c r="J30" i="41" s="1"/>
  <c r="C23" i="41"/>
  <c r="C22" i="41"/>
  <c r="D19" i="41"/>
  <c r="D18" i="41"/>
  <c r="K17" i="41"/>
  <c r="G29" i="41" s="1"/>
  <c r="D17" i="41"/>
  <c r="K31" i="1"/>
  <c r="J31" i="1"/>
  <c r="I31" i="1"/>
  <c r="I15" i="32" s="1"/>
  <c r="J38" i="1"/>
  <c r="J39" i="1" s="1"/>
  <c r="J23" i="33" s="1"/>
  <c r="J40" i="33" s="1"/>
  <c r="H40" i="33"/>
  <c r="I16" i="32"/>
  <c r="I46" i="32" s="1"/>
  <c r="G37" i="33"/>
  <c r="J25" i="33"/>
  <c r="G31" i="33" s="1"/>
  <c r="I39" i="1"/>
  <c r="I19" i="32" s="1"/>
  <c r="I59" i="32" s="1"/>
  <c r="I36" i="1"/>
  <c r="I23" i="41" s="1"/>
  <c r="J26" i="33"/>
  <c r="J33" i="33" s="1"/>
  <c r="K23" i="33"/>
  <c r="K31" i="33" s="1"/>
  <c r="K26" i="33"/>
  <c r="K33" i="33" s="1"/>
  <c r="I34" i="1"/>
  <c r="I17" i="32" s="1"/>
  <c r="I28" i="32" s="1"/>
  <c r="K24" i="33"/>
  <c r="D26" i="33"/>
  <c r="D25" i="33"/>
  <c r="E18" i="33"/>
  <c r="L18" i="33"/>
  <c r="H33" i="33" s="1"/>
  <c r="E19" i="33"/>
  <c r="E20" i="33"/>
  <c r="D23" i="33"/>
  <c r="D24" i="33"/>
  <c r="K40" i="33"/>
  <c r="C21" i="32"/>
  <c r="C22" i="32"/>
  <c r="C20" i="32"/>
  <c r="C15" i="32"/>
  <c r="C19" i="32"/>
  <c r="C18" i="32"/>
  <c r="C16" i="32"/>
  <c r="J59" i="32"/>
  <c r="J22" i="32"/>
  <c r="J47" i="32" s="1"/>
  <c r="J16" i="32"/>
  <c r="J46" i="32" s="1"/>
  <c r="J19" i="32"/>
  <c r="J44" i="32" s="1"/>
  <c r="J18" i="32"/>
  <c r="J38" i="32" s="1"/>
  <c r="J17" i="32"/>
  <c r="J28" i="32" s="1"/>
  <c r="J20" i="32"/>
  <c r="K10" i="32"/>
  <c r="G37" i="32" s="1"/>
  <c r="D11" i="32"/>
  <c r="D12" i="32"/>
  <c r="D10" i="32"/>
  <c r="L40" i="33" l="1"/>
  <c r="J55" i="1" s="1"/>
  <c r="J63" i="1" s="1"/>
  <c r="L33" i="33"/>
  <c r="K59" i="32"/>
  <c r="H54" i="1" s="1"/>
  <c r="H62" i="1" s="1"/>
  <c r="H31" i="33"/>
  <c r="H37" i="33"/>
  <c r="K37" i="33"/>
  <c r="J31" i="33"/>
  <c r="J37" i="33"/>
  <c r="G31" i="32"/>
  <c r="J36" i="32"/>
  <c r="I22" i="41"/>
  <c r="I31" i="41" s="1"/>
  <c r="J42" i="32"/>
  <c r="J35" i="32"/>
  <c r="I18" i="32"/>
  <c r="I36" i="32" s="1"/>
  <c r="J31" i="32"/>
  <c r="J37" i="32"/>
  <c r="I34" i="32"/>
  <c r="J40" i="32"/>
  <c r="J29" i="32"/>
  <c r="J32" i="32"/>
  <c r="G47" i="32"/>
  <c r="K47" i="32" s="1"/>
  <c r="G28" i="41"/>
  <c r="I40" i="32"/>
  <c r="I29" i="32"/>
  <c r="I42" i="32"/>
  <c r="I32" i="32"/>
  <c r="I44" i="32"/>
  <c r="G35" i="32"/>
  <c r="K18" i="41"/>
  <c r="J31" i="41"/>
  <c r="G28" i="32"/>
  <c r="K28" i="32" s="1"/>
  <c r="J28" i="41"/>
  <c r="G38" i="32"/>
  <c r="G32" i="32"/>
  <c r="G29" i="32"/>
  <c r="J29" i="41"/>
  <c r="G42" i="32"/>
  <c r="G46" i="32"/>
  <c r="K46" i="32" s="1"/>
  <c r="I20" i="32"/>
  <c r="G40" i="32" s="1"/>
  <c r="G44" i="32"/>
  <c r="G36" i="32"/>
  <c r="G31" i="41"/>
  <c r="G30" i="41"/>
  <c r="G34" i="32"/>
  <c r="L19" i="33"/>
  <c r="L20" i="33"/>
  <c r="G27" i="41"/>
  <c r="K12" i="32"/>
  <c r="K55" i="1" l="1"/>
  <c r="K63" i="1" s="1"/>
  <c r="K54" i="1"/>
  <c r="K62" i="1" s="1"/>
  <c r="L31" i="33"/>
  <c r="L34" i="33" s="1"/>
  <c r="J51" i="1" s="1"/>
  <c r="J59" i="1" s="1"/>
  <c r="L37" i="33"/>
  <c r="J53" i="1" s="1"/>
  <c r="J61" i="1" s="1"/>
  <c r="I55" i="32"/>
  <c r="K55" i="32" s="1"/>
  <c r="K31" i="41"/>
  <c r="I30" i="41"/>
  <c r="K30" i="41" s="1"/>
  <c r="I28" i="41"/>
  <c r="K28" i="41" s="1"/>
  <c r="I29" i="41"/>
  <c r="K29" i="41" s="1"/>
  <c r="I27" i="41"/>
  <c r="K27" i="41" s="1"/>
  <c r="K34" i="32"/>
  <c r="K44" i="32"/>
  <c r="I54" i="32" s="1"/>
  <c r="K54" i="32" s="1"/>
  <c r="I37" i="32"/>
  <c r="K37" i="32" s="1"/>
  <c r="I35" i="32"/>
  <c r="K35" i="32" s="1"/>
  <c r="I38" i="32"/>
  <c r="K38" i="32" s="1"/>
  <c r="K32" i="32"/>
  <c r="I31" i="32"/>
  <c r="K31" i="32" s="1"/>
  <c r="K36" i="32"/>
  <c r="K40" i="32"/>
  <c r="I52" i="32" s="1"/>
  <c r="K52" i="32" s="1"/>
  <c r="K42" i="32"/>
  <c r="I53" i="32" s="1"/>
  <c r="K53" i="32" s="1"/>
  <c r="K29" i="32"/>
  <c r="K53" i="1" l="1"/>
  <c r="K61" i="1" s="1"/>
  <c r="L42" i="33"/>
  <c r="J56" i="1"/>
  <c r="J64" i="1" s="1"/>
  <c r="I35" i="41"/>
  <c r="K35" i="41" s="1"/>
  <c r="K36" i="41" s="1"/>
  <c r="I52" i="1" s="1"/>
  <c r="I60" i="1" s="1"/>
  <c r="I51" i="32"/>
  <c r="K51" i="32" s="1"/>
  <c r="K56" i="32" s="1"/>
  <c r="H52" i="1" s="1"/>
  <c r="H60" i="1" s="1"/>
  <c r="K32" i="41"/>
  <c r="K48" i="32"/>
  <c r="K61" i="32" l="1"/>
  <c r="K52" i="1"/>
  <c r="K60" i="1" s="1"/>
  <c r="I51" i="1"/>
  <c r="K38" i="41"/>
  <c r="H51" i="1"/>
  <c r="H56" i="1" s="1"/>
  <c r="I56" i="1" l="1"/>
  <c r="I59" i="1"/>
  <c r="I64" i="1" s="1"/>
  <c r="K51" i="1"/>
  <c r="K56" i="1" s="1"/>
  <c r="H59" i="1"/>
  <c r="K59" i="1" l="1"/>
  <c r="K64" i="1" s="1"/>
  <c r="H64" i="1"/>
</calcChain>
</file>

<file path=xl/sharedStrings.xml><?xml version="1.0" encoding="utf-8"?>
<sst xmlns="http://schemas.openxmlformats.org/spreadsheetml/2006/main" count="431" uniqueCount="236">
  <si>
    <t>Tariff:</t>
  </si>
  <si>
    <t>Effective:</t>
  </si>
  <si>
    <t>To:</t>
  </si>
  <si>
    <t>Other</t>
  </si>
  <si>
    <t>MW</t>
  </si>
  <si>
    <t>Date:</t>
  </si>
  <si>
    <t>Reference</t>
  </si>
  <si>
    <t>Amount</t>
  </si>
  <si>
    <t>NA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</si>
  <si>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</si>
  <si>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</si>
  <si>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</si>
  <si>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</si>
  <si>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</si>
  <si>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</si>
  <si>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</si>
  <si>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</si>
  <si>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</si>
  <si>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</si>
  <si>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</si>
  <si>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Date Prepared</t>
  </si>
  <si>
    <t>Account:</t>
  </si>
  <si>
    <t>Account ID</t>
  </si>
  <si>
    <t>Units</t>
  </si>
  <si>
    <t>%</t>
  </si>
  <si>
    <t>hours</t>
  </si>
  <si>
    <t>MWh</t>
  </si>
  <si>
    <t>$/MWh</t>
  </si>
  <si>
    <t>Bulk System Charge</t>
  </si>
  <si>
    <t>Coincident metered demand</t>
  </si>
  <si>
    <t>Metered energy</t>
  </si>
  <si>
    <t>Billing capacity</t>
  </si>
  <si>
    <t>Point of Delivery Charge</t>
  </si>
  <si>
    <t>Substation fraction</t>
  </si>
  <si>
    <t>All remaining MW of billing capacity</t>
  </si>
  <si>
    <t>Connection Charge</t>
  </si>
  <si>
    <t>Operating Reserve Charge Estimate</t>
  </si>
  <si>
    <t>5</t>
  </si>
  <si>
    <t>Voltage Control Charge</t>
  </si>
  <si>
    <t>Other System Support Services Charge</t>
  </si>
  <si>
    <t>First (7.5 × SF) MW of billing capacity</t>
  </si>
  <si>
    <t>Next (9.5 × SF) MW of billing capacity</t>
  </si>
  <si>
    <t>Next (23 × SF) MW of billing capacity</t>
  </si>
  <si>
    <t>Substation fraction (SF)</t>
  </si>
  <si>
    <t>Loss factor</t>
  </si>
  <si>
    <t>Charge</t>
  </si>
  <si>
    <t>Volume</t>
  </si>
  <si>
    <t>/MWh</t>
  </si>
  <si>
    <t>/month</t>
  </si>
  <si>
    <t>/MW/month</t>
  </si>
  <si>
    <t>pool price</t>
  </si>
  <si>
    <t>Highest metered demand</t>
  </si>
  <si>
    <t>Apparent power difference</t>
  </si>
  <si>
    <t>/MVA/month</t>
  </si>
  <si>
    <t>MVA</t>
  </si>
  <si>
    <t>2</t>
  </si>
  <si>
    <t>Rider F credit</t>
  </si>
  <si>
    <t>Rate DTS: Demand Transmission Service</t>
  </si>
  <si>
    <t>Rate PSC: Primary Service Credit</t>
  </si>
  <si>
    <t>Rider C: Deferral Account Adjustment Rider</t>
  </si>
  <si>
    <t>Rider F: Balancing Pool Consumer Allocation Rider</t>
  </si>
  <si>
    <t>Total Rate DTS charge</t>
  </si>
  <si>
    <t>Total Rate PSC credit</t>
  </si>
  <si>
    <t>Billing Quantity</t>
  </si>
  <si>
    <t>Rate or Rider Component</t>
  </si>
  <si>
    <t>Pool price</t>
  </si>
  <si>
    <t>DTS:3(2)</t>
  </si>
  <si>
    <t>Include Deferral Account Adjustment Rider C?</t>
  </si>
  <si>
    <t>Include Balancing Pool Consumer Allocation Rider F?</t>
  </si>
  <si>
    <t>Rate DTS</t>
  </si>
  <si>
    <t>Rate STS</t>
  </si>
  <si>
    <t>—</t>
  </si>
  <si>
    <t>Include Losses Calibration Factor Rider E?</t>
  </si>
  <si>
    <t>Choice</t>
  </si>
  <si>
    <t>BILLING DETERMINANTS</t>
  </si>
  <si>
    <t>Participant</t>
  </si>
  <si>
    <t>Regulated generating unit MW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</si>
  <si>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</si>
  <si>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</si>
  <si>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</si>
  <si>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</si>
  <si>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</si>
  <si>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</si>
  <si>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</si>
  <si>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</si>
  <si>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</si>
  <si>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</si>
  <si>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</si>
  <si>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</si>
  <si>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Total</t>
  </si>
  <si>
    <t>— </t>
  </si>
  <si>
    <t>BILL ESTIMATES: MONTHLY</t>
  </si>
  <si>
    <r>
      <t xml:space="preserve">BILL ESTIMATES: ANNUAL (Monthly </t>
    </r>
    <r>
      <rPr>
        <b/>
        <sz val="10"/>
        <rFont val="Arial"/>
        <family val="2"/>
      </rPr>
      <t>×</t>
    </r>
    <r>
      <rPr>
        <b/>
        <sz val="10"/>
        <rFont val="Arial"/>
        <family val="2"/>
      </rPr>
      <t xml:space="preserve"> 12)</t>
    </r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</si>
  <si>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</si>
  <si>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</si>
  <si>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</si>
  <si>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</si>
  <si>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</si>
  <si>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</si>
  <si>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</si>
  <si>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</si>
  <si>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</si>
  <si>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</si>
  <si>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</si>
  <si>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4</t>
  </si>
  <si>
    <t>Is estimate for Rate DTS, Rate STS or both?</t>
  </si>
  <si>
    <t>Does Primary Service Credit apply to service?</t>
  </si>
  <si>
    <t>This Market Participant</t>
  </si>
  <si>
    <t>(1)</t>
  </si>
  <si>
    <t>(y)</t>
  </si>
  <si>
    <t>% of pool price for operating reserve charge</t>
  </si>
  <si>
    <t>DTS:4(2)</t>
  </si>
  <si>
    <t>Rate STS: Supply Transmission Service</t>
  </si>
  <si>
    <t>Losses Charge</t>
  </si>
  <si>
    <t>Regulated Generating Unit Connection Cost</t>
  </si>
  <si>
    <t>Appendix A</t>
  </si>
  <si>
    <t>/MW</t>
  </si>
  <si>
    <t>Rider E: Losses Calibration Factor Rider</t>
  </si>
  <si>
    <t>Rider J: Wind Forecasting Service Cost Recovery Rider</t>
  </si>
  <si>
    <t>Rider J charge</t>
  </si>
  <si>
    <t>Total Rate STS charge</t>
  </si>
  <si>
    <t>Total estimated charge in settlement period under Rate STS:</t>
  </si>
  <si>
    <t>Glossary</t>
  </si>
  <si>
    <t>ESTIMATE DETAILS</t>
  </si>
  <si>
    <t>(i)</t>
  </si>
  <si>
    <t>Is this a regulated generating unit within its base life?</t>
  </si>
  <si>
    <t>(z)</t>
  </si>
  <si>
    <t>Contract capacity:</t>
  </si>
  <si>
    <t>Substation fraction (SF):</t>
  </si>
  <si>
    <t>Highest metered demand in settlement period:</t>
  </si>
  <si>
    <t>Coincidence factor with 15-minute system peak:</t>
  </si>
  <si>
    <t>Coincident metered demand:</t>
  </si>
  <si>
    <t>Highest metered demand in previous 24 months:</t>
  </si>
  <si>
    <t>Load or capacity factor:</t>
  </si>
  <si>
    <t>Hours in month:</t>
  </si>
  <si>
    <t>Metered energy:</t>
  </si>
  <si>
    <t>Pool price:</t>
  </si>
  <si>
    <t>Loss factor:</t>
  </si>
  <si>
    <t>Regulated generating unit MW:</t>
  </si>
  <si>
    <t>Wind Forecasting Cost Recovery Rider J charge:</t>
  </si>
  <si>
    <t>Total monthly charges:</t>
  </si>
  <si>
    <t>Total annual charges:</t>
  </si>
  <si>
    <t>6</t>
  </si>
  <si>
    <t>7(a)</t>
  </si>
  <si>
    <t>7(b)</t>
  </si>
  <si>
    <t>DTS:7(b)</t>
  </si>
  <si>
    <t>Regional System Charge</t>
  </si>
  <si>
    <t>Transmission Constraint Rebalancing Charge Estimate</t>
  </si>
  <si>
    <t>Operating reserve charge</t>
  </si>
  <si>
    <t>Voltage control charge</t>
  </si>
  <si>
    <t>Connection charge</t>
  </si>
  <si>
    <t>Transmission constraint rebalancing</t>
  </si>
  <si>
    <t>Other system support services</t>
  </si>
  <si>
    <t>Total Rider C charge or credit</t>
  </si>
  <si>
    <t>Rates DTS and PSC</t>
  </si>
  <si>
    <t>Relates to</t>
  </si>
  <si>
    <t>Quarterly Rider C charge (credit):</t>
  </si>
  <si>
    <t>Balancing Pool Rider F charge (credit):</t>
  </si>
  <si>
    <t>Attachm’t B</t>
  </si>
  <si>
    <t>(aa)</t>
  </si>
  <si>
    <t>Primary service credit</t>
  </si>
  <si>
    <t>Total estimated charge in settlement period under Rate DTS:</t>
  </si>
  <si>
    <t>Rate PSC</t>
  </si>
  <si>
    <t>Deferral Account Adjustment Rider C:</t>
  </si>
  <si>
    <t>Billing cap’y (highest of 90%×(i), (k) or 90%×(n)):</t>
  </si>
  <si>
    <t>% of pool price for OR charge estimate:</t>
  </si>
  <si>
    <t>Apparent power difference (when PF &lt; 90%):</t>
  </si>
  <si>
    <t>Quarterly Rider E calibrat’n factor charge (credit):</t>
  </si>
  <si>
    <t>Transmission service charge (credit):</t>
  </si>
  <si>
    <t>Losses Calibration Factor Rider E:</t>
  </si>
  <si>
    <t>Balancing Pool Consumer Allocation Rider F:</t>
  </si>
  <si>
    <t>Wind Forecasting Service Cost Recovery Rider J:</t>
  </si>
  <si>
    <t>Total estimated credit in settlement period under Rate PSC:</t>
  </si>
  <si>
    <t>Credit</t>
  </si>
  <si>
    <t>Total Rider C charge (credit)</t>
  </si>
  <si>
    <t>AESO 2019</t>
  </si>
  <si>
    <t>Tariff</t>
  </si>
  <si>
    <t>AESO 2015</t>
  </si>
  <si>
    <t>AESO 2016</t>
  </si>
  <si>
    <t>AESO 2017</t>
  </si>
  <si>
    <t>AESO 2018</t>
  </si>
  <si>
    <t>AESO 2020</t>
  </si>
  <si>
    <t>Effective On</t>
  </si>
  <si>
    <t>End Date</t>
  </si>
  <si>
    <t>metered energy</t>
  </si>
  <si>
    <t>Metered Energy</t>
  </si>
  <si>
    <t>Rate DTS Charge</t>
  </si>
  <si>
    <t>(e) Substation fraction (SF)</t>
  </si>
  <si>
    <t>(f) First (7.5 × SF) MW of billing capacity</t>
  </si>
  <si>
    <t>(g) Next (9.5 × SF) MW of billing capacity</t>
  </si>
  <si>
    <t>(h) Next (23 × SF) MW of billing capacity</t>
  </si>
  <si>
    <t>(i) All remaining MW of billing capacity</t>
  </si>
  <si>
    <t>Rate PSC Credit</t>
  </si>
  <si>
    <t>Operating Reserve Charge</t>
  </si>
  <si>
    <t>Multiplier</t>
  </si>
  <si>
    <t>Transmission Constraint Rebalancing Charge</t>
  </si>
  <si>
    <t>Apparent Power Difference</t>
  </si>
  <si>
    <t>Rider F</t>
  </si>
  <si>
    <t>AESO 2021</t>
  </si>
  <si>
    <t>Attachment A: Inputs and Summary</t>
  </si>
  <si>
    <t>Any other market participant at substation?</t>
  </si>
  <si>
    <t>Market Participant:</t>
  </si>
  <si>
    <t>Name of Market Participant</t>
  </si>
  <si>
    <t>3(1)(a)</t>
  </si>
  <si>
    <t>3(1)(b)</t>
  </si>
  <si>
    <t>3(1)(c)</t>
  </si>
  <si>
    <t>3(1)(d)</t>
  </si>
  <si>
    <t>3(1)(e)</t>
  </si>
  <si>
    <t>3(1)(f)</t>
  </si>
  <si>
    <t>3(1)(g)</t>
  </si>
  <si>
    <t>3(1)(h)</t>
  </si>
  <si>
    <t>3(1)(i)</t>
  </si>
  <si>
    <t>2(2)</t>
  </si>
  <si>
    <t>2(1)</t>
  </si>
  <si>
    <t>3(1)</t>
  </si>
  <si>
    <t>2(2)(a)</t>
  </si>
  <si>
    <t>2(2)(b)</t>
  </si>
  <si>
    <t>2(2)(c)</t>
  </si>
  <si>
    <t>2(2)(d)</t>
  </si>
  <si>
    <t>2(2)(e)</t>
  </si>
  <si>
    <t>2(4)(a)</t>
  </si>
  <si>
    <t>2(4)(b)</t>
  </si>
  <si>
    <t>2(4)(c)</t>
  </si>
  <si>
    <t>2(4)(d)</t>
  </si>
  <si>
    <t>2(4)(e)</t>
  </si>
  <si>
    <t>No</t>
  </si>
  <si>
    <t>DTS Only</t>
  </si>
  <si>
    <t>AESO 2022</t>
  </si>
  <si>
    <t>AESO 2023</t>
  </si>
  <si>
    <t>current</t>
  </si>
  <si>
    <t>AESO 2024</t>
  </si>
  <si>
    <t>Version:</t>
  </si>
  <si>
    <t>AESO 2025</t>
  </si>
  <si>
    <t>Include Wind &amp; Solar Forecasting Service Cost Recovery Rider J?</t>
  </si>
  <si>
    <t>AESO 2026</t>
  </si>
  <si>
    <t>2026.0.0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</si>
</sst>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.00000"/>
    <numFmt numFmtId="165" formatCode="&quot;$&quot;#,##0.00"/>
    <numFmt numFmtId="166" formatCode="#,##0.0"/>
    <numFmt numFmtId="167" formatCode="#,##0.00000"/>
    <numFmt numFmtId="168" formatCode="&quot;$&quot;#,##0.00;\(&quot;$&quot;#,##0.00\)"/>
    <numFmt numFmtId="169" formatCode="&quot;× &quot;0.00%"/>
    <numFmt numFmtId="170" formatCode="&quot;= &quot;* &quot;$&quot;#,##0.00"/>
    <numFmt numFmtId="171" formatCode="0.00%;\(0.00%\)"/>
    <numFmt numFmtId="172" formatCode="[$-409]mmmm\ d\,\ yyyy;@"/>
    <numFmt numFmtId="173" formatCode="&quot;$&quot;#,##0.000"/>
    <numFmt numFmtId="174" formatCode="&quot;= &quot;* &quot;$&quot;#,##0.00;&quot;= &quot;* \(&quot;$&quot;#,##0.00\)"/>
    <numFmt numFmtId="175" formatCode="&quot;× &quot;0.00%;&quot;× &quot;\(0.00%\)"/>
    <numFmt numFmtId="176" formatCode="&quot;$&quot;#,##0.000_);[Red]\(&quot;$&quot;#,##0.000\)"/>
    <numFmt numFmtId="177" formatCode="mmm\ dd\,\ yyyy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5"/>
      <name val="Arial"/>
      <family val="2"/>
    </font>
    <font>
      <sz val="11"/>
      <name val="Arial Black"/>
      <family val="2"/>
    </font>
    <font>
      <sz val="6"/>
      <name val="Arial"/>
      <family val="2"/>
    </font>
    <font>
      <b/>
      <sz val="18"/>
      <color indexed="18"/>
      <name val="Arial"/>
      <family val="2"/>
    </font>
    <font>
      <b/>
      <sz val="12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3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18"/>
      <color rgb="FF1F497D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0" fontId="5" fillId="0" borderId="0"/>
    <xf numFmtId="0" fontId="10" fillId="0" borderId="0"/>
    <xf numFmtId="0" fontId="11" fillId="0" borderId="0"/>
    <xf numFmtId="0" fontId="12" fillId="0" borderId="0">
      <alignment vertical="top"/>
    </xf>
    <xf numFmtId="0" fontId="18" fillId="0" borderId="0"/>
    <xf numFmtId="9" fontId="18" fillId="0" borderId="0" applyFont="0" applyFill="0" applyBorder="0" applyAlignment="0" applyProtection="0"/>
    <xf numFmtId="0" fontId="5" fillId="0" borderId="0"/>
    <xf numFmtId="9" fontId="2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quotePrefix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5" fontId="0" fillId="0" borderId="0" xfId="0" applyNumberFormat="1"/>
    <xf numFmtId="0" fontId="0" fillId="0" borderId="0" xfId="0" applyAlignment="1">
      <alignment horizontal="center"/>
    </xf>
    <xf numFmtId="5" fontId="4" fillId="0" borderId="0" xfId="0" applyNumberFormat="1" applyFont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0" fillId="0" borderId="3" xfId="0" quotePrefix="1" applyBorder="1"/>
    <xf numFmtId="0" fontId="0" fillId="0" borderId="4" xfId="0" applyBorder="1"/>
    <xf numFmtId="0" fontId="0" fillId="0" borderId="4" xfId="0" quotePrefix="1" applyBorder="1"/>
    <xf numFmtId="0" fontId="0" fillId="0" borderId="5" xfId="0" quotePrefix="1" applyBorder="1"/>
    <xf numFmtId="0" fontId="0" fillId="0" borderId="6" xfId="0" quotePrefix="1" applyBorder="1"/>
    <xf numFmtId="0" fontId="0" fillId="0" borderId="7" xfId="0" applyBorder="1"/>
    <xf numFmtId="0" fontId="0" fillId="0" borderId="7" xfId="0" quotePrefix="1" applyBorder="1"/>
    <xf numFmtId="0" fontId="0" fillId="0" borderId="8" xfId="0" applyBorder="1"/>
    <xf numFmtId="0" fontId="0" fillId="0" borderId="8" xfId="0" quotePrefix="1" applyBorder="1"/>
    <xf numFmtId="0" fontId="0" fillId="0" borderId="9" xfId="0" quotePrefix="1" applyBorder="1"/>
    <xf numFmtId="0" fontId="4" fillId="0" borderId="1" xfId="0" applyFont="1" applyBorder="1"/>
    <xf numFmtId="0" fontId="4" fillId="0" borderId="2" xfId="0" applyFont="1" applyBorder="1"/>
    <xf numFmtId="165" fontId="4" fillId="0" borderId="2" xfId="0" applyNumberFormat="1" applyFont="1" applyBorder="1"/>
    <xf numFmtId="0" fontId="4" fillId="0" borderId="2" xfId="0" quotePrefix="1" applyFont="1" applyBorder="1"/>
    <xf numFmtId="166" fontId="4" fillId="0" borderId="2" xfId="0" applyNumberFormat="1" applyFont="1" applyBorder="1"/>
    <xf numFmtId="7" fontId="4" fillId="0" borderId="2" xfId="0" applyNumberFormat="1" applyFont="1" applyBorder="1"/>
    <xf numFmtId="0" fontId="6" fillId="0" borderId="3" xfId="0" applyFont="1" applyBorder="1"/>
    <xf numFmtId="0" fontId="6" fillId="0" borderId="4" xfId="0" applyFont="1" applyBorder="1"/>
    <xf numFmtId="165" fontId="6" fillId="0" borderId="4" xfId="0" applyNumberFormat="1" applyFont="1" applyBorder="1"/>
    <xf numFmtId="0" fontId="6" fillId="0" borderId="10" xfId="0" applyFont="1" applyBorder="1"/>
    <xf numFmtId="0" fontId="6" fillId="0" borderId="11" xfId="0" applyFont="1" applyBorder="1"/>
    <xf numFmtId="165" fontId="6" fillId="0" borderId="11" xfId="0" applyNumberFormat="1" applyFont="1" applyBorder="1"/>
    <xf numFmtId="0" fontId="7" fillId="0" borderId="0" xfId="0" applyFont="1" applyAlignment="1">
      <alignment horizontal="left" indent="2"/>
    </xf>
    <xf numFmtId="0" fontId="7" fillId="0" borderId="0" xfId="0" quotePrefix="1" applyFont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5" fontId="4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 indent="1"/>
    </xf>
    <xf numFmtId="0" fontId="5" fillId="0" borderId="0" xfId="0" applyFont="1"/>
    <xf numFmtId="164" fontId="0" fillId="0" borderId="0" xfId="0" applyNumberFormat="1" applyAlignment="1">
      <alignment horizontal="right"/>
    </xf>
    <xf numFmtId="5" fontId="0" fillId="0" borderId="0" xfId="0" applyNumberFormat="1" applyAlignment="1">
      <alignment horizontal="right"/>
    </xf>
    <xf numFmtId="0" fontId="7" fillId="0" borderId="0" xfId="0" applyFont="1" applyAlignment="1">
      <alignment horizontal="left" indent="5"/>
    </xf>
    <xf numFmtId="0" fontId="4" fillId="0" borderId="0" xfId="0" applyFont="1" applyAlignment="1">
      <alignment horizontal="right"/>
    </xf>
    <xf numFmtId="166" fontId="6" fillId="0" borderId="4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166" fontId="6" fillId="0" borderId="11" xfId="0" applyNumberFormat="1" applyFon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0" fontId="0" fillId="0" borderId="2" xfId="0" quotePrefix="1" applyBorder="1" applyAlignment="1">
      <alignment horizontal="left"/>
    </xf>
    <xf numFmtId="0" fontId="0" fillId="0" borderId="2" xfId="0" applyBorder="1" applyAlignment="1">
      <alignment horizontal="right"/>
    </xf>
    <xf numFmtId="170" fontId="0" fillId="0" borderId="2" xfId="0" applyNumberFormat="1" applyBorder="1" applyAlignment="1">
      <alignment horizontal="right"/>
    </xf>
    <xf numFmtId="5" fontId="6" fillId="0" borderId="12" xfId="0" applyNumberFormat="1" applyFont="1" applyBorder="1" applyAlignment="1">
      <alignment horizontal="right"/>
    </xf>
    <xf numFmtId="5" fontId="0" fillId="0" borderId="13" xfId="0" applyNumberFormat="1" applyBorder="1" applyAlignment="1">
      <alignment horizontal="right"/>
    </xf>
    <xf numFmtId="5" fontId="0" fillId="0" borderId="14" xfId="0" applyNumberFormat="1" applyBorder="1" applyAlignment="1">
      <alignment horizontal="right"/>
    </xf>
    <xf numFmtId="5" fontId="6" fillId="0" borderId="15" xfId="0" applyNumberFormat="1" applyFont="1" applyBorder="1" applyAlignment="1">
      <alignment horizontal="right"/>
    </xf>
    <xf numFmtId="5" fontId="0" fillId="0" borderId="16" xfId="0" applyNumberFormat="1" applyBorder="1" applyAlignment="1">
      <alignment horizontal="right"/>
    </xf>
    <xf numFmtId="5" fontId="0" fillId="0" borderId="17" xfId="0" applyNumberFormat="1" applyBorder="1" applyAlignment="1">
      <alignment horizontal="right"/>
    </xf>
    <xf numFmtId="5" fontId="0" fillId="0" borderId="12" xfId="0" applyNumberFormat="1" applyBorder="1" applyAlignment="1">
      <alignment horizontal="right"/>
    </xf>
    <xf numFmtId="5" fontId="4" fillId="0" borderId="17" xfId="0" applyNumberFormat="1" applyFon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0" fontId="16" fillId="0" borderId="0" xfId="0" applyFont="1" applyAlignment="1">
      <alignment horizontal="right"/>
    </xf>
    <xf numFmtId="5" fontId="4" fillId="0" borderId="4" xfId="0" applyNumberFormat="1" applyFont="1" applyBorder="1" applyAlignment="1">
      <alignment horizontal="right"/>
    </xf>
    <xf numFmtId="3" fontId="15" fillId="2" borderId="0" xfId="0" applyNumberFormat="1" applyFont="1" applyFill="1" applyProtection="1">
      <protection locked="0"/>
    </xf>
    <xf numFmtId="166" fontId="0" fillId="0" borderId="2" xfId="0" applyNumberFormat="1" applyBorder="1" applyAlignment="1">
      <alignment horizontal="right"/>
    </xf>
    <xf numFmtId="5" fontId="4" fillId="0" borderId="0" xfId="0" applyNumberFormat="1" applyFont="1" applyAlignment="1">
      <alignment horizontal="right"/>
    </xf>
    <xf numFmtId="166" fontId="15" fillId="2" borderId="0" xfId="0" applyNumberFormat="1" applyFont="1" applyFill="1" applyAlignment="1" applyProtection="1">
      <alignment horizontal="right"/>
      <protection locked="0"/>
    </xf>
    <xf numFmtId="9" fontId="15" fillId="2" borderId="0" xfId="0" applyNumberFormat="1" applyFont="1" applyFill="1" applyAlignment="1" applyProtection="1">
      <alignment horizontal="right"/>
      <protection locked="0"/>
    </xf>
    <xf numFmtId="168" fontId="15" fillId="2" borderId="0" xfId="0" applyNumberFormat="1" applyFont="1" applyFill="1" applyProtection="1">
      <protection locked="0"/>
    </xf>
    <xf numFmtId="169" fontId="0" fillId="0" borderId="2" xfId="0" applyNumberFormat="1" applyBorder="1" applyAlignment="1">
      <alignment horizontal="center"/>
    </xf>
    <xf numFmtId="171" fontId="15" fillId="2" borderId="0" xfId="0" applyNumberFormat="1" applyFont="1" applyFill="1" applyAlignment="1" applyProtection="1">
      <alignment horizontal="right"/>
      <protection locked="0"/>
    </xf>
    <xf numFmtId="0" fontId="5" fillId="0" borderId="0" xfId="0" quotePrefix="1" applyFont="1"/>
    <xf numFmtId="0" fontId="5" fillId="0" borderId="1" xfId="0" quotePrefix="1" applyFont="1" applyBorder="1"/>
    <xf numFmtId="0" fontId="5" fillId="0" borderId="3" xfId="0" applyFont="1" applyBorder="1"/>
    <xf numFmtId="0" fontId="5" fillId="0" borderId="9" xfId="0" applyFont="1" applyBorder="1"/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5" fillId="0" borderId="4" xfId="0" applyFont="1" applyBorder="1"/>
    <xf numFmtId="0" fontId="5" fillId="0" borderId="8" xfId="0" applyFont="1" applyBorder="1"/>
    <xf numFmtId="5" fontId="0" fillId="0" borderId="4" xfId="0" applyNumberFormat="1" applyBorder="1" applyAlignment="1">
      <alignment horizontal="right"/>
    </xf>
    <xf numFmtId="5" fontId="0" fillId="0" borderId="8" xfId="0" applyNumberFormat="1" applyBorder="1" applyAlignment="1">
      <alignment horizontal="right"/>
    </xf>
    <xf numFmtId="171" fontId="15" fillId="2" borderId="0" xfId="0" applyNumberFormat="1" applyFont="1" applyFill="1" applyProtection="1">
      <protection locked="0"/>
    </xf>
    <xf numFmtId="0" fontId="5" fillId="0" borderId="0" xfId="0" applyFont="1" applyAlignment="1">
      <alignment horizontal="center"/>
    </xf>
    <xf numFmtId="168" fontId="19" fillId="0" borderId="0" xfId="0" applyNumberFormat="1" applyFont="1" applyAlignment="1">
      <alignment horizontal="right"/>
    </xf>
    <xf numFmtId="0" fontId="5" fillId="0" borderId="5" xfId="0" quotePrefix="1" applyFont="1" applyBorder="1"/>
    <xf numFmtId="0" fontId="5" fillId="0" borderId="9" xfId="0" quotePrefix="1" applyFont="1" applyBorder="1"/>
    <xf numFmtId="171" fontId="19" fillId="0" borderId="0" xfId="0" applyNumberFormat="1" applyFont="1"/>
    <xf numFmtId="174" fontId="0" fillId="0" borderId="2" xfId="0" applyNumberFormat="1" applyBorder="1" applyAlignment="1">
      <alignment horizontal="right"/>
    </xf>
    <xf numFmtId="175" fontId="0" fillId="0" borderId="2" xfId="0" applyNumberFormat="1" applyBorder="1" applyAlignment="1">
      <alignment horizontal="center"/>
    </xf>
    <xf numFmtId="171" fontId="0" fillId="0" borderId="0" xfId="0" applyNumberFormat="1" applyAlignment="1">
      <alignment horizontal="right"/>
    </xf>
    <xf numFmtId="177" fontId="5" fillId="0" borderId="0" xfId="0" quotePrefix="1" applyNumberFormat="1" applyFont="1"/>
    <xf numFmtId="165" fontId="0" fillId="0" borderId="2" xfId="0" applyNumberFormat="1" applyBorder="1"/>
    <xf numFmtId="165" fontId="0" fillId="0" borderId="0" xfId="0" applyNumberFormat="1"/>
    <xf numFmtId="165" fontId="0" fillId="0" borderId="8" xfId="0" applyNumberFormat="1" applyBorder="1"/>
    <xf numFmtId="173" fontId="0" fillId="0" borderId="2" xfId="0" applyNumberFormat="1" applyBorder="1"/>
    <xf numFmtId="165" fontId="0" fillId="0" borderId="4" xfId="0" applyNumberFormat="1" applyBorder="1"/>
    <xf numFmtId="10" fontId="0" fillId="0" borderId="0" xfId="0" applyNumberFormat="1" applyAlignment="1">
      <alignment horizontal="right"/>
    </xf>
    <xf numFmtId="165" fontId="5" fillId="0" borderId="0" xfId="0" applyNumberFormat="1" applyFont="1" applyProtection="1"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0" fontId="3" fillId="0" borderId="0" xfId="2" applyFont="1"/>
    <xf numFmtId="0" fontId="17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5" fillId="0" borderId="0" xfId="0" applyFont="1" applyAlignment="1">
      <alignment horizontal="right"/>
    </xf>
    <xf numFmtId="177" fontId="5" fillId="0" borderId="0" xfId="0" quotePrefix="1" applyNumberFormat="1" applyFont="1" applyAlignment="1">
      <alignment horizontal="right"/>
    </xf>
    <xf numFmtId="0" fontId="0" fillId="0" borderId="0" xfId="0" applyAlignment="1">
      <alignment horizontal="right"/>
    </xf>
    <xf numFmtId="168" fontId="5" fillId="0" borderId="0" xfId="0" applyNumberFormat="1" applyFont="1" applyProtection="1">
      <protection locked="0"/>
    </xf>
    <xf numFmtId="0" fontId="21" fillId="0" borderId="0" xfId="0" applyFont="1"/>
    <xf numFmtId="0" fontId="2" fillId="0" borderId="0" xfId="6" applyFont="1"/>
    <xf numFmtId="0" fontId="24" fillId="0" borderId="0" xfId="0" applyFont="1" applyAlignment="1">
      <alignment horizontal="left" inden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left" vertical="center" readingOrder="1"/>
    </xf>
    <xf numFmtId="0" fontId="1" fillId="0" borderId="0" xfId="6" applyFont="1"/>
    <xf numFmtId="15" fontId="1" fillId="0" borderId="0" xfId="6" applyNumberFormat="1" applyFont="1"/>
    <xf numFmtId="15" fontId="1" fillId="4" borderId="0" xfId="6" applyNumberFormat="1" applyFont="1" applyFill="1"/>
    <xf numFmtId="15" fontId="26" fillId="0" borderId="0" xfId="0" applyNumberFormat="1" applyFont="1"/>
    <xf numFmtId="15" fontId="26" fillId="0" borderId="0" xfId="0" applyNumberFormat="1" applyFont="1" applyAlignment="1">
      <alignment horizontal="center"/>
    </xf>
    <xf numFmtId="8" fontId="1" fillId="0" borderId="0" xfId="6" applyNumberFormat="1" applyFont="1"/>
    <xf numFmtId="10" fontId="1" fillId="0" borderId="0" xfId="7" applyNumberFormat="1" applyFont="1"/>
    <xf numFmtId="10" fontId="1" fillId="0" borderId="0" xfId="6" applyNumberFormat="1" applyFont="1"/>
    <xf numFmtId="10" fontId="1" fillId="0" borderId="0" xfId="9" applyNumberFormat="1" applyFont="1" applyFill="1"/>
    <xf numFmtId="176" fontId="1" fillId="0" borderId="0" xfId="6" applyNumberFormat="1" applyFont="1"/>
    <xf numFmtId="0" fontId="20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172" fontId="14" fillId="2" borderId="0" xfId="0" applyNumberFormat="1" applyFont="1" applyFill="1" applyAlignment="1" applyProtection="1">
      <alignment horizontal="left"/>
      <protection locked="0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0" fillId="0" borderId="0" xfId="0" applyFont="1" applyAlignment="1">
      <alignment horizontal="center"/>
    </xf>
  </cellXfs>
  <cellStyles count="10">
    <cellStyle name="Between Paragraphs" xfId="1" xr:uid="{00000000-0005-0000-0000-000000000000}"/>
    <cellStyle name="Fact Sheet Body Text" xfId="2" xr:uid="{00000000-0005-0000-0000-000001000000}"/>
    <cellStyle name="Fact Sheet Body Text 2" xfId="8" xr:uid="{402955CA-C0CF-4BE0-A662-08C04357F4B0}"/>
    <cellStyle name="Fact Sheet Heading 1" xfId="3" xr:uid="{00000000-0005-0000-0000-000002000000}"/>
    <cellStyle name="Fact Sheet Heading 2" xfId="4" xr:uid="{00000000-0005-0000-0000-000003000000}"/>
    <cellStyle name="Fact Sheet Heading 3" xfId="5" xr:uid="{00000000-0005-0000-0000-000004000000}"/>
    <cellStyle name="Normal" xfId="0" builtinId="0"/>
    <cellStyle name="Normal 3" xfId="6" xr:uid="{00000000-0005-0000-0000-000006000000}"/>
    <cellStyle name="Percent" xfId="9" builtinId="5"/>
    <cellStyle name="Percent 3" xfId="7" xr:uid="{00000000-0005-0000-0000-000007000000}"/>
  </cellStyles>
  <dxfs count="31"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lor theme="1"/>
      </font>
      <fill>
        <patternFill patternType="lightUp">
          <fgColor indexed="64"/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lor theme="1"/>
      </font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123369</xdr:colOff>
      <xdr:row>0</xdr:row>
      <xdr:rowOff>0</xdr:rowOff>
    </xdr:from>
    <xdr:to>
      <xdr:col>8</xdr:col>
      <xdr:colOff>534396</xdr:colOff>
      <xdr:row>6</xdr:row>
      <xdr:rowOff>9233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788E65F-BD97-433A-AA2A-BC6A78FBDEA7}"/>
            </a:ext>
          </a:extLst>
        </xdr:cNvPr>
        <xdr:cNvSpPr txBox="1">
          <a:spLocks noChangeArrowheads="1"/>
        </xdr:cNvSpPr>
      </xdr:nvSpPr>
      <xdr:spPr bwMode="auto">
        <a:xfrm>
          <a:off x="213360" y="0"/>
          <a:ext cx="4740596" cy="93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endParaRPr lang="en-CA" sz="1800" b="0" i="0" u="none" strike="noStrike" baseline="0">
            <a:solidFill>
              <a:schemeClr val="tx2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55480</xdr:colOff>
      <xdr:row>6</xdr:row>
      <xdr:rowOff>39880</xdr:rowOff>
    </xdr:to>
    <xdr:pic>
      <xdr:nvPicPr>
        <xdr:cNvPr id="2" name="Picture 1" descr="Description: AESO Banner 2">
          <a:extLst>
            <a:ext uri="{FF2B5EF4-FFF2-40B4-BE49-F238E27FC236}">
              <a16:creationId xmlns:a16="http://schemas.microsoft.com/office/drawing/2014/main" id="{CD3A79AC-9813-EB56-F4AA-C206506BD8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4005" cy="954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</xdr:col>
      <xdr:colOff>7952</xdr:colOff>
      <xdr:row>3</xdr:row>
      <xdr:rowOff>38805</xdr:rowOff>
    </xdr:from>
    <xdr:to>
      <xdr:col>7</xdr:col>
      <xdr:colOff>264492</xdr:colOff>
      <xdr:row>8</xdr:row>
      <xdr:rowOff>56501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E13427-DF2B-4822-92D7-EFC818B99B85}"/>
            </a:ext>
          </a:extLst>
        </xdr:cNvPr>
        <xdr:cNvSpPr txBox="1">
          <a:spLocks noChangeArrowheads="1"/>
        </xdr:cNvSpPr>
      </xdr:nvSpPr>
      <xdr:spPr bwMode="auto">
        <a:xfrm>
          <a:off x="103202" y="519818"/>
          <a:ext cx="3661728" cy="86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#2026-015T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0</xdr:rowOff>
    </xdr:from>
    <xdr:to>
      <xdr:col>11</xdr:col>
      <xdr:colOff>133350</xdr:colOff>
      <xdr:row>6</xdr:row>
      <xdr:rowOff>148387</xdr:rowOff>
    </xdr:to>
    <xdr:pic>
      <xdr:nvPicPr>
        <xdr:cNvPr id="4" name="Picture 3" descr="Description: AESO Banner 2">
          <a:extLst>
            <a:ext uri="{FF2B5EF4-FFF2-40B4-BE49-F238E27FC236}">
              <a16:creationId xmlns:a16="http://schemas.microsoft.com/office/drawing/2014/main" id="{C3D922A0-62A9-A76B-F593-73961C5E2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0"/>
          <a:ext cx="6572250" cy="11085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184467</xdr:colOff>
      <xdr:row>1</xdr:row>
      <xdr:rowOff>120650</xdr:rowOff>
    </xdr:from>
    <xdr:to>
      <xdr:col>7</xdr:col>
      <xdr:colOff>81915</xdr:colOff>
      <xdr:row>7</xdr:row>
      <xdr:rowOff>32618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BCFC33-ED02-46AF-8B20-04EE19E83AD6}"/>
            </a:ext>
          </a:extLst>
        </xdr:cNvPr>
        <xdr:cNvSpPr txBox="1">
          <a:spLocks noChangeArrowheads="1"/>
        </xdr:cNvSpPr>
      </xdr:nvSpPr>
      <xdr:spPr bwMode="auto">
        <a:xfrm>
          <a:off x="184467" y="282575"/>
          <a:ext cx="3688398" cy="883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#2026-015T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11</xdr:col>
      <xdr:colOff>194890</xdr:colOff>
      <xdr:row>7</xdr:row>
      <xdr:rowOff>3110</xdr:rowOff>
    </xdr:to>
    <xdr:pic>
      <xdr:nvPicPr>
        <xdr:cNvPr id="4" name="Picture 3" descr="Description: AESO Banner 2">
          <a:extLst>
            <a:ext uri="{FF2B5EF4-FFF2-40B4-BE49-F238E27FC236}">
              <a16:creationId xmlns:a16="http://schemas.microsoft.com/office/drawing/2014/main" id="{25B27425-3E57-426F-8064-528DD3F66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6580450" cy="112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193991</xdr:colOff>
      <xdr:row>0</xdr:row>
      <xdr:rowOff>41993</xdr:rowOff>
    </xdr:from>
    <xdr:to>
      <xdr:col>10</xdr:col>
      <xdr:colOff>758189</xdr:colOff>
      <xdr:row>6</xdr:row>
      <xdr:rowOff>38099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7ACE802-4D0E-4AE9-A041-BC60F37B9806}"/>
            </a:ext>
          </a:extLst>
        </xdr:cNvPr>
        <xdr:cNvSpPr txBox="1">
          <a:spLocks noChangeArrowheads="1"/>
        </xdr:cNvSpPr>
      </xdr:nvSpPr>
      <xdr:spPr bwMode="auto">
        <a:xfrm>
          <a:off x="188277" y="47708"/>
          <a:ext cx="6674485" cy="96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endParaRPr lang="en-CA" sz="1800" b="0" i="0" u="none" strike="noStrike" baseline="0">
            <a:solidFill>
              <a:schemeClr val="tx2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172403</xdr:colOff>
      <xdr:row>4</xdr:row>
      <xdr:rowOff>78105</xdr:rowOff>
    </xdr:from>
    <xdr:to>
      <xdr:col>7</xdr:col>
      <xdr:colOff>34815</xdr:colOff>
      <xdr:row>9</xdr:row>
      <xdr:rowOff>110607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13A48-0FF5-78C6-A652-6291D45C2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3" y="718185"/>
          <a:ext cx="3603832" cy="832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</xdr:colOff>
      <xdr:row>0</xdr:row>
      <xdr:rowOff>0</xdr:rowOff>
    </xdr:from>
    <xdr:to>
      <xdr:col>12</xdr:col>
      <xdr:colOff>240666</xdr:colOff>
      <xdr:row>6</xdr:row>
      <xdr:rowOff>110490</xdr:rowOff>
    </xdr:to>
    <xdr:pic>
      <xdr:nvPicPr>
        <xdr:cNvPr id="4" name="Picture 3" descr="Description: AESO Banner 2">
          <a:extLst>
            <a:ext uri="{FF2B5EF4-FFF2-40B4-BE49-F238E27FC236}">
              <a16:creationId xmlns:a16="http://schemas.microsoft.com/office/drawing/2014/main" id="{4FB80365-F50C-0839-7B14-08466584B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" y="0"/>
          <a:ext cx="7033896" cy="1070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159068</xdr:colOff>
      <xdr:row>4</xdr:row>
      <xdr:rowOff>53340</xdr:rowOff>
    </xdr:from>
    <xdr:to>
      <xdr:col>7</xdr:col>
      <xdr:colOff>574883</xdr:colOff>
      <xdr:row>9</xdr:row>
      <xdr:rowOff>91557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FC2AC-0DFA-948D-9E0F-6D0AAC7D3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8" y="693420"/>
          <a:ext cx="3578115" cy="838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6:M65"/>
  <sheetViews>
    <sheetView showGridLines="0" tabSelected="1" topLeftCell="A13" zoomScaleNormal="100" zoomScaleSheetLayoutView="115" workbookViewId="0">
      <selection activeCell="B10" sqref="B10"/>
    </sheetView>
  </sheetViews>
  <sheetFormatPr defaultColWidth="9.59765625" defaultRowHeight="12.75" x14ac:dyDescent="0.35"/>
  <cols>
    <col min="1" max="1" width="1.3984375" customWidth="1"/>
    <col min="2" max="2" width="4.73046875" customWidth="1"/>
    <col min="3" max="3" width="11.86328125" customWidth="1"/>
    <col min="4" max="5" width="9.59765625" customWidth="1"/>
    <col min="6" max="6" width="10" customWidth="1"/>
    <col min="7" max="7" width="5.3984375" customWidth="1"/>
    <col min="8" max="8" width="11.73046875" bestFit="1" customWidth="1"/>
    <col min="9" max="10" width="11.73046875" customWidth="1"/>
    <col min="11" max="11" width="13.3984375" customWidth="1"/>
    <col min="12" max="12" width="0.86328125" customWidth="1"/>
  </cols>
  <sheetData>
    <row r="6" spans="2:11" ht="8.25" customHeight="1" x14ac:dyDescent="0.35"/>
    <row r="7" spans="2:11" ht="22.15" x14ac:dyDescent="0.35">
      <c r="B7" s="118"/>
    </row>
    <row r="8" spans="2:11" ht="9" customHeight="1" x14ac:dyDescent="0.35">
      <c r="B8" s="118"/>
    </row>
    <row r="9" spans="2:11" ht="9" customHeight="1" x14ac:dyDescent="0.35"/>
    <row r="10" spans="2:11" s="2" customFormat="1" ht="9" customHeight="1" x14ac:dyDescent="0.65"/>
    <row r="11" spans="2:11" s="2" customFormat="1" ht="9" customHeight="1" x14ac:dyDescent="0.65"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  <row r="12" spans="2:11" s="2" customFormat="1" ht="16.899999999999999" x14ac:dyDescent="0.65">
      <c r="B12" s="130" t="s">
        <v>199</v>
      </c>
      <c r="C12" s="130"/>
      <c r="D12" s="130"/>
      <c r="E12" s="130"/>
      <c r="F12" s="130"/>
      <c r="G12" s="130"/>
      <c r="H12" s="130"/>
      <c r="I12" s="130"/>
      <c r="J12" s="130"/>
      <c r="K12" s="130"/>
    </row>
    <row r="13" spans="2:11" s="3" customFormat="1" ht="7.5" x14ac:dyDescent="0.2"/>
    <row r="14" spans="2:11" ht="13.15" x14ac:dyDescent="0.4">
      <c r="B14" t="s">
        <v>201</v>
      </c>
      <c r="D14" s="131" t="s">
        <v>202</v>
      </c>
      <c r="E14" s="131"/>
      <c r="F14" s="131"/>
      <c r="G14" s="131"/>
      <c r="H14" s="131"/>
      <c r="I14" s="131"/>
      <c r="J14" s="36" t="s">
        <v>0</v>
      </c>
      <c r="K14" s="110" t="s">
        <v>234</v>
      </c>
    </row>
    <row r="15" spans="2:11" ht="13.15" x14ac:dyDescent="0.4">
      <c r="B15" t="s">
        <v>21</v>
      </c>
      <c r="D15" s="132" t="s">
        <v>22</v>
      </c>
      <c r="E15" s="132"/>
      <c r="F15" s="132"/>
      <c r="G15" s="132"/>
      <c r="H15" s="132"/>
      <c r="I15" s="132"/>
      <c r="J15" s="36" t="s">
        <v>1</v>
      </c>
      <c r="K15" s="111">
        <f>HLOOKUP($K$14,Lookup!$C$1:$Z$3,2,0)</f>
        <v>46023</v>
      </c>
    </row>
    <row r="16" spans="2:11" x14ac:dyDescent="0.35">
      <c r="B16" t="s">
        <v>5</v>
      </c>
      <c r="D16" s="133" t="s">
        <v>20</v>
      </c>
      <c r="E16" s="133"/>
      <c r="F16" s="133"/>
      <c r="G16" s="47"/>
      <c r="I16" s="35"/>
      <c r="J16" s="36" t="s">
        <v>2</v>
      </c>
      <c r="K16" s="111" t="str">
        <f>HLOOKUP($K$14,Lookup!$C$1:$Z$3,3,0)</f>
        <v>current</v>
      </c>
    </row>
    <row r="17" spans="2:13" x14ac:dyDescent="0.35">
      <c r="J17" s="116" t="s">
        <v>231</v>
      </c>
      <c r="K17" s="117" t="s">
        <v>235</v>
      </c>
    </row>
    <row r="18" spans="2:13" ht="13.15" x14ac:dyDescent="0.4">
      <c r="B18" s="4" t="s">
        <v>123</v>
      </c>
      <c r="C18" s="4"/>
      <c r="D18" s="4"/>
      <c r="E18" s="4"/>
      <c r="F18" s="4"/>
      <c r="G18" s="4"/>
      <c r="H18" s="4"/>
      <c r="I18" s="5" t="s">
        <v>73</v>
      </c>
      <c r="J18" s="135" t="s">
        <v>155</v>
      </c>
      <c r="K18" s="135"/>
    </row>
    <row r="19" spans="2:13" x14ac:dyDescent="0.35">
      <c r="B19" s="1" t="s">
        <v>9</v>
      </c>
      <c r="C19" t="s">
        <v>105</v>
      </c>
      <c r="I19" s="83" t="s">
        <v>226</v>
      </c>
      <c r="J19" s="136" t="s">
        <v>71</v>
      </c>
      <c r="K19" s="136"/>
    </row>
    <row r="20" spans="2:13" x14ac:dyDescent="0.35">
      <c r="B20" s="1" t="s">
        <v>10</v>
      </c>
      <c r="C20" s="44" t="s">
        <v>200</v>
      </c>
      <c r="I20" s="82" t="s">
        <v>225</v>
      </c>
      <c r="J20" s="136" t="s">
        <v>71</v>
      </c>
      <c r="K20" s="136"/>
    </row>
    <row r="21" spans="2:13" x14ac:dyDescent="0.35">
      <c r="B21" t="s">
        <v>11</v>
      </c>
      <c r="C21" t="s">
        <v>106</v>
      </c>
      <c r="I21" s="82" t="s">
        <v>225</v>
      </c>
      <c r="J21" s="136" t="s">
        <v>69</v>
      </c>
      <c r="K21" s="136"/>
    </row>
    <row r="22" spans="2:13" x14ac:dyDescent="0.35">
      <c r="B22" s="1" t="s">
        <v>12</v>
      </c>
      <c r="C22" t="s">
        <v>125</v>
      </c>
      <c r="I22" s="82" t="s">
        <v>225</v>
      </c>
      <c r="J22" s="136" t="s">
        <v>70</v>
      </c>
      <c r="K22" s="136"/>
    </row>
    <row r="23" spans="2:13" x14ac:dyDescent="0.35">
      <c r="B23" s="1" t="s">
        <v>13</v>
      </c>
      <c r="C23" t="s">
        <v>67</v>
      </c>
      <c r="I23" s="82" t="s">
        <v>225</v>
      </c>
      <c r="J23" s="137" t="s">
        <v>154</v>
      </c>
      <c r="K23" s="137"/>
    </row>
    <row r="24" spans="2:13" x14ac:dyDescent="0.35">
      <c r="B24" s="1" t="s">
        <v>14</v>
      </c>
      <c r="C24" t="s">
        <v>72</v>
      </c>
      <c r="I24" s="82" t="s">
        <v>225</v>
      </c>
      <c r="J24" s="136" t="s">
        <v>70</v>
      </c>
      <c r="K24" s="136"/>
    </row>
    <row r="25" spans="2:13" x14ac:dyDescent="0.35">
      <c r="B25" s="1" t="s">
        <v>15</v>
      </c>
      <c r="C25" t="s">
        <v>68</v>
      </c>
      <c r="I25" s="82" t="s">
        <v>225</v>
      </c>
      <c r="J25" s="136" t="s">
        <v>69</v>
      </c>
      <c r="K25" s="136"/>
    </row>
    <row r="26" spans="2:13" x14ac:dyDescent="0.35">
      <c r="B26" s="1" t="s">
        <v>16</v>
      </c>
      <c r="C26" s="44" t="s">
        <v>233</v>
      </c>
      <c r="I26" s="82" t="s">
        <v>225</v>
      </c>
      <c r="J26" s="136" t="s">
        <v>70</v>
      </c>
      <c r="K26" s="136"/>
    </row>
    <row r="28" spans="2:13" ht="13.15" x14ac:dyDescent="0.4">
      <c r="H28" s="4"/>
      <c r="I28" s="134" t="s">
        <v>107</v>
      </c>
      <c r="J28" s="134"/>
      <c r="K28" s="5" t="s">
        <v>3</v>
      </c>
    </row>
    <row r="29" spans="2:13" ht="13.15" x14ac:dyDescent="0.4">
      <c r="B29" s="4" t="s">
        <v>74</v>
      </c>
      <c r="C29" s="4"/>
      <c r="D29" s="4"/>
      <c r="E29" s="4"/>
      <c r="F29" s="4"/>
      <c r="G29" s="4"/>
      <c r="H29" s="5" t="s">
        <v>23</v>
      </c>
      <c r="I29" s="5" t="s">
        <v>69</v>
      </c>
      <c r="J29" s="5" t="s">
        <v>70</v>
      </c>
      <c r="K29" s="5" t="s">
        <v>75</v>
      </c>
    </row>
    <row r="30" spans="2:13" x14ac:dyDescent="0.35">
      <c r="B30" s="1" t="s">
        <v>124</v>
      </c>
      <c r="C30" t="s">
        <v>127</v>
      </c>
      <c r="H30" s="7" t="s">
        <v>4</v>
      </c>
      <c r="I30" s="73">
        <v>20</v>
      </c>
      <c r="J30" s="73">
        <v>0</v>
      </c>
      <c r="K30" s="73">
        <v>0</v>
      </c>
      <c r="M30" s="78"/>
    </row>
    <row r="31" spans="2:13" x14ac:dyDescent="0.35">
      <c r="B31" s="1" t="s">
        <v>17</v>
      </c>
      <c r="C31" t="s">
        <v>128</v>
      </c>
      <c r="H31" s="7" t="s">
        <v>71</v>
      </c>
      <c r="I31" s="45">
        <f>IF(OR(EstimateType="STS Only",SUM(I30:K30)=0),"NA",IF(ISERROR(I30/SUM(I30,IF(OR(EstimateType="STS Only",EstimateType="DTS and STS"),J30,0),IF(OtherParticipant="Yes",K30,0))),1,I30/SUM(I30,IF(OR(EstimateType="STS Only",EstimateType="DTS and STS"),J30,0),IF(OtherParticipant="Yes",K30,0))))</f>
        <v>1</v>
      </c>
      <c r="J31" s="45" t="str">
        <f>IF(OR(EstimateType="DTS Only",SUM(I30:K30)=0),"NA",IF(ISERROR(J30/SUM(IF(OR(EstimateType="DTS Only",EstimateType="DTS and STS"),I30,0),J30,IF(OtherParticipant="Yes",K30,0))),1,J30/SUM(IF(OR(EstimateType="DTS Only",EstimateType="DTS and STS"),I30,0),J30,IF(OtherParticipant="Yes",K30,0))))</f>
        <v>NA</v>
      </c>
      <c r="K31" s="45" t="str">
        <f>IF(OR(OtherParticipant="No",SUM(I30:K30)=0),"NA",IF(ISERROR(K30/SUM(IF(OR(EstimateType="DTS Only",EstimateType="DTS and STS"),I30,0),IF(OR(EstimateType="STS Only",EstimateType="DTS and STS"),J30,0),K30)),1,K30/SUM(IF(OR(EstimateType="DTS Only",EstimateType="DTS and STS"),I30,0),IF(OR(EstimateType="STS Only",EstimateType="DTS and STS"),J30,0),K30)))</f>
        <v>NA</v>
      </c>
      <c r="M31" s="78"/>
    </row>
    <row r="32" spans="2:13" x14ac:dyDescent="0.35">
      <c r="B32" s="1" t="s">
        <v>18</v>
      </c>
      <c r="C32" t="s">
        <v>129</v>
      </c>
      <c r="H32" s="7" t="s">
        <v>4</v>
      </c>
      <c r="I32" s="73">
        <v>20</v>
      </c>
      <c r="J32" s="73">
        <v>0</v>
      </c>
      <c r="K32" s="68" t="s">
        <v>8</v>
      </c>
    </row>
    <row r="33" spans="2:13" x14ac:dyDescent="0.35">
      <c r="B33" s="1" t="s">
        <v>19</v>
      </c>
      <c r="C33" t="s">
        <v>130</v>
      </c>
      <c r="H33" s="7" t="s">
        <v>24</v>
      </c>
      <c r="I33" s="74">
        <v>0.75</v>
      </c>
      <c r="J33" s="68" t="s">
        <v>8</v>
      </c>
      <c r="K33" s="68" t="s">
        <v>8</v>
      </c>
    </row>
    <row r="34" spans="2:13" x14ac:dyDescent="0.35">
      <c r="B34" s="1" t="s">
        <v>77</v>
      </c>
      <c r="C34" t="s">
        <v>131</v>
      </c>
      <c r="H34" s="7" t="s">
        <v>4</v>
      </c>
      <c r="I34" s="37">
        <f>I32*I33</f>
        <v>15</v>
      </c>
      <c r="J34" s="68" t="s">
        <v>8</v>
      </c>
      <c r="K34" s="68" t="s">
        <v>8</v>
      </c>
    </row>
    <row r="35" spans="2:13" x14ac:dyDescent="0.35">
      <c r="B35" s="1" t="s">
        <v>78</v>
      </c>
      <c r="C35" t="s">
        <v>132</v>
      </c>
      <c r="H35" s="7" t="s">
        <v>4</v>
      </c>
      <c r="I35" s="73">
        <v>20</v>
      </c>
      <c r="J35" s="68" t="s">
        <v>8</v>
      </c>
      <c r="K35" s="68" t="s">
        <v>8</v>
      </c>
    </row>
    <row r="36" spans="2:13" x14ac:dyDescent="0.35">
      <c r="B36" s="1" t="s">
        <v>79</v>
      </c>
      <c r="C36" s="44" t="s">
        <v>164</v>
      </c>
      <c r="H36" s="7" t="s">
        <v>4</v>
      </c>
      <c r="I36" s="37">
        <f>MAX(90%*I30,I32,90%*I35)</f>
        <v>20</v>
      </c>
      <c r="J36" s="68" t="s">
        <v>8</v>
      </c>
      <c r="K36" s="68" t="s">
        <v>8</v>
      </c>
    </row>
    <row r="37" spans="2:13" x14ac:dyDescent="0.35">
      <c r="B37" s="1" t="s">
        <v>80</v>
      </c>
      <c r="C37" t="s">
        <v>133</v>
      </c>
      <c r="H37" s="7" t="s">
        <v>24</v>
      </c>
      <c r="I37" s="74">
        <v>0.65</v>
      </c>
      <c r="J37" s="74">
        <v>0.5</v>
      </c>
      <c r="K37" s="68" t="s">
        <v>8</v>
      </c>
    </row>
    <row r="38" spans="2:13" x14ac:dyDescent="0.35">
      <c r="B38" s="1" t="s">
        <v>81</v>
      </c>
      <c r="C38" t="s">
        <v>134</v>
      </c>
      <c r="H38" s="7" t="s">
        <v>25</v>
      </c>
      <c r="I38" s="70">
        <v>730</v>
      </c>
      <c r="J38" s="70">
        <f>I38</f>
        <v>730</v>
      </c>
      <c r="K38" s="68" t="s">
        <v>8</v>
      </c>
    </row>
    <row r="39" spans="2:13" x14ac:dyDescent="0.35">
      <c r="B39" s="1" t="s">
        <v>82</v>
      </c>
      <c r="C39" t="s">
        <v>135</v>
      </c>
      <c r="H39" s="7" t="s">
        <v>26</v>
      </c>
      <c r="I39" s="38">
        <f>I32*I37*I38</f>
        <v>9490</v>
      </c>
      <c r="J39" s="38">
        <f>J32*J37*J38</f>
        <v>0</v>
      </c>
      <c r="K39" s="68" t="s">
        <v>8</v>
      </c>
      <c r="M39" s="78"/>
    </row>
    <row r="40" spans="2:13" x14ac:dyDescent="0.35">
      <c r="B40" s="1" t="s">
        <v>83</v>
      </c>
      <c r="C40" t="s">
        <v>136</v>
      </c>
      <c r="H40" s="7" t="s">
        <v>27</v>
      </c>
      <c r="I40" s="104">
        <f>INDEX(Lookup!$C$18:$Z$18,1,MATCH($K$14,Lookup!$C$1:$Z$1,0))</f>
        <v>51.26</v>
      </c>
      <c r="J40" s="104">
        <f>I40</f>
        <v>51.26</v>
      </c>
      <c r="K40" s="68" t="s">
        <v>8</v>
      </c>
    </row>
    <row r="41" spans="2:13" x14ac:dyDescent="0.35">
      <c r="B41" s="1" t="s">
        <v>84</v>
      </c>
      <c r="C41" t="s">
        <v>165</v>
      </c>
      <c r="H41" s="7" t="s">
        <v>24</v>
      </c>
      <c r="I41" s="105">
        <f>INDEX(Lookup!$C$19:$Z$19,1,MATCH($K$14,Lookup!$C$1:$Z$1,0))</f>
        <v>8.1299999999999997E-2</v>
      </c>
      <c r="J41" s="68" t="s">
        <v>8</v>
      </c>
      <c r="K41" s="68" t="s">
        <v>8</v>
      </c>
    </row>
    <row r="42" spans="2:13" x14ac:dyDescent="0.35">
      <c r="B42" s="1" t="s">
        <v>85</v>
      </c>
      <c r="C42" s="44" t="s">
        <v>166</v>
      </c>
      <c r="H42" s="7" t="s">
        <v>54</v>
      </c>
      <c r="I42" s="70">
        <v>0</v>
      </c>
      <c r="J42" s="68" t="s">
        <v>8</v>
      </c>
      <c r="K42" s="68" t="s">
        <v>8</v>
      </c>
      <c r="M42" s="78"/>
    </row>
    <row r="43" spans="2:13" x14ac:dyDescent="0.35">
      <c r="B43" s="1" t="s">
        <v>86</v>
      </c>
      <c r="C43" t="s">
        <v>137</v>
      </c>
      <c r="H43" s="7" t="s">
        <v>24</v>
      </c>
      <c r="I43" s="68" t="s">
        <v>8</v>
      </c>
      <c r="J43" s="77">
        <v>3.2599999999999997E-2</v>
      </c>
      <c r="K43" s="68" t="s">
        <v>8</v>
      </c>
      <c r="M43" s="1"/>
    </row>
    <row r="44" spans="2:13" x14ac:dyDescent="0.35">
      <c r="B44" s="1" t="s">
        <v>87</v>
      </c>
      <c r="C44" t="s">
        <v>138</v>
      </c>
      <c r="H44" s="7" t="s">
        <v>4</v>
      </c>
      <c r="I44" s="68" t="s">
        <v>8</v>
      </c>
      <c r="J44" s="73">
        <v>0</v>
      </c>
      <c r="K44" s="68" t="s">
        <v>8</v>
      </c>
      <c r="M44" s="78"/>
    </row>
    <row r="45" spans="2:13" x14ac:dyDescent="0.35">
      <c r="B45" s="78" t="s">
        <v>88</v>
      </c>
      <c r="C45" s="44" t="s">
        <v>156</v>
      </c>
      <c r="H45" s="89" t="s">
        <v>24</v>
      </c>
      <c r="I45" s="90" t="s">
        <v>158</v>
      </c>
      <c r="J45" s="68" t="s">
        <v>8</v>
      </c>
      <c r="K45" s="68" t="s">
        <v>8</v>
      </c>
      <c r="M45" s="78"/>
    </row>
    <row r="46" spans="2:13" x14ac:dyDescent="0.35">
      <c r="B46" s="78" t="s">
        <v>109</v>
      </c>
      <c r="C46" s="44" t="s">
        <v>167</v>
      </c>
      <c r="H46" s="7" t="s">
        <v>24</v>
      </c>
      <c r="I46" s="68" t="s">
        <v>8</v>
      </c>
      <c r="J46" s="77">
        <v>-5.0000000000000001E-3</v>
      </c>
      <c r="K46" s="68" t="s">
        <v>8</v>
      </c>
      <c r="M46" s="78"/>
    </row>
    <row r="47" spans="2:13" x14ac:dyDescent="0.35">
      <c r="B47" s="78" t="s">
        <v>126</v>
      </c>
      <c r="C47" s="44" t="s">
        <v>157</v>
      </c>
      <c r="H47" s="7" t="s">
        <v>27</v>
      </c>
      <c r="I47" s="113">
        <f>INDEX(Lookup!$C$25:$Z$25,1,MATCH($K$14,Lookup!$C$1:$Z$1,0))</f>
        <v>1.26</v>
      </c>
      <c r="J47" s="68" t="s">
        <v>8</v>
      </c>
      <c r="K47" s="68" t="s">
        <v>8</v>
      </c>
      <c r="M47" s="78"/>
    </row>
    <row r="48" spans="2:13" x14ac:dyDescent="0.35">
      <c r="B48" s="78" t="s">
        <v>159</v>
      </c>
      <c r="C48" s="44" t="s">
        <v>139</v>
      </c>
      <c r="H48" s="7" t="s">
        <v>27</v>
      </c>
      <c r="I48" s="68" t="s">
        <v>8</v>
      </c>
      <c r="J48" s="75">
        <v>0.01</v>
      </c>
      <c r="K48" s="68" t="s">
        <v>8</v>
      </c>
      <c r="M48" s="78"/>
    </row>
    <row r="50" spans="2:11" ht="13.15" x14ac:dyDescent="0.4">
      <c r="B50" s="4" t="s">
        <v>91</v>
      </c>
      <c r="C50" s="4"/>
      <c r="D50" s="4"/>
      <c r="E50" s="4"/>
      <c r="F50" s="4"/>
      <c r="G50" s="4"/>
      <c r="H50" s="5" t="s">
        <v>69</v>
      </c>
      <c r="I50" s="5" t="s">
        <v>162</v>
      </c>
      <c r="J50" s="5" t="s">
        <v>70</v>
      </c>
      <c r="K50" s="5" t="s">
        <v>89</v>
      </c>
    </row>
    <row r="51" spans="2:11" x14ac:dyDescent="0.35">
      <c r="B51" s="1" t="s">
        <v>108</v>
      </c>
      <c r="C51" s="44" t="s">
        <v>168</v>
      </c>
      <c r="H51" s="46">
        <f>IF(EstimateType="STS Only","NA ",'B - Rate DTS and Riders'!K48)</f>
        <v>376286.57662000001</v>
      </c>
      <c r="I51" s="46" t="str">
        <f>IF(OR(EstimateType="STS Only",PrimaryServiceCredit&lt;&gt;"Yes"),"NA ",'C - Rate PSC and Rider'!K32)</f>
        <v>NA </v>
      </c>
      <c r="J51" s="46" t="str">
        <f>IF(EstimateType="DTS Only","NA ",'D - Rate STS and Riders'!L34)</f>
        <v>NA </v>
      </c>
      <c r="K51" s="46">
        <f>SUM(H51:J51)</f>
        <v>376286.57662000001</v>
      </c>
    </row>
    <row r="52" spans="2:11" x14ac:dyDescent="0.35">
      <c r="B52" s="78" t="s">
        <v>93</v>
      </c>
      <c r="C52" s="44" t="s">
        <v>163</v>
      </c>
      <c r="H52" s="46" t="str">
        <f>IF(OR(EstimateType="STS Only",RiderC&lt;&gt;"Yes"),"NA ",'B - Rate DTS and Riders'!K56)</f>
        <v>NA </v>
      </c>
      <c r="I52" s="46" t="str">
        <f>IF(OR(EstimateType="STS Only",PrimaryServiceCredit&lt;&gt;"Yes",RiderC&lt;&gt;"Yes"),"NA ",'C - Rate PSC and Rider'!K36)</f>
        <v>NA </v>
      </c>
      <c r="J52" s="46" t="s">
        <v>90</v>
      </c>
      <c r="K52" s="46" t="str">
        <f>IF(OR(EstimateType="STS Only",RiderC&lt;&gt;"Yes"),"NA ",SUM(H52:J52))</f>
        <v>NA </v>
      </c>
    </row>
    <row r="53" spans="2:11" x14ac:dyDescent="0.35">
      <c r="B53" s="78" t="s">
        <v>94</v>
      </c>
      <c r="C53" s="44" t="s">
        <v>169</v>
      </c>
      <c r="H53" s="46" t="s">
        <v>90</v>
      </c>
      <c r="I53" s="46" t="s">
        <v>90</v>
      </c>
      <c r="J53" s="46" t="str">
        <f>IF(OR(EstimateType="DTS Only",RiderE&lt;&gt;"Yes"),"NA ",'D - Rate STS and Riders'!L37)</f>
        <v>NA </v>
      </c>
      <c r="K53" s="46" t="str">
        <f>IF(OR(EstimateType="DTS Only",RiderE&lt;&gt;"Yes"),"NA ",SUM(H53:J53))</f>
        <v>NA </v>
      </c>
    </row>
    <row r="54" spans="2:11" x14ac:dyDescent="0.35">
      <c r="B54" s="78" t="s">
        <v>95</v>
      </c>
      <c r="C54" s="44" t="s">
        <v>170</v>
      </c>
      <c r="H54" s="46" t="str">
        <f>IF(OR(EstimateType="STS Only",RiderF&lt;&gt;"Yes"),"NA ",'B - Rate DTS and Riders'!K59)</f>
        <v>NA </v>
      </c>
      <c r="I54" s="46" t="s">
        <v>90</v>
      </c>
      <c r="J54" s="46" t="s">
        <v>90</v>
      </c>
      <c r="K54" s="46" t="str">
        <f>IF(OR(EstimateType="STS Only",RiderF&lt;&gt;"Yes"),"NA ",SUM(H54:J54))</f>
        <v>NA </v>
      </c>
    </row>
    <row r="55" spans="2:11" x14ac:dyDescent="0.35">
      <c r="B55" s="78" t="s">
        <v>96</v>
      </c>
      <c r="C55" s="44" t="s">
        <v>171</v>
      </c>
      <c r="H55" s="46" t="s">
        <v>90</v>
      </c>
      <c r="I55" s="46" t="s">
        <v>90</v>
      </c>
      <c r="J55" s="46" t="str">
        <f>IF(OR(EstimateType="DTS Only",RiderJ&lt;&gt;"Yes"),"NA ",'D - Rate STS and Riders'!L40)</f>
        <v>NA </v>
      </c>
      <c r="K55" s="46" t="str">
        <f>IF(OR(EstimateType="DTS Only",RiderJ&lt;&gt;"Yes"),"NA ",SUM(H55:J55))</f>
        <v>NA </v>
      </c>
    </row>
    <row r="56" spans="2:11" ht="13.15" x14ac:dyDescent="0.4">
      <c r="B56" s="78" t="s">
        <v>97</v>
      </c>
      <c r="C56" s="4" t="s">
        <v>140</v>
      </c>
      <c r="D56" s="4"/>
      <c r="E56" s="4"/>
      <c r="F56" s="4"/>
      <c r="G56" s="4"/>
      <c r="H56" s="69">
        <f>IF(EstimateType="STS Only","NA ",SUM(H51:H55))</f>
        <v>376286.57662000001</v>
      </c>
      <c r="I56" s="69">
        <f>IF(EstimateType="STS Only","NA ",SUM(I51:I55))</f>
        <v>0</v>
      </c>
      <c r="J56" s="69" t="str">
        <f>IF(EstimateType="DTS Only","NA ",SUM(J51:J55))</f>
        <v>NA </v>
      </c>
      <c r="K56" s="69">
        <f>SUM(K51:K55)</f>
        <v>376286.57662000001</v>
      </c>
    </row>
    <row r="58" spans="2:11" ht="13.15" x14ac:dyDescent="0.4">
      <c r="B58" s="4" t="s">
        <v>92</v>
      </c>
      <c r="C58" s="4"/>
      <c r="D58" s="4"/>
      <c r="E58" s="4"/>
      <c r="F58" s="4"/>
      <c r="G58" s="4"/>
      <c r="H58" s="5" t="s">
        <v>69</v>
      </c>
      <c r="I58" s="5" t="s">
        <v>162</v>
      </c>
      <c r="J58" s="5" t="s">
        <v>70</v>
      </c>
      <c r="K58" s="5" t="s">
        <v>89</v>
      </c>
    </row>
    <row r="59" spans="2:11" x14ac:dyDescent="0.35">
      <c r="B59" s="1" t="s">
        <v>98</v>
      </c>
      <c r="C59" s="44" t="s">
        <v>168</v>
      </c>
      <c r="H59" s="46">
        <f>IF(H51="NA ","NA ",H51*12)</f>
        <v>4515438.9194400003</v>
      </c>
      <c r="I59" s="46" t="str">
        <f>IF(I51="NA ","NA ",I51*12)</f>
        <v>NA </v>
      </c>
      <c r="J59" s="46" t="str">
        <f>IF(J51="NA ","NA ",J51*12)</f>
        <v>NA </v>
      </c>
      <c r="K59" s="46">
        <f>SUM(H59:J59)</f>
        <v>4515438.9194400003</v>
      </c>
    </row>
    <row r="60" spans="2:11" x14ac:dyDescent="0.35">
      <c r="B60" s="1" t="s">
        <v>99</v>
      </c>
      <c r="C60" s="44" t="s">
        <v>163</v>
      </c>
      <c r="H60" s="46" t="str">
        <f>IF(H52="NA ","NA ",H52*12)</f>
        <v>NA </v>
      </c>
      <c r="I60" s="46" t="str">
        <f>IF(I52="NA ","NA ",I52*12)</f>
        <v>NA </v>
      </c>
      <c r="J60" s="46" t="s">
        <v>90</v>
      </c>
      <c r="K60" s="46" t="str">
        <f>IF(K52="NA ","NA ",SUM(H60:J60))</f>
        <v>NA </v>
      </c>
    </row>
    <row r="61" spans="2:11" x14ac:dyDescent="0.35">
      <c r="B61" s="1" t="s">
        <v>100</v>
      </c>
      <c r="C61" s="44" t="s">
        <v>169</v>
      </c>
      <c r="H61" s="46" t="s">
        <v>90</v>
      </c>
      <c r="I61" s="46" t="s">
        <v>90</v>
      </c>
      <c r="J61" s="46" t="str">
        <f>IF(J53="NA ","NA ",J53*12)</f>
        <v>NA </v>
      </c>
      <c r="K61" s="46" t="str">
        <f>IF(K53="NA ","NA ",SUM(H61:J61))</f>
        <v>NA </v>
      </c>
    </row>
    <row r="62" spans="2:11" x14ac:dyDescent="0.35">
      <c r="B62" s="1" t="s">
        <v>101</v>
      </c>
      <c r="C62" s="44" t="s">
        <v>170</v>
      </c>
      <c r="H62" s="46" t="str">
        <f>IF(H54="NA ","NA ",H54*12)</f>
        <v>NA </v>
      </c>
      <c r="I62" s="46" t="s">
        <v>90</v>
      </c>
      <c r="J62" s="46" t="s">
        <v>90</v>
      </c>
      <c r="K62" s="46" t="str">
        <f>IF(K54="NA ","NA ",SUM(H62:J62))</f>
        <v>NA </v>
      </c>
    </row>
    <row r="63" spans="2:11" x14ac:dyDescent="0.35">
      <c r="B63" s="1" t="s">
        <v>102</v>
      </c>
      <c r="C63" s="44" t="s">
        <v>171</v>
      </c>
      <c r="H63" s="46" t="s">
        <v>90</v>
      </c>
      <c r="I63" s="46" t="s">
        <v>90</v>
      </c>
      <c r="J63" s="46" t="str">
        <f>IF(J55="NA ","NA ",J55*12)</f>
        <v>NA </v>
      </c>
      <c r="K63" s="46" t="str">
        <f>IF(K55="NA ","NA ",SUM(H63:J63))</f>
        <v>NA </v>
      </c>
    </row>
    <row r="64" spans="2:11" ht="13.15" x14ac:dyDescent="0.4">
      <c r="B64" s="1" t="s">
        <v>103</v>
      </c>
      <c r="C64" s="4" t="s">
        <v>141</v>
      </c>
      <c r="D64" s="4"/>
      <c r="E64" s="4"/>
      <c r="F64" s="4"/>
      <c r="G64" s="4"/>
      <c r="H64" s="69">
        <f>IF(EstimateType="STS Only","NA ",SUM(H59:H63))</f>
        <v>4515438.9194400003</v>
      </c>
      <c r="I64" s="69">
        <f>IF(EstimateType="STS Only","NA ",SUM(I59:I63))</f>
        <v>0</v>
      </c>
      <c r="J64" s="69" t="str">
        <f>IF(J56="NA ","NA ",SUM(J59:J63))</f>
        <v>NA </v>
      </c>
      <c r="K64" s="69">
        <f>SUM(K59:K63)</f>
        <v>4515438.9194400003</v>
      </c>
    </row>
    <row r="65" spans="2:11" ht="13.15" x14ac:dyDescent="0.4">
      <c r="B65" s="1"/>
      <c r="C65" s="4"/>
      <c r="D65" s="4"/>
      <c r="E65" s="4"/>
      <c r="F65" s="4"/>
      <c r="G65" s="4"/>
      <c r="H65" s="72"/>
      <c r="I65" s="72"/>
      <c r="J65" s="72"/>
      <c r="K65" s="72"/>
    </row>
  </sheetData>
  <mergeCells count="14">
    <mergeCell ref="B12:K12"/>
    <mergeCell ref="D14:I14"/>
    <mergeCell ref="D15:I15"/>
    <mergeCell ref="D16:F16"/>
    <mergeCell ref="I28:J28"/>
    <mergeCell ref="J18:K18"/>
    <mergeCell ref="J19:K19"/>
    <mergeCell ref="J26:K26"/>
    <mergeCell ref="J20:K20"/>
    <mergeCell ref="J21:K21"/>
    <mergeCell ref="J22:K22"/>
    <mergeCell ref="J23:K23"/>
    <mergeCell ref="J24:K24"/>
    <mergeCell ref="J25:K25"/>
  </mergeCells>
  <phoneticPr fontId="3" type="noConversion"/>
  <conditionalFormatting sqref="I19">
    <cfRule type="expression" dxfId="30" priority="29" stopIfTrue="1">
      <formula>OR(LEFT($K$62,5)="Error",LEFT($K$63,5)="Error")</formula>
    </cfRule>
  </conditionalFormatting>
  <conditionalFormatting sqref="I20">
    <cfRule type="expression" dxfId="29" priority="30" stopIfTrue="1">
      <formula>AND(NewOrExpansion="New Service",NewOrExistingSub="Existing Substation",OtherParticipant="No")</formula>
    </cfRule>
  </conditionalFormatting>
  <conditionalFormatting sqref="I21">
    <cfRule type="expression" dxfId="28" priority="31" stopIfTrue="1">
      <formula>LEFT(#REF!,5)="Error"</formula>
    </cfRule>
  </conditionalFormatting>
  <conditionalFormatting sqref="I30:I42">
    <cfRule type="expression" dxfId="27" priority="1" stopIfTrue="1">
      <formula>AND(EstimateType&lt;&gt;"DTS Only",EstimateType&lt;&gt;"DTS and STS")</formula>
    </cfRule>
  </conditionalFormatting>
  <conditionalFormatting sqref="I43">
    <cfRule type="expression" dxfId="26" priority="37" stopIfTrue="1">
      <formula>AND(EstimateType&lt;&gt;"DTS Only",EstimateType&lt;&gt;"DTS and STS")</formula>
    </cfRule>
  </conditionalFormatting>
  <conditionalFormatting sqref="I44">
    <cfRule type="expression" dxfId="25" priority="13" stopIfTrue="1">
      <formula>OR(AND(EstimateType&lt;&gt;"DTS Only",EstimateType&lt;&gt;"DTS and STS"),RegulatedGeneratingUnit&lt;&gt;"Yes")</formula>
    </cfRule>
  </conditionalFormatting>
  <conditionalFormatting sqref="I45">
    <cfRule type="expression" dxfId="24" priority="38" stopIfTrue="1">
      <formula>OR(AND(EstimateType&lt;&gt;"DTS Only",EstimateType&lt;&gt;"DTS and STS"),RiderC="No")</formula>
    </cfRule>
  </conditionalFormatting>
  <conditionalFormatting sqref="I46">
    <cfRule type="expression" dxfId="23" priority="16" stopIfTrue="1">
      <formula>OR(AND(EstimateType&lt;&gt;"DTS Only",EstimateType&lt;&gt;"DTS and STS"),RiderE&lt;&gt;"Yes")</formula>
    </cfRule>
  </conditionalFormatting>
  <conditionalFormatting sqref="I47">
    <cfRule type="expression" dxfId="22" priority="28" stopIfTrue="1">
      <formula>OR(AND(EstimateType&lt;&gt;"DTS Only",EstimateType&lt;&gt;"DTS and STS"),RiderF="No")</formula>
    </cfRule>
  </conditionalFormatting>
  <conditionalFormatting sqref="I48">
    <cfRule type="expression" dxfId="21" priority="14" stopIfTrue="1">
      <formula>OR(AND(EstimateType&lt;&gt;"DTS Only",EstimateType&lt;&gt;"DTS and STS"),RiderJ&lt;&gt;"Yes")</formula>
    </cfRule>
  </conditionalFormatting>
  <conditionalFormatting sqref="J30">
    <cfRule type="expression" dxfId="20" priority="20" stopIfTrue="1">
      <formula>AND(EstimateType&lt;&gt;"STS Only",EstimateType&lt;&gt;"DTS and STS")</formula>
    </cfRule>
  </conditionalFormatting>
  <conditionalFormatting sqref="J31">
    <cfRule type="expression" dxfId="19" priority="7" stopIfTrue="1">
      <formula>AND(EstimateType&lt;&gt;"STS Only",EstimateType&lt;&gt;"DTS and STS")</formula>
    </cfRule>
  </conditionalFormatting>
  <conditionalFormatting sqref="J32 J37:J38">
    <cfRule type="expression" dxfId="18" priority="40" stopIfTrue="1">
      <formula>AND(EstimateType&lt;&gt;"STS Only",EstimateType&lt;&gt;"DTS and STS")</formula>
    </cfRule>
  </conditionalFormatting>
  <conditionalFormatting sqref="J33:J36 J41:J42">
    <cfRule type="expression" dxfId="17" priority="35" stopIfTrue="1">
      <formula>AND(EstimateType&lt;&gt;"STS Only",EstimateType&lt;&gt;"DTS and STS")</formula>
    </cfRule>
  </conditionalFormatting>
  <conditionalFormatting sqref="J39">
    <cfRule type="expression" dxfId="16" priority="18" stopIfTrue="1">
      <formula>AND(EstimateType&lt;&gt;"STS Only",EstimateType&lt;&gt;"DTS and STS")</formula>
    </cfRule>
  </conditionalFormatting>
  <conditionalFormatting sqref="J40">
    <cfRule type="expression" dxfId="15" priority="42" stopIfTrue="1">
      <formula>AND(EstimateType&lt;&gt;"STS Only",EstimateType&lt;&gt;"DTS and STS")</formula>
    </cfRule>
  </conditionalFormatting>
  <conditionalFormatting sqref="J43">
    <cfRule type="expression" dxfId="14" priority="21" stopIfTrue="1">
      <formula>AND(EstimateType&lt;&gt;"STS Only",EstimateType&lt;&gt;"DTS and STS")</formula>
    </cfRule>
  </conditionalFormatting>
  <conditionalFormatting sqref="J44">
    <cfRule type="expression" dxfId="13" priority="34" stopIfTrue="1">
      <formula>OR(AND(EstimateType&lt;&gt;"STS Only",EstimateType&lt;&gt;"DTS and STS"),RegulatedGeneratingUnit&lt;&gt;"Yes")</formula>
    </cfRule>
  </conditionalFormatting>
  <conditionalFormatting sqref="J45">
    <cfRule type="expression" dxfId="12" priority="17" stopIfTrue="1">
      <formula>OR(AND(EstimateType&lt;&gt;"STS Only",EstimateType&lt;&gt;"DTS and STS"),RiderC&lt;&gt;"Yes")</formula>
    </cfRule>
  </conditionalFormatting>
  <conditionalFormatting sqref="J46">
    <cfRule type="expression" dxfId="11" priority="39" stopIfTrue="1">
      <formula>OR(AND(EstimateType&lt;&gt;"STS Only",EstimateType&lt;&gt;"DTS and STS"),RiderE="No")</formula>
    </cfRule>
  </conditionalFormatting>
  <conditionalFormatting sqref="J47">
    <cfRule type="expression" dxfId="10" priority="15" stopIfTrue="1">
      <formula>OR(AND(EstimateType&lt;&gt;"STS Only",EstimateType&lt;&gt;"DTS and STS"),RiderF&lt;&gt;"Yes")</formula>
    </cfRule>
  </conditionalFormatting>
  <conditionalFormatting sqref="J48">
    <cfRule type="expression" dxfId="9" priority="22" stopIfTrue="1">
      <formula>OR(EstimateType="DTS Only",RiderJ="No")</formula>
    </cfRule>
  </conditionalFormatting>
  <conditionalFormatting sqref="K30:K31">
    <cfRule type="expression" dxfId="8" priority="32" stopIfTrue="1">
      <formula>OtherParticipant&lt;&gt;"Yes"</formula>
    </cfRule>
  </conditionalFormatting>
  <conditionalFormatting sqref="K32:K43">
    <cfRule type="expression" dxfId="7" priority="33" stopIfTrue="1">
      <formula>OtherParticipant&lt;&gt;"Yes"</formula>
    </cfRule>
  </conditionalFormatting>
  <conditionalFormatting sqref="K44">
    <cfRule type="expression" dxfId="6" priority="6" stopIfTrue="1">
      <formula>OR(OtherParticipant&lt;&gt;"Yes",RegulatedGeneratingUnit&lt;&gt;"Yes")</formula>
    </cfRule>
  </conditionalFormatting>
  <conditionalFormatting sqref="K45">
    <cfRule type="expression" dxfId="5" priority="5" stopIfTrue="1">
      <formula>OR(OtherParticipant&lt;&gt;"Yes",RiderC&lt;&gt;"Yes")</formula>
    </cfRule>
  </conditionalFormatting>
  <conditionalFormatting sqref="K46">
    <cfRule type="expression" dxfId="4" priority="4" stopIfTrue="1">
      <formula>OR(OtherParticipant&lt;&gt;"Yes",RiderE&lt;&gt;"Yes")</formula>
    </cfRule>
  </conditionalFormatting>
  <conditionalFormatting sqref="K47">
    <cfRule type="expression" dxfId="3" priority="3" stopIfTrue="1">
      <formula>OR(OtherParticipant&lt;&gt;"Yes",RiderF&lt;&gt;"Yes")</formula>
    </cfRule>
  </conditionalFormatting>
  <conditionalFormatting sqref="K48">
    <cfRule type="expression" dxfId="2" priority="2" stopIfTrue="1">
      <formula>OR(OtherParticipant&lt;&gt;"Yes",RiderJ&lt;&gt;"Yes")</formula>
    </cfRule>
  </conditionalFormatting>
  <dataValidations disablePrompts="1" xWindow="462" yWindow="699" count="30">
    <dataValidation allowBlank="1" showInputMessage="1" showErrorMessage="1" promptTitle="Market Participant" prompt="Enter name of market participant (customer) whose bill is being estimated." sqref="D14:I14" xr:uid="{00000000-0002-0000-0300-000000000000}"/>
    <dataValidation allowBlank="1" showInputMessage="1" showErrorMessage="1" promptTitle="Account" prompt="Enter settlement point ID, substation name, substation number or other identifying information." sqref="D15:I15" xr:uid="{00000000-0002-0000-0300-000001000000}"/>
    <dataValidation allowBlank="1" showInputMessage="1" showErrorMessage="1" promptTitle="Preparation Date" prompt="Enter the date on which the bill estimate is being prepared." sqref="D16:F16" xr:uid="{00000000-0002-0000-0300-000002000000}"/>
    <dataValidation type="list" showInputMessage="1" showErrorMessage="1" errorTitle="Type of Service" error="Please select type of service from list." promptTitle="Type of Service" prompt="Select type of system access service being provided to market participant." sqref="I19" xr:uid="{00000000-0002-0000-0300-000003000000}">
      <formula1>"DTS Only, STS Only, DTS and STS"</formula1>
    </dataValidation>
    <dataValidation type="list" showInputMessage="1" showErrorMessage="1" promptTitle="Other Market Participants" prompt="Select Yes if one or more other market participants receive service at the same substation under either Rate DTS or Rate STS." sqref="I20" xr:uid="{00000000-0002-0000-0300-000004000000}">
      <formula1>"Yes, No"</formula1>
    </dataValidation>
    <dataValidation type="list" showInputMessage="1" showErrorMessage="1" promptTitle="Primary Service Credit" prompt="Select Yes if the market participant receives the primary service credit for this service." sqref="I21" xr:uid="{00000000-0002-0000-0300-000005000000}">
      <formula1>"Yes, No"</formula1>
    </dataValidation>
    <dataValidation type="list" showInputMessage="1" showErrorMessage="1" promptTitle="Rider J" prompt="Select Yes if the bill estimate should include charges under Rider J, Wind Forecasting Service Cost Recovery Rider." sqref="I26" xr:uid="{00000000-0002-0000-0300-000006000000}">
      <formula1>"Yes, No"</formula1>
    </dataValidation>
    <dataValidation type="list" showInputMessage="1" showErrorMessage="1" promptTitle="Days in Month" prompt="Choose:_x000a_• 730 for average month,_x000a_• 744 for 31-day month,_x000a_• 720 for 30-day month, or_x000a_• 672 for February (or 696 in leap year)." sqref="J38" xr:uid="{00000000-0002-0000-0300-000007000000}">
      <formula1>"730, 744, 720, 672, 696"</formula1>
    </dataValidation>
    <dataValidation type="list" showInputMessage="1" showErrorMessage="1" promptTitle="Regulated Generating Unit" prompt="Select Yes if this is a regulated generating unit identified in Appendix A of the ISO tariff prior to the end of the applicable base life year provided in that Appendix." sqref="I22" xr:uid="{00000000-0002-0000-0300-000008000000}">
      <formula1>"Yes, No"</formula1>
    </dataValidation>
    <dataValidation type="list" showInputMessage="1" showErrorMessage="1" promptTitle="Rider C" prompt="Select Yes if the bill estimate should include charges or credits under Rider C, Deferral Account Adjustment Rider. Enter rider amounts on “B Rate DTS and Riders” sheet." sqref="I23" xr:uid="{00000000-0002-0000-0300-000009000000}">
      <formula1>"Yes, No"</formula1>
    </dataValidation>
    <dataValidation type="list" showInputMessage="1" showErrorMessage="1" promptTitle="Rider E" prompt="Select Yes if the bill estimate should include charges or credits under Rider E, Losses Calibration Factor Rider." sqref="I24" xr:uid="{00000000-0002-0000-0300-00000A000000}">
      <formula1>"Yes, No"</formula1>
    </dataValidation>
    <dataValidation type="list" showInputMessage="1" showErrorMessage="1" promptTitle="Rider F" prompt="Select Yes if the bill estimate should include credits under Rider F, Balancing Pool Consumer Allocation Rider." sqref="I25" xr:uid="{00000000-0002-0000-0300-00000B000000}">
      <formula1>"Yes, No"</formula1>
    </dataValidation>
    <dataValidation type="decimal" operator="greaterThanOrEqual" showInputMessage="1" showErrorMessage="1" errorTitle="Invalid Data" error="Contract capacity cannot be negative." promptTitle="Rate DTS Capacity" prompt="Enter Rate DTS contract capacity for demand transmission service at substation, in MW (megawatts), if applicable." sqref="I30" xr:uid="{00000000-0002-0000-0300-00000C000000}">
      <formula1>0</formula1>
    </dataValidation>
    <dataValidation type="decimal" operator="greaterThanOrEqual" showInputMessage="1" showErrorMessage="1" errorTitle="Invalid Data" error="Contract capacity cannot be negative." promptTitle="Rate STS Capacity" prompt="Enter Rate STS contract capacity for supply transmission service at substation, in MW (megawatts), if applicable." sqref="J30" xr:uid="{00000000-0002-0000-0300-00000D000000}">
      <formula1>0</formula1>
    </dataValidation>
    <dataValidation type="decimal" operator="greaterThanOrEqual" showInputMessage="1" showErrorMessage="1" errorTitle="Invalid Data" error="Contract capacity cannot be negative." promptTitle="Other Participant Capacity" prompt="Enter the total of all contract capacities for other market participants' services (Rate DTS, Rate STS, or SPRDA) at substation, in MW (megawatts), if applicable." sqref="K30" xr:uid="{00000000-0002-0000-0300-00000E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DTS metered demand during billing period, in MW (megawatts)." sqref="I32" xr:uid="{00000000-0002-0000-0300-00000F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STS metered demand during billing period, in MW (megawatts)." sqref="J32" xr:uid="{00000000-0002-0000-0300-000010000000}">
      <formula1>0</formula1>
    </dataValidation>
    <dataValidation type="decimal" showInputMessage="1" showErrorMessage="1" errorTitle="Invalid Data" error="Coincidence factor must be in range of 0% to 100%." promptTitle="Coincidence Factor" prompt="Enter percentage of highest Rate DTS metered demand in (k) which is on-line at time of system peak." sqref="I33" xr:uid="{00000000-0002-0000-0300-000011000000}">
      <formula1>0</formula1>
      <formula2>1</formula2>
    </dataValidation>
    <dataValidation type="custom" allowBlank="1" showInputMessage="1" showErrorMessage="1" errorTitle="Invalid Data" error="Highest previous demand cannot be less than Rate DTS highest metered demand in settlement period in (k)." promptTitle="Highest Previous Demand" prompt="Enter highest Rate DTS metered demand during past 24 months  (ending with current settlement period), in MW (megawatts)." sqref="I35" xr:uid="{00000000-0002-0000-0300-000012000000}">
      <formula1>AND(I35&gt;=0,I35&gt;=I32)</formula1>
    </dataValidation>
    <dataValidation type="decimal" showInputMessage="1" showErrorMessage="1" errorTitle="Invalid Data" error="Load factor must be in range of 0% to 100%." promptTitle="Load Factor" prompt="Enter average Rate DTS metered demand as percentage of highest Rate DTS metered demand during settlement period in (k)." sqref="I37" xr:uid="{00000000-0002-0000-0300-000013000000}">
      <formula1>0</formula1>
      <formula2>1</formula2>
    </dataValidation>
    <dataValidation type="decimal" showInputMessage="1" showErrorMessage="1" errorTitle="Invalid Data" error="Capacity factor must be in range of 0% to 100%." promptTitle="Capacity Factor" prompt="Enter average generation as percentage of highest Rate STS metered demand during settlement period in (k)." sqref="J37" xr:uid="{00000000-0002-0000-0300-000014000000}">
      <formula1>0</formula1>
      <formula2>1</formula2>
    </dataValidation>
    <dataValidation type="decimal" operator="greaterThanOrEqual" showInputMessage="1" showErrorMessage="1" errorTitle="Invalid Data" error="Pool price cannot be negative." promptTitle="Pool Price" prompt="Enter average pool price during settlement period, in $/MWh (dollars per megawatt-hour)." sqref="J40" xr:uid="{00000000-0002-0000-0300-000015000000}">
      <formula1>0</formula1>
    </dataValidation>
    <dataValidation type="decimal" showInputMessage="1" showErrorMessage="1" errorTitle="Invalid Data" error="Loss factor must be between –12% and +12% (section 31(2)(g) of Transmission Regulation)." promptTitle="Loss Factor" prompt="Enter location-specific percentage loss factor for Rate STS (system average is 3.26%)." sqref="J43" xr:uid="{00000000-0002-0000-0300-000016000000}">
      <formula1>-0.12</formula1>
      <formula2>0.12</formula2>
    </dataValidation>
    <dataValidation type="decimal" operator="greaterThanOrEqual" showInputMessage="1" showErrorMessage="1" errorTitle="Invalid Data" error="Regulated generating unit MW cannot be negative." promptTitle="Regulated Generating Unit MW" prompt="Enter the regulated generating unit MW from Appendix A of the ISO tariff, if applicable." sqref="J44" xr:uid="{00000000-0002-0000-0300-000017000000}">
      <formula1>0</formula1>
    </dataValidation>
    <dataValidation showInputMessage="1" promptTitle="Rider C Charge or Credit" prompt="Enter the percentage charge or credit by rate component on the “B Rate DTS and Riders” sheet, from the applicable Rider C quarterly deferral estimate on the AESO website." sqref="I45" xr:uid="{00000000-0002-0000-0300-000018000000}"/>
    <dataValidation type="decimal" showInputMessage="1" showErrorMessage="1" errorTitle="Invalid Data" error="Rider E adjustment must be between –12% and +12% (section 31(2)(g) of Transmission Regulation)." promptTitle="Rider E Adjustment" prompt="Enter the increase or decrease calculated in the applicable Rider E quarterly deferral estimate on the AESO website." sqref="J46" xr:uid="{00000000-0002-0000-0300-000019000000}">
      <formula1>-0.12</formula1>
      <formula2>0.12</formula2>
    </dataValidation>
    <dataValidation type="decimal" showInputMessage="1" showErrorMessage="1" errorTitle="Invalid Data" error="Rider F must be a number." promptTitle="Rider F Credit" prompt="Enter the credit for Rider F, Balancing Pool Consumer Allocation Rider." sqref="I47" xr:uid="{00000000-0002-0000-0300-00001A000000}">
      <formula1>-100</formula1>
      <formula2>100</formula2>
    </dataValidation>
    <dataValidation type="decimal" showInputMessage="1" showErrorMessage="1" errorTitle="Invalid Data" error="Rider J must be a number." promptTitle="Rider J Charge" prompt="Enter the charge for Rider J, Wind Forecasting Service Cost Recovery Rider." sqref="J48" xr:uid="{00000000-0002-0000-0300-00001B000000}">
      <formula1>-100</formula1>
      <formula2>100</formula2>
    </dataValidation>
    <dataValidation type="list" showInputMessage="1" showErrorMessage="1" promptTitle="Hours in Month" prompt="Choose:_x000a_• 730 for average month,_x000a_• 744 for 31-day month,_x000a_• 720 for 30-day month, or_x000a_• 672 for February (or 696 in leap year)." sqref="I38" xr:uid="{00000000-0002-0000-0300-00001C000000}">
      <formula1>"730, 744, 720, 672, 696"</formula1>
    </dataValidation>
    <dataValidation type="list" allowBlank="1" showInputMessage="1" showErrorMessage="1" sqref="K14" xr:uid="{00000000-0002-0000-0300-00001D000000}">
      <formula1>AESOTariff</formula1>
    </dataValidation>
  </dataValidations>
  <printOptions horizontalCentered="1"/>
  <pageMargins left="0.23622047244094491" right="0.23622047244094491" top="0.51181102362204722" bottom="0.23622047244094491" header="0.31496062992125984" footer="0.31496062992125984"/>
  <pageSetup orientation="portrait" r:id="rId1"/>
  <headerFooter alignWithMargins="0">
    <oddFooter>&amp;L&amp;8&amp;F&amp;R&amp;8Confidentiality: Proprietary When Completed
Page &amp;P of &amp;N</oddFooter>
  </headerFooter>
  <ignoredErrors>
    <ignoredError sqref="I40:I41 I47" unlockedFormula="1"/>
    <ignoredError sqref="B51:B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8:M61"/>
  <sheetViews>
    <sheetView showGridLines="0" zoomScaleNormal="100" zoomScaleSheetLayoutView="115" workbookViewId="0"/>
  </sheetViews>
  <sheetFormatPr defaultColWidth="9.59765625" defaultRowHeight="12.75" x14ac:dyDescent="0.35"/>
  <cols>
    <col min="1" max="1" width="3.73046875" customWidth="1"/>
    <col min="2" max="2" width="7.3984375" customWidth="1"/>
    <col min="3" max="3" width="8.3984375" customWidth="1"/>
    <col min="4" max="4" width="9.59765625" customWidth="1"/>
    <col min="5" max="5" width="8.59765625" customWidth="1"/>
    <col min="6" max="6" width="8" bestFit="1" customWidth="1"/>
    <col min="7" max="7" width="11.1328125" customWidth="1"/>
    <col min="8" max="8" width="11.3984375" customWidth="1"/>
    <col min="9" max="10" width="10.3984375" customWidth="1"/>
    <col min="11" max="11" width="13.265625" customWidth="1"/>
    <col min="12" max="12" width="3.73046875" customWidth="1"/>
  </cols>
  <sheetData>
    <row r="8" spans="2:11" s="2" customFormat="1" ht="31.5" customHeight="1" x14ac:dyDescent="0.65">
      <c r="B8" s="130" t="str">
        <f>"Attachment B: Rate DTS Bill Estimate Under "&amp;RIGHT('A - Inputs and Summary'!K14,4)&amp;" ISO Tariff"</f>
        <v>Attachment B: Rate DTS Bill Estimate Under 2026 ISO Tariff</v>
      </c>
      <c r="C8" s="130"/>
      <c r="D8" s="130"/>
      <c r="E8" s="130"/>
      <c r="F8" s="130"/>
      <c r="G8" s="130"/>
      <c r="H8" s="130"/>
      <c r="I8" s="130"/>
      <c r="J8" s="130"/>
      <c r="K8" s="130"/>
    </row>
    <row r="9" spans="2:11" s="3" customFormat="1" ht="17.25" customHeight="1" x14ac:dyDescent="0.2"/>
    <row r="10" spans="2:11" ht="13.15" x14ac:dyDescent="0.4">
      <c r="B10" s="44" t="s">
        <v>201</v>
      </c>
      <c r="D10" s="142" t="str">
        <f>ParticipantName</f>
        <v>Name of Market Participant</v>
      </c>
      <c r="E10" s="142"/>
      <c r="F10" s="142"/>
      <c r="G10" s="142"/>
      <c r="H10" s="142"/>
      <c r="I10" s="142"/>
      <c r="J10" s="36" t="s">
        <v>0</v>
      </c>
      <c r="K10" s="112" t="str">
        <f>'A - Inputs and Summary'!K14</f>
        <v>AESO 2026</v>
      </c>
    </row>
    <row r="11" spans="2:11" ht="13.15" x14ac:dyDescent="0.4">
      <c r="B11" t="s">
        <v>21</v>
      </c>
      <c r="D11" s="143" t="str">
        <f>AccountID</f>
        <v>Account ID</v>
      </c>
      <c r="E11" s="143"/>
      <c r="F11" s="143"/>
      <c r="G11" s="143"/>
      <c r="H11" s="143"/>
      <c r="I11" s="143"/>
      <c r="J11" s="36" t="s">
        <v>1</v>
      </c>
      <c r="K11" s="111">
        <f>'A - Inputs and Summary'!K15</f>
        <v>46023</v>
      </c>
    </row>
    <row r="12" spans="2:11" x14ac:dyDescent="0.35">
      <c r="B12" t="s">
        <v>5</v>
      </c>
      <c r="D12" s="141" t="str">
        <f>PreparationDate</f>
        <v>Date Prepared</v>
      </c>
      <c r="E12" s="141"/>
      <c r="F12" s="141"/>
      <c r="G12" s="44"/>
      <c r="H12" s="34"/>
      <c r="I12" s="35"/>
      <c r="J12" s="36" t="s">
        <v>2</v>
      </c>
      <c r="K12" s="111" t="str">
        <f>'A - Inputs and Summary'!K16</f>
        <v>current</v>
      </c>
    </row>
    <row r="13" spans="2:11" x14ac:dyDescent="0.35">
      <c r="K13" s="7"/>
    </row>
    <row r="14" spans="2:11" ht="13.15" x14ac:dyDescent="0.4">
      <c r="C14" s="135" t="s">
        <v>63</v>
      </c>
      <c r="D14" s="135"/>
      <c r="E14" s="135"/>
      <c r="F14" s="135"/>
      <c r="G14" s="135"/>
      <c r="H14" s="5" t="s">
        <v>6</v>
      </c>
      <c r="I14" s="135" t="s">
        <v>46</v>
      </c>
      <c r="J14" s="135"/>
    </row>
    <row r="15" spans="2:11" x14ac:dyDescent="0.35">
      <c r="C15" s="36" t="str">
        <f>'A - Inputs and Summary'!B31</f>
        <v>(j)</v>
      </c>
      <c r="D15" t="s">
        <v>43</v>
      </c>
      <c r="H15" s="7" t="s">
        <v>122</v>
      </c>
      <c r="I15" s="39">
        <f>IF(EstimateType="STS Only","NA",'A - Inputs and Summary'!I31)</f>
        <v>1</v>
      </c>
    </row>
    <row r="16" spans="2:11" x14ac:dyDescent="0.35">
      <c r="C16" s="36" t="str">
        <f>'A - Inputs and Summary'!B32</f>
        <v>(k)</v>
      </c>
      <c r="D16" t="s">
        <v>51</v>
      </c>
      <c r="H16" s="7" t="s">
        <v>122</v>
      </c>
      <c r="I16" s="37">
        <f>IF(EstimateType="STS Only","NA",'A - Inputs and Summary'!I32)</f>
        <v>20</v>
      </c>
      <c r="J16" t="str">
        <f>IF(EstimateType="STS Only","","MW")</f>
        <v>MW</v>
      </c>
    </row>
    <row r="17" spans="2:11" x14ac:dyDescent="0.35">
      <c r="C17" s="36" t="s">
        <v>77</v>
      </c>
      <c r="D17" t="s">
        <v>29</v>
      </c>
      <c r="H17" s="42" t="s">
        <v>66</v>
      </c>
      <c r="I17" s="37">
        <f>IF(EstimateType="STS Only","NA",'A - Inputs and Summary'!I34)</f>
        <v>15</v>
      </c>
      <c r="J17" t="str">
        <f>IF(EstimateType="STS Only","","MW")</f>
        <v>MW</v>
      </c>
    </row>
    <row r="18" spans="2:11" x14ac:dyDescent="0.35">
      <c r="C18" s="36" t="str">
        <f>'A - Inputs and Summary'!B36</f>
        <v>(o)</v>
      </c>
      <c r="D18" t="s">
        <v>31</v>
      </c>
      <c r="H18" s="7" t="s">
        <v>122</v>
      </c>
      <c r="I18" s="37">
        <f>IF(EstimateType="STS Only","NA",'A - Inputs and Summary'!I36)</f>
        <v>20</v>
      </c>
      <c r="J18" t="str">
        <f>IF(EstimateType="STS Only","","MW")</f>
        <v>MW</v>
      </c>
    </row>
    <row r="19" spans="2:11" x14ac:dyDescent="0.35">
      <c r="C19" s="36" t="str">
        <f>'A - Inputs and Summary'!B39</f>
        <v>(r)</v>
      </c>
      <c r="D19" t="s">
        <v>30</v>
      </c>
      <c r="H19" s="7" t="s">
        <v>122</v>
      </c>
      <c r="I19" s="38">
        <f>IF(EstimateType="STS Only","NA",'A - Inputs and Summary'!I39)</f>
        <v>9490</v>
      </c>
      <c r="J19" t="str">
        <f>IF(EstimateType="STS Only","","MWh")</f>
        <v>MWh</v>
      </c>
    </row>
    <row r="20" spans="2:11" x14ac:dyDescent="0.35">
      <c r="C20" s="36" t="str">
        <f>'A - Inputs and Summary'!B40</f>
        <v>(s)</v>
      </c>
      <c r="D20" t="s">
        <v>65</v>
      </c>
      <c r="H20" s="7" t="s">
        <v>122</v>
      </c>
      <c r="I20" s="40">
        <f>'A - Inputs and Summary'!I40</f>
        <v>51.26</v>
      </c>
      <c r="J20" s="1" t="str">
        <f>IF(EstimateType="STS Only","","/MWh")</f>
        <v>/MWh</v>
      </c>
    </row>
    <row r="21" spans="2:11" x14ac:dyDescent="0.35">
      <c r="C21" s="36" t="str">
        <f>'A - Inputs and Summary'!B41</f>
        <v>(t)</v>
      </c>
      <c r="D21" t="s">
        <v>110</v>
      </c>
      <c r="H21" s="7" t="s">
        <v>111</v>
      </c>
      <c r="I21" s="103">
        <f>'A - Inputs and Summary'!I41</f>
        <v>8.1299999999999997E-2</v>
      </c>
      <c r="J21" s="1"/>
    </row>
    <row r="22" spans="2:11" x14ac:dyDescent="0.35">
      <c r="C22" s="43" t="str">
        <f>'A - Inputs and Summary'!B42</f>
        <v>(u)</v>
      </c>
      <c r="D22" t="s">
        <v>52</v>
      </c>
      <c r="H22" s="89" t="s">
        <v>145</v>
      </c>
      <c r="I22" s="37">
        <f>IF(EstimateType="STS Only","NA",'A - Inputs and Summary'!I42)</f>
        <v>0</v>
      </c>
      <c r="J22" t="str">
        <f>IF(EstimateType="STS Only","","MVA")</f>
        <v>MVA</v>
      </c>
    </row>
    <row r="24" spans="2:11" ht="13.15" x14ac:dyDescent="0.4">
      <c r="B24" s="135" t="s">
        <v>64</v>
      </c>
      <c r="C24" s="135"/>
      <c r="D24" s="135"/>
      <c r="E24" s="135"/>
      <c r="F24" s="135"/>
      <c r="G24" s="135" t="s">
        <v>45</v>
      </c>
      <c r="H24" s="135"/>
      <c r="I24" s="135" t="s">
        <v>46</v>
      </c>
      <c r="J24" s="135"/>
      <c r="K24" s="41" t="s">
        <v>7</v>
      </c>
    </row>
    <row r="25" spans="2:11" s="44" customFormat="1" ht="13.15" x14ac:dyDescent="0.4">
      <c r="B25" s="138" t="s">
        <v>57</v>
      </c>
      <c r="C25" s="139"/>
      <c r="D25" s="139"/>
      <c r="E25" s="139"/>
      <c r="F25" s="139"/>
      <c r="G25" s="139"/>
      <c r="H25" s="139"/>
      <c r="I25" s="139"/>
      <c r="J25" s="139"/>
      <c r="K25" s="140"/>
    </row>
    <row r="26" spans="2:11" ht="13.15" x14ac:dyDescent="0.4">
      <c r="B26" s="4" t="s">
        <v>35</v>
      </c>
      <c r="D26" s="4"/>
      <c r="E26" s="4"/>
      <c r="F26" s="4"/>
      <c r="G26" s="4"/>
      <c r="H26" s="4"/>
      <c r="I26" s="48"/>
      <c r="J26" s="4"/>
      <c r="K26" s="8"/>
    </row>
    <row r="27" spans="2:11" x14ac:dyDescent="0.35">
      <c r="B27" s="28" t="s">
        <v>28</v>
      </c>
      <c r="C27" s="29"/>
      <c r="D27" s="29"/>
      <c r="E27" s="29"/>
      <c r="F27" s="29"/>
      <c r="G27" s="30"/>
      <c r="H27" s="29"/>
      <c r="I27" s="49"/>
      <c r="J27" s="29"/>
      <c r="K27" s="59"/>
    </row>
    <row r="28" spans="2:11" x14ac:dyDescent="0.35">
      <c r="B28" s="15" t="s">
        <v>203</v>
      </c>
      <c r="C28" t="s">
        <v>29</v>
      </c>
      <c r="G28" s="99">
        <f>INDEX(Lookup!$C$4:$Z$4,1,MATCH($K$10,Lookup!$C$1:$Z$1,0))</f>
        <v>10927</v>
      </c>
      <c r="H28" s="1" t="s">
        <v>49</v>
      </c>
      <c r="I28" s="37">
        <f>I17</f>
        <v>15</v>
      </c>
      <c r="J28" s="1" t="str">
        <f>J17</f>
        <v>MW</v>
      </c>
      <c r="K28" s="60">
        <f>IF(EstimateType="STS Only","NA ",G28*I28)</f>
        <v>163905</v>
      </c>
    </row>
    <row r="29" spans="2:11" x14ac:dyDescent="0.35">
      <c r="B29" s="16" t="s">
        <v>204</v>
      </c>
      <c r="C29" s="17" t="s">
        <v>30</v>
      </c>
      <c r="D29" s="17"/>
      <c r="E29" s="17"/>
      <c r="F29" s="17"/>
      <c r="G29" s="99">
        <f>INDEX(Lookup!$C$5:$Z$5,1,MATCH($K$10,Lookup!$C$1:$Z$1,0))</f>
        <v>1.23</v>
      </c>
      <c r="H29" s="18" t="s">
        <v>47</v>
      </c>
      <c r="I29" s="50">
        <f>I19</f>
        <v>9490</v>
      </c>
      <c r="J29" s="18" t="str">
        <f>J19</f>
        <v>MWh</v>
      </c>
      <c r="K29" s="61">
        <f>IF(EstimateType="STS Only","NA ",G29*I29)</f>
        <v>11672.7</v>
      </c>
    </row>
    <row r="30" spans="2:11" x14ac:dyDescent="0.35">
      <c r="B30" s="31" t="s">
        <v>146</v>
      </c>
      <c r="C30" s="32"/>
      <c r="D30" s="32"/>
      <c r="E30" s="32"/>
      <c r="F30" s="32"/>
      <c r="G30" s="33"/>
      <c r="H30" s="32"/>
      <c r="I30" s="51"/>
      <c r="J30" s="32"/>
      <c r="K30" s="62"/>
    </row>
    <row r="31" spans="2:11" x14ac:dyDescent="0.35">
      <c r="B31" s="15" t="s">
        <v>205</v>
      </c>
      <c r="C31" t="s">
        <v>31</v>
      </c>
      <c r="G31" s="99">
        <f>INDEX(Lookup!$C$6:$Z$6,1,MATCH($K$10,Lookup!$C$1:$Z$1,0))</f>
        <v>2987</v>
      </c>
      <c r="H31" s="1" t="s">
        <v>49</v>
      </c>
      <c r="I31" s="37">
        <f>I18</f>
        <v>20</v>
      </c>
      <c r="J31" s="1" t="str">
        <f>J18</f>
        <v>MW</v>
      </c>
      <c r="K31" s="60">
        <f>IF(EstimateType="STS Only","NA ",G31*I31)</f>
        <v>59740</v>
      </c>
    </row>
    <row r="32" spans="2:11" x14ac:dyDescent="0.35">
      <c r="B32" s="16" t="s">
        <v>206</v>
      </c>
      <c r="C32" s="17" t="s">
        <v>30</v>
      </c>
      <c r="D32" s="17"/>
      <c r="E32" s="17"/>
      <c r="F32" s="17"/>
      <c r="G32" s="99">
        <f>INDEX(Lookup!$C$7:$Z$7,1,MATCH($K$10,Lookup!$C$1:$Z$1,0))</f>
        <v>0.93</v>
      </c>
      <c r="H32" s="18" t="s">
        <v>47</v>
      </c>
      <c r="I32" s="50">
        <f>I19</f>
        <v>9490</v>
      </c>
      <c r="J32" s="18" t="str">
        <f>J19</f>
        <v>MWh</v>
      </c>
      <c r="K32" s="61">
        <f>IF(EstimateType="STS Only","NA ",G32*I32)</f>
        <v>8825.7000000000007</v>
      </c>
    </row>
    <row r="33" spans="2:13" x14ac:dyDescent="0.35">
      <c r="B33" s="31" t="s">
        <v>32</v>
      </c>
      <c r="C33" s="32"/>
      <c r="D33" s="32"/>
      <c r="E33" s="32"/>
      <c r="F33" s="32"/>
      <c r="G33" s="33"/>
      <c r="H33" s="32"/>
      <c r="I33" s="51"/>
      <c r="J33" s="32"/>
      <c r="K33" s="62"/>
    </row>
    <row r="34" spans="2:13" x14ac:dyDescent="0.35">
      <c r="B34" s="15" t="s">
        <v>207</v>
      </c>
      <c r="C34" t="s">
        <v>33</v>
      </c>
      <c r="G34" s="99">
        <f>INDEX(Lookup!$C$8:$Z$8,1,MATCH($K$10,Lookup!$C$1:$Z$1,0))</f>
        <v>15562</v>
      </c>
      <c r="H34" s="1" t="s">
        <v>48</v>
      </c>
      <c r="I34" s="39">
        <f>IF(EstimateType="STS Only","NA",I15)</f>
        <v>1</v>
      </c>
      <c r="K34" s="60">
        <f>IF(EstimateType="STS Only","NA ",G34*I34)</f>
        <v>15562</v>
      </c>
    </row>
    <row r="35" spans="2:13" x14ac:dyDescent="0.35">
      <c r="B35" s="15" t="s">
        <v>208</v>
      </c>
      <c r="C35" t="s">
        <v>40</v>
      </c>
      <c r="G35" s="99">
        <f>INDEX(Lookup!$C$9:$Z$9,1,MATCH($K$10,Lookup!$C$1:$Z$1,0))</f>
        <v>5122</v>
      </c>
      <c r="H35" s="1" t="s">
        <v>49</v>
      </c>
      <c r="I35" s="37">
        <f>IF(EstimateType="STS Only","NA",MIN(I18,7.5*I15))</f>
        <v>7.5</v>
      </c>
      <c r="J35" s="1" t="str">
        <f>J18</f>
        <v>MW</v>
      </c>
      <c r="K35" s="60">
        <f>IF(EstimateType="STS Only","NA ",G35*I35)</f>
        <v>38415</v>
      </c>
    </row>
    <row r="36" spans="2:13" x14ac:dyDescent="0.35">
      <c r="B36" s="15" t="s">
        <v>209</v>
      </c>
      <c r="C36" t="s">
        <v>41</v>
      </c>
      <c r="G36" s="99">
        <f>INDEX(Lookup!$C$10:$Z$10,1,MATCH($K$10,Lookup!$C$1:$Z$1,0))</f>
        <v>3037</v>
      </c>
      <c r="H36" s="1" t="s">
        <v>49</v>
      </c>
      <c r="I36" s="37">
        <f>IF(EstimateType="STS Only","NA",MAX(MIN(I18,17*I15)-(7.5*I15),0))</f>
        <v>9.5</v>
      </c>
      <c r="J36" s="1" t="str">
        <f>J18</f>
        <v>MW</v>
      </c>
      <c r="K36" s="60">
        <f>IF(EstimateType="STS Only","NA ",G36*I36)</f>
        <v>28851.5</v>
      </c>
    </row>
    <row r="37" spans="2:13" x14ac:dyDescent="0.35">
      <c r="B37" s="15" t="s">
        <v>210</v>
      </c>
      <c r="C37" t="s">
        <v>42</v>
      </c>
      <c r="G37" s="99">
        <f>INDEX(Lookup!$C$11:$Z$11,1,MATCH($K$10,Lookup!$C$1:$Z$1,0))</f>
        <v>2033</v>
      </c>
      <c r="H37" s="1" t="s">
        <v>49</v>
      </c>
      <c r="I37" s="37">
        <f>IF(EstimateType="STS Only","NA",MAX(MIN(I18,40*I15)-(17*I15),0))</f>
        <v>3</v>
      </c>
      <c r="J37" s="1" t="str">
        <f>J18</f>
        <v>MW</v>
      </c>
      <c r="K37" s="60">
        <f>IF(EstimateType="STS Only","NA ",G37*I37)</f>
        <v>6099</v>
      </c>
    </row>
    <row r="38" spans="2:13" x14ac:dyDescent="0.35">
      <c r="B38" s="21" t="s">
        <v>211</v>
      </c>
      <c r="C38" s="19" t="s">
        <v>34</v>
      </c>
      <c r="D38" s="19"/>
      <c r="E38" s="19"/>
      <c r="F38" s="19"/>
      <c r="G38" s="100">
        <f>INDEX(Lookup!$C$12:$Z$12,1,MATCH($K$10,Lookup!$C$1:$Z$1,0))</f>
        <v>1252</v>
      </c>
      <c r="H38" s="20" t="s">
        <v>49</v>
      </c>
      <c r="I38" s="52">
        <f>IF(EstimateType="STS Only","NA",MAX(I18-(40*I15),0))</f>
        <v>0</v>
      </c>
      <c r="J38" s="20" t="str">
        <f>J18</f>
        <v>MW</v>
      </c>
      <c r="K38" s="63">
        <f>IF(EstimateType="STS Only","NA ",G38*I38)</f>
        <v>0</v>
      </c>
    </row>
    <row r="39" spans="2:13" ht="13.15" x14ac:dyDescent="0.4">
      <c r="B39" s="4" t="s">
        <v>36</v>
      </c>
      <c r="D39" s="4"/>
      <c r="E39" s="4"/>
      <c r="F39" s="4"/>
      <c r="G39" s="4"/>
      <c r="H39" s="4"/>
      <c r="I39" s="48"/>
      <c r="J39" s="4"/>
      <c r="K39" s="8"/>
    </row>
    <row r="40" spans="2:13" x14ac:dyDescent="0.35">
      <c r="B40" s="9" t="s">
        <v>104</v>
      </c>
      <c r="C40" s="10" t="s">
        <v>30</v>
      </c>
      <c r="D40" s="10"/>
      <c r="E40" s="57" t="s">
        <v>50</v>
      </c>
      <c r="F40" s="76">
        <f>IF(EstimateType="STS Only","×  NA",I21)</f>
        <v>8.1299999999999997E-2</v>
      </c>
      <c r="G40" s="58">
        <f>IF(EstimateType="STS Only","=         NA",I20*F40)</f>
        <v>4.1674379999999998</v>
      </c>
      <c r="H40" s="56" t="s">
        <v>47</v>
      </c>
      <c r="I40" s="53">
        <f>I19</f>
        <v>9490</v>
      </c>
      <c r="J40" s="11" t="str">
        <f>J19</f>
        <v>MWh</v>
      </c>
      <c r="K40" s="64">
        <f>IF(EstimateType="STS Only","NA ",G40*I40)</f>
        <v>39548.986619999996</v>
      </c>
    </row>
    <row r="41" spans="2:13" ht="13.15" x14ac:dyDescent="0.4">
      <c r="B41" s="4" t="s">
        <v>147</v>
      </c>
      <c r="D41" s="4"/>
      <c r="E41" s="4"/>
      <c r="F41" s="4"/>
      <c r="G41" s="4"/>
      <c r="H41" s="4"/>
      <c r="I41" s="48"/>
      <c r="J41" s="4"/>
      <c r="K41" s="8"/>
    </row>
    <row r="42" spans="2:13" x14ac:dyDescent="0.35">
      <c r="B42" s="9" t="s">
        <v>37</v>
      </c>
      <c r="C42" s="10" t="s">
        <v>30</v>
      </c>
      <c r="D42" s="10"/>
      <c r="E42" s="10"/>
      <c r="F42" s="10"/>
      <c r="G42" s="101">
        <f>INDEX(Lookup!$C$20:$Z$20,1,MATCH($K$10,Lookup!$C$1:$Z$1,0))</f>
        <v>0.13100000000000001</v>
      </c>
      <c r="H42" s="11" t="s">
        <v>47</v>
      </c>
      <c r="I42" s="53">
        <f>I19</f>
        <v>9490</v>
      </c>
      <c r="J42" s="11" t="str">
        <f>J18</f>
        <v>MW</v>
      </c>
      <c r="K42" s="64">
        <f>IF(EstimateType="STS Only","NA ",G42*I42)</f>
        <v>1243.19</v>
      </c>
    </row>
    <row r="43" spans="2:13" ht="13.15" x14ac:dyDescent="0.4">
      <c r="B43" s="4" t="s">
        <v>38</v>
      </c>
      <c r="D43" s="4"/>
      <c r="E43" s="4"/>
      <c r="F43" s="4"/>
      <c r="G43" s="4"/>
      <c r="H43" s="4"/>
      <c r="I43" s="48"/>
      <c r="J43" s="4"/>
      <c r="K43" s="8"/>
    </row>
    <row r="44" spans="2:13" x14ac:dyDescent="0.35">
      <c r="B44" s="79" t="s">
        <v>142</v>
      </c>
      <c r="C44" s="10" t="s">
        <v>30</v>
      </c>
      <c r="D44" s="10"/>
      <c r="E44" s="10"/>
      <c r="F44" s="10"/>
      <c r="G44" s="98">
        <f>INDEX(Lookup!$C$21:$Z$21,1,MATCH($K$10,Lookup!$C$1:$Z$1,0))</f>
        <v>0.15</v>
      </c>
      <c r="H44" s="11" t="s">
        <v>47</v>
      </c>
      <c r="I44" s="53">
        <f>I19</f>
        <v>9490</v>
      </c>
      <c r="J44" s="11" t="str">
        <f>J19</f>
        <v>MWh</v>
      </c>
      <c r="K44" s="64">
        <f>IF(EstimateType="STS Only","NA ",G44*I44)</f>
        <v>1423.5</v>
      </c>
    </row>
    <row r="45" spans="2:13" ht="13.15" x14ac:dyDescent="0.4">
      <c r="B45" s="4" t="s">
        <v>39</v>
      </c>
      <c r="C45" s="4"/>
      <c r="D45" s="4"/>
      <c r="E45" s="4"/>
      <c r="F45" s="4"/>
      <c r="G45" s="4"/>
      <c r="H45" s="4"/>
      <c r="I45" s="48"/>
      <c r="J45" s="4"/>
      <c r="K45" s="8"/>
    </row>
    <row r="46" spans="2:13" x14ac:dyDescent="0.35">
      <c r="B46" s="80" t="s">
        <v>143</v>
      </c>
      <c r="C46" s="13" t="s">
        <v>51</v>
      </c>
      <c r="D46" s="13"/>
      <c r="E46" s="13"/>
      <c r="F46" s="13"/>
      <c r="G46" s="102">
        <f>INDEX(Lookup!$C$22:$Z$22,1,MATCH($K$10,Lookup!$C$1:$Z$1,0))</f>
        <v>50</v>
      </c>
      <c r="H46" s="14" t="s">
        <v>49</v>
      </c>
      <c r="I46" s="54">
        <f>I16</f>
        <v>20</v>
      </c>
      <c r="J46" s="14" t="str">
        <f>J16</f>
        <v>MW</v>
      </c>
      <c r="K46" s="65">
        <f>IF(EstimateType="STS Only","NA ",G46*I46)</f>
        <v>1000</v>
      </c>
    </row>
    <row r="47" spans="2:13" x14ac:dyDescent="0.35">
      <c r="B47" s="81" t="s">
        <v>144</v>
      </c>
      <c r="C47" s="19" t="s">
        <v>52</v>
      </c>
      <c r="D47" s="19"/>
      <c r="E47" s="19"/>
      <c r="F47" s="19"/>
      <c r="G47" s="100">
        <f>INDEX(Lookup!$C$24:$Z$24,1,MATCH($K$10,Lookup!$C$1:$Z$1,0))</f>
        <v>400</v>
      </c>
      <c r="H47" s="20" t="s">
        <v>53</v>
      </c>
      <c r="I47" s="52">
        <f>I22</f>
        <v>0</v>
      </c>
      <c r="J47" s="20" t="str">
        <f>J22</f>
        <v>MVA</v>
      </c>
      <c r="K47" s="63">
        <f>IF(EstimateType="STS Only","NA ",G47*I47)</f>
        <v>0</v>
      </c>
      <c r="M47" s="44"/>
    </row>
    <row r="48" spans="2:13" ht="13.15" x14ac:dyDescent="0.4">
      <c r="B48" s="22" t="s">
        <v>61</v>
      </c>
      <c r="C48" s="23"/>
      <c r="D48" s="23"/>
      <c r="E48" s="23"/>
      <c r="F48" s="23"/>
      <c r="G48" s="24"/>
      <c r="H48" s="25"/>
      <c r="I48" s="55"/>
      <c r="J48" s="25"/>
      <c r="K48" s="66">
        <f>IF(EstimateType="STS Only","NA ",SUM(K27:K47))</f>
        <v>376286.57662000001</v>
      </c>
    </row>
    <row r="49" spans="2:11" ht="9" customHeight="1" x14ac:dyDescent="0.35">
      <c r="K49" s="6"/>
    </row>
    <row r="50" spans="2:11" s="44" customFormat="1" ht="13.15" x14ac:dyDescent="0.4">
      <c r="B50" s="138" t="s">
        <v>59</v>
      </c>
      <c r="C50" s="139"/>
      <c r="D50" s="139"/>
      <c r="E50" s="139"/>
      <c r="F50" s="139"/>
      <c r="G50" s="139"/>
      <c r="H50" s="139"/>
      <c r="I50" s="139"/>
      <c r="J50" s="139"/>
      <c r="K50" s="140"/>
    </row>
    <row r="51" spans="2:11" x14ac:dyDescent="0.35">
      <c r="B51" s="12" t="s">
        <v>220</v>
      </c>
      <c r="C51" s="84" t="s">
        <v>150</v>
      </c>
      <c r="D51" s="13"/>
      <c r="E51" s="13"/>
      <c r="F51" s="13"/>
      <c r="G51" s="88">
        <v>0</v>
      </c>
      <c r="H51" s="14"/>
      <c r="I51" s="86" t="str">
        <f>IF(OR(EstimateType="STS Only",RiderC&lt;&gt;"Yes"),"NA",SUM(K27:K38))</f>
        <v>NA</v>
      </c>
      <c r="J51" s="13"/>
      <c r="K51" s="65" t="str">
        <f>IF(OR(EstimateType="STS Only",RiderC&lt;&gt;"Yes"),"NA ",G51*I51)</f>
        <v>NA </v>
      </c>
    </row>
    <row r="52" spans="2:11" x14ac:dyDescent="0.35">
      <c r="B52" s="15" t="s">
        <v>221</v>
      </c>
      <c r="C52" s="44" t="s">
        <v>148</v>
      </c>
      <c r="G52" s="88">
        <v>0</v>
      </c>
      <c r="H52" s="1"/>
      <c r="I52" s="46" t="str">
        <f>IF(OR(EstimateType="STS Only",RiderC&lt;&gt;"Yes"),"NA",K40)</f>
        <v>NA</v>
      </c>
      <c r="J52" s="1"/>
      <c r="K52" s="60" t="str">
        <f>IF(OR(EstimateType="STS Only",RiderC&lt;&gt;"Yes"),"NA ",G52*I52)</f>
        <v>NA </v>
      </c>
    </row>
    <row r="53" spans="2:11" x14ac:dyDescent="0.35">
      <c r="B53" s="15" t="s">
        <v>222</v>
      </c>
      <c r="C53" s="44" t="s">
        <v>151</v>
      </c>
      <c r="G53" s="88">
        <v>0</v>
      </c>
      <c r="H53" s="1"/>
      <c r="I53" s="46" t="str">
        <f>IF(OR(EstimateType="STS Only",RiderC&lt;&gt;"Yes"),"NA",K42)</f>
        <v>NA</v>
      </c>
      <c r="J53" s="1"/>
      <c r="K53" s="60" t="str">
        <f>IF(OR(EstimateType="STS Only",RiderC&lt;&gt;"Yes"),"NA ",G53*I53)</f>
        <v>NA </v>
      </c>
    </row>
    <row r="54" spans="2:11" x14ac:dyDescent="0.35">
      <c r="B54" s="15" t="s">
        <v>223</v>
      </c>
      <c r="C54" s="44" t="s">
        <v>149</v>
      </c>
      <c r="G54" s="88">
        <v>0</v>
      </c>
      <c r="H54" s="1"/>
      <c r="I54" s="46" t="str">
        <f>IF(OR(EstimateType="STS Only",RiderC&lt;&gt;"Yes"),"NA",K44)</f>
        <v>NA</v>
      </c>
      <c r="J54" s="1"/>
      <c r="K54" s="60" t="str">
        <f>IF(OR(EstimateType="STS Only",RiderC&lt;&gt;"Yes"),"NA ",G54*I54)</f>
        <v>NA </v>
      </c>
    </row>
    <row r="55" spans="2:11" x14ac:dyDescent="0.35">
      <c r="B55" s="21" t="s">
        <v>224</v>
      </c>
      <c r="C55" s="85" t="s">
        <v>152</v>
      </c>
      <c r="D55" s="19"/>
      <c r="E55" s="19"/>
      <c r="F55" s="19"/>
      <c r="G55" s="88">
        <v>0</v>
      </c>
      <c r="H55" s="20"/>
      <c r="I55" s="87" t="str">
        <f>IF(OR(EstimateType="STS Only",RiderC&lt;&gt;"Yes"),"NA",SUM(K46:K47))</f>
        <v>NA</v>
      </c>
      <c r="J55" s="20"/>
      <c r="K55" s="63" t="str">
        <f>IF(OR(EstimateType="STS Only",RiderC&lt;&gt;"Yes"),"NA ",G55*I55)</f>
        <v>NA </v>
      </c>
    </row>
    <row r="56" spans="2:11" ht="13.15" x14ac:dyDescent="0.4">
      <c r="B56" s="22" t="s">
        <v>153</v>
      </c>
      <c r="C56" s="23"/>
      <c r="D56" s="23"/>
      <c r="E56" s="23"/>
      <c r="F56" s="23"/>
      <c r="G56" s="27"/>
      <c r="H56" s="25"/>
      <c r="I56" s="26"/>
      <c r="J56" s="25"/>
      <c r="K56" s="66" t="str">
        <f>IF(OR(EstimateType="STS Only",RiderC&lt;&gt;"Yes"),"NA ",SUM(K51:K55))</f>
        <v>NA </v>
      </c>
    </row>
    <row r="57" spans="2:11" ht="9" customHeight="1" x14ac:dyDescent="0.35">
      <c r="K57" s="6"/>
    </row>
    <row r="58" spans="2:11" s="44" customFormat="1" ht="13.15" x14ac:dyDescent="0.4">
      <c r="B58" s="138" t="s">
        <v>60</v>
      </c>
      <c r="C58" s="139"/>
      <c r="D58" s="139"/>
      <c r="E58" s="139"/>
      <c r="F58" s="139"/>
      <c r="G58" s="139"/>
      <c r="H58" s="139"/>
      <c r="I58" s="139"/>
      <c r="J58" s="139"/>
      <c r="K58" s="140"/>
    </row>
    <row r="59" spans="2:11" x14ac:dyDescent="0.35">
      <c r="B59" s="9" t="s">
        <v>55</v>
      </c>
      <c r="C59" s="10" t="s">
        <v>56</v>
      </c>
      <c r="D59" s="10"/>
      <c r="E59" s="10"/>
      <c r="F59" s="10"/>
      <c r="G59" s="67" t="str">
        <f>IF(RiderF&lt;&gt;"Yes","NA",'A - Inputs and Summary'!I47)</f>
        <v>NA</v>
      </c>
      <c r="H59" s="11" t="s">
        <v>47</v>
      </c>
      <c r="I59" s="53" t="str">
        <f>IF(OR(EstimateType="STS Only",RiderF&lt;&gt;"Yes"),"NA",I19)</f>
        <v>NA</v>
      </c>
      <c r="J59" s="11" t="str">
        <f>IF(OR(EstimateType="STS Only",RiderF&lt;&gt;"Yes"),"","MWh")</f>
        <v/>
      </c>
      <c r="K59" s="64" t="str">
        <f>IF(OR(EstimateType="STS Only",RiderF&lt;&gt;"Yes"),"NA ",G59*I59)</f>
        <v>NA </v>
      </c>
    </row>
    <row r="61" spans="2:11" ht="13.15" x14ac:dyDescent="0.4">
      <c r="B61" s="4" t="s">
        <v>161</v>
      </c>
      <c r="C61" s="4"/>
      <c r="D61" s="4"/>
      <c r="E61" s="4"/>
      <c r="F61" s="4"/>
      <c r="G61" s="4"/>
      <c r="H61" s="4"/>
      <c r="I61" s="4"/>
      <c r="J61" s="4"/>
      <c r="K61" s="72">
        <f>IF(EstimateType="STS Only","NA ",SUM(K48,K56,K59))</f>
        <v>376286.57662000001</v>
      </c>
    </row>
  </sheetData>
  <mergeCells count="12">
    <mergeCell ref="D12:F12"/>
    <mergeCell ref="B8:K8"/>
    <mergeCell ref="D10:I10"/>
    <mergeCell ref="D11:I11"/>
    <mergeCell ref="I14:J14"/>
    <mergeCell ref="C14:G14"/>
    <mergeCell ref="B58:K58"/>
    <mergeCell ref="I24:J24"/>
    <mergeCell ref="G24:H24"/>
    <mergeCell ref="B24:F24"/>
    <mergeCell ref="B25:K25"/>
    <mergeCell ref="B50:K50"/>
  </mergeCells>
  <phoneticPr fontId="3" type="noConversion"/>
  <conditionalFormatting sqref="G51:G55">
    <cfRule type="expression" dxfId="1" priority="1" stopIfTrue="1">
      <formula>OR(AND(EstimateType&lt;&gt;"DTS Only",EstimateType&lt;&gt;"DTS and STS"),RiderC="No")</formula>
    </cfRule>
  </conditionalFormatting>
  <dataValidations count="14">
    <dataValidation allowBlank="1" showInputMessage="1" sqref="D12:G12 D10:I11" xr:uid="{00000000-0002-0000-0400-000000000000}"/>
    <dataValidation allowBlank="1" showInputMessage="1" showErrorMessage="1" promptTitle="Reference" prompt="For more information, see the definition of metered energy in the Consolidated Authoritative Documents Glossary." sqref="H19" xr:uid="{00000000-0002-0000-0400-000001000000}"/>
    <dataValidation allowBlank="1" showInputMessage="1" showErrorMessage="1" promptTitle="Reference" prompt="For more information, see the definition of substation fraction in the Consolidated Authoritative Documents Glossary." sqref="H15" xr:uid="{00000000-0002-0000-0400-000002000000}"/>
    <dataValidation allowBlank="1" showInputMessage="1" showErrorMessage="1" promptTitle="Reference" prompt="For more information, see the definition of metered demand in the Consolidated Authoritative Documents Glossary." sqref="H16" xr:uid="{00000000-0002-0000-0400-000003000000}"/>
    <dataValidation allowBlank="1" showInputMessage="1" showErrorMessage="1" promptTitle="Reference" prompt="For more information, see subsection 3(2) of Rate DTS: Demand Transmission Service in the ISO tariff." sqref="H17" xr:uid="{00000000-0002-0000-0400-000004000000}"/>
    <dataValidation allowBlank="1" showInputMessage="1" showErrorMessage="1" promptTitle="Reference" prompt="For more information, see the definition of billing capacity in the Consolidated Authoritative Documents Glossary." sqref="H18" xr:uid="{00000000-0002-0000-0400-000005000000}"/>
    <dataValidation allowBlank="1" showInputMessage="1" showErrorMessage="1" promptTitle="Reference" prompt="For more information, see the definition of pool price in the Consolidated Authoritative Documents Glossary." sqref="H20" xr:uid="{00000000-0002-0000-0400-000006000000}"/>
    <dataValidation allowBlank="1" showInputMessage="1" showErrorMessage="1" promptTitle="Reference" prompt="For more information, see subsection 4(2) of Rate DTS: Demand Transmission Service in the ISO tariff." sqref="H21" xr:uid="{00000000-0002-0000-0400-000007000000}"/>
    <dataValidation allowBlank="1" showInputMessage="1" showErrorMessage="1" promptTitle="Reference" prompt="For more information, see subsection 7(b) of Rate DTS: Demand Transmission Service in the ISO tariff." sqref="H22" xr:uid="{00000000-0002-0000-0400-000008000000}"/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connection charge and primary service credit rate component in the applicable Rider C quarterly deferral estimate on the AESO website." sqref="G51" xr:uid="{00000000-0002-0000-0400-000009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ther system support services charge rate component in the applicable Rider C quarterly deferral estimate on the AESO website." sqref="G55" xr:uid="{00000000-0002-0000-0400-00000A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perating reserve charge rate component in the applicable Rider C quarterly deferral estimate on the AESO website." sqref="G52" xr:uid="{00000000-0002-0000-0400-00000B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transmission constraint rebalancing charge rate component in the applicable Rider C quarterly deferral estimate on the AESO website." sqref="G53" xr:uid="{00000000-0002-0000-0400-00000C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voltage control charge rate component in the applicable Rider C quarterly deferral estimate on the AESO website." sqref="G54" xr:uid="{00000000-0002-0000-0400-00000D000000}">
      <formula1>-1</formula1>
      <formula2>1</formula2>
    </dataValidation>
  </dataValidations>
  <printOptions horizontalCentered="1"/>
  <pageMargins left="0.23622047244094491" right="0.23622047244094491" top="0.51181102362204722" bottom="0.23622047244094491" header="0.31496062992125984" footer="0.31496062992125984"/>
  <pageSetup scale="92" orientation="portrait" r:id="rId1"/>
  <headerFooter alignWithMargins="0">
    <oddFooter>&amp;L&amp;8&amp;F&amp;R&amp;8Confidentiality: Proprietary When Completed
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5:K40"/>
  <sheetViews>
    <sheetView showGridLines="0" zoomScaleNormal="100" workbookViewId="0"/>
  </sheetViews>
  <sheetFormatPr defaultColWidth="9.59765625" defaultRowHeight="12.75" x14ac:dyDescent="0.35"/>
  <cols>
    <col min="1" max="1" width="3.59765625" customWidth="1"/>
    <col min="2" max="2" width="6.73046875" customWidth="1"/>
    <col min="3" max="4" width="9.59765625" customWidth="1"/>
    <col min="5" max="5" width="8.59765625" customWidth="1"/>
    <col min="6" max="6" width="7.59765625" customWidth="1"/>
    <col min="7" max="7" width="10.59765625" customWidth="1"/>
    <col min="8" max="8" width="11.3984375" customWidth="1"/>
    <col min="9" max="9" width="10.3984375" customWidth="1"/>
    <col min="10" max="10" width="9.73046875" customWidth="1"/>
    <col min="11" max="11" width="12.3984375" customWidth="1"/>
    <col min="12" max="12" width="3.73046875" customWidth="1"/>
  </cols>
  <sheetData>
    <row r="15" spans="2:11" s="2" customFormat="1" ht="16.899999999999999" x14ac:dyDescent="0.65">
      <c r="B15" s="130" t="str">
        <f>"Attachment C: Rate PSC Bill Estimate Under "&amp;RIGHT('A - Inputs and Summary'!K14,4)&amp;" ISO Tariff"</f>
        <v>Attachment C: Rate PSC Bill Estimate Under 2026 ISO Tariff</v>
      </c>
      <c r="C15" s="130"/>
      <c r="D15" s="130"/>
      <c r="E15" s="130"/>
      <c r="F15" s="130"/>
      <c r="G15" s="130"/>
      <c r="H15" s="130"/>
      <c r="I15" s="130"/>
      <c r="J15" s="130"/>
      <c r="K15" s="130"/>
    </row>
    <row r="16" spans="2:11" s="3" customFormat="1" ht="25.5" customHeight="1" x14ac:dyDescent="0.2"/>
    <row r="17" spans="2:11" ht="13.15" x14ac:dyDescent="0.4">
      <c r="B17" s="44" t="s">
        <v>201</v>
      </c>
      <c r="D17" s="142" t="str">
        <f>ParticipantName</f>
        <v>Name of Market Participant</v>
      </c>
      <c r="E17" s="142"/>
      <c r="F17" s="142"/>
      <c r="G17" s="142"/>
      <c r="H17" s="142"/>
      <c r="I17" s="142"/>
      <c r="J17" s="36" t="s">
        <v>0</v>
      </c>
      <c r="K17" s="112" t="str">
        <f>'A - Inputs and Summary'!K14</f>
        <v>AESO 2026</v>
      </c>
    </row>
    <row r="18" spans="2:11" ht="13.15" x14ac:dyDescent="0.4">
      <c r="B18" t="s">
        <v>21</v>
      </c>
      <c r="D18" s="143" t="str">
        <f>AccountID</f>
        <v>Account ID</v>
      </c>
      <c r="E18" s="143"/>
      <c r="F18" s="143"/>
      <c r="G18" s="143"/>
      <c r="H18" s="143"/>
      <c r="I18" s="143"/>
      <c r="J18" s="36" t="s">
        <v>1</v>
      </c>
      <c r="K18" s="111">
        <f>'A - Inputs and Summary'!K15</f>
        <v>46023</v>
      </c>
    </row>
    <row r="19" spans="2:11" x14ac:dyDescent="0.35">
      <c r="B19" t="s">
        <v>5</v>
      </c>
      <c r="D19" s="141" t="str">
        <f>PreparationDate</f>
        <v>Date Prepared</v>
      </c>
      <c r="E19" s="141"/>
      <c r="F19" s="141"/>
      <c r="G19" s="44"/>
      <c r="H19" s="34"/>
      <c r="I19" s="35"/>
      <c r="J19" s="36" t="s">
        <v>2</v>
      </c>
      <c r="K19" s="111" t="str">
        <f>'A - Inputs and Summary'!K16</f>
        <v>current</v>
      </c>
    </row>
    <row r="20" spans="2:11" ht="24.75" customHeight="1" x14ac:dyDescent="0.35">
      <c r="K20" s="7"/>
    </row>
    <row r="21" spans="2:11" ht="13.15" x14ac:dyDescent="0.4">
      <c r="C21" s="135" t="s">
        <v>63</v>
      </c>
      <c r="D21" s="135"/>
      <c r="E21" s="135"/>
      <c r="F21" s="135"/>
      <c r="G21" s="135"/>
      <c r="H21" s="5" t="s">
        <v>6</v>
      </c>
      <c r="I21" s="135" t="s">
        <v>46</v>
      </c>
      <c r="J21" s="135"/>
    </row>
    <row r="22" spans="2:11" x14ac:dyDescent="0.35">
      <c r="C22" s="36" t="str">
        <f>'A - Inputs and Summary'!B31</f>
        <v>(j)</v>
      </c>
      <c r="D22" t="s">
        <v>43</v>
      </c>
      <c r="H22" s="7" t="s">
        <v>122</v>
      </c>
      <c r="I22" s="39">
        <f>IF(EstimateType="STS Only","NA",'A - Inputs and Summary'!I31)</f>
        <v>1</v>
      </c>
    </row>
    <row r="23" spans="2:11" x14ac:dyDescent="0.35">
      <c r="C23" s="36" t="str">
        <f>'A - Inputs and Summary'!B36</f>
        <v>(o)</v>
      </c>
      <c r="D23" t="s">
        <v>31</v>
      </c>
      <c r="H23" s="7" t="s">
        <v>122</v>
      </c>
      <c r="I23" s="37">
        <f>IF(EstimateType="STS Only","NA",'A - Inputs and Summary'!I36)</f>
        <v>20</v>
      </c>
      <c r="J23" t="str">
        <f>IF(EstimateType="STS Only","","MW")</f>
        <v>MW</v>
      </c>
    </row>
    <row r="25" spans="2:11" ht="13.15" x14ac:dyDescent="0.4">
      <c r="B25" s="135" t="s">
        <v>64</v>
      </c>
      <c r="C25" s="135"/>
      <c r="D25" s="135"/>
      <c r="E25" s="135"/>
      <c r="F25" s="135"/>
      <c r="G25" s="135" t="s">
        <v>173</v>
      </c>
      <c r="H25" s="135"/>
      <c r="I25" s="135" t="s">
        <v>46</v>
      </c>
      <c r="J25" s="135"/>
      <c r="K25" s="41" t="s">
        <v>7</v>
      </c>
    </row>
    <row r="26" spans="2:11" s="44" customFormat="1" ht="13.15" x14ac:dyDescent="0.4">
      <c r="B26" s="138" t="s">
        <v>58</v>
      </c>
      <c r="C26" s="139"/>
      <c r="D26" s="139"/>
      <c r="E26" s="139"/>
      <c r="F26" s="139"/>
      <c r="G26" s="139"/>
      <c r="H26" s="139"/>
      <c r="I26" s="139"/>
      <c r="J26" s="139"/>
      <c r="K26" s="140"/>
    </row>
    <row r="27" spans="2:11" x14ac:dyDescent="0.35">
      <c r="B27" s="91" t="s">
        <v>215</v>
      </c>
      <c r="C27" t="s">
        <v>33</v>
      </c>
      <c r="G27" s="99">
        <f>ABS(INDEX(Lookup!$C$13:$Z$13,1,MATCH($K$17,Lookup!$C$1:$Z$1,0)))</f>
        <v>12294</v>
      </c>
      <c r="H27" s="1" t="s">
        <v>48</v>
      </c>
      <c r="I27" s="39" t="str">
        <f>IF(OR(OR(EstimateType="STS Only",PrimaryServiceCredit&lt;&gt;"Yes"),PrimaryServiceCredit&lt;&gt;"Yes"),"NA",I22)</f>
        <v>NA</v>
      </c>
      <c r="K27" s="60" t="str">
        <f>IF(OR(EstimateType="STS Only",PrimaryServiceCredit&lt;&gt;"Yes"),"NA ",-G27*I27)</f>
        <v>NA </v>
      </c>
    </row>
    <row r="28" spans="2:11" x14ac:dyDescent="0.35">
      <c r="B28" s="91" t="s">
        <v>216</v>
      </c>
      <c r="C28" t="s">
        <v>40</v>
      </c>
      <c r="G28" s="99">
        <f>ABS(INDEX(Lookup!$C$14:$Z$14,1,MATCH($K$17,Lookup!$C$1:$Z$1,0)))</f>
        <v>4046</v>
      </c>
      <c r="H28" s="1" t="s">
        <v>49</v>
      </c>
      <c r="I28" s="37" t="str">
        <f>IF(OR(OR(EstimateType="STS Only",PrimaryServiceCredit&lt;&gt;"Yes"),PrimaryServiceCredit&lt;&gt;"Yes"),"NA",MIN(I23,7.5*I22))</f>
        <v>NA</v>
      </c>
      <c r="J28" s="1" t="str">
        <f>J23</f>
        <v>MW</v>
      </c>
      <c r="K28" s="60" t="str">
        <f>IF(OR(EstimateType="STS Only",PrimaryServiceCredit&lt;&gt;"Yes"),"NA ",-G28*I28)</f>
        <v>NA </v>
      </c>
    </row>
    <row r="29" spans="2:11" x14ac:dyDescent="0.35">
      <c r="B29" s="91" t="s">
        <v>217</v>
      </c>
      <c r="C29" t="s">
        <v>41</v>
      </c>
      <c r="G29" s="99">
        <f>ABS(INDEX(Lookup!$C$15:$Z$15,1,MATCH($K$17,Lookup!$C$1:$Z$1,0)))</f>
        <v>2399</v>
      </c>
      <c r="H29" s="1" t="s">
        <v>49</v>
      </c>
      <c r="I29" s="37" t="str">
        <f>IF(OR(EstimateType="STS Only",PrimaryServiceCredit&lt;&gt;"Yes"),"NA",MAX(MIN(I23,17*I22)-(7.5*I22),0))</f>
        <v>NA</v>
      </c>
      <c r="J29" s="1" t="str">
        <f>J23</f>
        <v>MW</v>
      </c>
      <c r="K29" s="60" t="str">
        <f>IF(OR(EstimateType="STS Only",PrimaryServiceCredit&lt;&gt;"Yes"),"NA ",-G29*I29)</f>
        <v>NA </v>
      </c>
    </row>
    <row r="30" spans="2:11" x14ac:dyDescent="0.35">
      <c r="B30" s="91" t="s">
        <v>218</v>
      </c>
      <c r="C30" t="s">
        <v>42</v>
      </c>
      <c r="G30" s="99">
        <f>ABS(INDEX(Lookup!$C$16:$Z$16,1,MATCH($K$17,Lookup!$C$1:$Z$1,0)))</f>
        <v>1606</v>
      </c>
      <c r="H30" s="1" t="s">
        <v>49</v>
      </c>
      <c r="I30" s="37" t="str">
        <f>IF(OR(EstimateType="STS Only",PrimaryServiceCredit&lt;&gt;"Yes"),"NA",MAX(MIN(I23,40*I22)-(17*I22),0))</f>
        <v>NA</v>
      </c>
      <c r="J30" s="1" t="str">
        <f>J23</f>
        <v>MW</v>
      </c>
      <c r="K30" s="60" t="str">
        <f>IF(OR(EstimateType="STS Only",PrimaryServiceCredit&lt;&gt;"Yes"),"NA ",-G30*I30)</f>
        <v>NA </v>
      </c>
    </row>
    <row r="31" spans="2:11" x14ac:dyDescent="0.35">
      <c r="B31" s="92" t="s">
        <v>219</v>
      </c>
      <c r="C31" s="19" t="s">
        <v>34</v>
      </c>
      <c r="D31" s="19"/>
      <c r="E31" s="19"/>
      <c r="F31" s="19"/>
      <c r="G31" s="100">
        <f>ABS(INDEX(Lookup!$C$17:$Z$17,1,MATCH($K$17,Lookup!$C$1:$Z$1,0)))</f>
        <v>1252</v>
      </c>
      <c r="H31" s="20" t="s">
        <v>49</v>
      </c>
      <c r="I31" s="52" t="str">
        <f>IF(OR(EstimateType="STS Only",PrimaryServiceCredit&lt;&gt;"Yes"),"NA",MAX(I23-(40*I22),0))</f>
        <v>NA</v>
      </c>
      <c r="J31" s="20" t="str">
        <f>J23</f>
        <v>MW</v>
      </c>
      <c r="K31" s="63" t="str">
        <f>IF(OR(EstimateType="STS Only",PrimaryServiceCredit&lt;&gt;"Yes"),"NA ",-G31*I31)</f>
        <v>NA </v>
      </c>
    </row>
    <row r="32" spans="2:11" ht="13.15" x14ac:dyDescent="0.4">
      <c r="B32" s="22" t="s">
        <v>62</v>
      </c>
      <c r="C32" s="23"/>
      <c r="D32" s="23"/>
      <c r="E32" s="23"/>
      <c r="F32" s="23"/>
      <c r="G32" s="24"/>
      <c r="H32" s="25"/>
      <c r="I32" s="55"/>
      <c r="J32" s="25"/>
      <c r="K32" s="66" t="str">
        <f>IF(OR(EstimateType="STS Only",PrimaryServiceCredit&lt;&gt;"Yes"),"NA ",SUM(K27:K31))</f>
        <v>NA </v>
      </c>
    </row>
    <row r="33" spans="2:11" ht="9" customHeight="1" x14ac:dyDescent="0.35">
      <c r="K33" s="6"/>
    </row>
    <row r="34" spans="2:11" s="44" customFormat="1" ht="13.15" x14ac:dyDescent="0.4">
      <c r="B34" s="138" t="s">
        <v>59</v>
      </c>
      <c r="C34" s="139"/>
      <c r="D34" s="139"/>
      <c r="E34" s="139"/>
      <c r="F34" s="139"/>
      <c r="G34" s="139"/>
      <c r="H34" s="139"/>
      <c r="I34" s="139"/>
      <c r="J34" s="139"/>
      <c r="K34" s="140"/>
    </row>
    <row r="35" spans="2:11" x14ac:dyDescent="0.35">
      <c r="B35" s="12" t="s">
        <v>220</v>
      </c>
      <c r="C35" s="84" t="s">
        <v>160</v>
      </c>
      <c r="D35" s="13"/>
      <c r="E35" s="13"/>
      <c r="F35" s="13"/>
      <c r="G35" s="93">
        <f>'B - Rate DTS and Riders'!G51</f>
        <v>0</v>
      </c>
      <c r="H35" s="14"/>
      <c r="I35" s="86" t="str">
        <f>IF(OR(EstimateType="STS Only",PrimaryServiceCredit&lt;&gt;"Yes",RiderC&lt;&gt;"Yes"),"NA",SUM(K27:K31))</f>
        <v>NA</v>
      </c>
      <c r="J35" s="13"/>
      <c r="K35" s="65" t="str">
        <f>IF(OR(EstimateType="STS Only",PrimaryServiceCredit&lt;&gt;"Yes",RiderC&lt;&gt;"Yes"),"NA ",G35*I35)</f>
        <v>NA </v>
      </c>
    </row>
    <row r="36" spans="2:11" ht="13.15" x14ac:dyDescent="0.4">
      <c r="B36" s="22" t="s">
        <v>174</v>
      </c>
      <c r="C36" s="23"/>
      <c r="D36" s="23"/>
      <c r="E36" s="23"/>
      <c r="F36" s="23"/>
      <c r="G36" s="27"/>
      <c r="H36" s="25"/>
      <c r="I36" s="26"/>
      <c r="J36" s="25"/>
      <c r="K36" s="66" t="str">
        <f>IF(OR(EstimateType="STS Only",PrimaryServiceCredit&lt;&gt;"Yes",RiderC&lt;&gt;"Yes"),"NA ",SUM(K35:K35))</f>
        <v>NA </v>
      </c>
    </row>
    <row r="37" spans="2:11" ht="9" customHeight="1" x14ac:dyDescent="0.35">
      <c r="K37" s="6"/>
    </row>
    <row r="38" spans="2:11" ht="13.15" x14ac:dyDescent="0.4">
      <c r="B38" s="4" t="s">
        <v>172</v>
      </c>
      <c r="C38" s="4"/>
      <c r="D38" s="4"/>
      <c r="E38" s="4"/>
      <c r="F38" s="4"/>
      <c r="G38" s="4"/>
      <c r="H38" s="4"/>
      <c r="I38" s="4"/>
      <c r="J38" s="4"/>
      <c r="K38" s="72" t="str">
        <f>IF(OR(EstimateType="STS Only",PrimaryServiceCredit&lt;&gt;"Yes"),"NA ",SUM(K32,K36))</f>
        <v>NA </v>
      </c>
    </row>
    <row r="40" spans="2:11" s="107" customFormat="1" ht="14.1" customHeight="1" x14ac:dyDescent="0.3">
      <c r="B40" s="106"/>
      <c r="G40" s="108"/>
      <c r="K40" s="109"/>
    </row>
  </sheetData>
  <mergeCells count="11">
    <mergeCell ref="B25:F25"/>
    <mergeCell ref="G25:H25"/>
    <mergeCell ref="I25:J25"/>
    <mergeCell ref="B26:K26"/>
    <mergeCell ref="B34:K34"/>
    <mergeCell ref="B15:K15"/>
    <mergeCell ref="D17:I17"/>
    <mergeCell ref="D18:I18"/>
    <mergeCell ref="D19:F19"/>
    <mergeCell ref="C21:G21"/>
    <mergeCell ref="I21:J21"/>
  </mergeCells>
  <conditionalFormatting sqref="G35">
    <cfRule type="expression" dxfId="0" priority="1" stopIfTrue="1">
      <formula>OR(AND(EstimateType&lt;&gt;"DTS Only",EstimateType&lt;&gt;"DTS and STS"),PrimaryServiceCredit="No",RiderC="No")</formula>
    </cfRule>
  </conditionalFormatting>
  <dataValidations xWindow="957" yWindow="437" count="3">
    <dataValidation allowBlank="1" showInputMessage="1" showErrorMessage="1" promptTitle="Reference" prompt="For more information, see the definition of billing capacity in the Consolidated Authoritative Documents Glossary." sqref="H23" xr:uid="{00000000-0002-0000-0500-000000000000}"/>
    <dataValidation allowBlank="1" showInputMessage="1" showErrorMessage="1" promptTitle="Reference" prompt="For more information, see the definition of substation fraction in the Consolidated Authoritative Documents Glossary." sqref="H22" xr:uid="{00000000-0002-0000-0500-000001000000}"/>
    <dataValidation allowBlank="1" showInputMessage="1" sqref="D19:G19 D17:I18" xr:uid="{00000000-0002-0000-0500-000002000000}"/>
  </dataValidations>
  <printOptions horizontalCentered="1"/>
  <pageMargins left="0.23622047244094491" right="0.23622047244094491" top="0.51181102362204722" bottom="0.23622047244094491" header="0.31496062992125984" footer="0.31496062992125984"/>
  <pageSetup orientation="portrait" r:id="rId1"/>
  <headerFooter alignWithMargins="0">
    <oddFooter>&amp;L&amp;8&amp;F&amp;R&amp;8Confidentiality: Proprietary When Completed
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10:O44"/>
  <sheetViews>
    <sheetView showGridLines="0" zoomScaleNormal="100" workbookViewId="0">
      <selection activeCell="Q18" sqref="Q18"/>
    </sheetView>
  </sheetViews>
  <sheetFormatPr defaultColWidth="9.59765625" defaultRowHeight="12.75" x14ac:dyDescent="0.35"/>
  <cols>
    <col min="1" max="1" width="2.1328125" customWidth="1"/>
    <col min="2" max="2" width="3.86328125" customWidth="1"/>
    <col min="3" max="3" width="4.3984375" customWidth="1"/>
    <col min="4" max="4" width="11.265625" customWidth="1"/>
    <col min="5" max="5" width="7.59765625" customWidth="1"/>
    <col min="6" max="6" width="9.59765625" customWidth="1"/>
    <col min="7" max="7" width="10.59765625" customWidth="1"/>
    <col min="8" max="8" width="9.59765625" customWidth="1"/>
    <col min="9" max="9" width="11.3984375" customWidth="1"/>
    <col min="10" max="10" width="10.3984375" customWidth="1"/>
    <col min="11" max="11" width="9.3984375" customWidth="1"/>
    <col min="12" max="12" width="12.73046875" customWidth="1"/>
    <col min="13" max="13" width="3.86328125" customWidth="1"/>
  </cols>
  <sheetData>
    <row r="10" spans="3:12" ht="9" customHeight="1" x14ac:dyDescent="0.35"/>
    <row r="11" spans="3:12" ht="9" customHeight="1" x14ac:dyDescent="0.35"/>
    <row r="12" spans="3:12" ht="9" customHeight="1" x14ac:dyDescent="0.35"/>
    <row r="13" spans="3:12" ht="9" customHeight="1" x14ac:dyDescent="0.35"/>
    <row r="14" spans="3:12" ht="9" customHeight="1" x14ac:dyDescent="0.35"/>
    <row r="15" spans="3:12" ht="9" customHeight="1" x14ac:dyDescent="0.35"/>
    <row r="16" spans="3:12" s="2" customFormat="1" ht="16.899999999999999" x14ac:dyDescent="0.65">
      <c r="C16" s="144" t="str">
        <f>"Attachment D: Rate STS Bill Estimate Under "&amp;RIGHT('A - Inputs and Summary'!K14,4)&amp;" ISO Tariff"</f>
        <v>Attachment D: Rate STS Bill Estimate Under 2026 ISO Tariff</v>
      </c>
      <c r="D16" s="144"/>
      <c r="E16" s="144"/>
      <c r="F16" s="144"/>
      <c r="G16" s="144"/>
      <c r="H16" s="144"/>
      <c r="I16" s="144"/>
      <c r="J16" s="144"/>
      <c r="K16" s="144"/>
      <c r="L16" s="144"/>
    </row>
    <row r="17" spans="3:12" s="3" customFormat="1" ht="19.5" customHeight="1" x14ac:dyDescent="0.2"/>
    <row r="18" spans="3:12" ht="13.15" x14ac:dyDescent="0.4">
      <c r="C18" s="44" t="s">
        <v>201</v>
      </c>
      <c r="E18" s="142" t="str">
        <f>ParticipantName</f>
        <v>Name of Market Participant</v>
      </c>
      <c r="F18" s="142"/>
      <c r="G18" s="142"/>
      <c r="H18" s="142"/>
      <c r="I18" s="142"/>
      <c r="J18" s="142"/>
      <c r="K18" s="36" t="s">
        <v>0</v>
      </c>
      <c r="L18" s="112" t="str">
        <f>'A - Inputs and Summary'!K14</f>
        <v>AESO 2026</v>
      </c>
    </row>
    <row r="19" spans="3:12" ht="13.15" x14ac:dyDescent="0.4">
      <c r="C19" t="s">
        <v>21</v>
      </c>
      <c r="E19" s="143" t="str">
        <f>AccountID</f>
        <v>Account ID</v>
      </c>
      <c r="F19" s="143"/>
      <c r="G19" s="143"/>
      <c r="H19" s="143"/>
      <c r="I19" s="143"/>
      <c r="J19" s="143"/>
      <c r="K19" s="36" t="s">
        <v>1</v>
      </c>
      <c r="L19" s="111">
        <f>'A - Inputs and Summary'!K15</f>
        <v>46023</v>
      </c>
    </row>
    <row r="20" spans="3:12" x14ac:dyDescent="0.35">
      <c r="C20" t="s">
        <v>5</v>
      </c>
      <c r="E20" s="141" t="str">
        <f>PreparationDate</f>
        <v>Date Prepared</v>
      </c>
      <c r="F20" s="141"/>
      <c r="G20" s="141"/>
      <c r="H20" s="44"/>
      <c r="I20" s="34"/>
      <c r="J20" s="35"/>
      <c r="K20" s="36" t="s">
        <v>2</v>
      </c>
      <c r="L20" s="111" t="str">
        <f>'A - Inputs and Summary'!K16</f>
        <v>current</v>
      </c>
    </row>
    <row r="21" spans="3:12" x14ac:dyDescent="0.35">
      <c r="L21" s="97"/>
    </row>
    <row r="22" spans="3:12" ht="13.15" x14ac:dyDescent="0.4">
      <c r="D22" s="135" t="s">
        <v>63</v>
      </c>
      <c r="E22" s="135"/>
      <c r="F22" s="135"/>
      <c r="G22" s="135"/>
      <c r="H22" s="135"/>
      <c r="I22" s="5" t="s">
        <v>6</v>
      </c>
      <c r="J22" s="135" t="s">
        <v>46</v>
      </c>
      <c r="K22" s="135"/>
    </row>
    <row r="23" spans="3:12" x14ac:dyDescent="0.35">
      <c r="D23" s="36" t="str">
        <f>'A - Inputs and Summary'!B39</f>
        <v>(r)</v>
      </c>
      <c r="E23" t="s">
        <v>30</v>
      </c>
      <c r="I23" s="7" t="s">
        <v>122</v>
      </c>
      <c r="J23" s="38" t="str">
        <f>IF(EstimateType="DTS Only","NA",'A - Inputs and Summary'!J39)</f>
        <v>NA</v>
      </c>
      <c r="K23" t="str">
        <f>IF(EstimateType="DTS Only","","MWh")</f>
        <v/>
      </c>
    </row>
    <row r="24" spans="3:12" x14ac:dyDescent="0.35">
      <c r="D24" s="36" t="str">
        <f>'A - Inputs and Summary'!B40</f>
        <v>(s)</v>
      </c>
      <c r="E24" t="s">
        <v>65</v>
      </c>
      <c r="I24" s="7" t="s">
        <v>122</v>
      </c>
      <c r="J24" s="40" t="str">
        <f>IF(EstimateType="DTS Only","NA",'A - Inputs and Summary'!J40)</f>
        <v>NA</v>
      </c>
      <c r="K24" s="1" t="str">
        <f>IF(EstimateType="DTS Only","","/MWh")</f>
        <v/>
      </c>
    </row>
    <row r="25" spans="3:12" x14ac:dyDescent="0.35">
      <c r="D25" s="36" t="str">
        <f>'A - Inputs and Summary'!B43</f>
        <v>(v)</v>
      </c>
      <c r="E25" t="s">
        <v>44</v>
      </c>
      <c r="I25" s="7" t="s">
        <v>122</v>
      </c>
      <c r="J25" s="96" t="str">
        <f>IF(EstimateType="DTS Only","NA",'A - Inputs and Summary'!J43)</f>
        <v>NA</v>
      </c>
      <c r="K25" s="1"/>
    </row>
    <row r="26" spans="3:12" x14ac:dyDescent="0.35">
      <c r="D26" s="36" t="str">
        <f>'A - Inputs and Summary'!B44</f>
        <v>(w)</v>
      </c>
      <c r="E26" t="s">
        <v>76</v>
      </c>
      <c r="I26" s="7" t="s">
        <v>115</v>
      </c>
      <c r="J26" s="37" t="str">
        <f>IF(OR(EstimateType="DTS Only",RegulatedGeneratingUnit&lt;&gt;"Yes"),"NA",'A - Inputs and Summary'!J44)</f>
        <v>NA</v>
      </c>
      <c r="K26" t="str">
        <f>IF(OR(EstimateType="DTS Only",RegulatedGeneratingUnit&lt;&gt;"Yes"),"","MW")</f>
        <v/>
      </c>
    </row>
    <row r="28" spans="3:12" ht="13.15" x14ac:dyDescent="0.4">
      <c r="C28" s="135" t="s">
        <v>64</v>
      </c>
      <c r="D28" s="135"/>
      <c r="E28" s="135"/>
      <c r="F28" s="135"/>
      <c r="G28" s="135"/>
      <c r="H28" s="135" t="s">
        <v>45</v>
      </c>
      <c r="I28" s="135"/>
      <c r="J28" s="135" t="s">
        <v>46</v>
      </c>
      <c r="K28" s="135"/>
      <c r="L28" s="41" t="s">
        <v>7</v>
      </c>
    </row>
    <row r="29" spans="3:12" s="44" customFormat="1" ht="13.15" x14ac:dyDescent="0.4">
      <c r="C29" s="138" t="s">
        <v>112</v>
      </c>
      <c r="D29" s="139"/>
      <c r="E29" s="139"/>
      <c r="F29" s="139"/>
      <c r="G29" s="139"/>
      <c r="H29" s="139"/>
      <c r="I29" s="139"/>
      <c r="J29" s="139"/>
      <c r="K29" s="139"/>
      <c r="L29" s="140"/>
    </row>
    <row r="30" spans="3:12" ht="13.15" x14ac:dyDescent="0.4">
      <c r="C30" s="4" t="s">
        <v>113</v>
      </c>
      <c r="E30" s="4"/>
      <c r="F30" s="4"/>
      <c r="G30" s="4"/>
      <c r="H30" s="4"/>
      <c r="I30" s="4"/>
      <c r="J30" s="48"/>
      <c r="K30" s="4"/>
      <c r="L30" s="8"/>
    </row>
    <row r="31" spans="3:12" x14ac:dyDescent="0.35">
      <c r="C31" s="9" t="s">
        <v>213</v>
      </c>
      <c r="D31" s="10" t="s">
        <v>30</v>
      </c>
      <c r="E31" s="10"/>
      <c r="F31" s="57" t="s">
        <v>50</v>
      </c>
      <c r="G31" s="95" t="str">
        <f>IF(EstimateType="DTS Only","×  NA",J25)</f>
        <v>×  NA</v>
      </c>
      <c r="H31" s="94" t="str">
        <f>IF(EstimateType="DTS Only","=         NA",J24*G31)</f>
        <v>=         NA</v>
      </c>
      <c r="I31" s="56" t="s">
        <v>47</v>
      </c>
      <c r="J31" s="53" t="str">
        <f>J23</f>
        <v>NA</v>
      </c>
      <c r="K31" s="11" t="str">
        <f>K23</f>
        <v/>
      </c>
      <c r="L31" s="64" t="str">
        <f>IF(EstimateType="DTS Only","NA ",H31*J31)</f>
        <v>NA </v>
      </c>
    </row>
    <row r="32" spans="3:12" ht="13.15" x14ac:dyDescent="0.4">
      <c r="C32" s="4" t="s">
        <v>114</v>
      </c>
      <c r="E32" s="4"/>
      <c r="F32" s="4"/>
      <c r="G32" s="4"/>
      <c r="H32" s="4"/>
      <c r="I32" s="4"/>
      <c r="J32" s="48"/>
      <c r="K32" s="4"/>
      <c r="L32" s="8"/>
    </row>
    <row r="33" spans="3:15" x14ac:dyDescent="0.35">
      <c r="C33" s="9" t="s">
        <v>214</v>
      </c>
      <c r="D33" s="10" t="s">
        <v>76</v>
      </c>
      <c r="E33" s="10"/>
      <c r="F33" s="10"/>
      <c r="G33" s="10"/>
      <c r="H33" s="98">
        <f>INDEX(Lookup!$C$23:$Z$23,1,MATCH($L$18,Lookup!$C$1:$Z$1,0))</f>
        <v>0</v>
      </c>
      <c r="I33" s="11" t="s">
        <v>116</v>
      </c>
      <c r="J33" s="71" t="str">
        <f>IF(OR(EstimateType="DTS Only",RegulatedGeneratingUnit&lt;&gt;"Yes"),"NA",J26)</f>
        <v>NA</v>
      </c>
      <c r="K33" s="11" t="str">
        <f>K26</f>
        <v/>
      </c>
      <c r="L33" s="64" t="str">
        <f>IF(OR(EstimateType="DTS Only",RegulatedGeneratingUnit&lt;&gt;"Yes"),"NA ",H33*J33)</f>
        <v>NA </v>
      </c>
      <c r="O33" s="44"/>
    </row>
    <row r="34" spans="3:15" ht="13.15" x14ac:dyDescent="0.4">
      <c r="C34" s="22" t="s">
        <v>120</v>
      </c>
      <c r="D34" s="23"/>
      <c r="E34" s="23"/>
      <c r="F34" s="23"/>
      <c r="G34" s="23"/>
      <c r="H34" s="24"/>
      <c r="I34" s="25"/>
      <c r="J34" s="55"/>
      <c r="K34" s="25"/>
      <c r="L34" s="66" t="str">
        <f>IF(EstimateType="DTS Only","NA ",SUM(L30:L33))</f>
        <v>NA </v>
      </c>
    </row>
    <row r="35" spans="3:15" ht="9" customHeight="1" x14ac:dyDescent="0.35">
      <c r="L35" s="6"/>
    </row>
    <row r="36" spans="3:15" s="44" customFormat="1" ht="13.15" x14ac:dyDescent="0.4">
      <c r="C36" s="138" t="s">
        <v>117</v>
      </c>
      <c r="D36" s="139"/>
      <c r="E36" s="139"/>
      <c r="F36" s="139"/>
      <c r="G36" s="139"/>
      <c r="H36" s="139"/>
      <c r="I36" s="139"/>
      <c r="J36" s="139"/>
      <c r="K36" s="139"/>
      <c r="L36" s="140"/>
    </row>
    <row r="37" spans="3:15" x14ac:dyDescent="0.35">
      <c r="C37" s="9" t="s">
        <v>212</v>
      </c>
      <c r="D37" s="10" t="s">
        <v>30</v>
      </c>
      <c r="E37" s="10"/>
      <c r="F37" s="57" t="s">
        <v>50</v>
      </c>
      <c r="G37" s="95" t="str">
        <f>IF(OR(EstimateType="DTS Only",RiderE&lt;&gt;"Yes"),"×  NA",'A - Inputs and Summary'!J46)</f>
        <v>×  NA</v>
      </c>
      <c r="H37" s="94" t="str">
        <f>IF(OR(EstimateType="DTS Only",RiderE&lt;&gt;"Yes"),"=         NA",J24*G37)</f>
        <v>=         NA</v>
      </c>
      <c r="I37" s="56" t="s">
        <v>47</v>
      </c>
      <c r="J37" s="53" t="str">
        <f>IF(OR(EstimateType="DTS Only",RiderE&lt;&gt;"Yes"),"NA",J23)</f>
        <v>NA</v>
      </c>
      <c r="K37" s="11" t="str">
        <f>IF(OR(EstimateType="DTS Only",RiderE&lt;&gt;"Yes"),"",K23)</f>
        <v/>
      </c>
      <c r="L37" s="64" t="str">
        <f>IF(OR(EstimateType="DTS Only",RiderE&lt;&gt;"Yes"),"NA ",H37*J37)</f>
        <v>NA </v>
      </c>
    </row>
    <row r="38" spans="3:15" ht="9" customHeight="1" x14ac:dyDescent="0.35">
      <c r="L38" s="6"/>
    </row>
    <row r="39" spans="3:15" s="44" customFormat="1" ht="13.15" x14ac:dyDescent="0.4">
      <c r="C39" s="138" t="s">
        <v>118</v>
      </c>
      <c r="D39" s="139"/>
      <c r="E39" s="139"/>
      <c r="F39" s="139"/>
      <c r="G39" s="139"/>
      <c r="H39" s="139"/>
      <c r="I39" s="139"/>
      <c r="J39" s="139"/>
      <c r="K39" s="139"/>
      <c r="L39" s="140"/>
    </row>
    <row r="40" spans="3:15" x14ac:dyDescent="0.35">
      <c r="C40" s="9" t="s">
        <v>212</v>
      </c>
      <c r="D40" s="10" t="s">
        <v>119</v>
      </c>
      <c r="E40" s="10"/>
      <c r="F40" s="10"/>
      <c r="G40" s="10"/>
      <c r="H40" s="67" t="str">
        <f>IF(RiderJ&lt;&gt;"Yes","NA",'A - Inputs and Summary'!J48)</f>
        <v>NA</v>
      </c>
      <c r="I40" s="11" t="s">
        <v>47</v>
      </c>
      <c r="J40" s="53" t="str">
        <f>IF(OR(EstimateType="DTS Only",RiderJ&lt;&gt;"Yes"),"NA",J23)</f>
        <v>NA</v>
      </c>
      <c r="K40" s="11" t="str">
        <f>IF(OR(EstimateType="STS Only",RiderF&lt;&gt;"Yes"),"","MWh")</f>
        <v/>
      </c>
      <c r="L40" s="64" t="str">
        <f>IF(OR(EstimateType="DTS Only",RiderJ&lt;&gt;"Yes"),"NA ",H40*J40)</f>
        <v>NA </v>
      </c>
    </row>
    <row r="42" spans="3:15" ht="13.15" x14ac:dyDescent="0.4">
      <c r="C42" s="4" t="s">
        <v>121</v>
      </c>
      <c r="D42" s="4"/>
      <c r="E42" s="4"/>
      <c r="F42" s="4"/>
      <c r="G42" s="4"/>
      <c r="H42" s="4"/>
      <c r="I42" s="4"/>
      <c r="J42" s="4"/>
      <c r="K42" s="4"/>
      <c r="L42" s="72" t="str">
        <f>IF(EstimateType="DTS Only","NA ",SUM(L34,L37,L40))</f>
        <v>NA </v>
      </c>
    </row>
    <row r="44" spans="3:15" s="107" customFormat="1" ht="14.1" customHeight="1" x14ac:dyDescent="0.3">
      <c r="C44" s="106"/>
      <c r="H44" s="108"/>
      <c r="L44" s="109"/>
    </row>
  </sheetData>
  <mergeCells count="12">
    <mergeCell ref="C39:L39"/>
    <mergeCell ref="J28:K28"/>
    <mergeCell ref="H28:I28"/>
    <mergeCell ref="C28:G28"/>
    <mergeCell ref="C29:L29"/>
    <mergeCell ref="E20:G20"/>
    <mergeCell ref="C36:L36"/>
    <mergeCell ref="C16:L16"/>
    <mergeCell ref="E18:J18"/>
    <mergeCell ref="E19:J19"/>
    <mergeCell ref="J22:K22"/>
    <mergeCell ref="D22:H22"/>
  </mergeCells>
  <phoneticPr fontId="3" type="noConversion"/>
  <dataValidations disablePrompts="1" count="5">
    <dataValidation allowBlank="1" showInputMessage="1" sqref="E20:H20 E18:J19" xr:uid="{00000000-0002-0000-0600-000000000000}"/>
    <dataValidation allowBlank="1" showInputMessage="1" showErrorMessage="1" promptTitle="Reference" prompt="For more information, see the definition of metered energy in the Consolidated Authoritative Documents Glossary." sqref="I23" xr:uid="{00000000-0002-0000-0600-000003000000}"/>
    <dataValidation allowBlank="1" showInputMessage="1" showErrorMessage="1" promptTitle="Reference" prompt="For more information, see the definition of pool price in the Consolidated Authoritative Documents Glossary." sqref="I24" xr:uid="{00000000-0002-0000-0600-000004000000}"/>
    <dataValidation allowBlank="1" showInputMessage="1" showErrorMessage="1" promptTitle="Reference" prompt="For more information, see the definition of loss factor in the Consolidated Authoritative Documents Glossary." sqref="I25" xr:uid="{00000000-0002-0000-0600-000005000000}"/>
    <dataValidation allowBlank="1" showInputMessage="1" showErrorMessage="1" promptTitle="Reference" prompt="For more information, see Appendix A: Regulated Generating Units in the ISO tariff." sqref="I26" xr:uid="{00000000-0002-0000-0600-000006000000}"/>
  </dataValidations>
  <printOptions horizontalCentered="1"/>
  <pageMargins left="0.23622047244094491" right="0.23622047244094491" top="0.51181102362204722" bottom="0.23622047244094491" header="0.31496062992125984" footer="0.31496062992125984"/>
  <pageSetup scale="99" orientation="portrait" r:id="rId1"/>
  <headerFooter alignWithMargins="0">
    <oddFooter>&amp;L&amp;8&amp;F&amp;R&amp;8Confidentiality: Proprietary When Completed
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5"/>
  <sheetViews>
    <sheetView zoomScaleNormal="100" workbookViewId="0">
      <selection activeCell="N18" sqref="N18"/>
    </sheetView>
  </sheetViews>
  <sheetFormatPr defaultColWidth="9.1328125" defaultRowHeight="13.15" x14ac:dyDescent="0.4"/>
  <cols>
    <col min="1" max="1" width="40.59765625" style="114" bestFit="1" customWidth="1"/>
    <col min="2" max="2" width="37.3984375" style="114" bestFit="1" customWidth="1"/>
    <col min="3" max="3" width="10.59765625" style="114" bestFit="1" customWidth="1"/>
    <col min="4" max="7" width="10.86328125" style="114" bestFit="1" customWidth="1"/>
    <col min="8" max="14" width="11.59765625" style="114" bestFit="1" customWidth="1"/>
    <col min="15" max="16384" width="9.1328125" style="114"/>
  </cols>
  <sheetData>
    <row r="1" spans="1:14" ht="14.25" x14ac:dyDescent="0.45">
      <c r="A1" s="115"/>
      <c r="B1" s="115" t="s">
        <v>176</v>
      </c>
      <c r="C1" s="119" t="s">
        <v>177</v>
      </c>
      <c r="D1" s="119" t="s">
        <v>178</v>
      </c>
      <c r="E1" s="119" t="s">
        <v>179</v>
      </c>
      <c r="F1" s="119" t="s">
        <v>180</v>
      </c>
      <c r="G1" s="119" t="s">
        <v>175</v>
      </c>
      <c r="H1" s="119" t="s">
        <v>181</v>
      </c>
      <c r="I1" s="119" t="s">
        <v>198</v>
      </c>
      <c r="J1" s="119" t="s">
        <v>227</v>
      </c>
      <c r="K1" s="119" t="s">
        <v>228</v>
      </c>
      <c r="L1" s="119" t="s">
        <v>230</v>
      </c>
      <c r="M1" s="119" t="s">
        <v>232</v>
      </c>
      <c r="N1" s="119" t="s">
        <v>234</v>
      </c>
    </row>
    <row r="2" spans="1:14" ht="14.25" x14ac:dyDescent="0.45">
      <c r="A2" s="115"/>
      <c r="B2" s="115" t="s">
        <v>182</v>
      </c>
      <c r="C2" s="120">
        <v>42370</v>
      </c>
      <c r="D2" s="120">
        <v>42461</v>
      </c>
      <c r="E2" s="120">
        <v>42736</v>
      </c>
      <c r="F2" s="120">
        <v>43101</v>
      </c>
      <c r="G2" s="120">
        <v>43466</v>
      </c>
      <c r="H2" s="121">
        <v>43922</v>
      </c>
      <c r="I2" s="121">
        <v>44197</v>
      </c>
      <c r="J2" s="122">
        <v>44562</v>
      </c>
      <c r="K2" s="122">
        <v>44927</v>
      </c>
      <c r="L2" s="122">
        <v>45292</v>
      </c>
      <c r="M2" s="122">
        <v>45658</v>
      </c>
      <c r="N2" s="122">
        <v>46023</v>
      </c>
    </row>
    <row r="3" spans="1:14" ht="14.25" x14ac:dyDescent="0.45">
      <c r="A3" s="115"/>
      <c r="B3" s="115" t="s">
        <v>183</v>
      </c>
      <c r="C3" s="120">
        <v>42460</v>
      </c>
      <c r="D3" s="120">
        <v>42735</v>
      </c>
      <c r="E3" s="120">
        <v>43100</v>
      </c>
      <c r="F3" s="120">
        <v>43465</v>
      </c>
      <c r="G3" s="120">
        <v>43921</v>
      </c>
      <c r="H3" s="121">
        <v>44196</v>
      </c>
      <c r="I3" s="121">
        <v>44561</v>
      </c>
      <c r="J3" s="123">
        <v>44926</v>
      </c>
      <c r="K3" s="123">
        <v>45291</v>
      </c>
      <c r="L3" s="122">
        <v>45657</v>
      </c>
      <c r="M3" s="122">
        <v>46022</v>
      </c>
      <c r="N3" s="122" t="s">
        <v>229</v>
      </c>
    </row>
    <row r="4" spans="1:14" ht="14.25" x14ac:dyDescent="0.45">
      <c r="A4" s="115" t="s">
        <v>28</v>
      </c>
      <c r="B4" s="115" t="s">
        <v>29</v>
      </c>
      <c r="C4" s="124">
        <v>9305</v>
      </c>
      <c r="D4" s="124">
        <v>10175</v>
      </c>
      <c r="E4" s="124">
        <v>10670</v>
      </c>
      <c r="F4" s="124">
        <v>10177</v>
      </c>
      <c r="G4" s="124">
        <v>10524</v>
      </c>
      <c r="H4" s="124">
        <v>10814</v>
      </c>
      <c r="I4" s="124">
        <v>11085</v>
      </c>
      <c r="J4" s="124">
        <v>10501</v>
      </c>
      <c r="K4" s="124">
        <v>10840</v>
      </c>
      <c r="L4" s="124">
        <v>10899</v>
      </c>
      <c r="M4" s="124">
        <v>11164</v>
      </c>
      <c r="N4" s="124">
        <v>10927</v>
      </c>
    </row>
    <row r="5" spans="1:14" ht="14.25" x14ac:dyDescent="0.45">
      <c r="A5" s="115" t="s">
        <v>28</v>
      </c>
      <c r="B5" s="115" t="s">
        <v>184</v>
      </c>
      <c r="C5" s="124">
        <v>1.0900000000000001</v>
      </c>
      <c r="D5" s="124">
        <v>1.17</v>
      </c>
      <c r="E5" s="124">
        <v>1.25</v>
      </c>
      <c r="F5" s="124">
        <v>1.2</v>
      </c>
      <c r="G5" s="124">
        <v>1.26</v>
      </c>
      <c r="H5" s="124">
        <v>1.1299999999999999</v>
      </c>
      <c r="I5" s="124">
        <v>1.22</v>
      </c>
      <c r="J5" s="124">
        <v>1.1499999999999999</v>
      </c>
      <c r="K5" s="124">
        <v>1.18</v>
      </c>
      <c r="L5" s="124">
        <v>1.22</v>
      </c>
      <c r="M5" s="124">
        <v>1.23</v>
      </c>
      <c r="N5" s="124">
        <v>1.23</v>
      </c>
    </row>
    <row r="6" spans="1:14" ht="14.25" x14ac:dyDescent="0.45">
      <c r="A6" s="115" t="s">
        <v>146</v>
      </c>
      <c r="B6" s="115" t="s">
        <v>31</v>
      </c>
      <c r="C6" s="124">
        <v>2162</v>
      </c>
      <c r="D6" s="124">
        <v>2333</v>
      </c>
      <c r="E6" s="124">
        <v>2356</v>
      </c>
      <c r="F6" s="124">
        <v>2281</v>
      </c>
      <c r="G6" s="124">
        <v>2359</v>
      </c>
      <c r="H6" s="124">
        <v>2799</v>
      </c>
      <c r="I6" s="124">
        <v>2893</v>
      </c>
      <c r="J6" s="124">
        <v>2775</v>
      </c>
      <c r="K6" s="124">
        <v>2844</v>
      </c>
      <c r="L6" s="124">
        <v>2841</v>
      </c>
      <c r="M6" s="124">
        <v>2945</v>
      </c>
      <c r="N6" s="124">
        <v>2987</v>
      </c>
    </row>
    <row r="7" spans="1:14" ht="14.25" x14ac:dyDescent="0.45">
      <c r="A7" s="115" t="s">
        <v>146</v>
      </c>
      <c r="B7" s="115" t="s">
        <v>185</v>
      </c>
      <c r="C7" s="124">
        <v>0.76</v>
      </c>
      <c r="D7" s="124">
        <v>0.81</v>
      </c>
      <c r="E7" s="124">
        <v>0.87</v>
      </c>
      <c r="F7" s="124">
        <v>0.84</v>
      </c>
      <c r="G7" s="124">
        <v>0.87</v>
      </c>
      <c r="H7" s="124">
        <v>0.86</v>
      </c>
      <c r="I7" s="124">
        <v>0.93</v>
      </c>
      <c r="J7" s="124">
        <v>0.87</v>
      </c>
      <c r="K7" s="124">
        <v>0.9</v>
      </c>
      <c r="L7" s="124">
        <v>0.92</v>
      </c>
      <c r="M7" s="124">
        <v>0.93</v>
      </c>
      <c r="N7" s="124">
        <v>0.93</v>
      </c>
    </row>
    <row r="8" spans="1:14" ht="14.25" x14ac:dyDescent="0.45">
      <c r="A8" s="115" t="s">
        <v>186</v>
      </c>
      <c r="B8" s="115" t="s">
        <v>187</v>
      </c>
      <c r="C8" s="124">
        <v>7865</v>
      </c>
      <c r="D8" s="124">
        <v>8604</v>
      </c>
      <c r="E8" s="124">
        <v>8789</v>
      </c>
      <c r="F8" s="124">
        <v>8635</v>
      </c>
      <c r="G8" s="124">
        <v>9062</v>
      </c>
      <c r="H8" s="124">
        <v>14291</v>
      </c>
      <c r="I8" s="124">
        <v>14860</v>
      </c>
      <c r="J8" s="124">
        <v>14332</v>
      </c>
      <c r="K8" s="124">
        <v>14728</v>
      </c>
      <c r="L8" s="124">
        <v>14641</v>
      </c>
      <c r="M8" s="124">
        <v>15304</v>
      </c>
      <c r="N8" s="124">
        <v>15562</v>
      </c>
    </row>
    <row r="9" spans="1:14" ht="14.25" x14ac:dyDescent="0.45">
      <c r="A9" s="115" t="s">
        <v>186</v>
      </c>
      <c r="B9" s="115" t="s">
        <v>188</v>
      </c>
      <c r="C9" s="124">
        <v>3184</v>
      </c>
      <c r="D9" s="124">
        <v>3484</v>
      </c>
      <c r="E9" s="124">
        <v>3559</v>
      </c>
      <c r="F9" s="124">
        <v>3496</v>
      </c>
      <c r="G9" s="124">
        <v>3669</v>
      </c>
      <c r="H9" s="124">
        <v>4703</v>
      </c>
      <c r="I9" s="124">
        <v>4891</v>
      </c>
      <c r="J9" s="124">
        <v>4717</v>
      </c>
      <c r="K9" s="124">
        <v>4847</v>
      </c>
      <c r="L9" s="124">
        <v>4819</v>
      </c>
      <c r="M9" s="124">
        <v>5037</v>
      </c>
      <c r="N9" s="124">
        <v>5122</v>
      </c>
    </row>
    <row r="10" spans="1:14" ht="14.25" x14ac:dyDescent="0.45">
      <c r="A10" s="115" t="s">
        <v>186</v>
      </c>
      <c r="B10" s="115" t="s">
        <v>189</v>
      </c>
      <c r="C10" s="124">
        <v>1994</v>
      </c>
      <c r="D10" s="124">
        <v>2182</v>
      </c>
      <c r="E10" s="124">
        <v>2229</v>
      </c>
      <c r="F10" s="124">
        <v>2190</v>
      </c>
      <c r="G10" s="124">
        <v>2298</v>
      </c>
      <c r="H10" s="124">
        <v>2789</v>
      </c>
      <c r="I10" s="124">
        <v>2900</v>
      </c>
      <c r="J10" s="124">
        <v>2797</v>
      </c>
      <c r="K10" s="124">
        <v>2875</v>
      </c>
      <c r="L10" s="124">
        <v>2858</v>
      </c>
      <c r="M10" s="124">
        <v>2987</v>
      </c>
      <c r="N10" s="124">
        <v>3037</v>
      </c>
    </row>
    <row r="11" spans="1:14" ht="14.25" x14ac:dyDescent="0.45">
      <c r="A11" s="115" t="s">
        <v>186</v>
      </c>
      <c r="B11" s="115" t="s">
        <v>190</v>
      </c>
      <c r="C11" s="124">
        <v>1391</v>
      </c>
      <c r="D11" s="124">
        <v>1522</v>
      </c>
      <c r="E11" s="124">
        <v>1555</v>
      </c>
      <c r="F11" s="124">
        <v>1527</v>
      </c>
      <c r="G11" s="124">
        <v>1603</v>
      </c>
      <c r="H11" s="124">
        <v>1867</v>
      </c>
      <c r="I11" s="124">
        <v>1942</v>
      </c>
      <c r="J11" s="124">
        <v>1873</v>
      </c>
      <c r="K11" s="124">
        <v>1924</v>
      </c>
      <c r="L11" s="124">
        <v>1913</v>
      </c>
      <c r="M11" s="124">
        <v>2000</v>
      </c>
      <c r="N11" s="124">
        <v>2033</v>
      </c>
    </row>
    <row r="12" spans="1:14" ht="14.25" x14ac:dyDescent="0.45">
      <c r="A12" s="115" t="s">
        <v>186</v>
      </c>
      <c r="B12" s="115" t="s">
        <v>191</v>
      </c>
      <c r="C12" s="124">
        <v>901</v>
      </c>
      <c r="D12" s="124">
        <v>986</v>
      </c>
      <c r="E12" s="124">
        <v>1007</v>
      </c>
      <c r="F12" s="124">
        <v>989</v>
      </c>
      <c r="G12" s="124">
        <v>1038</v>
      </c>
      <c r="H12" s="124">
        <v>1150</v>
      </c>
      <c r="I12" s="124">
        <v>1195</v>
      </c>
      <c r="J12" s="124">
        <v>1153</v>
      </c>
      <c r="K12" s="124">
        <v>1185</v>
      </c>
      <c r="L12" s="124">
        <v>1178</v>
      </c>
      <c r="M12" s="124">
        <v>1231</v>
      </c>
      <c r="N12" s="124">
        <v>1252</v>
      </c>
    </row>
    <row r="13" spans="1:14" ht="14.25" x14ac:dyDescent="0.45">
      <c r="A13" s="115" t="s">
        <v>192</v>
      </c>
      <c r="B13" s="115" t="s">
        <v>187</v>
      </c>
      <c r="C13" s="124">
        <v>-6213</v>
      </c>
      <c r="D13" s="124">
        <v>-6797</v>
      </c>
      <c r="E13" s="124">
        <v>-6943</v>
      </c>
      <c r="F13" s="124">
        <v>-6822</v>
      </c>
      <c r="G13" s="124">
        <v>-7159</v>
      </c>
      <c r="H13" s="124">
        <v>-11290</v>
      </c>
      <c r="I13" s="124">
        <v>-11739</v>
      </c>
      <c r="J13" s="124">
        <v>-11322</v>
      </c>
      <c r="K13" s="124">
        <v>-11635</v>
      </c>
      <c r="L13" s="124">
        <v>-11566</v>
      </c>
      <c r="M13" s="124">
        <v>-12090</v>
      </c>
      <c r="N13" s="124">
        <v>-12294</v>
      </c>
    </row>
    <row r="14" spans="1:14" ht="14.25" x14ac:dyDescent="0.45">
      <c r="A14" s="115" t="s">
        <v>192</v>
      </c>
      <c r="B14" s="115" t="s">
        <v>188</v>
      </c>
      <c r="C14" s="124">
        <v>-2515</v>
      </c>
      <c r="D14" s="124">
        <v>-2752</v>
      </c>
      <c r="E14" s="124">
        <v>-2812</v>
      </c>
      <c r="F14" s="124">
        <v>-2762</v>
      </c>
      <c r="G14" s="124">
        <v>-2899</v>
      </c>
      <c r="H14" s="124">
        <v>-3715</v>
      </c>
      <c r="I14" s="124">
        <v>-3864</v>
      </c>
      <c r="J14" s="124">
        <v>-3726</v>
      </c>
      <c r="K14" s="124">
        <v>-3829</v>
      </c>
      <c r="L14" s="124">
        <v>-3807</v>
      </c>
      <c r="M14" s="124">
        <v>-3979</v>
      </c>
      <c r="N14" s="124">
        <v>-4046</v>
      </c>
    </row>
    <row r="15" spans="1:14" ht="14.25" x14ac:dyDescent="0.45">
      <c r="A15" s="115" t="s">
        <v>192</v>
      </c>
      <c r="B15" s="115" t="s">
        <v>189</v>
      </c>
      <c r="C15" s="124">
        <v>-1575</v>
      </c>
      <c r="D15" s="124">
        <v>-1724</v>
      </c>
      <c r="E15" s="124">
        <v>-1761</v>
      </c>
      <c r="F15" s="124">
        <v>-1730</v>
      </c>
      <c r="G15" s="124">
        <v>-1815</v>
      </c>
      <c r="H15" s="124">
        <v>-2203</v>
      </c>
      <c r="I15" s="124">
        <v>-2291</v>
      </c>
      <c r="J15" s="124">
        <v>-2210</v>
      </c>
      <c r="K15" s="124">
        <v>-2271</v>
      </c>
      <c r="L15" s="124">
        <v>-2258</v>
      </c>
      <c r="M15" s="124">
        <v>-2360</v>
      </c>
      <c r="N15" s="124">
        <v>-2399</v>
      </c>
    </row>
    <row r="16" spans="1:14" ht="14.25" x14ac:dyDescent="0.45">
      <c r="A16" s="115" t="s">
        <v>192</v>
      </c>
      <c r="B16" s="115" t="s">
        <v>190</v>
      </c>
      <c r="C16" s="124">
        <v>-1099</v>
      </c>
      <c r="D16" s="124">
        <v>-1202</v>
      </c>
      <c r="E16" s="124">
        <v>-1228</v>
      </c>
      <c r="F16" s="124">
        <v>-1206</v>
      </c>
      <c r="G16" s="124">
        <v>-1266</v>
      </c>
      <c r="H16" s="124">
        <v>-1475</v>
      </c>
      <c r="I16" s="124">
        <v>-1534</v>
      </c>
      <c r="J16" s="124">
        <v>-1480</v>
      </c>
      <c r="K16" s="124">
        <v>-1520</v>
      </c>
      <c r="L16" s="124">
        <v>-1511</v>
      </c>
      <c r="M16" s="124">
        <v>-1580</v>
      </c>
      <c r="N16" s="124">
        <v>-1606</v>
      </c>
    </row>
    <row r="17" spans="1:14" ht="14.25" x14ac:dyDescent="0.45">
      <c r="A17" s="115" t="s">
        <v>192</v>
      </c>
      <c r="B17" s="115" t="s">
        <v>191</v>
      </c>
      <c r="C17" s="124">
        <v>-901</v>
      </c>
      <c r="D17" s="124">
        <v>-986</v>
      </c>
      <c r="E17" s="124">
        <v>-1007</v>
      </c>
      <c r="F17" s="124">
        <v>-989</v>
      </c>
      <c r="G17" s="124">
        <v>-1038</v>
      </c>
      <c r="H17" s="124">
        <v>-1150</v>
      </c>
      <c r="I17" s="124">
        <v>-1195</v>
      </c>
      <c r="J17" s="124">
        <v>-1153</v>
      </c>
      <c r="K17" s="124">
        <v>-1185</v>
      </c>
      <c r="L17" s="124">
        <v>-1178</v>
      </c>
      <c r="M17" s="124">
        <v>-1231</v>
      </c>
      <c r="N17" s="124">
        <v>-1252</v>
      </c>
    </row>
    <row r="18" spans="1:14" ht="14.25" x14ac:dyDescent="0.45">
      <c r="A18" s="115" t="s">
        <v>193</v>
      </c>
      <c r="B18" s="115" t="s">
        <v>65</v>
      </c>
      <c r="C18" s="124">
        <v>41.49</v>
      </c>
      <c r="D18" s="124">
        <v>40.99</v>
      </c>
      <c r="E18" s="124">
        <v>31.82</v>
      </c>
      <c r="F18" s="124">
        <v>42.58</v>
      </c>
      <c r="G18" s="124">
        <v>57.52</v>
      </c>
      <c r="H18" s="124">
        <v>57.81</v>
      </c>
      <c r="I18" s="124">
        <v>53.93</v>
      </c>
      <c r="J18" s="124">
        <v>74.010000000000005</v>
      </c>
      <c r="K18" s="124">
        <v>94.34</v>
      </c>
      <c r="L18" s="124">
        <v>83.42</v>
      </c>
      <c r="M18" s="124">
        <v>54.3</v>
      </c>
      <c r="N18" s="124">
        <v>51.26</v>
      </c>
    </row>
    <row r="19" spans="1:14" ht="14.25" x14ac:dyDescent="0.45">
      <c r="A19" s="115" t="s">
        <v>193</v>
      </c>
      <c r="B19" s="115" t="s">
        <v>194</v>
      </c>
      <c r="C19" s="125">
        <v>6.4100000000000004E-2</v>
      </c>
      <c r="D19" s="126">
        <v>6.6600000000000006E-2</v>
      </c>
      <c r="E19" s="126">
        <v>6.9900000000000004E-2</v>
      </c>
      <c r="F19" s="126">
        <v>6.4399999999999999E-2</v>
      </c>
      <c r="G19" s="126">
        <v>8.5000000000000006E-2</v>
      </c>
      <c r="H19" s="126">
        <v>7.1300000000000002E-2</v>
      </c>
      <c r="I19" s="126">
        <v>6.1899999999999997E-2</v>
      </c>
      <c r="J19" s="126">
        <v>4.53E-2</v>
      </c>
      <c r="K19" s="127">
        <v>5.1799999999999999E-2</v>
      </c>
      <c r="L19" s="127">
        <v>7.1800000000000003E-2</v>
      </c>
      <c r="M19" s="127">
        <v>6.8699999999999997E-2</v>
      </c>
      <c r="N19" s="127">
        <v>8.1299999999999997E-2</v>
      </c>
    </row>
    <row r="20" spans="1:14" ht="14.25" x14ac:dyDescent="0.45">
      <c r="A20" s="115" t="s">
        <v>195</v>
      </c>
      <c r="B20" s="115" t="s">
        <v>30</v>
      </c>
      <c r="C20" s="124">
        <v>0</v>
      </c>
      <c r="D20" s="124">
        <v>0.06</v>
      </c>
      <c r="E20" s="124">
        <v>7.0000000000000007E-2</v>
      </c>
      <c r="F20" s="128">
        <v>2E-3</v>
      </c>
      <c r="G20" s="128">
        <v>2E-3</v>
      </c>
      <c r="H20" s="128">
        <v>2E-3</v>
      </c>
      <c r="I20" s="128">
        <v>2E-3</v>
      </c>
      <c r="J20" s="128">
        <v>1.7000000000000001E-2</v>
      </c>
      <c r="K20" s="124">
        <v>1.7000000000000001E-2</v>
      </c>
      <c r="L20" s="128">
        <v>6.9000000000000006E-2</v>
      </c>
      <c r="M20" s="128">
        <v>0.26500000000000001</v>
      </c>
      <c r="N20" s="128">
        <v>0.13100000000000001</v>
      </c>
    </row>
    <row r="21" spans="1:14" ht="14.25" x14ac:dyDescent="0.45">
      <c r="A21" s="115" t="s">
        <v>38</v>
      </c>
      <c r="B21" s="115" t="s">
        <v>30</v>
      </c>
      <c r="C21" s="124">
        <v>0.05</v>
      </c>
      <c r="D21" s="124">
        <v>0.06</v>
      </c>
      <c r="E21" s="124">
        <v>7.0000000000000007E-2</v>
      </c>
      <c r="F21" s="124">
        <v>0.09</v>
      </c>
      <c r="G21" s="124">
        <v>0.05</v>
      </c>
      <c r="H21" s="124">
        <v>0.05</v>
      </c>
      <c r="I21" s="124">
        <v>0.01</v>
      </c>
      <c r="J21" s="124">
        <v>0.08</v>
      </c>
      <c r="K21" s="124">
        <v>0.09</v>
      </c>
      <c r="L21" s="124">
        <v>0.06</v>
      </c>
      <c r="M21" s="124">
        <v>7.0000000000000007E-2</v>
      </c>
      <c r="N21" s="124">
        <v>0.15</v>
      </c>
    </row>
    <row r="22" spans="1:14" ht="14.25" x14ac:dyDescent="0.45">
      <c r="A22" s="115" t="s">
        <v>39</v>
      </c>
      <c r="B22" s="115" t="s">
        <v>51</v>
      </c>
      <c r="C22" s="124">
        <v>41</v>
      </c>
      <c r="D22" s="124">
        <v>46</v>
      </c>
      <c r="E22" s="124">
        <v>46</v>
      </c>
      <c r="F22" s="124">
        <v>46</v>
      </c>
      <c r="G22" s="124">
        <v>36</v>
      </c>
      <c r="H22" s="124">
        <v>24</v>
      </c>
      <c r="I22" s="124">
        <v>25</v>
      </c>
      <c r="J22" s="124">
        <v>24</v>
      </c>
      <c r="K22" s="124">
        <v>24</v>
      </c>
      <c r="L22" s="124">
        <v>52</v>
      </c>
      <c r="M22" s="124">
        <v>52</v>
      </c>
      <c r="N22" s="124">
        <v>50</v>
      </c>
    </row>
    <row r="23" spans="1:14" ht="14.25" x14ac:dyDescent="0.45">
      <c r="A23" s="115" t="s">
        <v>39</v>
      </c>
      <c r="B23" s="114" t="s">
        <v>114</v>
      </c>
      <c r="C23" s="124">
        <v>149</v>
      </c>
      <c r="D23" s="124">
        <v>122</v>
      </c>
      <c r="E23" s="124">
        <v>95</v>
      </c>
      <c r="F23" s="124">
        <v>75</v>
      </c>
      <c r="G23" s="124">
        <v>45</v>
      </c>
      <c r="H23" s="124">
        <v>15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</row>
    <row r="24" spans="1:14" ht="14.25" x14ac:dyDescent="0.45">
      <c r="A24" s="115" t="s">
        <v>39</v>
      </c>
      <c r="B24" s="115" t="s">
        <v>196</v>
      </c>
      <c r="C24" s="124">
        <v>400</v>
      </c>
      <c r="D24" s="124">
        <v>400</v>
      </c>
      <c r="E24" s="124">
        <v>400</v>
      </c>
      <c r="F24" s="124">
        <v>400</v>
      </c>
      <c r="G24" s="124">
        <v>400</v>
      </c>
      <c r="H24" s="124">
        <v>400</v>
      </c>
      <c r="I24" s="124">
        <v>400</v>
      </c>
      <c r="J24" s="124">
        <v>400</v>
      </c>
      <c r="K24" s="124">
        <v>400</v>
      </c>
      <c r="L24" s="124">
        <v>400</v>
      </c>
      <c r="M24" s="124">
        <v>400</v>
      </c>
      <c r="N24" s="124">
        <v>400</v>
      </c>
    </row>
    <row r="25" spans="1:14" ht="14.25" x14ac:dyDescent="0.45">
      <c r="A25" s="115" t="s">
        <v>197</v>
      </c>
      <c r="B25" s="115" t="s">
        <v>197</v>
      </c>
      <c r="C25" s="124">
        <v>-3.25</v>
      </c>
      <c r="D25" s="124">
        <v>-3.25</v>
      </c>
      <c r="E25" s="124">
        <v>1.1000000000000001</v>
      </c>
      <c r="F25" s="124">
        <v>3.1</v>
      </c>
      <c r="G25" s="124">
        <v>2.9</v>
      </c>
      <c r="H25" s="124">
        <v>2.5</v>
      </c>
      <c r="I25" s="124">
        <v>2.2999999999999998</v>
      </c>
      <c r="J25" s="124">
        <v>2.2000000000000002</v>
      </c>
      <c r="K25" s="124">
        <v>2.2000000000000002</v>
      </c>
      <c r="L25" s="124">
        <v>1.3</v>
      </c>
      <c r="M25" s="124">
        <v>1.3</v>
      </c>
      <c r="N25" s="124">
        <v>1.26</v>
      </c>
    </row>
  </sheetData>
  <phoneticPr fontId="23" type="noConversion"/>
  <printOptions horizontalCentered="1"/>
  <pageMargins left="0.23622047244094491" right="0.23622047244094491" top="0.51181102362204722" bottom="0.23622047244094491" header="0.31496062992125984" footer="0.31496062992125984"/>
  <pageSetup scale="48"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</worksheet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A - Inputs and Summary</vt:lpstr>
      <vt:lpstr>B - Rate DTS and Riders</vt:lpstr>
      <vt:lpstr>C - Rate PSC and Rider</vt:lpstr>
      <vt:lpstr>D - Rate STS and Riders</vt:lpstr>
      <vt:lpstr>Lookup</vt:lpstr>
      <vt:lpstr>AccountID</vt:lpstr>
      <vt:lpstr>AESOTariff</vt:lpstr>
      <vt:lpstr>EstimateType</vt:lpstr>
      <vt:lpstr>OtherParticipant</vt:lpstr>
      <vt:lpstr>ParticipantName</vt:lpstr>
      <vt:lpstr>PreparationDate</vt:lpstr>
      <vt:lpstr>PrimaryServiceCredit</vt:lpstr>
      <vt:lpstr>'A - Inputs and Summary'!Print_Area</vt:lpstr>
      <vt:lpstr>'B - Rate DTS and Riders'!Print_Area</vt:lpstr>
      <vt:lpstr>'C - Rate PSC and Rider'!Print_Area</vt:lpstr>
      <vt:lpstr>'D - Rate STS and Riders'!Print_Area</vt:lpstr>
      <vt:lpstr>ReceivePSC</vt:lpstr>
      <vt:lpstr>RegulatedGeneratingUnit</vt:lpstr>
      <vt:lpstr>RiderC</vt:lpstr>
      <vt:lpstr>RiderE</vt:lpstr>
      <vt:lpstr>RiderF</vt:lpstr>
      <vt:lpstr>RiderJ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2026-01-09T23:23:38Z</dcterms:created>
  <dcterms:modified xsi:type="dcterms:W3CDTF">2026-01-09T23:24:01Z</dcterms:modified>
</cp:coreProperties>
</file>