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-75" yWindow="135" windowWidth="15435" windowHeight="5775" tabRatio="870"/>
  </bookViews>
  <sheets>
    <sheet name="Greenfield Projects" sheetId="50" r:id="rId1"/>
    <sheet name="Pre-AESO Projects" sheetId="51" r:id="rId2"/>
    <sheet name="Upgrade Projects" sheetId="52" r:id="rId3"/>
    <sheet name="Contract vs Installed" sheetId="54" r:id="rId4"/>
    <sheet name="2018 Escalator" sheetId="55" r:id="rId5"/>
    <sheet name="Cost Function" sheetId="31" r:id="rId6"/>
    <sheet name="Greenfield" sheetId="33" r:id="rId7"/>
    <sheet name="GF + UG Iteration 1" sheetId="34" r:id="rId8"/>
    <sheet name="GF + UG Iteration 2" sheetId="35" r:id="rId9"/>
    <sheet name="GF + UG Iteration 3" sheetId="36" r:id="rId10"/>
    <sheet name="GF + UG Iteration 4" sheetId="37" r:id="rId11"/>
    <sheet name="GF + UG Iteration 5" sheetId="38" r:id="rId12"/>
    <sheet name="GF + UG Iteration 6" sheetId="39" r:id="rId13"/>
    <sheet name="GF + UG Iteration 7" sheetId="40" r:id="rId14"/>
    <sheet name="GF + UG Iteration 8" sheetId="41" r:id="rId15"/>
    <sheet name="GF + UG Iteration 9" sheetId="42" r:id="rId16"/>
    <sheet name="GF + UG Iteration 10" sheetId="43" r:id="rId17"/>
    <sheet name="GF + UG Iteration 11" sheetId="44" r:id="rId18"/>
    <sheet name="GF + UG Iteration 12" sheetId="45" r:id="rId19"/>
    <sheet name="GF + UG Iteration 13" sheetId="46" r:id="rId20"/>
    <sheet name="GF + UG Iteration 14" sheetId="47" r:id="rId21"/>
    <sheet name="GF + UG Iteration 15" sheetId="48" r:id="rId22"/>
    <sheet name="Power Curve Model" sheetId="49" r:id="rId23"/>
  </sheets>
  <definedNames>
    <definedName name="_xlnm._FilterDatabase" localSheetId="3" hidden="1">'Contract vs Installed'!$A$7:$I$292</definedName>
    <definedName name="_xlnm._FilterDatabase" localSheetId="21" hidden="1">'GF + UG Iteration 15'!$A$7:$K$293</definedName>
    <definedName name="_xlnm._FilterDatabase" localSheetId="0" hidden="1">'Greenfield Projects'!$A$7:$V$130</definedName>
    <definedName name="_xlnm._FilterDatabase" localSheetId="2" hidden="1">'Upgrade Projects'!$A$7:$AJ$181</definedName>
    <definedName name="Applicant">"Alberta Electric System Operator"</definedName>
    <definedName name="Application">"2018 ISO Tariff Application"</definedName>
    <definedName name="ApplicationSection">"Appendix G - Point of Delivery Cost Function Workbook"</definedName>
    <definedName name="GreenfieldDB">'Greenfield Projects'!$A$7:$AE$109</definedName>
    <definedName name="_xlnm.Print_Area" localSheetId="5">'Cost Function'!$A$1:$F$36</definedName>
    <definedName name="_xlnm.Print_Titles" localSheetId="7">'GF + UG Iteration 1'!$7:$7</definedName>
    <definedName name="_xlnm.Print_Titles" localSheetId="16">'GF + UG Iteration 10'!$7:$7</definedName>
    <definedName name="_xlnm.Print_Titles" localSheetId="17">'GF + UG Iteration 11'!$7:$7</definedName>
    <definedName name="_xlnm.Print_Titles" localSheetId="18">'GF + UG Iteration 12'!$7:$7</definedName>
    <definedName name="_xlnm.Print_Titles" localSheetId="19">'GF + UG Iteration 13'!$7:$7</definedName>
    <definedName name="_xlnm.Print_Titles" localSheetId="20">'GF + UG Iteration 14'!$7:$7</definedName>
    <definedName name="_xlnm.Print_Titles" localSheetId="21">'GF + UG Iteration 15'!$7:$7</definedName>
    <definedName name="_xlnm.Print_Titles" localSheetId="8">'GF + UG Iteration 2'!$7:$7</definedName>
    <definedName name="_xlnm.Print_Titles" localSheetId="9">'GF + UG Iteration 3'!$7:$7</definedName>
    <definedName name="_xlnm.Print_Titles" localSheetId="10">'GF + UG Iteration 4'!$7:$7</definedName>
    <definedName name="_xlnm.Print_Titles" localSheetId="11">'GF + UG Iteration 5'!$7:$7</definedName>
    <definedName name="_xlnm.Print_Titles" localSheetId="12">'GF + UG Iteration 6'!$7:$7</definedName>
    <definedName name="_xlnm.Print_Titles" localSheetId="13">'GF + UG Iteration 7'!$7:$7</definedName>
    <definedName name="_xlnm.Print_Titles" localSheetId="14">'GF + UG Iteration 8'!$7:$7</definedName>
    <definedName name="_xlnm.Print_Titles" localSheetId="15">'GF + UG Iteration 9'!$7:$7</definedName>
    <definedName name="_xlnm.Print_Titles" localSheetId="6">Greenfield!$7:$7</definedName>
    <definedName name="TableDate">"August 17, 2018"</definedName>
    <definedName name="TableGroup1">"Calculation of Power Curve for Greenfield-Only Projects"</definedName>
    <definedName name="TableGroup2">"Calculation of Power Curve Iteration for Greenfield and Upgrade Projects"</definedName>
    <definedName name="TableGroup3">"Selection of Recent Projects for Investment Coverage Analysis"</definedName>
    <definedName name="TableGroup4">"Investment Coverage Analysis for Existing 2011 Investment Levels"</definedName>
    <definedName name="TableGroup5">"Investment Coverage Analysis for Proposed Investment Levels"</definedName>
    <definedName name="TablePrefix">"Table "</definedName>
    <definedName name="TableSuffix">""</definedName>
    <definedName name="TotalPages">"1"</definedName>
    <definedName name="UpgradeDB">'Upgrade Projects'!$A$7:$X$190</definedName>
  </definedNames>
  <calcPr calcId="145621"/>
  <pivotCaches>
    <pivotCache cacheId="106" r:id="rId24"/>
  </pivotCaches>
</workbook>
</file>

<file path=xl/calcChain.xml><?xml version="1.0" encoding="utf-8"?>
<calcChain xmlns="http://schemas.openxmlformats.org/spreadsheetml/2006/main">
  <c r="I292" i="54" l="1"/>
  <c r="I291" i="54"/>
  <c r="I290" i="54"/>
  <c r="I289" i="54"/>
  <c r="I288" i="54"/>
  <c r="I287" i="54"/>
  <c r="I286" i="54"/>
  <c r="I285" i="54"/>
  <c r="I284" i="54"/>
  <c r="I283" i="54"/>
  <c r="I282" i="54"/>
  <c r="I281" i="54"/>
  <c r="I280" i="54"/>
  <c r="I279" i="54"/>
  <c r="I278" i="54"/>
  <c r="I277" i="54"/>
  <c r="I276" i="54"/>
  <c r="I275" i="54"/>
  <c r="I274" i="54"/>
  <c r="I273" i="54"/>
  <c r="I272" i="54"/>
  <c r="I271" i="54"/>
  <c r="I270" i="54"/>
  <c r="I269" i="54"/>
  <c r="I268" i="54"/>
  <c r="I267" i="54"/>
  <c r="I266" i="54"/>
  <c r="I265" i="54"/>
  <c r="I264" i="54"/>
  <c r="I263" i="54"/>
  <c r="I262" i="54"/>
  <c r="I261" i="54"/>
  <c r="I260" i="54"/>
  <c r="I259" i="54"/>
  <c r="I258" i="54"/>
  <c r="I257" i="54"/>
  <c r="I256" i="54"/>
  <c r="I255" i="54"/>
  <c r="I254" i="54"/>
  <c r="I253" i="54"/>
  <c r="I252" i="54"/>
  <c r="I251" i="54"/>
  <c r="I250" i="54"/>
  <c r="I249" i="54"/>
  <c r="I248" i="54"/>
  <c r="I247" i="54"/>
  <c r="I246" i="54"/>
  <c r="I245" i="54"/>
  <c r="I244" i="54"/>
  <c r="I243" i="54"/>
  <c r="I242" i="54"/>
  <c r="I241" i="54"/>
  <c r="I240" i="54"/>
  <c r="I239" i="54"/>
  <c r="I238" i="54"/>
  <c r="I237" i="54"/>
  <c r="I236" i="54"/>
  <c r="I235" i="54"/>
  <c r="I234" i="54"/>
  <c r="I233" i="54"/>
  <c r="I232" i="54"/>
  <c r="I231" i="54"/>
  <c r="I230" i="54"/>
  <c r="I229" i="54"/>
  <c r="I228" i="54"/>
  <c r="I227" i="54"/>
  <c r="I226" i="54"/>
  <c r="I225" i="54"/>
  <c r="I224" i="54"/>
  <c r="I223" i="54"/>
  <c r="I222" i="54"/>
  <c r="I221" i="54"/>
  <c r="I220" i="54"/>
  <c r="I219" i="54"/>
  <c r="I218" i="54"/>
  <c r="I217" i="54"/>
  <c r="I216" i="54"/>
  <c r="I215" i="54"/>
  <c r="I214" i="54"/>
  <c r="I213" i="54"/>
  <c r="I212" i="54"/>
  <c r="I211" i="54"/>
  <c r="I210" i="54"/>
  <c r="I209" i="54"/>
  <c r="I208" i="54"/>
  <c r="I207" i="54"/>
  <c r="I206" i="54"/>
  <c r="I205" i="54"/>
  <c r="I204" i="54"/>
  <c r="I203" i="54"/>
  <c r="I202" i="54"/>
  <c r="I201" i="54"/>
  <c r="I200" i="54"/>
  <c r="I199" i="54"/>
  <c r="I198" i="54"/>
  <c r="I197" i="54"/>
  <c r="I196" i="54"/>
  <c r="I195" i="54"/>
  <c r="I194" i="54"/>
  <c r="I193" i="54"/>
  <c r="I192" i="54"/>
  <c r="I191" i="54"/>
  <c r="I190" i="54"/>
  <c r="I189" i="54"/>
  <c r="I188" i="54"/>
  <c r="I187" i="54"/>
  <c r="I186" i="54"/>
  <c r="I185" i="54"/>
  <c r="I184" i="54"/>
  <c r="I183" i="54"/>
  <c r="I182" i="54"/>
  <c r="I181" i="54"/>
  <c r="I180" i="54"/>
  <c r="I179" i="54"/>
  <c r="I178" i="54"/>
  <c r="I177" i="54"/>
  <c r="I176" i="54"/>
  <c r="I175" i="54"/>
  <c r="I174" i="54"/>
  <c r="I173" i="54"/>
  <c r="I172" i="54"/>
  <c r="I171" i="54"/>
  <c r="I170" i="54"/>
  <c r="I169" i="54"/>
  <c r="I168" i="54"/>
  <c r="I167" i="54"/>
  <c r="I166" i="54"/>
  <c r="I165" i="54"/>
  <c r="I164" i="54"/>
  <c r="I163" i="54"/>
  <c r="I162" i="54"/>
  <c r="I161" i="54"/>
  <c r="I160" i="54"/>
  <c r="I159" i="54"/>
  <c r="I158" i="54"/>
  <c r="I157" i="54"/>
  <c r="I156" i="54"/>
  <c r="I155" i="54"/>
  <c r="I154" i="54"/>
  <c r="I153" i="54"/>
  <c r="I152" i="54"/>
  <c r="I151" i="54"/>
  <c r="I150" i="54"/>
  <c r="I149" i="54"/>
  <c r="I148" i="54"/>
  <c r="I147" i="54"/>
  <c r="I146" i="54"/>
  <c r="I145" i="54"/>
  <c r="I144" i="54"/>
  <c r="I143" i="54"/>
  <c r="I142" i="54"/>
  <c r="I141" i="54"/>
  <c r="I140" i="54"/>
  <c r="I139" i="54"/>
  <c r="I138" i="54"/>
  <c r="I137" i="54"/>
  <c r="I136" i="54"/>
  <c r="I135" i="54"/>
  <c r="I134" i="54"/>
  <c r="I133" i="54"/>
  <c r="I132" i="54"/>
  <c r="I131" i="54"/>
  <c r="I130" i="54"/>
  <c r="I129" i="54"/>
  <c r="I128" i="54"/>
  <c r="I127" i="54"/>
  <c r="I126" i="54"/>
  <c r="I125" i="54"/>
  <c r="I124" i="54"/>
  <c r="I123" i="54"/>
  <c r="I122" i="54"/>
  <c r="I121" i="54"/>
  <c r="I120" i="54"/>
  <c r="I119" i="54"/>
  <c r="I118" i="54"/>
  <c r="I117" i="54"/>
  <c r="I116" i="54"/>
  <c r="I115" i="54"/>
  <c r="I114" i="54"/>
  <c r="I113" i="54"/>
  <c r="I112" i="54"/>
  <c r="I111" i="54"/>
  <c r="I110" i="54"/>
  <c r="I109" i="54"/>
  <c r="I108" i="54"/>
  <c r="I107" i="54"/>
  <c r="I106" i="54"/>
  <c r="I105" i="54"/>
  <c r="I104" i="54"/>
  <c r="I103" i="54"/>
  <c r="I102" i="54"/>
  <c r="I101" i="54"/>
  <c r="I100" i="54"/>
  <c r="I99" i="54"/>
  <c r="I98" i="54"/>
  <c r="I97" i="54"/>
  <c r="I96" i="54"/>
  <c r="I95" i="54"/>
  <c r="I94" i="54"/>
  <c r="I93" i="54"/>
  <c r="I92" i="54"/>
  <c r="I91" i="54"/>
  <c r="I90" i="54"/>
  <c r="I89" i="54"/>
  <c r="I88" i="54"/>
  <c r="I87" i="54"/>
  <c r="I86" i="54"/>
  <c r="I85" i="54"/>
  <c r="I84" i="54"/>
  <c r="I83" i="54"/>
  <c r="I82" i="54"/>
  <c r="I81" i="54"/>
  <c r="I80" i="54"/>
  <c r="I79" i="54"/>
  <c r="I78" i="54"/>
  <c r="I77" i="54"/>
  <c r="I76" i="54"/>
  <c r="I75" i="54"/>
  <c r="I74" i="54"/>
  <c r="I73" i="54"/>
  <c r="I72" i="54"/>
  <c r="I71" i="54"/>
  <c r="I70" i="54"/>
  <c r="I69" i="54"/>
  <c r="I68" i="54"/>
  <c r="I67" i="54"/>
  <c r="I66" i="54"/>
  <c r="I65" i="54"/>
  <c r="I64" i="54"/>
  <c r="I63" i="54"/>
  <c r="I62" i="54"/>
  <c r="I61" i="54"/>
  <c r="I60" i="54"/>
  <c r="I59" i="54"/>
  <c r="I58" i="54"/>
  <c r="I57" i="54"/>
  <c r="I56" i="54"/>
  <c r="I55" i="54"/>
  <c r="I54" i="54"/>
  <c r="I53" i="54"/>
  <c r="I52" i="54"/>
  <c r="I51" i="54"/>
  <c r="I50" i="54"/>
  <c r="I49" i="54"/>
  <c r="I48" i="54"/>
  <c r="I47" i="54"/>
  <c r="I46" i="54"/>
  <c r="I45" i="54"/>
  <c r="I44" i="54"/>
  <c r="I43" i="54"/>
  <c r="I42" i="54"/>
  <c r="I41" i="54"/>
  <c r="I40" i="54"/>
  <c r="I39" i="54"/>
  <c r="I38" i="54"/>
  <c r="I37" i="54"/>
  <c r="I36" i="54"/>
  <c r="I35" i="54"/>
  <c r="I34" i="54"/>
  <c r="I33" i="54"/>
  <c r="I32" i="54"/>
  <c r="I31" i="54"/>
  <c r="I30" i="54"/>
  <c r="I29" i="54"/>
  <c r="I28" i="54"/>
  <c r="I27" i="54"/>
  <c r="I26" i="54"/>
  <c r="I25" i="54"/>
  <c r="I24" i="54"/>
  <c r="I23" i="54"/>
  <c r="I22" i="54"/>
  <c r="I21" i="54"/>
  <c r="I20" i="54"/>
  <c r="I19" i="54"/>
  <c r="I18" i="54"/>
  <c r="I17" i="54"/>
  <c r="I16" i="54"/>
  <c r="I15" i="54"/>
  <c r="I14" i="54"/>
  <c r="I13" i="54"/>
  <c r="I12" i="54"/>
  <c r="I11" i="54"/>
  <c r="I10" i="54"/>
  <c r="I9" i="54"/>
  <c r="I8" i="54"/>
  <c r="AB144" i="52" l="1"/>
  <c r="Y144" i="52"/>
  <c r="AB172" i="52"/>
  <c r="Y172" i="52"/>
  <c r="G292" i="54" l="1"/>
  <c r="G291" i="54"/>
  <c r="G290" i="54"/>
  <c r="G289" i="54"/>
  <c r="G288" i="54"/>
  <c r="G287" i="54"/>
  <c r="G286" i="54"/>
  <c r="G285" i="54"/>
  <c r="G284" i="54"/>
  <c r="G283" i="54"/>
  <c r="G282" i="54"/>
  <c r="G281" i="54"/>
  <c r="G280" i="54"/>
  <c r="G279" i="54"/>
  <c r="G278" i="54"/>
  <c r="G277" i="54"/>
  <c r="G276" i="54"/>
  <c r="G275" i="54"/>
  <c r="G274" i="54"/>
  <c r="G273" i="54"/>
  <c r="G272" i="54"/>
  <c r="G271" i="54"/>
  <c r="G270" i="54"/>
  <c r="G269" i="54"/>
  <c r="G268" i="54"/>
  <c r="G267" i="54"/>
  <c r="G266" i="54"/>
  <c r="G265" i="54"/>
  <c r="G264" i="54"/>
  <c r="G263" i="54"/>
  <c r="G262" i="54"/>
  <c r="G261" i="54"/>
  <c r="G260" i="54"/>
  <c r="G259" i="54"/>
  <c r="G258" i="54"/>
  <c r="G257" i="54"/>
  <c r="G256" i="54"/>
  <c r="G255" i="54"/>
  <c r="G254" i="54"/>
  <c r="G253" i="54"/>
  <c r="G252" i="54"/>
  <c r="G251" i="54"/>
  <c r="G250" i="54"/>
  <c r="G249" i="54"/>
  <c r="G248" i="54"/>
  <c r="G247" i="54"/>
  <c r="G246" i="54"/>
  <c r="G245" i="54"/>
  <c r="G244" i="54"/>
  <c r="G243" i="54"/>
  <c r="G242" i="54"/>
  <c r="G241" i="54"/>
  <c r="G240" i="54"/>
  <c r="G239" i="54"/>
  <c r="G238" i="54"/>
  <c r="G237" i="54"/>
  <c r="G236" i="54"/>
  <c r="G235" i="54"/>
  <c r="G234" i="54"/>
  <c r="G233" i="54"/>
  <c r="G232" i="54"/>
  <c r="G231" i="54"/>
  <c r="G230" i="54"/>
  <c r="G229" i="54"/>
  <c r="G228" i="54"/>
  <c r="G227" i="54"/>
  <c r="G226" i="54"/>
  <c r="G225" i="54"/>
  <c r="G224" i="54"/>
  <c r="G223" i="54"/>
  <c r="G222" i="54"/>
  <c r="G221" i="54"/>
  <c r="G220" i="54"/>
  <c r="G219" i="54"/>
  <c r="G218" i="54"/>
  <c r="G217" i="54"/>
  <c r="G216" i="54"/>
  <c r="G215" i="54"/>
  <c r="G214" i="54"/>
  <c r="G213" i="54"/>
  <c r="G212" i="54"/>
  <c r="G211" i="54"/>
  <c r="G210" i="54"/>
  <c r="G209" i="54"/>
  <c r="G208" i="54"/>
  <c r="G207" i="54"/>
  <c r="G206" i="54"/>
  <c r="G205" i="54"/>
  <c r="G204" i="54"/>
  <c r="G203" i="54"/>
  <c r="G202" i="54"/>
  <c r="G201" i="54"/>
  <c r="G200" i="54"/>
  <c r="G199" i="54"/>
  <c r="G198" i="54"/>
  <c r="G197" i="54"/>
  <c r="G196" i="54"/>
  <c r="G195" i="54"/>
  <c r="G194" i="54"/>
  <c r="G193" i="54"/>
  <c r="G192" i="54"/>
  <c r="G191" i="54"/>
  <c r="G190" i="54"/>
  <c r="G189" i="54"/>
  <c r="G188" i="54"/>
  <c r="G187" i="54"/>
  <c r="G186" i="54"/>
  <c r="G185" i="54"/>
  <c r="G184" i="54"/>
  <c r="G183" i="54"/>
  <c r="G182" i="54"/>
  <c r="G181" i="54"/>
  <c r="G180" i="54"/>
  <c r="G179" i="54"/>
  <c r="G178" i="54"/>
  <c r="G177" i="54"/>
  <c r="G176" i="54"/>
  <c r="G175" i="54"/>
  <c r="G174" i="54"/>
  <c r="G173" i="54"/>
  <c r="G172" i="54"/>
  <c r="G171" i="54"/>
  <c r="G170" i="54"/>
  <c r="G169" i="54"/>
  <c r="G168" i="54"/>
  <c r="G167" i="54"/>
  <c r="G166" i="54"/>
  <c r="G165" i="54"/>
  <c r="G164" i="54"/>
  <c r="G163" i="54"/>
  <c r="G162" i="54"/>
  <c r="G161" i="54"/>
  <c r="G160" i="54"/>
  <c r="G159" i="54"/>
  <c r="G158" i="54"/>
  <c r="G157" i="54"/>
  <c r="G156" i="54"/>
  <c r="G155" i="54"/>
  <c r="G154" i="54"/>
  <c r="G153" i="54"/>
  <c r="G152" i="54"/>
  <c r="G151" i="54"/>
  <c r="G150" i="54"/>
  <c r="G149" i="54"/>
  <c r="G148" i="54"/>
  <c r="G147" i="54"/>
  <c r="G146" i="54"/>
  <c r="G145" i="54"/>
  <c r="G144" i="54"/>
  <c r="G143" i="54"/>
  <c r="G142" i="54"/>
  <c r="G141" i="54"/>
  <c r="G140" i="54"/>
  <c r="G139" i="54"/>
  <c r="G138" i="54"/>
  <c r="G137" i="54"/>
  <c r="G136" i="54"/>
  <c r="G135" i="54"/>
  <c r="G134" i="54"/>
  <c r="G133" i="54"/>
  <c r="G132" i="54"/>
  <c r="G131" i="54"/>
  <c r="G130" i="54"/>
  <c r="G129" i="54"/>
  <c r="G128" i="54"/>
  <c r="G127" i="54"/>
  <c r="G126" i="54"/>
  <c r="G125" i="54"/>
  <c r="G124" i="54"/>
  <c r="G123" i="54"/>
  <c r="G122" i="54"/>
  <c r="G121" i="54"/>
  <c r="G120" i="54"/>
  <c r="G119" i="54"/>
  <c r="G118" i="54"/>
  <c r="F292" i="54"/>
  <c r="F291" i="54"/>
  <c r="F290" i="54"/>
  <c r="F289" i="54"/>
  <c r="F288" i="54"/>
  <c r="F287" i="54"/>
  <c r="F286" i="54"/>
  <c r="F285" i="54"/>
  <c r="F284" i="54"/>
  <c r="F283" i="54"/>
  <c r="F282" i="54"/>
  <c r="F281" i="54"/>
  <c r="F280" i="54"/>
  <c r="F279" i="54"/>
  <c r="F278" i="54"/>
  <c r="F277" i="54"/>
  <c r="F276" i="54"/>
  <c r="F275" i="54"/>
  <c r="F274" i="54"/>
  <c r="F273" i="54"/>
  <c r="F272" i="54"/>
  <c r="F271" i="54"/>
  <c r="F270" i="54"/>
  <c r="F269" i="54"/>
  <c r="F268" i="54"/>
  <c r="F267" i="54"/>
  <c r="F266" i="54"/>
  <c r="F265" i="54"/>
  <c r="F264" i="54"/>
  <c r="F263" i="54"/>
  <c r="F262" i="54"/>
  <c r="F261" i="54"/>
  <c r="F260" i="54"/>
  <c r="F259" i="54"/>
  <c r="F258" i="54"/>
  <c r="F257" i="54"/>
  <c r="F256" i="54"/>
  <c r="F255" i="54"/>
  <c r="F254" i="54"/>
  <c r="F253" i="54"/>
  <c r="F252" i="54"/>
  <c r="F251" i="54"/>
  <c r="F250" i="54"/>
  <c r="F249" i="54"/>
  <c r="F248" i="54"/>
  <c r="F247" i="54"/>
  <c r="F246" i="54"/>
  <c r="F245" i="54"/>
  <c r="F244" i="54"/>
  <c r="F243" i="54"/>
  <c r="F242" i="54"/>
  <c r="F241" i="54"/>
  <c r="F240" i="54"/>
  <c r="F239" i="54"/>
  <c r="F238" i="54"/>
  <c r="F237" i="54"/>
  <c r="F236" i="54"/>
  <c r="F235" i="54"/>
  <c r="F234" i="54"/>
  <c r="F233" i="54"/>
  <c r="F232" i="54"/>
  <c r="F231" i="54"/>
  <c r="F230" i="54"/>
  <c r="F229" i="54"/>
  <c r="F228" i="54"/>
  <c r="F227" i="54"/>
  <c r="F226" i="54"/>
  <c r="F225" i="54"/>
  <c r="F224" i="54"/>
  <c r="F223" i="54"/>
  <c r="F222" i="54"/>
  <c r="F221" i="54"/>
  <c r="F220" i="54"/>
  <c r="F219" i="54"/>
  <c r="F218" i="54"/>
  <c r="F217" i="54"/>
  <c r="F216" i="54"/>
  <c r="F215" i="54"/>
  <c r="F214" i="54"/>
  <c r="F213" i="54"/>
  <c r="F212" i="54"/>
  <c r="F211" i="54"/>
  <c r="F210" i="54"/>
  <c r="F209" i="54"/>
  <c r="F208" i="54"/>
  <c r="F207" i="54"/>
  <c r="F206" i="54"/>
  <c r="F205" i="54"/>
  <c r="F204" i="54"/>
  <c r="F203" i="54"/>
  <c r="F202" i="54"/>
  <c r="F201" i="54"/>
  <c r="F200" i="54"/>
  <c r="F199" i="54"/>
  <c r="F198" i="54"/>
  <c r="F197" i="54"/>
  <c r="F196" i="54"/>
  <c r="F195" i="54"/>
  <c r="F194" i="54"/>
  <c r="F193" i="54"/>
  <c r="F192" i="54"/>
  <c r="F191" i="54"/>
  <c r="F190" i="54"/>
  <c r="F189" i="54"/>
  <c r="F188" i="54"/>
  <c r="F187" i="54"/>
  <c r="F186" i="54"/>
  <c r="F185" i="54"/>
  <c r="F184" i="54"/>
  <c r="F183" i="54"/>
  <c r="F182" i="54"/>
  <c r="F181" i="54"/>
  <c r="F180" i="54"/>
  <c r="F179" i="54"/>
  <c r="F178" i="54"/>
  <c r="F177" i="54"/>
  <c r="F176" i="54"/>
  <c r="F175" i="54"/>
  <c r="F174" i="54"/>
  <c r="F173" i="54"/>
  <c r="F172" i="54"/>
  <c r="F171" i="54"/>
  <c r="F170" i="54"/>
  <c r="F169" i="54"/>
  <c r="F168" i="54"/>
  <c r="F167" i="54"/>
  <c r="F166" i="54"/>
  <c r="F165" i="54"/>
  <c r="F164" i="54"/>
  <c r="F163" i="54"/>
  <c r="F162" i="54"/>
  <c r="F161" i="54"/>
  <c r="F160" i="54"/>
  <c r="F159" i="54"/>
  <c r="F158" i="54"/>
  <c r="F157" i="54"/>
  <c r="F156" i="54"/>
  <c r="F155" i="54"/>
  <c r="F154" i="54"/>
  <c r="F153" i="54"/>
  <c r="F152" i="54"/>
  <c r="F151" i="54"/>
  <c r="F150" i="54"/>
  <c r="F149" i="54"/>
  <c r="F148" i="54"/>
  <c r="F147" i="54"/>
  <c r="F146" i="54"/>
  <c r="F145" i="54"/>
  <c r="F144" i="54"/>
  <c r="F143" i="54"/>
  <c r="F142" i="54"/>
  <c r="F141" i="54"/>
  <c r="F140" i="54"/>
  <c r="F139" i="54"/>
  <c r="F138" i="54"/>
  <c r="F137" i="54"/>
  <c r="F136" i="54"/>
  <c r="F135" i="54"/>
  <c r="F134" i="54"/>
  <c r="F133" i="54"/>
  <c r="F132" i="54"/>
  <c r="F131" i="54"/>
  <c r="F130" i="54"/>
  <c r="F129" i="54"/>
  <c r="F128" i="54"/>
  <c r="F127" i="54"/>
  <c r="F126" i="54"/>
  <c r="F125" i="54"/>
  <c r="F124" i="54"/>
  <c r="F123" i="54"/>
  <c r="F122" i="54"/>
  <c r="F121" i="54"/>
  <c r="F120" i="54"/>
  <c r="F119" i="54"/>
  <c r="F118" i="54"/>
  <c r="A3" i="36" l="1"/>
  <c r="A3" i="37"/>
  <c r="A3" i="38"/>
  <c r="A3" i="39"/>
  <c r="A3" i="40"/>
  <c r="A3" i="41"/>
  <c r="A3" i="42"/>
  <c r="A3" i="43"/>
  <c r="A3" i="44"/>
  <c r="A3" i="45"/>
  <c r="A3" i="46"/>
  <c r="A3" i="47"/>
  <c r="A3" i="48"/>
  <c r="A3" i="35"/>
  <c r="A3" i="34"/>
  <c r="A3" i="33"/>
  <c r="A3" i="31"/>
  <c r="A3" i="55"/>
  <c r="H292" i="34"/>
  <c r="F292" i="34"/>
  <c r="E292" i="34"/>
  <c r="C292" i="34"/>
  <c r="A292" i="34"/>
  <c r="H291" i="34"/>
  <c r="F291" i="34"/>
  <c r="E291" i="34"/>
  <c r="C291" i="34"/>
  <c r="A291" i="34"/>
  <c r="H290" i="34"/>
  <c r="F290" i="34"/>
  <c r="E290" i="34"/>
  <c r="C290" i="34"/>
  <c r="A290" i="34"/>
  <c r="H289" i="34"/>
  <c r="F289" i="34"/>
  <c r="E289" i="34"/>
  <c r="C289" i="34"/>
  <c r="A289" i="34"/>
  <c r="H288" i="34"/>
  <c r="F288" i="34"/>
  <c r="E288" i="34"/>
  <c r="C288" i="34"/>
  <c r="A288" i="34"/>
  <c r="H287" i="34"/>
  <c r="F287" i="34"/>
  <c r="E287" i="34"/>
  <c r="C287" i="34"/>
  <c r="A287" i="34"/>
  <c r="H286" i="34"/>
  <c r="F286" i="34"/>
  <c r="E286" i="34"/>
  <c r="C286" i="34"/>
  <c r="A286" i="34"/>
  <c r="H285" i="34"/>
  <c r="F285" i="34"/>
  <c r="E285" i="34"/>
  <c r="C285" i="34"/>
  <c r="A285" i="34"/>
  <c r="H284" i="34"/>
  <c r="F284" i="34"/>
  <c r="E284" i="34"/>
  <c r="C284" i="34"/>
  <c r="A284" i="34"/>
  <c r="H283" i="34"/>
  <c r="F283" i="34"/>
  <c r="E283" i="34"/>
  <c r="C283" i="34"/>
  <c r="A283" i="34"/>
  <c r="H282" i="34"/>
  <c r="F282" i="34"/>
  <c r="E282" i="34"/>
  <c r="C282" i="34"/>
  <c r="A282" i="34"/>
  <c r="H281" i="34"/>
  <c r="F281" i="34"/>
  <c r="E281" i="34"/>
  <c r="C281" i="34"/>
  <c r="A281" i="34"/>
  <c r="H280" i="34"/>
  <c r="F280" i="34"/>
  <c r="E280" i="34"/>
  <c r="C280" i="34"/>
  <c r="A280" i="34"/>
  <c r="H279" i="34"/>
  <c r="F279" i="34"/>
  <c r="E279" i="34"/>
  <c r="C279" i="34"/>
  <c r="A279" i="34"/>
  <c r="H278" i="34"/>
  <c r="F278" i="34"/>
  <c r="E278" i="34"/>
  <c r="C278" i="34"/>
  <c r="A278" i="34"/>
  <c r="H277" i="34"/>
  <c r="F277" i="34"/>
  <c r="E277" i="34"/>
  <c r="C277" i="34"/>
  <c r="A277" i="34"/>
  <c r="H276" i="34"/>
  <c r="F276" i="34"/>
  <c r="E276" i="34"/>
  <c r="C276" i="34"/>
  <c r="A276" i="34"/>
  <c r="H275" i="34"/>
  <c r="F275" i="34"/>
  <c r="E275" i="34"/>
  <c r="C275" i="34"/>
  <c r="A275" i="34"/>
  <c r="H274" i="34"/>
  <c r="F274" i="34"/>
  <c r="E274" i="34"/>
  <c r="C274" i="34"/>
  <c r="A274" i="34"/>
  <c r="H273" i="34"/>
  <c r="F273" i="34"/>
  <c r="E273" i="34"/>
  <c r="C273" i="34"/>
  <c r="A273" i="34"/>
  <c r="H272" i="34"/>
  <c r="F272" i="34"/>
  <c r="E272" i="34"/>
  <c r="C272" i="34"/>
  <c r="A272" i="34"/>
  <c r="H271" i="34"/>
  <c r="F271" i="34"/>
  <c r="E271" i="34"/>
  <c r="C271" i="34"/>
  <c r="A271" i="34"/>
  <c r="H270" i="34"/>
  <c r="F270" i="34"/>
  <c r="E270" i="34"/>
  <c r="C270" i="34"/>
  <c r="A270" i="34"/>
  <c r="H269" i="34"/>
  <c r="F269" i="34"/>
  <c r="E269" i="34"/>
  <c r="C269" i="34"/>
  <c r="A269" i="34"/>
  <c r="H268" i="34"/>
  <c r="F268" i="34"/>
  <c r="E268" i="34"/>
  <c r="C268" i="34"/>
  <c r="A268" i="34"/>
  <c r="H267" i="34"/>
  <c r="F267" i="34"/>
  <c r="E267" i="34"/>
  <c r="C267" i="34"/>
  <c r="A267" i="34"/>
  <c r="H266" i="34"/>
  <c r="F266" i="34"/>
  <c r="E266" i="34"/>
  <c r="C266" i="34"/>
  <c r="A266" i="34"/>
  <c r="H265" i="34"/>
  <c r="F265" i="34"/>
  <c r="E265" i="34"/>
  <c r="C265" i="34"/>
  <c r="A265" i="34"/>
  <c r="H264" i="34"/>
  <c r="F264" i="34"/>
  <c r="E264" i="34"/>
  <c r="C264" i="34"/>
  <c r="A264" i="34"/>
  <c r="H263" i="34"/>
  <c r="F263" i="34"/>
  <c r="E263" i="34"/>
  <c r="C263" i="34"/>
  <c r="A263" i="34"/>
  <c r="H262" i="34"/>
  <c r="F262" i="34"/>
  <c r="E262" i="34"/>
  <c r="C262" i="34"/>
  <c r="A262" i="34"/>
  <c r="H261" i="34"/>
  <c r="F261" i="34"/>
  <c r="E261" i="34"/>
  <c r="C261" i="34"/>
  <c r="A261" i="34"/>
  <c r="H260" i="34"/>
  <c r="F260" i="34"/>
  <c r="E260" i="34"/>
  <c r="C260" i="34"/>
  <c r="A260" i="34"/>
  <c r="H259" i="34"/>
  <c r="F259" i="34"/>
  <c r="E259" i="34"/>
  <c r="C259" i="34"/>
  <c r="A259" i="34"/>
  <c r="H258" i="34"/>
  <c r="F258" i="34"/>
  <c r="E258" i="34"/>
  <c r="C258" i="34"/>
  <c r="A258" i="34"/>
  <c r="H257" i="34"/>
  <c r="F257" i="34"/>
  <c r="E257" i="34"/>
  <c r="C257" i="34"/>
  <c r="A257" i="34"/>
  <c r="H256" i="34"/>
  <c r="F256" i="34"/>
  <c r="E256" i="34"/>
  <c r="C256" i="34"/>
  <c r="A256" i="34"/>
  <c r="H255" i="34"/>
  <c r="F255" i="34"/>
  <c r="E255" i="34"/>
  <c r="C255" i="34"/>
  <c r="A255" i="34"/>
  <c r="H254" i="34"/>
  <c r="F254" i="34"/>
  <c r="E254" i="34"/>
  <c r="C254" i="34"/>
  <c r="A254" i="34"/>
  <c r="H253" i="34"/>
  <c r="F253" i="34"/>
  <c r="E253" i="34"/>
  <c r="C253" i="34"/>
  <c r="A253" i="34"/>
  <c r="H252" i="34"/>
  <c r="F252" i="34"/>
  <c r="E252" i="34"/>
  <c r="C252" i="34"/>
  <c r="A252" i="34"/>
  <c r="H251" i="34"/>
  <c r="F251" i="34"/>
  <c r="E251" i="34"/>
  <c r="C251" i="34"/>
  <c r="A251" i="34"/>
  <c r="H250" i="34"/>
  <c r="F250" i="34"/>
  <c r="E250" i="34"/>
  <c r="C250" i="34"/>
  <c r="A250" i="34"/>
  <c r="H249" i="34"/>
  <c r="F249" i="34"/>
  <c r="E249" i="34"/>
  <c r="C249" i="34"/>
  <c r="A249" i="34"/>
  <c r="H248" i="34"/>
  <c r="F248" i="34"/>
  <c r="E248" i="34"/>
  <c r="C248" i="34"/>
  <c r="A248" i="34"/>
  <c r="H247" i="34"/>
  <c r="F247" i="34"/>
  <c r="E247" i="34"/>
  <c r="C247" i="34"/>
  <c r="A247" i="34"/>
  <c r="H246" i="34"/>
  <c r="F246" i="34"/>
  <c r="E246" i="34"/>
  <c r="C246" i="34"/>
  <c r="A246" i="34"/>
  <c r="H245" i="34"/>
  <c r="F245" i="34"/>
  <c r="E245" i="34"/>
  <c r="C245" i="34"/>
  <c r="A245" i="34"/>
  <c r="H244" i="34"/>
  <c r="F244" i="34"/>
  <c r="E244" i="34"/>
  <c r="C244" i="34"/>
  <c r="A244" i="34"/>
  <c r="H243" i="34"/>
  <c r="F243" i="34"/>
  <c r="E243" i="34"/>
  <c r="C243" i="34"/>
  <c r="A243" i="34"/>
  <c r="H242" i="34"/>
  <c r="F242" i="34"/>
  <c r="E242" i="34"/>
  <c r="C242" i="34"/>
  <c r="A242" i="34"/>
  <c r="H241" i="34"/>
  <c r="F241" i="34"/>
  <c r="E241" i="34"/>
  <c r="C241" i="34"/>
  <c r="A241" i="34"/>
  <c r="H240" i="34"/>
  <c r="F240" i="34"/>
  <c r="E240" i="34"/>
  <c r="C240" i="34"/>
  <c r="A240" i="34"/>
  <c r="H239" i="34"/>
  <c r="F239" i="34"/>
  <c r="E239" i="34"/>
  <c r="C239" i="34"/>
  <c r="A239" i="34"/>
  <c r="H238" i="34"/>
  <c r="F238" i="34"/>
  <c r="E238" i="34"/>
  <c r="C238" i="34"/>
  <c r="A238" i="34"/>
  <c r="H237" i="34"/>
  <c r="F237" i="34"/>
  <c r="E237" i="34"/>
  <c r="C237" i="34"/>
  <c r="A237" i="34"/>
  <c r="H236" i="34"/>
  <c r="F236" i="34"/>
  <c r="E236" i="34"/>
  <c r="C236" i="34"/>
  <c r="A236" i="34"/>
  <c r="H235" i="34"/>
  <c r="F235" i="34"/>
  <c r="E235" i="34"/>
  <c r="C235" i="34"/>
  <c r="A235" i="34"/>
  <c r="H234" i="34"/>
  <c r="F234" i="34"/>
  <c r="E234" i="34"/>
  <c r="C234" i="34"/>
  <c r="A234" i="34"/>
  <c r="H233" i="34"/>
  <c r="F233" i="34"/>
  <c r="E233" i="34"/>
  <c r="C233" i="34"/>
  <c r="A233" i="34"/>
  <c r="H232" i="34"/>
  <c r="F232" i="34"/>
  <c r="E232" i="34"/>
  <c r="C232" i="34"/>
  <c r="A232" i="34"/>
  <c r="H231" i="34"/>
  <c r="F231" i="34"/>
  <c r="E231" i="34"/>
  <c r="C231" i="34"/>
  <c r="A231" i="34"/>
  <c r="H230" i="34"/>
  <c r="F230" i="34"/>
  <c r="E230" i="34"/>
  <c r="C230" i="34"/>
  <c r="A230" i="34"/>
  <c r="H229" i="34"/>
  <c r="F229" i="34"/>
  <c r="E229" i="34"/>
  <c r="C229" i="34"/>
  <c r="A229" i="34"/>
  <c r="H228" i="34"/>
  <c r="F228" i="34"/>
  <c r="E228" i="34"/>
  <c r="C228" i="34"/>
  <c r="A228" i="34"/>
  <c r="H227" i="34"/>
  <c r="F227" i="34"/>
  <c r="E227" i="34"/>
  <c r="C227" i="34"/>
  <c r="A227" i="34"/>
  <c r="H226" i="34"/>
  <c r="F226" i="34"/>
  <c r="E226" i="34"/>
  <c r="C226" i="34"/>
  <c r="A226" i="34"/>
  <c r="H225" i="34"/>
  <c r="F225" i="34"/>
  <c r="E225" i="34"/>
  <c r="C225" i="34"/>
  <c r="A225" i="34"/>
  <c r="H224" i="34"/>
  <c r="F224" i="34"/>
  <c r="E224" i="34"/>
  <c r="C224" i="34"/>
  <c r="A224" i="34"/>
  <c r="H223" i="34"/>
  <c r="F223" i="34"/>
  <c r="E223" i="34"/>
  <c r="C223" i="34"/>
  <c r="A223" i="34"/>
  <c r="H222" i="34"/>
  <c r="F222" i="34"/>
  <c r="E222" i="34"/>
  <c r="C222" i="34"/>
  <c r="A222" i="34"/>
  <c r="H221" i="34"/>
  <c r="F221" i="34"/>
  <c r="E221" i="34"/>
  <c r="C221" i="34"/>
  <c r="A221" i="34"/>
  <c r="H220" i="34"/>
  <c r="F220" i="34"/>
  <c r="E220" i="34"/>
  <c r="C220" i="34"/>
  <c r="A220" i="34"/>
  <c r="H219" i="34"/>
  <c r="F219" i="34"/>
  <c r="E219" i="34"/>
  <c r="C219" i="34"/>
  <c r="A219" i="34"/>
  <c r="H218" i="34"/>
  <c r="F218" i="34"/>
  <c r="E218" i="34"/>
  <c r="C218" i="34"/>
  <c r="A218" i="34"/>
  <c r="H217" i="34"/>
  <c r="F217" i="34"/>
  <c r="E217" i="34"/>
  <c r="C217" i="34"/>
  <c r="A217" i="34"/>
  <c r="H216" i="34"/>
  <c r="F216" i="34"/>
  <c r="E216" i="34"/>
  <c r="C216" i="34"/>
  <c r="A216" i="34"/>
  <c r="H215" i="34"/>
  <c r="F215" i="34"/>
  <c r="E215" i="34"/>
  <c r="C215" i="34"/>
  <c r="A215" i="34"/>
  <c r="H214" i="34"/>
  <c r="F214" i="34"/>
  <c r="E214" i="34"/>
  <c r="C214" i="34"/>
  <c r="A214" i="34"/>
  <c r="H213" i="34"/>
  <c r="F213" i="34"/>
  <c r="E213" i="34"/>
  <c r="C213" i="34"/>
  <c r="A213" i="34"/>
  <c r="H212" i="34"/>
  <c r="F212" i="34"/>
  <c r="E212" i="34"/>
  <c r="C212" i="34"/>
  <c r="A212" i="34"/>
  <c r="H211" i="34"/>
  <c r="F211" i="34"/>
  <c r="E211" i="34"/>
  <c r="C211" i="34"/>
  <c r="A211" i="34"/>
  <c r="H210" i="34"/>
  <c r="F210" i="34"/>
  <c r="E210" i="34"/>
  <c r="C210" i="34"/>
  <c r="A210" i="34"/>
  <c r="H209" i="34"/>
  <c r="F209" i="34"/>
  <c r="E209" i="34"/>
  <c r="C209" i="34"/>
  <c r="A209" i="34"/>
  <c r="H208" i="34"/>
  <c r="F208" i="34"/>
  <c r="E208" i="34"/>
  <c r="C208" i="34"/>
  <c r="A208" i="34"/>
  <c r="H207" i="34"/>
  <c r="F207" i="34"/>
  <c r="E207" i="34"/>
  <c r="C207" i="34"/>
  <c r="A207" i="34"/>
  <c r="H206" i="34"/>
  <c r="F206" i="34"/>
  <c r="E206" i="34"/>
  <c r="C206" i="34"/>
  <c r="A206" i="34"/>
  <c r="H205" i="34"/>
  <c r="F205" i="34"/>
  <c r="E205" i="34"/>
  <c r="C205" i="34"/>
  <c r="A205" i="34"/>
  <c r="H204" i="34"/>
  <c r="F204" i="34"/>
  <c r="E204" i="34"/>
  <c r="C204" i="34"/>
  <c r="A204" i="34"/>
  <c r="H203" i="34"/>
  <c r="F203" i="34"/>
  <c r="E203" i="34"/>
  <c r="C203" i="34"/>
  <c r="A203" i="34"/>
  <c r="H202" i="34"/>
  <c r="F202" i="34"/>
  <c r="E202" i="34"/>
  <c r="C202" i="34"/>
  <c r="A202" i="34"/>
  <c r="H201" i="34"/>
  <c r="F201" i="34"/>
  <c r="E201" i="34"/>
  <c r="C201" i="34"/>
  <c r="A201" i="34"/>
  <c r="H200" i="34"/>
  <c r="F200" i="34"/>
  <c r="E200" i="34"/>
  <c r="C200" i="34"/>
  <c r="A200" i="34"/>
  <c r="H199" i="34"/>
  <c r="F199" i="34"/>
  <c r="E199" i="34"/>
  <c r="C199" i="34"/>
  <c r="A199" i="34"/>
  <c r="H198" i="34"/>
  <c r="F198" i="34"/>
  <c r="E198" i="34"/>
  <c r="C198" i="34"/>
  <c r="A198" i="34"/>
  <c r="H197" i="34"/>
  <c r="F197" i="34"/>
  <c r="E197" i="34"/>
  <c r="C197" i="34"/>
  <c r="A197" i="34"/>
  <c r="H196" i="34"/>
  <c r="F196" i="34"/>
  <c r="E196" i="34"/>
  <c r="C196" i="34"/>
  <c r="A196" i="34"/>
  <c r="H195" i="34"/>
  <c r="F195" i="34"/>
  <c r="E195" i="34"/>
  <c r="C195" i="34"/>
  <c r="A195" i="34"/>
  <c r="H194" i="34"/>
  <c r="F194" i="34"/>
  <c r="E194" i="34"/>
  <c r="C194" i="34"/>
  <c r="A194" i="34"/>
  <c r="H193" i="34"/>
  <c r="F193" i="34"/>
  <c r="E193" i="34"/>
  <c r="C193" i="34"/>
  <c r="A193" i="34"/>
  <c r="H192" i="34"/>
  <c r="F192" i="34"/>
  <c r="E192" i="34"/>
  <c r="C192" i="34"/>
  <c r="A192" i="34"/>
  <c r="H191" i="34"/>
  <c r="F191" i="34"/>
  <c r="E191" i="34"/>
  <c r="C191" i="34"/>
  <c r="A191" i="34"/>
  <c r="H190" i="34"/>
  <c r="F190" i="34"/>
  <c r="E190" i="34"/>
  <c r="C190" i="34"/>
  <c r="A190" i="34"/>
  <c r="H189" i="34"/>
  <c r="F189" i="34"/>
  <c r="E189" i="34"/>
  <c r="C189" i="34"/>
  <c r="A189" i="34"/>
  <c r="H188" i="34"/>
  <c r="F188" i="34"/>
  <c r="E188" i="34"/>
  <c r="C188" i="34"/>
  <c r="A188" i="34"/>
  <c r="H187" i="34"/>
  <c r="F187" i="34"/>
  <c r="E187" i="34"/>
  <c r="C187" i="34"/>
  <c r="A187" i="34"/>
  <c r="H186" i="34"/>
  <c r="F186" i="34"/>
  <c r="E186" i="34"/>
  <c r="C186" i="34"/>
  <c r="A186" i="34"/>
  <c r="H185" i="34"/>
  <c r="F185" i="34"/>
  <c r="E185" i="34"/>
  <c r="C185" i="34"/>
  <c r="A185" i="34"/>
  <c r="H184" i="34"/>
  <c r="F184" i="34"/>
  <c r="E184" i="34"/>
  <c r="C184" i="34"/>
  <c r="A184" i="34"/>
  <c r="H183" i="34"/>
  <c r="F183" i="34"/>
  <c r="E183" i="34"/>
  <c r="C183" i="34"/>
  <c r="A183" i="34"/>
  <c r="H182" i="34"/>
  <c r="F182" i="34"/>
  <c r="E182" i="34"/>
  <c r="C182" i="34"/>
  <c r="A182" i="34"/>
  <c r="H181" i="34"/>
  <c r="F181" i="34"/>
  <c r="E181" i="34"/>
  <c r="C181" i="34"/>
  <c r="A181" i="34"/>
  <c r="H180" i="34"/>
  <c r="F180" i="34"/>
  <c r="E180" i="34"/>
  <c r="C180" i="34"/>
  <c r="A180" i="34"/>
  <c r="H179" i="34"/>
  <c r="F179" i="34"/>
  <c r="E179" i="34"/>
  <c r="C179" i="34"/>
  <c r="A179" i="34"/>
  <c r="H178" i="34"/>
  <c r="F178" i="34"/>
  <c r="E178" i="34"/>
  <c r="C178" i="34"/>
  <c r="A178" i="34"/>
  <c r="H177" i="34"/>
  <c r="F177" i="34"/>
  <c r="E177" i="34"/>
  <c r="C177" i="34"/>
  <c r="A177" i="34"/>
  <c r="H176" i="34"/>
  <c r="F176" i="34"/>
  <c r="E176" i="34"/>
  <c r="C176" i="34"/>
  <c r="A176" i="34"/>
  <c r="H175" i="34"/>
  <c r="F175" i="34"/>
  <c r="E175" i="34"/>
  <c r="C175" i="34"/>
  <c r="A175" i="34"/>
  <c r="H174" i="34"/>
  <c r="F174" i="34"/>
  <c r="E174" i="34"/>
  <c r="C174" i="34"/>
  <c r="A174" i="34"/>
  <c r="H173" i="34"/>
  <c r="F173" i="34"/>
  <c r="E173" i="34"/>
  <c r="C173" i="34"/>
  <c r="A173" i="34"/>
  <c r="H172" i="34"/>
  <c r="F172" i="34"/>
  <c r="E172" i="34"/>
  <c r="C172" i="34"/>
  <c r="A172" i="34"/>
  <c r="H171" i="34"/>
  <c r="F171" i="34"/>
  <c r="E171" i="34"/>
  <c r="C171" i="34"/>
  <c r="A171" i="34"/>
  <c r="H170" i="34"/>
  <c r="F170" i="34"/>
  <c r="E170" i="34"/>
  <c r="C170" i="34"/>
  <c r="A170" i="34"/>
  <c r="H169" i="34"/>
  <c r="F169" i="34"/>
  <c r="E169" i="34"/>
  <c r="C169" i="34"/>
  <c r="A169" i="34"/>
  <c r="H168" i="34"/>
  <c r="F168" i="34"/>
  <c r="E168" i="34"/>
  <c r="C168" i="34"/>
  <c r="A168" i="34"/>
  <c r="H167" i="34"/>
  <c r="F167" i="34"/>
  <c r="E167" i="34"/>
  <c r="C167" i="34"/>
  <c r="A167" i="34"/>
  <c r="H166" i="34"/>
  <c r="F166" i="34"/>
  <c r="E166" i="34"/>
  <c r="C166" i="34"/>
  <c r="A166" i="34"/>
  <c r="H165" i="34"/>
  <c r="F165" i="34"/>
  <c r="E165" i="34"/>
  <c r="C165" i="34"/>
  <c r="A165" i="34"/>
  <c r="H164" i="34"/>
  <c r="F164" i="34"/>
  <c r="E164" i="34"/>
  <c r="C164" i="34"/>
  <c r="A164" i="34"/>
  <c r="H163" i="34"/>
  <c r="F163" i="34"/>
  <c r="E163" i="34"/>
  <c r="C163" i="34"/>
  <c r="A163" i="34"/>
  <c r="H162" i="34"/>
  <c r="F162" i="34"/>
  <c r="E162" i="34"/>
  <c r="C162" i="34"/>
  <c r="A162" i="34"/>
  <c r="H161" i="34"/>
  <c r="F161" i="34"/>
  <c r="E161" i="34"/>
  <c r="C161" i="34"/>
  <c r="A161" i="34"/>
  <c r="H160" i="34"/>
  <c r="F160" i="34"/>
  <c r="E160" i="34"/>
  <c r="C160" i="34"/>
  <c r="A160" i="34"/>
  <c r="H159" i="34"/>
  <c r="F159" i="34"/>
  <c r="E159" i="34"/>
  <c r="C159" i="34"/>
  <c r="A159" i="34"/>
  <c r="H158" i="34"/>
  <c r="F158" i="34"/>
  <c r="E158" i="34"/>
  <c r="C158" i="34"/>
  <c r="A158" i="34"/>
  <c r="H157" i="34"/>
  <c r="F157" i="34"/>
  <c r="E157" i="34"/>
  <c r="C157" i="34"/>
  <c r="A157" i="34"/>
  <c r="H156" i="34"/>
  <c r="F156" i="34"/>
  <c r="E156" i="34"/>
  <c r="C156" i="34"/>
  <c r="A156" i="34"/>
  <c r="H155" i="34"/>
  <c r="F155" i="34"/>
  <c r="E155" i="34"/>
  <c r="C155" i="34"/>
  <c r="A155" i="34"/>
  <c r="H154" i="34"/>
  <c r="F154" i="34"/>
  <c r="E154" i="34"/>
  <c r="C154" i="34"/>
  <c r="A154" i="34"/>
  <c r="H153" i="34"/>
  <c r="F153" i="34"/>
  <c r="E153" i="34"/>
  <c r="C153" i="34"/>
  <c r="A153" i="34"/>
  <c r="H152" i="34"/>
  <c r="F152" i="34"/>
  <c r="E152" i="34"/>
  <c r="C152" i="34"/>
  <c r="A152" i="34"/>
  <c r="H151" i="34"/>
  <c r="F151" i="34"/>
  <c r="E151" i="34"/>
  <c r="C151" i="34"/>
  <c r="A151" i="34"/>
  <c r="H150" i="34"/>
  <c r="F150" i="34"/>
  <c r="E150" i="34"/>
  <c r="C150" i="34"/>
  <c r="A150" i="34"/>
  <c r="H149" i="34"/>
  <c r="F149" i="34"/>
  <c r="E149" i="34"/>
  <c r="C149" i="34"/>
  <c r="A149" i="34"/>
  <c r="H148" i="34"/>
  <c r="F148" i="34"/>
  <c r="E148" i="34"/>
  <c r="C148" i="34"/>
  <c r="A148" i="34"/>
  <c r="H147" i="34"/>
  <c r="F147" i="34"/>
  <c r="E147" i="34"/>
  <c r="C147" i="34"/>
  <c r="A147" i="34"/>
  <c r="H146" i="34"/>
  <c r="F146" i="34"/>
  <c r="E146" i="34"/>
  <c r="C146" i="34"/>
  <c r="A146" i="34"/>
  <c r="H145" i="34"/>
  <c r="F145" i="34"/>
  <c r="E145" i="34"/>
  <c r="C145" i="34"/>
  <c r="A145" i="34"/>
  <c r="H144" i="34"/>
  <c r="F144" i="34"/>
  <c r="E144" i="34"/>
  <c r="C144" i="34"/>
  <c r="A144" i="34"/>
  <c r="H143" i="34"/>
  <c r="F143" i="34"/>
  <c r="E143" i="34"/>
  <c r="C143" i="34"/>
  <c r="A143" i="34"/>
  <c r="H142" i="34"/>
  <c r="F142" i="34"/>
  <c r="E142" i="34"/>
  <c r="C142" i="34"/>
  <c r="A142" i="34"/>
  <c r="H141" i="34"/>
  <c r="F141" i="34"/>
  <c r="E141" i="34"/>
  <c r="C141" i="34"/>
  <c r="A141" i="34"/>
  <c r="H140" i="34"/>
  <c r="F140" i="34"/>
  <c r="E140" i="34"/>
  <c r="C140" i="34"/>
  <c r="A140" i="34"/>
  <c r="H139" i="34"/>
  <c r="F139" i="34"/>
  <c r="E139" i="34"/>
  <c r="C139" i="34"/>
  <c r="A139" i="34"/>
  <c r="H138" i="34"/>
  <c r="F138" i="34"/>
  <c r="E138" i="34"/>
  <c r="C138" i="34"/>
  <c r="A138" i="34"/>
  <c r="H137" i="34"/>
  <c r="F137" i="34"/>
  <c r="E137" i="34"/>
  <c r="C137" i="34"/>
  <c r="A137" i="34"/>
  <c r="H136" i="34"/>
  <c r="F136" i="34"/>
  <c r="E136" i="34"/>
  <c r="C136" i="34"/>
  <c r="A136" i="34"/>
  <c r="H135" i="34"/>
  <c r="F135" i="34"/>
  <c r="E135" i="34"/>
  <c r="C135" i="34"/>
  <c r="A135" i="34"/>
  <c r="H134" i="34"/>
  <c r="F134" i="34"/>
  <c r="E134" i="34"/>
  <c r="C134" i="34"/>
  <c r="A134" i="34"/>
  <c r="H133" i="34"/>
  <c r="F133" i="34"/>
  <c r="E133" i="34"/>
  <c r="C133" i="34"/>
  <c r="A133" i="34"/>
  <c r="H132" i="34"/>
  <c r="F132" i="34"/>
  <c r="E132" i="34"/>
  <c r="C132" i="34"/>
  <c r="A132" i="34"/>
  <c r="H131" i="34"/>
  <c r="F131" i="34"/>
  <c r="E131" i="34"/>
  <c r="C131" i="34"/>
  <c r="A131" i="34"/>
  <c r="H130" i="34"/>
  <c r="F130" i="34"/>
  <c r="E130" i="34"/>
  <c r="C130" i="34"/>
  <c r="A130" i="34"/>
  <c r="H129" i="34"/>
  <c r="F129" i="34"/>
  <c r="E129" i="34"/>
  <c r="C129" i="34"/>
  <c r="A129" i="34"/>
  <c r="H128" i="34"/>
  <c r="F128" i="34"/>
  <c r="E128" i="34"/>
  <c r="C128" i="34"/>
  <c r="A128" i="34"/>
  <c r="H127" i="34"/>
  <c r="F127" i="34"/>
  <c r="E127" i="34"/>
  <c r="C127" i="34"/>
  <c r="A127" i="34"/>
  <c r="H126" i="34"/>
  <c r="F126" i="34"/>
  <c r="E126" i="34"/>
  <c r="C126" i="34"/>
  <c r="A126" i="34"/>
  <c r="H125" i="34"/>
  <c r="F125" i="34"/>
  <c r="E125" i="34"/>
  <c r="C125" i="34"/>
  <c r="A125" i="34"/>
  <c r="H124" i="34"/>
  <c r="F124" i="34"/>
  <c r="E124" i="34"/>
  <c r="C124" i="34"/>
  <c r="A124" i="34"/>
  <c r="H123" i="34"/>
  <c r="F123" i="34"/>
  <c r="E123" i="34"/>
  <c r="C123" i="34"/>
  <c r="A123" i="34"/>
  <c r="H122" i="34"/>
  <c r="F122" i="34"/>
  <c r="E122" i="34"/>
  <c r="C122" i="34"/>
  <c r="A122" i="34"/>
  <c r="H121" i="34"/>
  <c r="F121" i="34"/>
  <c r="E121" i="34"/>
  <c r="C121" i="34"/>
  <c r="A121" i="34"/>
  <c r="H120" i="34"/>
  <c r="F120" i="34"/>
  <c r="E120" i="34"/>
  <c r="C120" i="34"/>
  <c r="A120" i="34"/>
  <c r="H119" i="34"/>
  <c r="F119" i="34"/>
  <c r="E119" i="34"/>
  <c r="C119" i="34"/>
  <c r="A119" i="34"/>
  <c r="H118" i="34"/>
  <c r="F118" i="34"/>
  <c r="E118" i="34"/>
  <c r="C118" i="34"/>
  <c r="A118" i="34"/>
  <c r="E117" i="33"/>
  <c r="C117" i="33"/>
  <c r="A117" i="33"/>
  <c r="E116" i="33"/>
  <c r="C116" i="33"/>
  <c r="A116" i="33"/>
  <c r="E115" i="33"/>
  <c r="C115" i="33"/>
  <c r="A115" i="33"/>
  <c r="E114" i="33"/>
  <c r="C114" i="33"/>
  <c r="A114" i="33"/>
  <c r="E113" i="33"/>
  <c r="C113" i="33"/>
  <c r="A113" i="33"/>
  <c r="E112" i="33"/>
  <c r="C112" i="33"/>
  <c r="A112" i="33"/>
  <c r="E111" i="33"/>
  <c r="C111" i="33"/>
  <c r="A111" i="33"/>
  <c r="E110" i="33"/>
  <c r="C110" i="33"/>
  <c r="A110" i="33"/>
  <c r="E109" i="33"/>
  <c r="C109" i="33"/>
  <c r="A109" i="33"/>
  <c r="E108" i="33"/>
  <c r="C108" i="33"/>
  <c r="A108" i="33"/>
  <c r="E107" i="33"/>
  <c r="C107" i="33"/>
  <c r="A107" i="33"/>
  <c r="E106" i="33"/>
  <c r="C106" i="33"/>
  <c r="A106" i="33"/>
  <c r="E105" i="33"/>
  <c r="C105" i="33"/>
  <c r="A105" i="33"/>
  <c r="E104" i="33"/>
  <c r="C104" i="33"/>
  <c r="A104" i="33"/>
  <c r="E103" i="33"/>
  <c r="C103" i="33"/>
  <c r="A103" i="33"/>
  <c r="E102" i="33"/>
  <c r="C102" i="33"/>
  <c r="A102" i="33"/>
  <c r="E101" i="33"/>
  <c r="C101" i="33"/>
  <c r="A101" i="33"/>
  <c r="E100" i="33"/>
  <c r="C100" i="33"/>
  <c r="A100" i="33"/>
  <c r="E99" i="33"/>
  <c r="A99" i="33"/>
  <c r="E98" i="33"/>
  <c r="A98" i="33"/>
  <c r="E97" i="33"/>
  <c r="A97" i="33"/>
  <c r="E96" i="33"/>
  <c r="A96" i="33"/>
  <c r="E95" i="33"/>
  <c r="A95" i="33"/>
  <c r="E94" i="33"/>
  <c r="A94" i="33"/>
  <c r="E93" i="33"/>
  <c r="C93" i="33"/>
  <c r="A93" i="33"/>
  <c r="E92" i="33"/>
  <c r="A92" i="33"/>
  <c r="E91" i="33"/>
  <c r="A91" i="33"/>
  <c r="E90" i="33"/>
  <c r="C90" i="33"/>
  <c r="A90" i="33"/>
  <c r="E89" i="33"/>
  <c r="C89" i="33"/>
  <c r="A89" i="33"/>
  <c r="E88" i="33"/>
  <c r="A88" i="33"/>
  <c r="E87" i="33"/>
  <c r="A87" i="33"/>
  <c r="E86" i="33"/>
  <c r="A86" i="33"/>
  <c r="E85" i="33"/>
  <c r="C85" i="33"/>
  <c r="A85" i="33"/>
  <c r="E84" i="33"/>
  <c r="A84" i="33"/>
  <c r="E83" i="33"/>
  <c r="A83" i="33"/>
  <c r="E82" i="33"/>
  <c r="C82" i="33"/>
  <c r="A82" i="33"/>
  <c r="E81" i="33"/>
  <c r="A81" i="33"/>
  <c r="E80" i="33"/>
  <c r="A80" i="33"/>
  <c r="E79" i="33"/>
  <c r="A79" i="33"/>
  <c r="E78" i="33"/>
  <c r="A78" i="33"/>
  <c r="E77" i="33"/>
  <c r="A77" i="33"/>
  <c r="E76" i="33"/>
  <c r="A76" i="33"/>
  <c r="E75" i="33"/>
  <c r="A75" i="33"/>
  <c r="E74" i="33"/>
  <c r="C74" i="33"/>
  <c r="A74" i="33"/>
  <c r="E73" i="33"/>
  <c r="C73" i="33"/>
  <c r="A73" i="33"/>
  <c r="E72" i="33"/>
  <c r="A72" i="33"/>
  <c r="E71" i="33"/>
  <c r="A71" i="33"/>
  <c r="E70" i="33"/>
  <c r="A70" i="33"/>
  <c r="E69" i="33"/>
  <c r="A69" i="33"/>
  <c r="E68" i="33"/>
  <c r="A68" i="33"/>
  <c r="E67" i="33"/>
  <c r="A67" i="33"/>
  <c r="E66" i="33"/>
  <c r="C66" i="33"/>
  <c r="A66" i="33"/>
  <c r="E65" i="33"/>
  <c r="A65" i="33"/>
  <c r="E64" i="33"/>
  <c r="A64" i="33"/>
  <c r="E63" i="33"/>
  <c r="A63" i="33"/>
  <c r="E62" i="33"/>
  <c r="C62" i="33"/>
  <c r="A62" i="33"/>
  <c r="E61" i="33"/>
  <c r="C61" i="33"/>
  <c r="A61" i="33"/>
  <c r="E60" i="33"/>
  <c r="A60" i="33"/>
  <c r="E59" i="33"/>
  <c r="A59" i="33"/>
  <c r="E58" i="33"/>
  <c r="C58" i="33"/>
  <c r="A58" i="33"/>
  <c r="E57" i="33"/>
  <c r="C57" i="33"/>
  <c r="A57" i="33"/>
  <c r="E56" i="33"/>
  <c r="A56" i="33"/>
  <c r="E55" i="33"/>
  <c r="A55" i="33"/>
  <c r="E54" i="33"/>
  <c r="C54" i="33"/>
  <c r="A54" i="33"/>
  <c r="E53" i="33"/>
  <c r="C53" i="33"/>
  <c r="A53" i="33"/>
  <c r="E52" i="33"/>
  <c r="A52" i="33"/>
  <c r="E51" i="33"/>
  <c r="A51" i="33"/>
  <c r="E50" i="33"/>
  <c r="A50" i="33"/>
  <c r="E49" i="33"/>
  <c r="C49" i="33"/>
  <c r="A49" i="33"/>
  <c r="E48" i="33"/>
  <c r="A48" i="33"/>
  <c r="E47" i="33"/>
  <c r="A47" i="33"/>
  <c r="E46" i="33"/>
  <c r="A46" i="33"/>
  <c r="E45" i="33"/>
  <c r="A45" i="33"/>
  <c r="E44" i="33"/>
  <c r="A44" i="33"/>
  <c r="E43" i="33"/>
  <c r="A43" i="33"/>
  <c r="E42" i="33"/>
  <c r="A42" i="33"/>
  <c r="E41" i="33"/>
  <c r="C41" i="33"/>
  <c r="A41" i="33"/>
  <c r="E40" i="33"/>
  <c r="A40" i="33"/>
  <c r="E39" i="33"/>
  <c r="A39" i="33"/>
  <c r="E38" i="33"/>
  <c r="C38" i="33"/>
  <c r="A38" i="33"/>
  <c r="E37" i="33"/>
  <c r="C37" i="33"/>
  <c r="A37" i="33"/>
  <c r="E36" i="33"/>
  <c r="A36" i="33"/>
  <c r="E35" i="33"/>
  <c r="A35" i="33"/>
  <c r="E34" i="33"/>
  <c r="C34" i="33"/>
  <c r="A34" i="33"/>
  <c r="E33" i="33"/>
  <c r="A33" i="33"/>
  <c r="E32" i="33"/>
  <c r="A32" i="33"/>
  <c r="E31" i="33"/>
  <c r="A31" i="33"/>
  <c r="E30" i="33"/>
  <c r="A30" i="33"/>
  <c r="E29" i="33"/>
  <c r="A29" i="33"/>
  <c r="E28" i="33"/>
  <c r="A28" i="33"/>
  <c r="E27" i="33"/>
  <c r="A27" i="33"/>
  <c r="E26" i="33"/>
  <c r="A26" i="33"/>
  <c r="E25" i="33"/>
  <c r="C25" i="33"/>
  <c r="A25" i="33"/>
  <c r="E24" i="33"/>
  <c r="A24" i="33"/>
  <c r="E23" i="33"/>
  <c r="C23" i="33"/>
  <c r="A23" i="33"/>
  <c r="E22" i="33"/>
  <c r="C22" i="33"/>
  <c r="A22" i="33"/>
  <c r="E21" i="33"/>
  <c r="A21" i="33"/>
  <c r="E20" i="33"/>
  <c r="A20" i="33"/>
  <c r="E19" i="33"/>
  <c r="A19" i="33"/>
  <c r="E18" i="33"/>
  <c r="A18" i="33"/>
  <c r="E17" i="33"/>
  <c r="C17" i="33"/>
  <c r="A17" i="33"/>
  <c r="E16" i="33"/>
  <c r="A16" i="33"/>
  <c r="E15" i="33"/>
  <c r="A15" i="33"/>
  <c r="E14" i="33"/>
  <c r="C14" i="33"/>
  <c r="A14" i="33"/>
  <c r="E13" i="33"/>
  <c r="A13" i="33"/>
  <c r="E12" i="33"/>
  <c r="A12" i="33"/>
  <c r="E11" i="33"/>
  <c r="A11" i="33"/>
  <c r="E10" i="33"/>
  <c r="C10" i="33"/>
  <c r="A10" i="33"/>
  <c r="E9" i="33"/>
  <c r="A9" i="33"/>
  <c r="E8" i="33"/>
  <c r="A8" i="33"/>
  <c r="A3" i="54"/>
  <c r="A3" i="52"/>
  <c r="A3" i="51"/>
  <c r="I43" i="55"/>
  <c r="G41" i="55"/>
  <c r="F40" i="55"/>
  <c r="F39" i="55"/>
  <c r="F38" i="55"/>
  <c r="F37" i="55"/>
  <c r="F36" i="55"/>
  <c r="F35" i="55"/>
  <c r="F34" i="55"/>
  <c r="F33" i="55"/>
  <c r="F32" i="55"/>
  <c r="F31" i="55"/>
  <c r="F30" i="55"/>
  <c r="F29" i="55"/>
  <c r="F28" i="55"/>
  <c r="F27" i="55"/>
  <c r="F26" i="55"/>
  <c r="F25" i="55"/>
  <c r="F24" i="55"/>
  <c r="F23" i="55"/>
  <c r="F22" i="55"/>
  <c r="F21" i="55"/>
  <c r="F20" i="55"/>
  <c r="F19" i="55"/>
  <c r="F18" i="55"/>
  <c r="F17" i="55"/>
  <c r="F16" i="55"/>
  <c r="F15" i="55"/>
  <c r="F14" i="55"/>
  <c r="F13" i="55"/>
  <c r="F12" i="55"/>
  <c r="F11" i="55"/>
  <c r="F10" i="55"/>
  <c r="F43" i="55" s="1"/>
  <c r="F9" i="55"/>
  <c r="A5" i="55"/>
  <c r="A2" i="55"/>
  <c r="C292" i="54"/>
  <c r="B292" i="54"/>
  <c r="A292" i="54"/>
  <c r="C291" i="54"/>
  <c r="B291" i="54"/>
  <c r="A291" i="54"/>
  <c r="C290" i="54"/>
  <c r="B290" i="54"/>
  <c r="A290" i="54"/>
  <c r="C289" i="54"/>
  <c r="B289" i="54"/>
  <c r="A289" i="54"/>
  <c r="C288" i="54"/>
  <c r="B288" i="54"/>
  <c r="A288" i="54"/>
  <c r="C287" i="54"/>
  <c r="B287" i="54"/>
  <c r="A287" i="54"/>
  <c r="C286" i="54"/>
  <c r="B286" i="54"/>
  <c r="A286" i="54"/>
  <c r="C285" i="54"/>
  <c r="B285" i="54"/>
  <c r="A285" i="54"/>
  <c r="C284" i="54"/>
  <c r="B284" i="54"/>
  <c r="A284" i="54"/>
  <c r="C283" i="54"/>
  <c r="B283" i="54"/>
  <c r="A283" i="54"/>
  <c r="C282" i="54"/>
  <c r="B282" i="54"/>
  <c r="A282" i="54"/>
  <c r="C281" i="54"/>
  <c r="B281" i="54"/>
  <c r="A281" i="54"/>
  <c r="C280" i="54"/>
  <c r="B280" i="54"/>
  <c r="A280" i="54"/>
  <c r="C279" i="54"/>
  <c r="B279" i="54"/>
  <c r="A279" i="54"/>
  <c r="C278" i="54"/>
  <c r="B278" i="54"/>
  <c r="A278" i="54"/>
  <c r="C277" i="54"/>
  <c r="B277" i="54"/>
  <c r="A277" i="54"/>
  <c r="C276" i="54"/>
  <c r="B276" i="54"/>
  <c r="A276" i="54"/>
  <c r="C275" i="54"/>
  <c r="B275" i="54"/>
  <c r="A275" i="54"/>
  <c r="C274" i="54"/>
  <c r="B274" i="54"/>
  <c r="A274" i="54"/>
  <c r="C273" i="54"/>
  <c r="B273" i="54"/>
  <c r="A273" i="54"/>
  <c r="C272" i="54"/>
  <c r="B272" i="54"/>
  <c r="A272" i="54"/>
  <c r="C271" i="54"/>
  <c r="B271" i="54"/>
  <c r="A271" i="54"/>
  <c r="C270" i="54"/>
  <c r="B270" i="54"/>
  <c r="A270" i="54"/>
  <c r="C269" i="54"/>
  <c r="B269" i="54"/>
  <c r="A269" i="54"/>
  <c r="C268" i="54"/>
  <c r="B268" i="54"/>
  <c r="A268" i="54"/>
  <c r="C267" i="54"/>
  <c r="B267" i="54"/>
  <c r="A267" i="54"/>
  <c r="C266" i="54"/>
  <c r="B266" i="54"/>
  <c r="A266" i="54"/>
  <c r="C265" i="54"/>
  <c r="B265" i="54"/>
  <c r="A265" i="54"/>
  <c r="C264" i="54"/>
  <c r="B264" i="54"/>
  <c r="A264" i="54"/>
  <c r="C263" i="54"/>
  <c r="B263" i="54"/>
  <c r="A263" i="54"/>
  <c r="C262" i="54"/>
  <c r="B262" i="54"/>
  <c r="A262" i="54"/>
  <c r="C261" i="54"/>
  <c r="B261" i="54"/>
  <c r="A261" i="54"/>
  <c r="C260" i="54"/>
  <c r="B260" i="54"/>
  <c r="A260" i="54"/>
  <c r="C259" i="54"/>
  <c r="B259" i="54"/>
  <c r="A259" i="54"/>
  <c r="C258" i="54"/>
  <c r="B258" i="54"/>
  <c r="A258" i="54"/>
  <c r="C257" i="54"/>
  <c r="B257" i="54"/>
  <c r="A257" i="54"/>
  <c r="C256" i="54"/>
  <c r="B256" i="54"/>
  <c r="A256" i="54"/>
  <c r="C255" i="54"/>
  <c r="B255" i="54"/>
  <c r="A255" i="54"/>
  <c r="C254" i="54"/>
  <c r="B254" i="54"/>
  <c r="A254" i="54"/>
  <c r="C253" i="54"/>
  <c r="B253" i="54"/>
  <c r="A253" i="54"/>
  <c r="C252" i="54"/>
  <c r="B252" i="54"/>
  <c r="A252" i="54"/>
  <c r="C251" i="54"/>
  <c r="B251" i="54"/>
  <c r="A251" i="54"/>
  <c r="C250" i="54"/>
  <c r="B250" i="54"/>
  <c r="A250" i="54"/>
  <c r="C249" i="54"/>
  <c r="B249" i="54"/>
  <c r="A249" i="54"/>
  <c r="C248" i="54"/>
  <c r="B248" i="54"/>
  <c r="A248" i="54"/>
  <c r="C247" i="54"/>
  <c r="B247" i="54"/>
  <c r="A247" i="54"/>
  <c r="C246" i="54"/>
  <c r="B246" i="54"/>
  <c r="A246" i="54"/>
  <c r="C245" i="54"/>
  <c r="B245" i="54"/>
  <c r="A245" i="54"/>
  <c r="C244" i="54"/>
  <c r="B244" i="54"/>
  <c r="A244" i="54"/>
  <c r="C243" i="54"/>
  <c r="B243" i="54"/>
  <c r="A243" i="54"/>
  <c r="C242" i="54"/>
  <c r="B242" i="54"/>
  <c r="A242" i="54"/>
  <c r="C241" i="54"/>
  <c r="B241" i="54"/>
  <c r="A241" i="54"/>
  <c r="C240" i="54"/>
  <c r="B240" i="54"/>
  <c r="A240" i="54"/>
  <c r="C239" i="54"/>
  <c r="B239" i="54"/>
  <c r="A239" i="54"/>
  <c r="C238" i="54"/>
  <c r="B238" i="54"/>
  <c r="A238" i="54"/>
  <c r="C237" i="54"/>
  <c r="B237" i="54"/>
  <c r="A237" i="54"/>
  <c r="C236" i="54"/>
  <c r="B236" i="54"/>
  <c r="A236" i="54"/>
  <c r="C235" i="54"/>
  <c r="B235" i="54"/>
  <c r="A235" i="54"/>
  <c r="C234" i="54"/>
  <c r="B234" i="54"/>
  <c r="A234" i="54"/>
  <c r="C233" i="54"/>
  <c r="B233" i="54"/>
  <c r="A233" i="54"/>
  <c r="C232" i="54"/>
  <c r="B232" i="54"/>
  <c r="A232" i="54"/>
  <c r="C231" i="54"/>
  <c r="B231" i="54"/>
  <c r="A231" i="54"/>
  <c r="C230" i="54"/>
  <c r="B230" i="54"/>
  <c r="A230" i="54"/>
  <c r="C229" i="54"/>
  <c r="B229" i="54"/>
  <c r="A229" i="54"/>
  <c r="C228" i="54"/>
  <c r="B228" i="54"/>
  <c r="A228" i="54"/>
  <c r="C227" i="54"/>
  <c r="B227" i="54"/>
  <c r="A227" i="54"/>
  <c r="C226" i="54"/>
  <c r="B226" i="54"/>
  <c r="A226" i="54"/>
  <c r="C225" i="54"/>
  <c r="B225" i="54"/>
  <c r="A225" i="54"/>
  <c r="C224" i="54"/>
  <c r="B224" i="54"/>
  <c r="A224" i="54"/>
  <c r="C223" i="54"/>
  <c r="B223" i="54"/>
  <c r="A223" i="54"/>
  <c r="C222" i="54"/>
  <c r="B222" i="54"/>
  <c r="A222" i="54"/>
  <c r="C221" i="54"/>
  <c r="B221" i="54"/>
  <c r="A221" i="54"/>
  <c r="C220" i="54"/>
  <c r="B220" i="54"/>
  <c r="A220" i="54"/>
  <c r="C219" i="54"/>
  <c r="B219" i="54"/>
  <c r="A219" i="54"/>
  <c r="C218" i="54"/>
  <c r="B218" i="54"/>
  <c r="A218" i="54"/>
  <c r="C217" i="54"/>
  <c r="B217" i="54"/>
  <c r="A217" i="54"/>
  <c r="C216" i="54"/>
  <c r="B216" i="54"/>
  <c r="A216" i="54"/>
  <c r="C215" i="54"/>
  <c r="B215" i="54"/>
  <c r="A215" i="54"/>
  <c r="C214" i="54"/>
  <c r="B214" i="54"/>
  <c r="A214" i="54"/>
  <c r="C213" i="54"/>
  <c r="B213" i="54"/>
  <c r="A213" i="54"/>
  <c r="C212" i="54"/>
  <c r="B212" i="54"/>
  <c r="A212" i="54"/>
  <c r="C211" i="54"/>
  <c r="B211" i="54"/>
  <c r="A211" i="54"/>
  <c r="C210" i="54"/>
  <c r="B210" i="54"/>
  <c r="A210" i="54"/>
  <c r="C209" i="54"/>
  <c r="B209" i="54"/>
  <c r="A209" i="54"/>
  <c r="C208" i="54"/>
  <c r="B208" i="54"/>
  <c r="A208" i="54"/>
  <c r="C207" i="54"/>
  <c r="B207" i="54"/>
  <c r="A207" i="54"/>
  <c r="C206" i="54"/>
  <c r="B206" i="54"/>
  <c r="A206" i="54"/>
  <c r="C205" i="54"/>
  <c r="B205" i="54"/>
  <c r="A205" i="54"/>
  <c r="C204" i="54"/>
  <c r="B204" i="54"/>
  <c r="A204" i="54"/>
  <c r="C203" i="54"/>
  <c r="B203" i="54"/>
  <c r="A203" i="54"/>
  <c r="C202" i="54"/>
  <c r="B202" i="54"/>
  <c r="A202" i="54"/>
  <c r="C201" i="54"/>
  <c r="B201" i="54"/>
  <c r="A201" i="54"/>
  <c r="C200" i="54"/>
  <c r="B200" i="54"/>
  <c r="A200" i="54"/>
  <c r="C199" i="54"/>
  <c r="B199" i="54"/>
  <c r="A199" i="54"/>
  <c r="C198" i="54"/>
  <c r="B198" i="54"/>
  <c r="A198" i="54"/>
  <c r="C197" i="54"/>
  <c r="B197" i="54"/>
  <c r="A197" i="54"/>
  <c r="C196" i="54"/>
  <c r="B196" i="54"/>
  <c r="A196" i="54"/>
  <c r="C195" i="54"/>
  <c r="B195" i="54"/>
  <c r="A195" i="54"/>
  <c r="C194" i="54"/>
  <c r="B194" i="54"/>
  <c r="A194" i="54"/>
  <c r="C193" i="54"/>
  <c r="B193" i="54"/>
  <c r="A193" i="54"/>
  <c r="C192" i="54"/>
  <c r="B192" i="54"/>
  <c r="A192" i="54"/>
  <c r="C191" i="54"/>
  <c r="B191" i="54"/>
  <c r="A191" i="54"/>
  <c r="C190" i="54"/>
  <c r="B190" i="54"/>
  <c r="A190" i="54"/>
  <c r="C189" i="54"/>
  <c r="B189" i="54"/>
  <c r="A189" i="54"/>
  <c r="C188" i="54"/>
  <c r="B188" i="54"/>
  <c r="A188" i="54"/>
  <c r="C187" i="54"/>
  <c r="B187" i="54"/>
  <c r="A187" i="54"/>
  <c r="C186" i="54"/>
  <c r="B186" i="54"/>
  <c r="A186" i="54"/>
  <c r="C185" i="54"/>
  <c r="B185" i="54"/>
  <c r="A185" i="54"/>
  <c r="C184" i="54"/>
  <c r="B184" i="54"/>
  <c r="A184" i="54"/>
  <c r="C183" i="54"/>
  <c r="B183" i="54"/>
  <c r="A183" i="54"/>
  <c r="C182" i="54"/>
  <c r="B182" i="54"/>
  <c r="A182" i="54"/>
  <c r="C181" i="54"/>
  <c r="B181" i="54"/>
  <c r="A181" i="54"/>
  <c r="C180" i="54"/>
  <c r="B180" i="54"/>
  <c r="A180" i="54"/>
  <c r="C179" i="54"/>
  <c r="B179" i="54"/>
  <c r="A179" i="54"/>
  <c r="C178" i="54"/>
  <c r="B178" i="54"/>
  <c r="A178" i="54"/>
  <c r="C177" i="54"/>
  <c r="B177" i="54"/>
  <c r="A177" i="54"/>
  <c r="C176" i="54"/>
  <c r="B176" i="54"/>
  <c r="A176" i="54"/>
  <c r="C175" i="54"/>
  <c r="B175" i="54"/>
  <c r="A175" i="54"/>
  <c r="C174" i="54"/>
  <c r="B174" i="54"/>
  <c r="A174" i="54"/>
  <c r="C173" i="54"/>
  <c r="B173" i="54"/>
  <c r="A173" i="54"/>
  <c r="C172" i="54"/>
  <c r="B172" i="54"/>
  <c r="A172" i="54"/>
  <c r="C171" i="54"/>
  <c r="B171" i="54"/>
  <c r="A171" i="54"/>
  <c r="C170" i="54"/>
  <c r="B170" i="54"/>
  <c r="A170" i="54"/>
  <c r="C169" i="54"/>
  <c r="B169" i="54"/>
  <c r="A169" i="54"/>
  <c r="C168" i="54"/>
  <c r="B168" i="54"/>
  <c r="A168" i="54"/>
  <c r="C167" i="54"/>
  <c r="B167" i="54"/>
  <c r="A167" i="54"/>
  <c r="C166" i="54"/>
  <c r="B166" i="54"/>
  <c r="A166" i="54"/>
  <c r="C165" i="54"/>
  <c r="B165" i="54"/>
  <c r="A165" i="54"/>
  <c r="C164" i="54"/>
  <c r="B164" i="54"/>
  <c r="A164" i="54"/>
  <c r="C163" i="54"/>
  <c r="B163" i="54"/>
  <c r="A163" i="54"/>
  <c r="C162" i="54"/>
  <c r="B162" i="54"/>
  <c r="A162" i="54"/>
  <c r="C161" i="54"/>
  <c r="B161" i="54"/>
  <c r="A161" i="54"/>
  <c r="C160" i="54"/>
  <c r="B160" i="54"/>
  <c r="A160" i="54"/>
  <c r="C159" i="54"/>
  <c r="B159" i="54"/>
  <c r="A159" i="54"/>
  <c r="C158" i="54"/>
  <c r="B158" i="54"/>
  <c r="A158" i="54"/>
  <c r="C157" i="54"/>
  <c r="B157" i="54"/>
  <c r="A157" i="54"/>
  <c r="C156" i="54"/>
  <c r="B156" i="54"/>
  <c r="A156" i="54"/>
  <c r="C155" i="54"/>
  <c r="B155" i="54"/>
  <c r="A155" i="54"/>
  <c r="C154" i="54"/>
  <c r="B154" i="54"/>
  <c r="A154" i="54"/>
  <c r="C153" i="54"/>
  <c r="B153" i="54"/>
  <c r="A153" i="54"/>
  <c r="C152" i="54"/>
  <c r="B152" i="54"/>
  <c r="A152" i="54"/>
  <c r="C151" i="54"/>
  <c r="B151" i="54"/>
  <c r="A151" i="54"/>
  <c r="C150" i="54"/>
  <c r="B150" i="54"/>
  <c r="A150" i="54"/>
  <c r="C149" i="54"/>
  <c r="B149" i="54"/>
  <c r="A149" i="54"/>
  <c r="C148" i="54"/>
  <c r="B148" i="54"/>
  <c r="A148" i="54"/>
  <c r="C147" i="54"/>
  <c r="B147" i="54"/>
  <c r="A147" i="54"/>
  <c r="C146" i="54"/>
  <c r="B146" i="54"/>
  <c r="A146" i="54"/>
  <c r="C145" i="54"/>
  <c r="B145" i="54"/>
  <c r="A145" i="54"/>
  <c r="C144" i="54"/>
  <c r="B144" i="54"/>
  <c r="A144" i="54"/>
  <c r="C143" i="54"/>
  <c r="B143" i="54"/>
  <c r="A143" i="54"/>
  <c r="C142" i="54"/>
  <c r="B142" i="54"/>
  <c r="A142" i="54"/>
  <c r="C141" i="54"/>
  <c r="B141" i="54"/>
  <c r="A141" i="54"/>
  <c r="C140" i="54"/>
  <c r="B140" i="54"/>
  <c r="A140" i="54"/>
  <c r="C139" i="54"/>
  <c r="B139" i="54"/>
  <c r="A139" i="54"/>
  <c r="C138" i="54"/>
  <c r="B138" i="54"/>
  <c r="A138" i="54"/>
  <c r="C137" i="54"/>
  <c r="B137" i="54"/>
  <c r="A137" i="54"/>
  <c r="C136" i="54"/>
  <c r="B136" i="54"/>
  <c r="A136" i="54"/>
  <c r="C135" i="54"/>
  <c r="B135" i="54"/>
  <c r="A135" i="54"/>
  <c r="C134" i="54"/>
  <c r="B134" i="54"/>
  <c r="A134" i="54"/>
  <c r="C133" i="54"/>
  <c r="B133" i="54"/>
  <c r="A133" i="54"/>
  <c r="C132" i="54"/>
  <c r="B132" i="54"/>
  <c r="A132" i="54"/>
  <c r="C131" i="54"/>
  <c r="B131" i="54"/>
  <c r="A131" i="54"/>
  <c r="C130" i="54"/>
  <c r="B130" i="54"/>
  <c r="A130" i="54"/>
  <c r="C129" i="54"/>
  <c r="B129" i="54"/>
  <c r="A129" i="54"/>
  <c r="C128" i="54"/>
  <c r="B128" i="54"/>
  <c r="A128" i="54"/>
  <c r="C127" i="54"/>
  <c r="B127" i="54"/>
  <c r="A127" i="54"/>
  <c r="C126" i="54"/>
  <c r="B126" i="54"/>
  <c r="A126" i="54"/>
  <c r="C125" i="54"/>
  <c r="B125" i="54"/>
  <c r="A125" i="54"/>
  <c r="C124" i="54"/>
  <c r="B124" i="54"/>
  <c r="A124" i="54"/>
  <c r="C123" i="54"/>
  <c r="B123" i="54"/>
  <c r="A123" i="54"/>
  <c r="C122" i="54"/>
  <c r="B122" i="54"/>
  <c r="A122" i="54"/>
  <c r="C121" i="54"/>
  <c r="B121" i="54"/>
  <c r="A121" i="54"/>
  <c r="C120" i="54"/>
  <c r="B120" i="54"/>
  <c r="A120" i="54"/>
  <c r="C119" i="54"/>
  <c r="B119" i="54"/>
  <c r="A119" i="54"/>
  <c r="C118" i="54"/>
  <c r="B118" i="54"/>
  <c r="A118" i="54"/>
  <c r="F117" i="54"/>
  <c r="A117" i="54"/>
  <c r="F116" i="54"/>
  <c r="A116" i="54"/>
  <c r="F115" i="54"/>
  <c r="A115" i="54"/>
  <c r="F114" i="54"/>
  <c r="A114" i="54"/>
  <c r="F113" i="54"/>
  <c r="A113" i="54"/>
  <c r="F112" i="54"/>
  <c r="A112" i="54"/>
  <c r="F111" i="54"/>
  <c r="A111" i="54"/>
  <c r="F110" i="54"/>
  <c r="A110" i="54"/>
  <c r="F109" i="54"/>
  <c r="A109" i="54"/>
  <c r="F108" i="54"/>
  <c r="A108" i="54"/>
  <c r="F107" i="54"/>
  <c r="A107" i="54"/>
  <c r="F106" i="54"/>
  <c r="A106" i="54"/>
  <c r="F105" i="54"/>
  <c r="A105" i="54"/>
  <c r="F104" i="54"/>
  <c r="A104" i="54"/>
  <c r="F103" i="54"/>
  <c r="A103" i="54"/>
  <c r="F102" i="54"/>
  <c r="A102" i="54"/>
  <c r="F101" i="54"/>
  <c r="A101" i="54"/>
  <c r="F100" i="54"/>
  <c r="A100" i="54"/>
  <c r="E99" i="54"/>
  <c r="D99" i="54"/>
  <c r="C99" i="54"/>
  <c r="B99" i="54"/>
  <c r="A99" i="54"/>
  <c r="E98" i="54"/>
  <c r="D98" i="54"/>
  <c r="C98" i="54"/>
  <c r="B98" i="54"/>
  <c r="A98" i="54"/>
  <c r="E97" i="54"/>
  <c r="D97" i="54"/>
  <c r="C97" i="54"/>
  <c r="B97" i="54"/>
  <c r="A97" i="54"/>
  <c r="E96" i="54"/>
  <c r="D96" i="54"/>
  <c r="C96" i="54"/>
  <c r="B96" i="54"/>
  <c r="A96" i="54"/>
  <c r="E95" i="54"/>
  <c r="D95" i="54"/>
  <c r="C95" i="54"/>
  <c r="B95" i="54"/>
  <c r="A95" i="54"/>
  <c r="E94" i="54"/>
  <c r="D94" i="54"/>
  <c r="C94" i="54"/>
  <c r="B94" i="54"/>
  <c r="A94" i="54"/>
  <c r="E93" i="54"/>
  <c r="D93" i="54"/>
  <c r="C93" i="54"/>
  <c r="B93" i="54"/>
  <c r="A93" i="54"/>
  <c r="E92" i="54"/>
  <c r="D92" i="54"/>
  <c r="C92" i="54"/>
  <c r="B92" i="54"/>
  <c r="A92" i="54"/>
  <c r="E91" i="54"/>
  <c r="D91" i="54"/>
  <c r="C91" i="54"/>
  <c r="B91" i="54"/>
  <c r="A91" i="54"/>
  <c r="E90" i="54"/>
  <c r="D90" i="54"/>
  <c r="C90" i="54"/>
  <c r="B90" i="54"/>
  <c r="A90" i="54"/>
  <c r="E89" i="54"/>
  <c r="D89" i="54"/>
  <c r="C89" i="54"/>
  <c r="B89" i="54"/>
  <c r="A89" i="54"/>
  <c r="E88" i="54"/>
  <c r="D88" i="54"/>
  <c r="C88" i="54"/>
  <c r="B88" i="54"/>
  <c r="A88" i="54"/>
  <c r="E87" i="54"/>
  <c r="D87" i="54"/>
  <c r="C87" i="54"/>
  <c r="B87" i="54"/>
  <c r="A87" i="54"/>
  <c r="E86" i="54"/>
  <c r="D86" i="54"/>
  <c r="C86" i="54"/>
  <c r="B86" i="54"/>
  <c r="A86" i="54"/>
  <c r="E85" i="54"/>
  <c r="D85" i="54"/>
  <c r="C85" i="54"/>
  <c r="B85" i="54"/>
  <c r="A85" i="54"/>
  <c r="E84" i="54"/>
  <c r="D84" i="54"/>
  <c r="C84" i="54"/>
  <c r="B84" i="54"/>
  <c r="A84" i="54"/>
  <c r="E83" i="54"/>
  <c r="D83" i="54"/>
  <c r="C83" i="54"/>
  <c r="B83" i="54"/>
  <c r="A83" i="54"/>
  <c r="F82" i="54"/>
  <c r="E82" i="54"/>
  <c r="D82" i="54"/>
  <c r="C82" i="54"/>
  <c r="B82" i="54"/>
  <c r="A82" i="54"/>
  <c r="E81" i="54"/>
  <c r="D81" i="54"/>
  <c r="C81" i="54"/>
  <c r="B81" i="54"/>
  <c r="A81" i="54"/>
  <c r="E80" i="54"/>
  <c r="D80" i="54"/>
  <c r="C80" i="54"/>
  <c r="B80" i="54"/>
  <c r="A80" i="54"/>
  <c r="E79" i="54"/>
  <c r="D79" i="54"/>
  <c r="C79" i="54"/>
  <c r="B79" i="54"/>
  <c r="A79" i="54"/>
  <c r="E78" i="54"/>
  <c r="D78" i="54"/>
  <c r="C78" i="54"/>
  <c r="B78" i="54"/>
  <c r="A78" i="54"/>
  <c r="E77" i="54"/>
  <c r="D77" i="54"/>
  <c r="C77" i="54"/>
  <c r="B77" i="54"/>
  <c r="A77" i="54"/>
  <c r="E76" i="54"/>
  <c r="D76" i="54"/>
  <c r="C76" i="54"/>
  <c r="B76" i="54"/>
  <c r="A76" i="54"/>
  <c r="E75" i="54"/>
  <c r="D75" i="54"/>
  <c r="C75" i="54"/>
  <c r="B75" i="54"/>
  <c r="A75" i="54"/>
  <c r="E74" i="54"/>
  <c r="D74" i="54"/>
  <c r="C74" i="54"/>
  <c r="B74" i="54"/>
  <c r="A74" i="54"/>
  <c r="E73" i="54"/>
  <c r="D73" i="54"/>
  <c r="C73" i="54"/>
  <c r="B73" i="54"/>
  <c r="A73" i="54"/>
  <c r="E72" i="54"/>
  <c r="D72" i="54"/>
  <c r="C72" i="54"/>
  <c r="B72" i="54"/>
  <c r="A72" i="54"/>
  <c r="E71" i="54"/>
  <c r="D71" i="54"/>
  <c r="C71" i="54"/>
  <c r="B71" i="54"/>
  <c r="A71" i="54"/>
  <c r="E70" i="54"/>
  <c r="D70" i="54"/>
  <c r="C70" i="54"/>
  <c r="B70" i="54"/>
  <c r="A70" i="54"/>
  <c r="E69" i="54"/>
  <c r="D69" i="54"/>
  <c r="C69" i="54"/>
  <c r="B69" i="54"/>
  <c r="A69" i="54"/>
  <c r="E68" i="54"/>
  <c r="D68" i="54"/>
  <c r="C68" i="54"/>
  <c r="B68" i="54"/>
  <c r="A68" i="54"/>
  <c r="E67" i="54"/>
  <c r="D67" i="54"/>
  <c r="C67" i="54"/>
  <c r="B67" i="54"/>
  <c r="A67" i="54"/>
  <c r="E66" i="54"/>
  <c r="D66" i="54"/>
  <c r="C66" i="54"/>
  <c r="B66" i="54"/>
  <c r="A66" i="54"/>
  <c r="E65" i="54"/>
  <c r="D65" i="54"/>
  <c r="C65" i="54"/>
  <c r="B65" i="54"/>
  <c r="A65" i="54"/>
  <c r="E64" i="54"/>
  <c r="D64" i="54"/>
  <c r="C64" i="54"/>
  <c r="B64" i="54"/>
  <c r="A64" i="54"/>
  <c r="E63" i="54"/>
  <c r="D63" i="54"/>
  <c r="C63" i="54"/>
  <c r="B63" i="54"/>
  <c r="A63" i="54"/>
  <c r="E62" i="54"/>
  <c r="D62" i="54"/>
  <c r="C62" i="54"/>
  <c r="B62" i="54"/>
  <c r="A62" i="54"/>
  <c r="E61" i="54"/>
  <c r="D61" i="54"/>
  <c r="C61" i="54"/>
  <c r="B61" i="54"/>
  <c r="A61" i="54"/>
  <c r="E60" i="54"/>
  <c r="D60" i="54"/>
  <c r="C60" i="54"/>
  <c r="B60" i="54"/>
  <c r="A60" i="54"/>
  <c r="E59" i="54"/>
  <c r="D59" i="54"/>
  <c r="C59" i="54"/>
  <c r="B59" i="54"/>
  <c r="A59" i="54"/>
  <c r="E58" i="54"/>
  <c r="D58" i="54"/>
  <c r="C58" i="54"/>
  <c r="B58" i="54"/>
  <c r="A58" i="54"/>
  <c r="E57" i="54"/>
  <c r="D57" i="54"/>
  <c r="C57" i="54"/>
  <c r="B57" i="54"/>
  <c r="A57" i="54"/>
  <c r="E56" i="54"/>
  <c r="D56" i="54"/>
  <c r="C56" i="54"/>
  <c r="B56" i="54"/>
  <c r="A56" i="54"/>
  <c r="E55" i="54"/>
  <c r="D55" i="54"/>
  <c r="C55" i="54"/>
  <c r="B55" i="54"/>
  <c r="A55" i="54"/>
  <c r="E54" i="54"/>
  <c r="D54" i="54"/>
  <c r="C54" i="54"/>
  <c r="B54" i="54"/>
  <c r="A54" i="54"/>
  <c r="E53" i="54"/>
  <c r="D53" i="54"/>
  <c r="C53" i="54"/>
  <c r="B53" i="54"/>
  <c r="A53" i="54"/>
  <c r="E52" i="54"/>
  <c r="D52" i="54"/>
  <c r="C52" i="54"/>
  <c r="B52" i="54"/>
  <c r="A52" i="54"/>
  <c r="E51" i="54"/>
  <c r="D51" i="54"/>
  <c r="C51" i="54"/>
  <c r="B51" i="54"/>
  <c r="A51" i="54"/>
  <c r="E50" i="54"/>
  <c r="D50" i="54"/>
  <c r="C50" i="54"/>
  <c r="B50" i="54"/>
  <c r="A50" i="54"/>
  <c r="E49" i="54"/>
  <c r="D49" i="54"/>
  <c r="C49" i="54"/>
  <c r="B49" i="54"/>
  <c r="A49" i="54"/>
  <c r="E48" i="54"/>
  <c r="D48" i="54"/>
  <c r="C48" i="54"/>
  <c r="B48" i="54"/>
  <c r="A48" i="54"/>
  <c r="E47" i="54"/>
  <c r="D47" i="54"/>
  <c r="C47" i="54"/>
  <c r="B47" i="54"/>
  <c r="A47" i="54"/>
  <c r="E46" i="54"/>
  <c r="D46" i="54"/>
  <c r="C46" i="54"/>
  <c r="B46" i="54"/>
  <c r="A46" i="54"/>
  <c r="E45" i="54"/>
  <c r="D45" i="54"/>
  <c r="C45" i="54"/>
  <c r="B45" i="54"/>
  <c r="A45" i="54"/>
  <c r="E44" i="54"/>
  <c r="D44" i="54"/>
  <c r="C44" i="54"/>
  <c r="B44" i="54"/>
  <c r="A44" i="54"/>
  <c r="E43" i="54"/>
  <c r="D43" i="54"/>
  <c r="C43" i="54"/>
  <c r="B43" i="54"/>
  <c r="A43" i="54"/>
  <c r="E42" i="54"/>
  <c r="D42" i="54"/>
  <c r="C42" i="54"/>
  <c r="B42" i="54"/>
  <c r="A42" i="54"/>
  <c r="E41" i="54"/>
  <c r="D41" i="54"/>
  <c r="C41" i="54"/>
  <c r="B41" i="54"/>
  <c r="A41" i="54"/>
  <c r="E40" i="54"/>
  <c r="D40" i="54"/>
  <c r="C40" i="54"/>
  <c r="B40" i="54"/>
  <c r="A40" i="54"/>
  <c r="E39" i="54"/>
  <c r="D39" i="54"/>
  <c r="C39" i="54"/>
  <c r="B39" i="54"/>
  <c r="A39" i="54"/>
  <c r="E38" i="54"/>
  <c r="D38" i="54"/>
  <c r="C38" i="54"/>
  <c r="B38" i="54"/>
  <c r="A38" i="54"/>
  <c r="E37" i="54"/>
  <c r="D37" i="54"/>
  <c r="C37" i="54"/>
  <c r="B37" i="54"/>
  <c r="A37" i="54"/>
  <c r="E36" i="54"/>
  <c r="D36" i="54"/>
  <c r="C36" i="54"/>
  <c r="B36" i="54"/>
  <c r="A36" i="54"/>
  <c r="E35" i="54"/>
  <c r="D35" i="54"/>
  <c r="C35" i="54"/>
  <c r="B35" i="54"/>
  <c r="A35" i="54"/>
  <c r="E34" i="54"/>
  <c r="D34" i="54"/>
  <c r="C34" i="54"/>
  <c r="B34" i="54"/>
  <c r="A34" i="54"/>
  <c r="E33" i="54"/>
  <c r="D33" i="54"/>
  <c r="C33" i="54"/>
  <c r="B33" i="54"/>
  <c r="A33" i="54"/>
  <c r="E32" i="54"/>
  <c r="D32" i="54"/>
  <c r="C32" i="54"/>
  <c r="B32" i="54"/>
  <c r="A32" i="54"/>
  <c r="E31" i="54"/>
  <c r="D31" i="54"/>
  <c r="C31" i="54"/>
  <c r="B31" i="54"/>
  <c r="A31" i="54"/>
  <c r="E30" i="54"/>
  <c r="D30" i="54"/>
  <c r="C30" i="54"/>
  <c r="B30" i="54"/>
  <c r="A30" i="54"/>
  <c r="E29" i="54"/>
  <c r="D29" i="54"/>
  <c r="C29" i="54"/>
  <c r="B29" i="54"/>
  <c r="A29" i="54"/>
  <c r="E28" i="54"/>
  <c r="D28" i="54"/>
  <c r="C28" i="54"/>
  <c r="B28" i="54"/>
  <c r="A28" i="54"/>
  <c r="E27" i="54"/>
  <c r="D27" i="54"/>
  <c r="C27" i="54"/>
  <c r="B27" i="54"/>
  <c r="A27" i="54"/>
  <c r="E26" i="54"/>
  <c r="D26" i="54"/>
  <c r="C26" i="54"/>
  <c r="B26" i="54"/>
  <c r="A26" i="54"/>
  <c r="E25" i="54"/>
  <c r="D25" i="54"/>
  <c r="C25" i="54"/>
  <c r="B25" i="54"/>
  <c r="A25" i="54"/>
  <c r="E24" i="54"/>
  <c r="D24" i="54"/>
  <c r="C24" i="54"/>
  <c r="B24" i="54"/>
  <c r="A24" i="54"/>
  <c r="F23" i="54"/>
  <c r="E23" i="54"/>
  <c r="D23" i="54"/>
  <c r="C23" i="54"/>
  <c r="B23" i="54"/>
  <c r="A23" i="54"/>
  <c r="F22" i="54"/>
  <c r="E22" i="54"/>
  <c r="D22" i="54"/>
  <c r="C22" i="54"/>
  <c r="B22" i="54"/>
  <c r="A22" i="54"/>
  <c r="E21" i="54"/>
  <c r="D21" i="54"/>
  <c r="C21" i="54"/>
  <c r="B21" i="54"/>
  <c r="A21" i="54"/>
  <c r="E20" i="54"/>
  <c r="D20" i="54"/>
  <c r="C20" i="54"/>
  <c r="B20" i="54"/>
  <c r="A20" i="54"/>
  <c r="E19" i="54"/>
  <c r="D19" i="54"/>
  <c r="C19" i="54"/>
  <c r="B19" i="54"/>
  <c r="A19" i="54"/>
  <c r="E18" i="54"/>
  <c r="D18" i="54"/>
  <c r="C18" i="54"/>
  <c r="B18" i="54"/>
  <c r="A18" i="54"/>
  <c r="E17" i="54"/>
  <c r="D17" i="54"/>
  <c r="C17" i="54"/>
  <c r="B17" i="54"/>
  <c r="A17" i="54"/>
  <c r="E16" i="54"/>
  <c r="D16" i="54"/>
  <c r="C16" i="54"/>
  <c r="B16" i="54"/>
  <c r="A16" i="54"/>
  <c r="E15" i="54"/>
  <c r="D15" i="54"/>
  <c r="C15" i="54"/>
  <c r="B15" i="54"/>
  <c r="A15" i="54"/>
  <c r="F14" i="54"/>
  <c r="E14" i="54"/>
  <c r="D14" i="54"/>
  <c r="C14" i="54"/>
  <c r="B14" i="54"/>
  <c r="A14" i="54"/>
  <c r="E13" i="54"/>
  <c r="D13" i="54"/>
  <c r="C13" i="54"/>
  <c r="B13" i="54"/>
  <c r="A13" i="54"/>
  <c r="E12" i="54"/>
  <c r="D12" i="54"/>
  <c r="C12" i="54"/>
  <c r="B12" i="54"/>
  <c r="A12" i="54"/>
  <c r="E11" i="54"/>
  <c r="D11" i="54"/>
  <c r="C11" i="54"/>
  <c r="B11" i="54"/>
  <c r="A11" i="54"/>
  <c r="E10" i="54"/>
  <c r="D10" i="54"/>
  <c r="C10" i="54"/>
  <c r="B10" i="54"/>
  <c r="A10" i="54"/>
  <c r="E9" i="54"/>
  <c r="D9" i="54"/>
  <c r="C9" i="54"/>
  <c r="B9" i="54"/>
  <c r="A9" i="54"/>
  <c r="E8" i="54"/>
  <c r="D8" i="54"/>
  <c r="C8" i="54"/>
  <c r="B8" i="54"/>
  <c r="A8" i="54"/>
  <c r="A5" i="54"/>
  <c r="A2" i="54"/>
  <c r="N190" i="52"/>
  <c r="L190" i="52"/>
  <c r="C190" i="52"/>
  <c r="AH188" i="52"/>
  <c r="AG188" i="52"/>
  <c r="AF188" i="52"/>
  <c r="AE188" i="52"/>
  <c r="W188" i="52"/>
  <c r="AI188" i="52" s="1"/>
  <c r="AK188" i="52" s="1"/>
  <c r="S188" i="52"/>
  <c r="J188" i="52"/>
  <c r="AG187" i="52"/>
  <c r="AH187" i="52" s="1"/>
  <c r="AF187" i="52"/>
  <c r="AE187" i="52"/>
  <c r="W187" i="52"/>
  <c r="AI187" i="52" s="1"/>
  <c r="AK187" i="52" s="1"/>
  <c r="S187" i="52"/>
  <c r="K187" i="52"/>
  <c r="J187" i="52"/>
  <c r="AG186" i="52"/>
  <c r="AH186" i="52" s="1"/>
  <c r="AF186" i="52"/>
  <c r="AE186" i="52"/>
  <c r="W186" i="52"/>
  <c r="AI186" i="52" s="1"/>
  <c r="AJ186" i="52" s="1"/>
  <c r="S186" i="52"/>
  <c r="J186" i="52"/>
  <c r="AI185" i="52"/>
  <c r="AH185" i="52"/>
  <c r="AG185" i="52"/>
  <c r="AF185" i="52"/>
  <c r="AE185" i="52"/>
  <c r="W185" i="52"/>
  <c r="S185" i="52"/>
  <c r="J185" i="52"/>
  <c r="AH184" i="52"/>
  <c r="AG184" i="52"/>
  <c r="AF184" i="52"/>
  <c r="AE184" i="52"/>
  <c r="W184" i="52"/>
  <c r="AI184" i="52" s="1"/>
  <c r="AK184" i="52" s="1"/>
  <c r="S184" i="52"/>
  <c r="J184" i="52"/>
  <c r="AG183" i="52"/>
  <c r="AH183" i="52" s="1"/>
  <c r="AF183" i="52"/>
  <c r="AE183" i="52"/>
  <c r="W183" i="52"/>
  <c r="AI183" i="52" s="1"/>
  <c r="AJ183" i="52" s="1"/>
  <c r="S183" i="52"/>
  <c r="K183" i="52"/>
  <c r="J183" i="52"/>
  <c r="AF182" i="52"/>
  <c r="AE182" i="52"/>
  <c r="AB182" i="52"/>
  <c r="Y182" i="52"/>
  <c r="AG182" i="52" s="1"/>
  <c r="AH182" i="52" s="1"/>
  <c r="W182" i="52"/>
  <c r="S182" i="52"/>
  <c r="AG181" i="52"/>
  <c r="AH181" i="52" s="1"/>
  <c r="AE181" i="52"/>
  <c r="AB181" i="52"/>
  <c r="Y181" i="52"/>
  <c r="AF181" i="52" s="1"/>
  <c r="W181" i="52"/>
  <c r="S181" i="52"/>
  <c r="AE180" i="52"/>
  <c r="AB180" i="52"/>
  <c r="Y180" i="52"/>
  <c r="AG180" i="52" s="1"/>
  <c r="AH180" i="52" s="1"/>
  <c r="W180" i="52"/>
  <c r="S180" i="52"/>
  <c r="AF179" i="52"/>
  <c r="AE179" i="52"/>
  <c r="AB179" i="52"/>
  <c r="Y179" i="52"/>
  <c r="AG179" i="52" s="1"/>
  <c r="AH179" i="52" s="1"/>
  <c r="W179" i="52"/>
  <c r="S179" i="52"/>
  <c r="J179" i="52"/>
  <c r="K179" i="52" s="1"/>
  <c r="I179" i="52"/>
  <c r="AF178" i="52"/>
  <c r="AE178" i="52"/>
  <c r="AB178" i="52"/>
  <c r="Y178" i="52"/>
  <c r="AG178" i="52" s="1"/>
  <c r="AH178" i="52" s="1"/>
  <c r="W178" i="52"/>
  <c r="S178" i="52"/>
  <c r="AF177" i="52"/>
  <c r="AE177" i="52"/>
  <c r="AB177" i="52"/>
  <c r="Y177" i="52"/>
  <c r="AG177" i="52" s="1"/>
  <c r="AH177" i="52" s="1"/>
  <c r="W177" i="52"/>
  <c r="S177" i="52"/>
  <c r="AF176" i="52"/>
  <c r="AE176" i="52"/>
  <c r="AB176" i="52"/>
  <c r="Y176" i="52"/>
  <c r="AG176" i="52" s="1"/>
  <c r="AH176" i="52" s="1"/>
  <c r="W176" i="52"/>
  <c r="S176" i="52"/>
  <c r="AF175" i="52"/>
  <c r="AE175" i="52"/>
  <c r="AB175" i="52"/>
  <c r="Y175" i="52"/>
  <c r="AG175" i="52" s="1"/>
  <c r="AH175" i="52" s="1"/>
  <c r="W175" i="52"/>
  <c r="S175" i="52"/>
  <c r="I175" i="52"/>
  <c r="J175" i="52" s="1"/>
  <c r="AF174" i="52"/>
  <c r="AE174" i="52"/>
  <c r="AB174" i="52"/>
  <c r="AG174" i="52" s="1"/>
  <c r="AH174" i="52" s="1"/>
  <c r="Y174" i="52"/>
  <c r="W174" i="52"/>
  <c r="S174" i="52"/>
  <c r="K174" i="52"/>
  <c r="J174" i="52"/>
  <c r="AG173" i="52"/>
  <c r="AH173" i="52" s="1"/>
  <c r="AF173" i="52"/>
  <c r="AE173" i="52"/>
  <c r="Y173" i="52"/>
  <c r="W173" i="52"/>
  <c r="S173" i="52"/>
  <c r="AF172" i="52"/>
  <c r="AE172" i="52"/>
  <c r="AG172" i="52"/>
  <c r="AH172" i="52" s="1"/>
  <c r="W172" i="52"/>
  <c r="S172" i="52"/>
  <c r="I172" i="52"/>
  <c r="J172" i="52" s="1"/>
  <c r="AE171" i="52"/>
  <c r="Y171" i="52"/>
  <c r="W171" i="52"/>
  <c r="S171" i="52"/>
  <c r="K171" i="52"/>
  <c r="J171" i="52"/>
  <c r="I171" i="52"/>
  <c r="AG170" i="52"/>
  <c r="AH170" i="52" s="1"/>
  <c r="AF170" i="52"/>
  <c r="AE170" i="52"/>
  <c r="Y170" i="52"/>
  <c r="W170" i="52"/>
  <c r="S170" i="52"/>
  <c r="J170" i="52"/>
  <c r="K170" i="52" s="1"/>
  <c r="AG169" i="52"/>
  <c r="AH169" i="52" s="1"/>
  <c r="AE169" i="52"/>
  <c r="Y169" i="52"/>
  <c r="AF169" i="52" s="1"/>
  <c r="W169" i="52"/>
  <c r="S169" i="52"/>
  <c r="K169" i="52"/>
  <c r="J169" i="52"/>
  <c r="I169" i="52"/>
  <c r="AF168" i="52"/>
  <c r="AB168" i="52"/>
  <c r="AG168" i="52" s="1"/>
  <c r="AH168" i="52" s="1"/>
  <c r="Y168" i="52"/>
  <c r="W168" i="52"/>
  <c r="R168" i="52"/>
  <c r="S168" i="52" s="1"/>
  <c r="AE167" i="52"/>
  <c r="AB167" i="52"/>
  <c r="Y167" i="52"/>
  <c r="AF167" i="52" s="1"/>
  <c r="W167" i="52"/>
  <c r="S167" i="52"/>
  <c r="AF166" i="52"/>
  <c r="AB166" i="52"/>
  <c r="Y166" i="52"/>
  <c r="AG166" i="52" s="1"/>
  <c r="AH166" i="52" s="1"/>
  <c r="W166" i="52"/>
  <c r="S166" i="52"/>
  <c r="AE165" i="52"/>
  <c r="AB165" i="52"/>
  <c r="Y165" i="52"/>
  <c r="W165" i="52"/>
  <c r="S165" i="52"/>
  <c r="AG164" i="52"/>
  <c r="AH164" i="52" s="1"/>
  <c r="AF164" i="52"/>
  <c r="AE164" i="52"/>
  <c r="AB164" i="52"/>
  <c r="W164" i="52"/>
  <c r="T164" i="52"/>
  <c r="S164" i="52"/>
  <c r="R164" i="52"/>
  <c r="AH163" i="52"/>
  <c r="AG163" i="52"/>
  <c r="AF163" i="52"/>
  <c r="AE163" i="52"/>
  <c r="W163" i="52"/>
  <c r="S163" i="52"/>
  <c r="I163" i="52"/>
  <c r="J163" i="52" s="1"/>
  <c r="AE162" i="52"/>
  <c r="AB162" i="52"/>
  <c r="Y162" i="52"/>
  <c r="AF162" i="52" s="1"/>
  <c r="W162" i="52"/>
  <c r="S162" i="52"/>
  <c r="J162" i="52"/>
  <c r="I162" i="52"/>
  <c r="AF161" i="52"/>
  <c r="AE161" i="52"/>
  <c r="AB161" i="52"/>
  <c r="AG161" i="52" s="1"/>
  <c r="AH161" i="52" s="1"/>
  <c r="W161" i="52"/>
  <c r="S161" i="52"/>
  <c r="AG160" i="52"/>
  <c r="AH160" i="52" s="1"/>
  <c r="AF160" i="52"/>
  <c r="AE160" i="52"/>
  <c r="W160" i="52"/>
  <c r="S160" i="52"/>
  <c r="K160" i="52"/>
  <c r="J160" i="52"/>
  <c r="I160" i="52"/>
  <c r="AG159" i="52"/>
  <c r="AH159" i="52" s="1"/>
  <c r="AE159" i="52"/>
  <c r="Y159" i="52"/>
  <c r="AF159" i="52" s="1"/>
  <c r="W159" i="52"/>
  <c r="S159" i="52"/>
  <c r="AH158" i="52"/>
  <c r="AG158" i="52"/>
  <c r="AF158" i="52"/>
  <c r="AE158" i="52"/>
  <c r="W158" i="52"/>
  <c r="S158" i="52"/>
  <c r="K158" i="52"/>
  <c r="J158" i="52"/>
  <c r="I158" i="52"/>
  <c r="AF157" i="52"/>
  <c r="AE157" i="52"/>
  <c r="AB157" i="52"/>
  <c r="AG157" i="52" s="1"/>
  <c r="AH157" i="52" s="1"/>
  <c r="W157" i="52"/>
  <c r="S157" i="52"/>
  <c r="K157" i="52"/>
  <c r="I157" i="52"/>
  <c r="G157" i="52"/>
  <c r="J157" i="52" s="1"/>
  <c r="AG156" i="52"/>
  <c r="AH156" i="52" s="1"/>
  <c r="AE156" i="52"/>
  <c r="AB156" i="52"/>
  <c r="Y156" i="52"/>
  <c r="AF156" i="52" s="1"/>
  <c r="W156" i="52"/>
  <c r="S156" i="52"/>
  <c r="J156" i="52"/>
  <c r="I156" i="52"/>
  <c r="G156" i="52"/>
  <c r="AG155" i="52"/>
  <c r="AH155" i="52" s="1"/>
  <c r="AE155" i="52"/>
  <c r="AB155" i="52"/>
  <c r="Y155" i="52"/>
  <c r="AF155" i="52" s="1"/>
  <c r="W155" i="52"/>
  <c r="S155" i="52"/>
  <c r="AF154" i="52"/>
  <c r="AE154" i="52"/>
  <c r="Y154" i="52"/>
  <c r="AG154" i="52" s="1"/>
  <c r="AH154" i="52" s="1"/>
  <c r="W154" i="52"/>
  <c r="S154" i="52"/>
  <c r="AG153" i="52"/>
  <c r="AH153" i="52" s="1"/>
  <c r="AE153" i="52"/>
  <c r="AB153" i="52"/>
  <c r="Y153" i="52"/>
  <c r="AF153" i="52" s="1"/>
  <c r="W153" i="52"/>
  <c r="S153" i="52"/>
  <c r="AG152" i="52"/>
  <c r="AH152" i="52" s="1"/>
  <c r="AF152" i="52"/>
  <c r="AE152" i="52"/>
  <c r="Y152" i="52"/>
  <c r="W152" i="52"/>
  <c r="S152" i="52"/>
  <c r="I152" i="52"/>
  <c r="J152" i="52" s="1"/>
  <c r="K152" i="52" s="1"/>
  <c r="AE151" i="52"/>
  <c r="AB151" i="52"/>
  <c r="Y151" i="52"/>
  <c r="AF151" i="52" s="1"/>
  <c r="W151" i="52"/>
  <c r="S151" i="52"/>
  <c r="AE150" i="52"/>
  <c r="AB150" i="52"/>
  <c r="Y150" i="52"/>
  <c r="AF150" i="52" s="1"/>
  <c r="W150" i="52"/>
  <c r="S150" i="52"/>
  <c r="AF149" i="52"/>
  <c r="AE149" i="52"/>
  <c r="AB149" i="52"/>
  <c r="AG149" i="52" s="1"/>
  <c r="AH149" i="52" s="1"/>
  <c r="W149" i="52"/>
  <c r="S149" i="52"/>
  <c r="K149" i="52"/>
  <c r="I149" i="52"/>
  <c r="G149" i="52"/>
  <c r="J149" i="52" s="1"/>
  <c r="AG148" i="52"/>
  <c r="AH148" i="52" s="1"/>
  <c r="AF148" i="52"/>
  <c r="AE148" i="52"/>
  <c r="W148" i="52"/>
  <c r="S148" i="52"/>
  <c r="Y147" i="52"/>
  <c r="W147" i="52"/>
  <c r="S147" i="52"/>
  <c r="J147" i="52"/>
  <c r="AE146" i="52"/>
  <c r="Y146" i="52"/>
  <c r="W146" i="52"/>
  <c r="S146" i="52"/>
  <c r="J146" i="52"/>
  <c r="K146" i="52" s="1"/>
  <c r="AE145" i="52"/>
  <c r="Y145" i="52"/>
  <c r="W145" i="52"/>
  <c r="S145" i="52"/>
  <c r="J145" i="52"/>
  <c r="I145" i="52"/>
  <c r="AF144" i="52"/>
  <c r="AE144" i="52"/>
  <c r="AG144" i="52"/>
  <c r="AH144" i="52" s="1"/>
  <c r="W144" i="52"/>
  <c r="S144" i="52"/>
  <c r="AG143" i="52"/>
  <c r="AH143" i="52" s="1"/>
  <c r="AF143" i="52"/>
  <c r="AE143" i="52"/>
  <c r="AB143" i="52"/>
  <c r="AA143" i="52"/>
  <c r="Z143" i="52"/>
  <c r="Y143" i="52"/>
  <c r="W143" i="52"/>
  <c r="S143" i="52"/>
  <c r="I143" i="52"/>
  <c r="J143" i="52" s="1"/>
  <c r="AG142" i="52"/>
  <c r="AH142" i="52" s="1"/>
  <c r="AF142" i="52"/>
  <c r="AE142" i="52"/>
  <c r="AB142" i="52"/>
  <c r="AA142" i="52"/>
  <c r="Z142" i="52"/>
  <c r="Y142" i="52"/>
  <c r="W142" i="52"/>
  <c r="S142" i="52"/>
  <c r="AH141" i="52"/>
  <c r="AG141" i="52"/>
  <c r="AF141" i="52"/>
  <c r="AE141" i="52"/>
  <c r="W141" i="52"/>
  <c r="S141" i="52"/>
  <c r="AH140" i="52"/>
  <c r="AG140" i="52"/>
  <c r="AF140" i="52"/>
  <c r="AE140" i="52"/>
  <c r="W140" i="52"/>
  <c r="S140" i="52"/>
  <c r="J140" i="52"/>
  <c r="I140" i="52"/>
  <c r="AF139" i="52"/>
  <c r="AE139" i="52"/>
  <c r="AB139" i="52"/>
  <c r="AG139" i="52" s="1"/>
  <c r="AH139" i="52" s="1"/>
  <c r="W139" i="52"/>
  <c r="S139" i="52"/>
  <c r="I139" i="52"/>
  <c r="G139" i="52"/>
  <c r="J139" i="52" s="1"/>
  <c r="AF138" i="52"/>
  <c r="AE138" i="52"/>
  <c r="AB138" i="52"/>
  <c r="AG138" i="52" s="1"/>
  <c r="AH138" i="52" s="1"/>
  <c r="W138" i="52"/>
  <c r="T138" i="52"/>
  <c r="S138" i="52" s="1"/>
  <c r="K138" i="52"/>
  <c r="J138" i="52"/>
  <c r="G138" i="52"/>
  <c r="AF137" i="52"/>
  <c r="AE137" i="52"/>
  <c r="AB137" i="52"/>
  <c r="AG137" i="52" s="1"/>
  <c r="AH137" i="52" s="1"/>
  <c r="W137" i="52"/>
  <c r="S137" i="52"/>
  <c r="I137" i="52"/>
  <c r="G137" i="52"/>
  <c r="J137" i="52" s="1"/>
  <c r="AG136" i="52"/>
  <c r="AH136" i="52" s="1"/>
  <c r="AF136" i="52"/>
  <c r="AE136" i="52"/>
  <c r="W136" i="52"/>
  <c r="S136" i="52"/>
  <c r="I136" i="52"/>
  <c r="G136" i="52"/>
  <c r="AH135" i="52"/>
  <c r="AG135" i="52"/>
  <c r="AF135" i="52"/>
  <c r="AE135" i="52"/>
  <c r="W135" i="52"/>
  <c r="S135" i="52"/>
  <c r="K135" i="52"/>
  <c r="AG134" i="52"/>
  <c r="AH134" i="52" s="1"/>
  <c r="AF134" i="52"/>
  <c r="Y134" i="52"/>
  <c r="W134" i="52"/>
  <c r="S134" i="52"/>
  <c r="AE133" i="52"/>
  <c r="Y133" i="52"/>
  <c r="W133" i="52"/>
  <c r="S133" i="52"/>
  <c r="AH132" i="52"/>
  <c r="AG132" i="52"/>
  <c r="AF132" i="52"/>
  <c r="AE132" i="52"/>
  <c r="W132" i="52"/>
  <c r="S132" i="52"/>
  <c r="AF131" i="52"/>
  <c r="AE131" i="52"/>
  <c r="Y131" i="52"/>
  <c r="AG131" i="52" s="1"/>
  <c r="AH131" i="52" s="1"/>
  <c r="W131" i="52"/>
  <c r="S131" i="52"/>
  <c r="AH130" i="52"/>
  <c r="AF130" i="52"/>
  <c r="AE130" i="52"/>
  <c r="AB130" i="52"/>
  <c r="AG130" i="52" s="1"/>
  <c r="W130" i="52"/>
  <c r="S130" i="52"/>
  <c r="J130" i="52"/>
  <c r="I130" i="52"/>
  <c r="AG129" i="52"/>
  <c r="AH129" i="52" s="1"/>
  <c r="AF129" i="52"/>
  <c r="AE129" i="52"/>
  <c r="W129" i="52"/>
  <c r="S129" i="52"/>
  <c r="AE128" i="52"/>
  <c r="AB128" i="52"/>
  <c r="AG128" i="52" s="1"/>
  <c r="AH128" i="52" s="1"/>
  <c r="Y128" i="52"/>
  <c r="AF128" i="52" s="1"/>
  <c r="W128" i="52"/>
  <c r="S128" i="52"/>
  <c r="AE127" i="52"/>
  <c r="AB127" i="52"/>
  <c r="AG127" i="52" s="1"/>
  <c r="AH127" i="52" s="1"/>
  <c r="Y127" i="52"/>
  <c r="AF127" i="52" s="1"/>
  <c r="W127" i="52"/>
  <c r="AE126" i="52"/>
  <c r="AB126" i="52"/>
  <c r="AG126" i="52" s="1"/>
  <c r="AH126" i="52" s="1"/>
  <c r="Y126" i="52"/>
  <c r="AF126" i="52" s="1"/>
  <c r="W126" i="52"/>
  <c r="S126" i="52"/>
  <c r="K126" i="52"/>
  <c r="J126" i="52"/>
  <c r="I126" i="52"/>
  <c r="G126" i="52"/>
  <c r="AG125" i="52"/>
  <c r="AH125" i="52" s="1"/>
  <c r="AF125" i="52"/>
  <c r="AE125" i="52"/>
  <c r="W125" i="52"/>
  <c r="S125" i="52"/>
  <c r="AF124" i="52"/>
  <c r="AE124" i="52"/>
  <c r="Y124" i="52"/>
  <c r="AG124" i="52" s="1"/>
  <c r="AH124" i="52" s="1"/>
  <c r="W124" i="52"/>
  <c r="S124" i="52"/>
  <c r="AH123" i="52"/>
  <c r="AG123" i="52"/>
  <c r="AF123" i="52"/>
  <c r="AE123" i="52"/>
  <c r="W123" i="52"/>
  <c r="S123" i="52"/>
  <c r="J123" i="52"/>
  <c r="AE122" i="52"/>
  <c r="Y122" i="52"/>
  <c r="W122" i="52"/>
  <c r="S122" i="52"/>
  <c r="AE121" i="52"/>
  <c r="Y121" i="52"/>
  <c r="W121" i="52"/>
  <c r="S121" i="52"/>
  <c r="AG120" i="52"/>
  <c r="AH120" i="52" s="1"/>
  <c r="AF120" i="52"/>
  <c r="AE120" i="52"/>
  <c r="Y120" i="52"/>
  <c r="W120" i="52"/>
  <c r="S120" i="52"/>
  <c r="I120" i="52"/>
  <c r="J120" i="52" s="1"/>
  <c r="K120" i="52" s="1"/>
  <c r="AE119" i="52"/>
  <c r="Y119" i="52"/>
  <c r="W119" i="52"/>
  <c r="S119" i="52"/>
  <c r="AE118" i="52"/>
  <c r="Y118" i="52"/>
  <c r="W118" i="52"/>
  <c r="S118" i="52"/>
  <c r="AG117" i="52"/>
  <c r="AH117" i="52" s="1"/>
  <c r="AF117" i="52"/>
  <c r="AE117" i="52"/>
  <c r="Y117" i="52"/>
  <c r="W117" i="52"/>
  <c r="S117" i="52"/>
  <c r="AH116" i="52"/>
  <c r="AG116" i="52"/>
  <c r="AF116" i="52"/>
  <c r="AE116" i="52"/>
  <c r="W116" i="52"/>
  <c r="S116" i="52"/>
  <c r="J116" i="52"/>
  <c r="I116" i="52"/>
  <c r="AG115" i="52"/>
  <c r="AH115" i="52" s="1"/>
  <c r="AF115" i="52"/>
  <c r="AE115" i="52"/>
  <c r="Y115" i="52"/>
  <c r="W115" i="52"/>
  <c r="S115" i="52"/>
  <c r="AH114" i="52"/>
  <c r="AG114" i="52"/>
  <c r="AF114" i="52"/>
  <c r="AE114" i="52"/>
  <c r="W114" i="52"/>
  <c r="S114" i="52"/>
  <c r="J114" i="52"/>
  <c r="I114" i="52"/>
  <c r="AG113" i="52"/>
  <c r="AH113" i="52" s="1"/>
  <c r="AF113" i="52"/>
  <c r="AE113" i="52"/>
  <c r="W113" i="52"/>
  <c r="S113" i="52"/>
  <c r="K113" i="52"/>
  <c r="J113" i="52"/>
  <c r="G113" i="52"/>
  <c r="AH112" i="52"/>
  <c r="AG112" i="52"/>
  <c r="AF112" i="52"/>
  <c r="AE112" i="52"/>
  <c r="W112" i="52"/>
  <c r="S112" i="52"/>
  <c r="AH111" i="52"/>
  <c r="AG111" i="52"/>
  <c r="AF111" i="52"/>
  <c r="AE111" i="52"/>
  <c r="W111" i="52"/>
  <c r="S111" i="52"/>
  <c r="J111" i="52"/>
  <c r="Y110" i="52"/>
  <c r="W110" i="52"/>
  <c r="S110" i="52"/>
  <c r="AH109" i="52"/>
  <c r="AG109" i="52"/>
  <c r="AF109" i="52"/>
  <c r="AE109" i="52"/>
  <c r="W109" i="52"/>
  <c r="S109" i="52"/>
  <c r="AG108" i="52"/>
  <c r="AH108" i="52" s="1"/>
  <c r="AF108" i="52"/>
  <c r="AE108" i="52"/>
  <c r="W108" i="52"/>
  <c r="S108" i="52"/>
  <c r="J108" i="52"/>
  <c r="I108" i="52"/>
  <c r="G108" i="52"/>
  <c r="AH107" i="52"/>
  <c r="AG107" i="52"/>
  <c r="AF107" i="52"/>
  <c r="AE107" i="52"/>
  <c r="W107" i="52"/>
  <c r="S107" i="52"/>
  <c r="AG106" i="52"/>
  <c r="AH106" i="52" s="1"/>
  <c r="AF106" i="52"/>
  <c r="AE106" i="52"/>
  <c r="Y106" i="52"/>
  <c r="W106" i="52"/>
  <c r="S106" i="52"/>
  <c r="AH105" i="52"/>
  <c r="AG105" i="52"/>
  <c r="AF105" i="52"/>
  <c r="AE105" i="52"/>
  <c r="W105" i="52"/>
  <c r="S105" i="52"/>
  <c r="AG104" i="52"/>
  <c r="AH104" i="52" s="1"/>
  <c r="AF104" i="52"/>
  <c r="AE104" i="52"/>
  <c r="Y104" i="52"/>
  <c r="W104" i="52"/>
  <c r="S104" i="52"/>
  <c r="AG103" i="52"/>
  <c r="AH103" i="52" s="1"/>
  <c r="AF103" i="52"/>
  <c r="AE103" i="52"/>
  <c r="W103" i="52"/>
  <c r="S103" i="52"/>
  <c r="K103" i="52"/>
  <c r="J103" i="52"/>
  <c r="I103" i="52"/>
  <c r="G103" i="52"/>
  <c r="AG102" i="52"/>
  <c r="AH102" i="52" s="1"/>
  <c r="AF102" i="52"/>
  <c r="AE102" i="52"/>
  <c r="W102" i="52"/>
  <c r="S102" i="52"/>
  <c r="R102" i="52"/>
  <c r="AG101" i="52"/>
  <c r="AH101" i="52" s="1"/>
  <c r="AF101" i="52"/>
  <c r="AE101" i="52"/>
  <c r="W101" i="52"/>
  <c r="S101" i="52"/>
  <c r="I101" i="52"/>
  <c r="G101" i="52"/>
  <c r="J101" i="52" s="1"/>
  <c r="AE100" i="52"/>
  <c r="Y100" i="52"/>
  <c r="W100" i="52"/>
  <c r="S100" i="52"/>
  <c r="J100" i="52"/>
  <c r="I100" i="52"/>
  <c r="AG99" i="52"/>
  <c r="AH99" i="52" s="1"/>
  <c r="AF99" i="52"/>
  <c r="AE99" i="52"/>
  <c r="W99" i="52"/>
  <c r="S99" i="52"/>
  <c r="AE98" i="52"/>
  <c r="Y98" i="52"/>
  <c r="W98" i="52"/>
  <c r="S98" i="52"/>
  <c r="K98" i="52"/>
  <c r="J98" i="52"/>
  <c r="I98" i="52"/>
  <c r="AE97" i="52"/>
  <c r="AB97" i="52"/>
  <c r="Y97" i="52"/>
  <c r="AF97" i="52" s="1"/>
  <c r="W97" i="52"/>
  <c r="S97" i="52"/>
  <c r="J97" i="52"/>
  <c r="K97" i="52" s="1"/>
  <c r="I97" i="52"/>
  <c r="AG96" i="52"/>
  <c r="AH96" i="52" s="1"/>
  <c r="AF96" i="52"/>
  <c r="AE96" i="52"/>
  <c r="AB96" i="52"/>
  <c r="W96" i="52"/>
  <c r="S96" i="52"/>
  <c r="I96" i="52"/>
  <c r="J96" i="52" s="1"/>
  <c r="AG95" i="52"/>
  <c r="AH95" i="52" s="1"/>
  <c r="AF95" i="52"/>
  <c r="AE95" i="52"/>
  <c r="W95" i="52"/>
  <c r="S95" i="52"/>
  <c r="J95" i="52"/>
  <c r="AH94" i="52"/>
  <c r="AF94" i="52"/>
  <c r="AE94" i="52"/>
  <c r="AB94" i="52"/>
  <c r="AG94" i="52" s="1"/>
  <c r="W94" i="52"/>
  <c r="S94" i="52"/>
  <c r="I94" i="52"/>
  <c r="J94" i="52" s="1"/>
  <c r="AF93" i="52"/>
  <c r="AE93" i="52"/>
  <c r="AB93" i="52"/>
  <c r="AG93" i="52" s="1"/>
  <c r="AH93" i="52" s="1"/>
  <c r="Y93" i="52"/>
  <c r="W93" i="52"/>
  <c r="S93" i="52"/>
  <c r="I93" i="52"/>
  <c r="G93" i="52"/>
  <c r="J93" i="52" s="1"/>
  <c r="AE92" i="52"/>
  <c r="Y92" i="52"/>
  <c r="W92" i="52"/>
  <c r="S92" i="52"/>
  <c r="K92" i="52"/>
  <c r="J92" i="52"/>
  <c r="AG91" i="52"/>
  <c r="AH91" i="52" s="1"/>
  <c r="AF91" i="52"/>
  <c r="AE91" i="52"/>
  <c r="Y91" i="52"/>
  <c r="W91" i="52"/>
  <c r="S91" i="52"/>
  <c r="K91" i="52"/>
  <c r="J91" i="52"/>
  <c r="AG90" i="52"/>
  <c r="AH90" i="52" s="1"/>
  <c r="AF90" i="52"/>
  <c r="AE90" i="52"/>
  <c r="AB90" i="52"/>
  <c r="W90" i="52"/>
  <c r="S90" i="52"/>
  <c r="I90" i="52"/>
  <c r="G90" i="52"/>
  <c r="AG89" i="52"/>
  <c r="AH89" i="52" s="1"/>
  <c r="AF89" i="52"/>
  <c r="AE89" i="52"/>
  <c r="W89" i="52"/>
  <c r="S89" i="52"/>
  <c r="J89" i="52"/>
  <c r="AG88" i="52"/>
  <c r="AH88" i="52" s="1"/>
  <c r="AF88" i="52"/>
  <c r="AE88" i="52"/>
  <c r="Y88" i="52"/>
  <c r="W88" i="52"/>
  <c r="S88" i="52"/>
  <c r="K88" i="52"/>
  <c r="J88" i="52"/>
  <c r="AG87" i="52"/>
  <c r="AH87" i="52" s="1"/>
  <c r="AF87" i="52"/>
  <c r="AE87" i="52"/>
  <c r="Y87" i="52"/>
  <c r="W87" i="52"/>
  <c r="S87" i="52"/>
  <c r="J87" i="52"/>
  <c r="K87" i="52" s="1"/>
  <c r="AH86" i="52"/>
  <c r="AG86" i="52"/>
  <c r="AF86" i="52"/>
  <c r="AE86" i="52"/>
  <c r="W86" i="52"/>
  <c r="S86" i="52"/>
  <c r="I86" i="52"/>
  <c r="H86" i="52"/>
  <c r="G86" i="52"/>
  <c r="AG85" i="52"/>
  <c r="AH85" i="52" s="1"/>
  <c r="AF85" i="52"/>
  <c r="AE85" i="52"/>
  <c r="W85" i="52"/>
  <c r="S85" i="52"/>
  <c r="K85" i="52"/>
  <c r="I85" i="52"/>
  <c r="J85" i="52" s="1"/>
  <c r="AH84" i="52"/>
  <c r="AG84" i="52"/>
  <c r="AF84" i="52"/>
  <c r="AE84" i="52"/>
  <c r="W84" i="52"/>
  <c r="S84" i="52"/>
  <c r="I84" i="52"/>
  <c r="G84" i="52"/>
  <c r="J84" i="52" s="1"/>
  <c r="AG83" i="52"/>
  <c r="AH83" i="52" s="1"/>
  <c r="AF83" i="52"/>
  <c r="AE83" i="52"/>
  <c r="W83" i="52"/>
  <c r="S83" i="52"/>
  <c r="K83" i="52"/>
  <c r="J83" i="52"/>
  <c r="I83" i="52"/>
  <c r="AG82" i="52"/>
  <c r="AH82" i="52" s="1"/>
  <c r="AF82" i="52"/>
  <c r="AE82" i="52"/>
  <c r="Y82" i="52"/>
  <c r="W82" i="52"/>
  <c r="S82" i="52"/>
  <c r="J82" i="52"/>
  <c r="K82" i="52" s="1"/>
  <c r="AG81" i="52"/>
  <c r="AH81" i="52" s="1"/>
  <c r="AF81" i="52"/>
  <c r="AE81" i="52"/>
  <c r="W81" i="52"/>
  <c r="S81" i="52"/>
  <c r="R81" i="52"/>
  <c r="J81" i="52"/>
  <c r="G81" i="52"/>
  <c r="AG80" i="52"/>
  <c r="AH80" i="52" s="1"/>
  <c r="AF80" i="52"/>
  <c r="AE80" i="52"/>
  <c r="Y80" i="52"/>
  <c r="W80" i="52"/>
  <c r="S80" i="52"/>
  <c r="I80" i="52"/>
  <c r="J80" i="52" s="1"/>
  <c r="AG79" i="52"/>
  <c r="AH79" i="52" s="1"/>
  <c r="AF79" i="52"/>
  <c r="AE79" i="52"/>
  <c r="W79" i="52"/>
  <c r="S79" i="52"/>
  <c r="AG78" i="52"/>
  <c r="AH78" i="52" s="1"/>
  <c r="AF78" i="52"/>
  <c r="AE78" i="52"/>
  <c r="W78" i="52"/>
  <c r="S78" i="52"/>
  <c r="K78" i="52"/>
  <c r="J78" i="52"/>
  <c r="I78" i="52"/>
  <c r="AG77" i="52"/>
  <c r="AH77" i="52" s="1"/>
  <c r="AF77" i="52"/>
  <c r="AE77" i="52"/>
  <c r="Y77" i="52"/>
  <c r="W77" i="52"/>
  <c r="S77" i="52"/>
  <c r="AG76" i="52"/>
  <c r="AH76" i="52" s="1"/>
  <c r="AF76" i="52"/>
  <c r="AE76" i="52"/>
  <c r="W76" i="52"/>
  <c r="S76" i="52"/>
  <c r="J76" i="52"/>
  <c r="I76" i="52"/>
  <c r="G76" i="52"/>
  <c r="AH75" i="52"/>
  <c r="AG75" i="52"/>
  <c r="AF75" i="52"/>
  <c r="AE75" i="52"/>
  <c r="W75" i="52"/>
  <c r="S75" i="52"/>
  <c r="I75" i="52"/>
  <c r="J75" i="52" s="1"/>
  <c r="AH74" i="52"/>
  <c r="AG74" i="52"/>
  <c r="AF74" i="52"/>
  <c r="AE74" i="52"/>
  <c r="W74" i="52"/>
  <c r="S74" i="52"/>
  <c r="I74" i="52"/>
  <c r="J74" i="52" s="1"/>
  <c r="AG73" i="52"/>
  <c r="AH73" i="52" s="1"/>
  <c r="AF73" i="52"/>
  <c r="AE73" i="52"/>
  <c r="Y73" i="52"/>
  <c r="W73" i="52"/>
  <c r="S73" i="52"/>
  <c r="K73" i="52"/>
  <c r="J73" i="52"/>
  <c r="AG72" i="52"/>
  <c r="AH72" i="52" s="1"/>
  <c r="AF72" i="52"/>
  <c r="AE72" i="52"/>
  <c r="W72" i="52"/>
  <c r="S72" i="52"/>
  <c r="K72" i="52"/>
  <c r="J72" i="52"/>
  <c r="AG71" i="52"/>
  <c r="AH71" i="52" s="1"/>
  <c r="AF71" i="52"/>
  <c r="AE71" i="52"/>
  <c r="Y71" i="52"/>
  <c r="W71" i="52"/>
  <c r="S71" i="52"/>
  <c r="I71" i="52"/>
  <c r="G71" i="52"/>
  <c r="AG70" i="52"/>
  <c r="AH70" i="52" s="1"/>
  <c r="AF70" i="52"/>
  <c r="AE70" i="52"/>
  <c r="Y70" i="52"/>
  <c r="W70" i="52"/>
  <c r="S70" i="52"/>
  <c r="I70" i="52"/>
  <c r="J70" i="52" s="1"/>
  <c r="Y69" i="52"/>
  <c r="AF69" i="52" s="1"/>
  <c r="W69" i="52"/>
  <c r="T69" i="52"/>
  <c r="R69" i="52"/>
  <c r="K69" i="52"/>
  <c r="I69" i="52"/>
  <c r="J69" i="52" s="1"/>
  <c r="AH68" i="52"/>
  <c r="AG68" i="52"/>
  <c r="Y68" i="52"/>
  <c r="AF68" i="52" s="1"/>
  <c r="W68" i="52"/>
  <c r="T68" i="52"/>
  <c r="R68" i="52"/>
  <c r="K68" i="52"/>
  <c r="J68" i="52"/>
  <c r="AG67" i="52"/>
  <c r="AH67" i="52" s="1"/>
  <c r="AF67" i="52"/>
  <c r="Y67" i="52"/>
  <c r="W67" i="52"/>
  <c r="T67" i="52"/>
  <c r="S67" i="52" s="1"/>
  <c r="R67" i="52"/>
  <c r="AE67" i="52" s="1"/>
  <c r="K67" i="52"/>
  <c r="AG66" i="52"/>
  <c r="AH66" i="52" s="1"/>
  <c r="AE66" i="52"/>
  <c r="Y66" i="52"/>
  <c r="AF66" i="52" s="1"/>
  <c r="W66" i="52"/>
  <c r="S66" i="52"/>
  <c r="J66" i="52"/>
  <c r="I66" i="52"/>
  <c r="G66" i="52"/>
  <c r="AG65" i="52"/>
  <c r="AH65" i="52" s="1"/>
  <c r="AF65" i="52"/>
  <c r="AE65" i="52"/>
  <c r="AB65" i="52"/>
  <c r="W65" i="52"/>
  <c r="S65" i="52"/>
  <c r="I65" i="52"/>
  <c r="J65" i="52" s="1"/>
  <c r="AG64" i="52"/>
  <c r="AH64" i="52" s="1"/>
  <c r="AF64" i="52"/>
  <c r="AE64" i="52"/>
  <c r="W64" i="52"/>
  <c r="S64" i="52"/>
  <c r="K64" i="52"/>
  <c r="J64" i="52"/>
  <c r="AF63" i="52"/>
  <c r="AE63" i="52"/>
  <c r="AB63" i="52"/>
  <c r="AG63" i="52" s="1"/>
  <c r="AH63" i="52" s="1"/>
  <c r="W63" i="52"/>
  <c r="S63" i="52"/>
  <c r="N63" i="52"/>
  <c r="J63" i="52"/>
  <c r="K63" i="52" s="1"/>
  <c r="AG62" i="52"/>
  <c r="AH62" i="52" s="1"/>
  <c r="AF62" i="52"/>
  <c r="AE62" i="52"/>
  <c r="Y62" i="52"/>
  <c r="W62" i="52"/>
  <c r="S62" i="52"/>
  <c r="J62" i="52"/>
  <c r="K62" i="52" s="1"/>
  <c r="AG61" i="52"/>
  <c r="AH61" i="52" s="1"/>
  <c r="AF61" i="52"/>
  <c r="AE61" i="52"/>
  <c r="AB61" i="52"/>
  <c r="W61" i="52"/>
  <c r="S61" i="52"/>
  <c r="I61" i="52"/>
  <c r="J61" i="52" s="1"/>
  <c r="AG60" i="52"/>
  <c r="AH60" i="52" s="1"/>
  <c r="AF60" i="52"/>
  <c r="AE60" i="52"/>
  <c r="W60" i="52"/>
  <c r="S60" i="52"/>
  <c r="J60" i="52"/>
  <c r="AG59" i="52"/>
  <c r="AH59" i="52" s="1"/>
  <c r="AF59" i="52"/>
  <c r="W59" i="52"/>
  <c r="R59" i="52"/>
  <c r="J59" i="52"/>
  <c r="K59" i="52" s="1"/>
  <c r="AG58" i="52"/>
  <c r="AH58" i="52" s="1"/>
  <c r="AF58" i="52"/>
  <c r="AE58" i="52"/>
  <c r="W58" i="52"/>
  <c r="S58" i="52"/>
  <c r="AH57" i="52"/>
  <c r="AG57" i="52"/>
  <c r="AF57" i="52"/>
  <c r="AE57" i="52"/>
  <c r="W57" i="52"/>
  <c r="S57" i="52"/>
  <c r="I57" i="52"/>
  <c r="J57" i="52" s="1"/>
  <c r="Y56" i="52"/>
  <c r="W56" i="52"/>
  <c r="S56" i="52"/>
  <c r="AG55" i="52"/>
  <c r="AH55" i="52" s="1"/>
  <c r="AF55" i="52"/>
  <c r="W55" i="52"/>
  <c r="S55" i="52"/>
  <c r="AH54" i="52"/>
  <c r="AG54" i="52"/>
  <c r="AF54" i="52"/>
  <c r="AE54" i="52"/>
  <c r="W54" i="52"/>
  <c r="S54" i="52"/>
  <c r="AG53" i="52"/>
  <c r="AH53" i="52" s="1"/>
  <c r="AF53" i="52"/>
  <c r="AE53" i="52"/>
  <c r="W53" i="52"/>
  <c r="S53" i="52"/>
  <c r="AH52" i="52"/>
  <c r="AG52" i="52"/>
  <c r="AF52" i="52"/>
  <c r="AE52" i="52"/>
  <c r="W52" i="52"/>
  <c r="S52" i="52"/>
  <c r="I52" i="52"/>
  <c r="J52" i="52" s="1"/>
  <c r="AE51" i="52"/>
  <c r="Y51" i="52"/>
  <c r="W51" i="52"/>
  <c r="S51" i="52"/>
  <c r="J51" i="52"/>
  <c r="AE50" i="52"/>
  <c r="Y50" i="52"/>
  <c r="W50" i="52"/>
  <c r="S50" i="52"/>
  <c r="J50" i="52"/>
  <c r="AE49" i="52"/>
  <c r="AB49" i="52"/>
  <c r="Y49" i="52"/>
  <c r="AF49" i="52" s="1"/>
  <c r="W49" i="52"/>
  <c r="S49" i="52"/>
  <c r="J49" i="52"/>
  <c r="I49" i="52"/>
  <c r="G49" i="52"/>
  <c r="AG48" i="52"/>
  <c r="AH48" i="52" s="1"/>
  <c r="AF48" i="52"/>
  <c r="AE48" i="52"/>
  <c r="AB48" i="52"/>
  <c r="W48" i="52"/>
  <c r="S48" i="52"/>
  <c r="I48" i="52"/>
  <c r="G48" i="52"/>
  <c r="J48" i="52" s="1"/>
  <c r="AE47" i="52"/>
  <c r="Y47" i="52"/>
  <c r="W47" i="52"/>
  <c r="S47" i="52"/>
  <c r="J47" i="52"/>
  <c r="K47" i="52" s="1"/>
  <c r="I47" i="52"/>
  <c r="AG46" i="52"/>
  <c r="AH46" i="52" s="1"/>
  <c r="AF46" i="52"/>
  <c r="AE46" i="52"/>
  <c r="AB46" i="52"/>
  <c r="W46" i="52"/>
  <c r="S46" i="52"/>
  <c r="I46" i="52"/>
  <c r="J46" i="52" s="1"/>
  <c r="AG45" i="52"/>
  <c r="AH45" i="52" s="1"/>
  <c r="AF45" i="52"/>
  <c r="AE45" i="52"/>
  <c r="W45" i="52"/>
  <c r="S45" i="52"/>
  <c r="AH44" i="52"/>
  <c r="AG44" i="52"/>
  <c r="AF44" i="52"/>
  <c r="AE44" i="52"/>
  <c r="W44" i="52"/>
  <c r="S44" i="52"/>
  <c r="AE43" i="52"/>
  <c r="Y43" i="52"/>
  <c r="W43" i="52"/>
  <c r="S43" i="52"/>
  <c r="K43" i="52"/>
  <c r="J43" i="52"/>
  <c r="I43" i="52"/>
  <c r="AG42" i="52"/>
  <c r="AH42" i="52" s="1"/>
  <c r="AF42" i="52"/>
  <c r="AE42" i="52"/>
  <c r="Y42" i="52"/>
  <c r="W42" i="52"/>
  <c r="S42" i="52"/>
  <c r="K42" i="52"/>
  <c r="J42" i="52"/>
  <c r="AG41" i="52"/>
  <c r="AH41" i="52" s="1"/>
  <c r="AF41" i="52"/>
  <c r="AE41" i="52"/>
  <c r="W41" i="52"/>
  <c r="S41" i="52"/>
  <c r="K41" i="52"/>
  <c r="J41" i="52"/>
  <c r="I41" i="52"/>
  <c r="G41" i="52"/>
  <c r="AG40" i="52"/>
  <c r="AH40" i="52" s="1"/>
  <c r="AF40" i="52"/>
  <c r="AE40" i="52"/>
  <c r="AB40" i="52"/>
  <c r="W40" i="52"/>
  <c r="S40" i="52"/>
  <c r="J40" i="52"/>
  <c r="K40" i="52" s="1"/>
  <c r="AG39" i="52"/>
  <c r="AH39" i="52" s="1"/>
  <c r="AF39" i="52"/>
  <c r="AE39" i="52"/>
  <c r="AB39" i="52"/>
  <c r="W39" i="52"/>
  <c r="S39" i="52"/>
  <c r="AH38" i="52"/>
  <c r="AG38" i="52"/>
  <c r="AF38" i="52"/>
  <c r="AE38" i="52"/>
  <c r="W38" i="52"/>
  <c r="S38" i="52"/>
  <c r="J38" i="52"/>
  <c r="G38" i="52"/>
  <c r="AH37" i="52"/>
  <c r="AF37" i="52"/>
  <c r="AE37" i="52"/>
  <c r="AB37" i="52"/>
  <c r="AG37" i="52" s="1"/>
  <c r="Y37" i="52"/>
  <c r="W37" i="52"/>
  <c r="S37" i="52"/>
  <c r="I37" i="52"/>
  <c r="G37" i="52"/>
  <c r="J37" i="52" s="1"/>
  <c r="AG36" i="52"/>
  <c r="AH36" i="52" s="1"/>
  <c r="AF36" i="52"/>
  <c r="AE36" i="52"/>
  <c r="AB36" i="52"/>
  <c r="W36" i="52"/>
  <c r="S36" i="52"/>
  <c r="AF35" i="52"/>
  <c r="AE35" i="52"/>
  <c r="AB35" i="52"/>
  <c r="Y35" i="52"/>
  <c r="AG35" i="52" s="1"/>
  <c r="AH35" i="52" s="1"/>
  <c r="W35" i="52"/>
  <c r="S35" i="52"/>
  <c r="I35" i="52"/>
  <c r="J35" i="52" s="1"/>
  <c r="AE34" i="52"/>
  <c r="AB34" i="52"/>
  <c r="Y34" i="52"/>
  <c r="W34" i="52"/>
  <c r="S34" i="52"/>
  <c r="AG33" i="52"/>
  <c r="AH33" i="52" s="1"/>
  <c r="AF33" i="52"/>
  <c r="AE33" i="52"/>
  <c r="Y33" i="52"/>
  <c r="W33" i="52"/>
  <c r="S33" i="52"/>
  <c r="I33" i="52"/>
  <c r="J33" i="52" s="1"/>
  <c r="AE32" i="52"/>
  <c r="AB32" i="52"/>
  <c r="Y32" i="52"/>
  <c r="AF32" i="52" s="1"/>
  <c r="W32" i="52"/>
  <c r="S32" i="52"/>
  <c r="J32" i="52"/>
  <c r="K32" i="52" s="1"/>
  <c r="AG31" i="52"/>
  <c r="AH31" i="52" s="1"/>
  <c r="AE31" i="52"/>
  <c r="Y31" i="52"/>
  <c r="AF31" i="52" s="1"/>
  <c r="W31" i="52"/>
  <c r="S31" i="52"/>
  <c r="J31" i="52"/>
  <c r="AG30" i="52"/>
  <c r="AH30" i="52" s="1"/>
  <c r="AF30" i="52"/>
  <c r="AE30" i="52"/>
  <c r="AB30" i="52"/>
  <c r="W30" i="52"/>
  <c r="S30" i="52"/>
  <c r="J30" i="52"/>
  <c r="I30" i="52"/>
  <c r="G30" i="52"/>
  <c r="AF29" i="52"/>
  <c r="AE29" i="52"/>
  <c r="Y29" i="52"/>
  <c r="AG29" i="52" s="1"/>
  <c r="AH29" i="52" s="1"/>
  <c r="W29" i="52"/>
  <c r="S29" i="52"/>
  <c r="K29" i="52"/>
  <c r="J29" i="52"/>
  <c r="AF28" i="52"/>
  <c r="AE28" i="52"/>
  <c r="Y28" i="52"/>
  <c r="AG28" i="52" s="1"/>
  <c r="AH28" i="52" s="1"/>
  <c r="W28" i="52"/>
  <c r="S28" i="52"/>
  <c r="K28" i="52"/>
  <c r="I28" i="52"/>
  <c r="G28" i="52"/>
  <c r="J28" i="52" s="1"/>
  <c r="AH27" i="52"/>
  <c r="AG27" i="52"/>
  <c r="AF27" i="52"/>
  <c r="W27" i="52"/>
  <c r="S27" i="52"/>
  <c r="AH26" i="52"/>
  <c r="AG26" i="52"/>
  <c r="AF26" i="52"/>
  <c r="AE26" i="52"/>
  <c r="AE27" i="52" s="1"/>
  <c r="W26" i="52"/>
  <c r="S26" i="52"/>
  <c r="AH25" i="52"/>
  <c r="AG25" i="52"/>
  <c r="AF25" i="52"/>
  <c r="AE25" i="52"/>
  <c r="W25" i="52"/>
  <c r="S25" i="52"/>
  <c r="K25" i="52"/>
  <c r="J25" i="52"/>
  <c r="I25" i="52"/>
  <c r="G25" i="52"/>
  <c r="AG24" i="52"/>
  <c r="AH24" i="52" s="1"/>
  <c r="AF24" i="52"/>
  <c r="AE24" i="52"/>
  <c r="W24" i="52"/>
  <c r="S24" i="52"/>
  <c r="AH23" i="52"/>
  <c r="AG23" i="52"/>
  <c r="AF23" i="52"/>
  <c r="AE23" i="52"/>
  <c r="W23" i="52"/>
  <c r="S23" i="52"/>
  <c r="AE22" i="52"/>
  <c r="Y22" i="52"/>
  <c r="W22" i="52"/>
  <c r="S22" i="52"/>
  <c r="K22" i="52"/>
  <c r="J22" i="52"/>
  <c r="I22" i="52"/>
  <c r="AH21" i="52"/>
  <c r="AG21" i="52"/>
  <c r="AF21" i="52"/>
  <c r="AE21" i="52"/>
  <c r="W21" i="52"/>
  <c r="S21" i="52"/>
  <c r="J21" i="52"/>
  <c r="I21" i="52"/>
  <c r="G21" i="52"/>
  <c r="AG20" i="52"/>
  <c r="AH20" i="52" s="1"/>
  <c r="AF20" i="52"/>
  <c r="AE20" i="52"/>
  <c r="W20" i="52"/>
  <c r="S20" i="52"/>
  <c r="AG19" i="52"/>
  <c r="AH19" i="52" s="1"/>
  <c r="AE19" i="52"/>
  <c r="AB19" i="52"/>
  <c r="Y19" i="52"/>
  <c r="AF19" i="52" s="1"/>
  <c r="W19" i="52"/>
  <c r="S19" i="52"/>
  <c r="J19" i="52"/>
  <c r="I19" i="52"/>
  <c r="G19" i="52"/>
  <c r="AG18" i="52"/>
  <c r="AH18" i="52" s="1"/>
  <c r="AF18" i="52"/>
  <c r="AE18" i="52"/>
  <c r="AB18" i="52"/>
  <c r="W18" i="52"/>
  <c r="S18" i="52"/>
  <c r="I18" i="52"/>
  <c r="J18" i="52" s="1"/>
  <c r="K18" i="52" s="1"/>
  <c r="AH17" i="52"/>
  <c r="AF17" i="52"/>
  <c r="AE17" i="52"/>
  <c r="AB17" i="52"/>
  <c r="AG17" i="52" s="1"/>
  <c r="W17" i="52"/>
  <c r="S17" i="52"/>
  <c r="G17" i="52"/>
  <c r="J17" i="52" s="1"/>
  <c r="AE16" i="52"/>
  <c r="Y16" i="52"/>
  <c r="W16" i="52"/>
  <c r="R16" i="52"/>
  <c r="S16" i="52" s="1"/>
  <c r="K16" i="52"/>
  <c r="J16" i="52"/>
  <c r="G16" i="52"/>
  <c r="AG15" i="52"/>
  <c r="AH15" i="52" s="1"/>
  <c r="AF15" i="52"/>
  <c r="AE15" i="52"/>
  <c r="W15" i="52"/>
  <c r="S15" i="52"/>
  <c r="Y14" i="52"/>
  <c r="AF14" i="52" s="1"/>
  <c r="W14" i="52"/>
  <c r="S14" i="52"/>
  <c r="I14" i="52"/>
  <c r="J14" i="52" s="1"/>
  <c r="G14" i="52"/>
  <c r="AF13" i="52"/>
  <c r="Y13" i="52"/>
  <c r="AG13" i="52" s="1"/>
  <c r="AH13" i="52" s="1"/>
  <c r="W13" i="52"/>
  <c r="S13" i="52"/>
  <c r="AG12" i="52"/>
  <c r="AF12" i="52"/>
  <c r="AE12" i="52"/>
  <c r="AB12" i="52"/>
  <c r="W12" i="52"/>
  <c r="S12" i="52"/>
  <c r="AF11" i="52"/>
  <c r="AE11" i="52"/>
  <c r="Y11" i="52"/>
  <c r="AG11" i="52" s="1"/>
  <c r="AH11" i="52" s="1"/>
  <c r="W11" i="52"/>
  <c r="S11" i="52"/>
  <c r="AH10" i="52"/>
  <c r="AG10" i="52"/>
  <c r="AF10" i="52"/>
  <c r="AE10" i="52"/>
  <c r="W10" i="52"/>
  <c r="S10" i="52"/>
  <c r="AE9" i="52"/>
  <c r="Y9" i="52"/>
  <c r="W9" i="52"/>
  <c r="S9" i="52"/>
  <c r="K9" i="52"/>
  <c r="J9" i="52"/>
  <c r="I9" i="52"/>
  <c r="G9" i="52"/>
  <c r="AG8" i="52"/>
  <c r="AH8" i="52" s="1"/>
  <c r="AF8" i="52"/>
  <c r="AD8" i="52"/>
  <c r="Y8" i="52"/>
  <c r="W8" i="52"/>
  <c r="S8" i="52"/>
  <c r="J8" i="52"/>
  <c r="I8" i="52"/>
  <c r="H8" i="52"/>
  <c r="G8" i="52"/>
  <c r="A5" i="52"/>
  <c r="A2" i="52"/>
  <c r="N26" i="51"/>
  <c r="H26" i="51"/>
  <c r="E26" i="51"/>
  <c r="B26" i="51"/>
  <c r="O25" i="51"/>
  <c r="P25" i="51" s="1"/>
  <c r="G117" i="54" s="1"/>
  <c r="J25" i="51"/>
  <c r="O24" i="51"/>
  <c r="P24" i="51" s="1"/>
  <c r="G116" i="54" s="1"/>
  <c r="J24" i="51"/>
  <c r="O23" i="51"/>
  <c r="P23" i="51" s="1"/>
  <c r="G115" i="54" s="1"/>
  <c r="J23" i="51"/>
  <c r="P22" i="51"/>
  <c r="G114" i="54" s="1"/>
  <c r="O22" i="51"/>
  <c r="J22" i="51"/>
  <c r="O21" i="51"/>
  <c r="P21" i="51" s="1"/>
  <c r="G113" i="54" s="1"/>
  <c r="J21" i="51"/>
  <c r="P20" i="51"/>
  <c r="G112" i="54" s="1"/>
  <c r="O20" i="51"/>
  <c r="J20" i="51"/>
  <c r="P19" i="51"/>
  <c r="G111" i="54" s="1"/>
  <c r="O19" i="51"/>
  <c r="J19" i="51"/>
  <c r="P18" i="51"/>
  <c r="G110" i="54" s="1"/>
  <c r="O18" i="51"/>
  <c r="J18" i="51"/>
  <c r="O17" i="51"/>
  <c r="P17" i="51" s="1"/>
  <c r="G109" i="54" s="1"/>
  <c r="J17" i="51"/>
  <c r="O16" i="51"/>
  <c r="P16" i="51" s="1"/>
  <c r="G108" i="54" s="1"/>
  <c r="J16" i="51"/>
  <c r="O15" i="51"/>
  <c r="P15" i="51" s="1"/>
  <c r="G107" i="54" s="1"/>
  <c r="J15" i="51"/>
  <c r="O14" i="51"/>
  <c r="P14" i="51" s="1"/>
  <c r="G106" i="54" s="1"/>
  <c r="J14" i="51"/>
  <c r="O13" i="51"/>
  <c r="P13" i="51" s="1"/>
  <c r="G105" i="54" s="1"/>
  <c r="J13" i="51"/>
  <c r="O12" i="51"/>
  <c r="P12" i="51" s="1"/>
  <c r="G104" i="54" s="1"/>
  <c r="J12" i="51"/>
  <c r="P11" i="51"/>
  <c r="G103" i="54" s="1"/>
  <c r="O11" i="51"/>
  <c r="J11" i="51"/>
  <c r="O10" i="51"/>
  <c r="P10" i="51" s="1"/>
  <c r="G102" i="54" s="1"/>
  <c r="J10" i="51"/>
  <c r="O9" i="51"/>
  <c r="P9" i="51" s="1"/>
  <c r="G101" i="54" s="1"/>
  <c r="J9" i="51"/>
  <c r="O8" i="51"/>
  <c r="J8" i="51"/>
  <c r="A5" i="51"/>
  <c r="A2" i="51"/>
  <c r="T103" i="50"/>
  <c r="D103" i="50"/>
  <c r="AK102" i="50"/>
  <c r="AD102" i="50"/>
  <c r="AF102" i="50" s="1"/>
  <c r="AH102" i="50" s="1"/>
  <c r="Y102" i="50"/>
  <c r="P102" i="50"/>
  <c r="Q102" i="50" s="1"/>
  <c r="AK101" i="50"/>
  <c r="AD101" i="50"/>
  <c r="AF101" i="50" s="1"/>
  <c r="Y101" i="50"/>
  <c r="P101" i="50"/>
  <c r="Q101" i="50" s="1"/>
  <c r="AK100" i="50"/>
  <c r="AD100" i="50"/>
  <c r="AF100" i="50" s="1"/>
  <c r="Y100" i="50"/>
  <c r="Q100" i="50"/>
  <c r="P100" i="50"/>
  <c r="AJ99" i="50"/>
  <c r="AK99" i="50" s="1"/>
  <c r="G99" i="54" s="1"/>
  <c r="AD99" i="50"/>
  <c r="Y99" i="50"/>
  <c r="F99" i="54" s="1"/>
  <c r="O99" i="50"/>
  <c r="P99" i="50" s="1"/>
  <c r="AI98" i="50"/>
  <c r="AJ98" i="50" s="1"/>
  <c r="AK98" i="50" s="1"/>
  <c r="G98" i="54" s="1"/>
  <c r="AD98" i="50"/>
  <c r="Y98" i="50"/>
  <c r="F98" i="54" s="1"/>
  <c r="O98" i="50"/>
  <c r="M98" i="50"/>
  <c r="P98" i="50" s="1"/>
  <c r="Q98" i="50" s="1"/>
  <c r="J98" i="50"/>
  <c r="AJ97" i="50"/>
  <c r="AK97" i="50" s="1"/>
  <c r="G97" i="54" s="1"/>
  <c r="AD97" i="50"/>
  <c r="Y97" i="50"/>
  <c r="F97" i="54" s="1"/>
  <c r="Q97" i="50"/>
  <c r="O97" i="50"/>
  <c r="M97" i="50"/>
  <c r="P97" i="50" s="1"/>
  <c r="AJ96" i="50"/>
  <c r="AK96" i="50" s="1"/>
  <c r="G96" i="54" s="1"/>
  <c r="AD96" i="50"/>
  <c r="Y96" i="50"/>
  <c r="F96" i="54" s="1"/>
  <c r="O96" i="50"/>
  <c r="M96" i="50"/>
  <c r="AJ95" i="50"/>
  <c r="AK95" i="50" s="1"/>
  <c r="G95" i="54" s="1"/>
  <c r="AD95" i="50"/>
  <c r="Y95" i="50"/>
  <c r="F95" i="54" s="1"/>
  <c r="O95" i="50"/>
  <c r="M95" i="50"/>
  <c r="AI94" i="50"/>
  <c r="AJ94" i="50" s="1"/>
  <c r="AK94" i="50" s="1"/>
  <c r="G94" i="54" s="1"/>
  <c r="AD94" i="50"/>
  <c r="Y94" i="50"/>
  <c r="F94" i="54" s="1"/>
  <c r="O94" i="50"/>
  <c r="M94" i="50"/>
  <c r="AI93" i="50"/>
  <c r="AJ93" i="50" s="1"/>
  <c r="AK93" i="50" s="1"/>
  <c r="G93" i="54" s="1"/>
  <c r="AD93" i="50"/>
  <c r="Y93" i="50"/>
  <c r="F93" i="54" s="1"/>
  <c r="O93" i="50"/>
  <c r="N93" i="50"/>
  <c r="M93" i="50"/>
  <c r="J93" i="50"/>
  <c r="AJ92" i="50"/>
  <c r="AK92" i="50" s="1"/>
  <c r="G92" i="54" s="1"/>
  <c r="AD92" i="50"/>
  <c r="Y92" i="50"/>
  <c r="F92" i="54" s="1"/>
  <c r="O92" i="50"/>
  <c r="P92" i="50" s="1"/>
  <c r="M92" i="50"/>
  <c r="J92" i="50"/>
  <c r="AJ91" i="50"/>
  <c r="AK91" i="50" s="1"/>
  <c r="G91" i="54" s="1"/>
  <c r="AI91" i="50"/>
  <c r="AD91" i="50"/>
  <c r="Y91" i="50"/>
  <c r="F91" i="54" s="1"/>
  <c r="P91" i="50"/>
  <c r="O91" i="50"/>
  <c r="M91" i="50"/>
  <c r="AI90" i="50"/>
  <c r="AJ90" i="50" s="1"/>
  <c r="AK90" i="50" s="1"/>
  <c r="G90" i="54" s="1"/>
  <c r="AD90" i="50"/>
  <c r="Y90" i="50"/>
  <c r="F90" i="54" s="1"/>
  <c r="P90" i="50"/>
  <c r="Q90" i="50" s="1"/>
  <c r="O90" i="50"/>
  <c r="M90" i="50"/>
  <c r="AJ89" i="50"/>
  <c r="AK89" i="50" s="1"/>
  <c r="G89" i="54" s="1"/>
  <c r="AD89" i="50"/>
  <c r="Y89" i="50"/>
  <c r="F89" i="54" s="1"/>
  <c r="O89" i="50"/>
  <c r="N89" i="50"/>
  <c r="M89" i="50"/>
  <c r="AJ88" i="50"/>
  <c r="AK88" i="50" s="1"/>
  <c r="G88" i="54" s="1"/>
  <c r="AD88" i="50"/>
  <c r="Y88" i="50"/>
  <c r="F88" i="54" s="1"/>
  <c r="O88" i="50"/>
  <c r="P88" i="50" s="1"/>
  <c r="M88" i="50"/>
  <c r="AI87" i="50"/>
  <c r="AJ87" i="50" s="1"/>
  <c r="AK87" i="50" s="1"/>
  <c r="G87" i="54" s="1"/>
  <c r="AD87" i="50"/>
  <c r="Y87" i="50"/>
  <c r="F87" i="54" s="1"/>
  <c r="O87" i="50"/>
  <c r="M87" i="50"/>
  <c r="J87" i="50"/>
  <c r="AJ86" i="50"/>
  <c r="AK86" i="50" s="1"/>
  <c r="G86" i="54" s="1"/>
  <c r="AI86" i="50"/>
  <c r="AD86" i="50"/>
  <c r="Y86" i="50"/>
  <c r="F86" i="54" s="1"/>
  <c r="P86" i="50"/>
  <c r="O86" i="50"/>
  <c r="J86" i="50"/>
  <c r="AJ85" i="50"/>
  <c r="AK85" i="50" s="1"/>
  <c r="G85" i="54" s="1"/>
  <c r="AD85" i="50"/>
  <c r="Y85" i="50"/>
  <c r="F85" i="54" s="1"/>
  <c r="O85" i="50"/>
  <c r="M85" i="50"/>
  <c r="J85" i="50"/>
  <c r="AJ84" i="50"/>
  <c r="AK84" i="50" s="1"/>
  <c r="G84" i="54" s="1"/>
  <c r="AD84" i="50"/>
  <c r="Y84" i="50"/>
  <c r="F84" i="54" s="1"/>
  <c r="P84" i="50"/>
  <c r="M84" i="50"/>
  <c r="AJ83" i="50"/>
  <c r="AK83" i="50" s="1"/>
  <c r="G83" i="54" s="1"/>
  <c r="AD83" i="50"/>
  <c r="Y83" i="50"/>
  <c r="F83" i="54" s="1"/>
  <c r="AJ82" i="50"/>
  <c r="AK82" i="50" s="1"/>
  <c r="G82" i="54" s="1"/>
  <c r="AD82" i="50"/>
  <c r="AJ81" i="50"/>
  <c r="AK81" i="50" s="1"/>
  <c r="G81" i="54" s="1"/>
  <c r="AD81" i="50"/>
  <c r="Y81" i="50"/>
  <c r="F81" i="54" s="1"/>
  <c r="O81" i="50"/>
  <c r="M81" i="50"/>
  <c r="AJ80" i="50"/>
  <c r="AK80" i="50" s="1"/>
  <c r="G80" i="54" s="1"/>
  <c r="AD80" i="50"/>
  <c r="Y80" i="50"/>
  <c r="F80" i="54" s="1"/>
  <c r="AK79" i="50"/>
  <c r="G79" i="54" s="1"/>
  <c r="AJ79" i="50"/>
  <c r="AD79" i="50"/>
  <c r="Y79" i="50"/>
  <c r="F79" i="54" s="1"/>
  <c r="AK78" i="50"/>
  <c r="G78" i="54" s="1"/>
  <c r="AJ78" i="50"/>
  <c r="AD78" i="50"/>
  <c r="Y78" i="50"/>
  <c r="F78" i="54" s="1"/>
  <c r="AI77" i="50"/>
  <c r="AJ77" i="50" s="1"/>
  <c r="AK77" i="50" s="1"/>
  <c r="G77" i="54" s="1"/>
  <c r="AD77" i="50"/>
  <c r="Y77" i="50"/>
  <c r="F77" i="54" s="1"/>
  <c r="M77" i="50"/>
  <c r="P77" i="50" s="1"/>
  <c r="AK76" i="50"/>
  <c r="G76" i="54" s="1"/>
  <c r="AJ76" i="50"/>
  <c r="AD76" i="50"/>
  <c r="Y76" i="50"/>
  <c r="F76" i="54" s="1"/>
  <c r="O76" i="50"/>
  <c r="N76" i="50"/>
  <c r="M76" i="50"/>
  <c r="P76" i="50" s="1"/>
  <c r="AK75" i="50"/>
  <c r="G75" i="54" s="1"/>
  <c r="AJ75" i="50"/>
  <c r="AD75" i="50"/>
  <c r="Y75" i="50"/>
  <c r="F75" i="54" s="1"/>
  <c r="O75" i="50"/>
  <c r="M75" i="50"/>
  <c r="P75" i="50" s="1"/>
  <c r="Q75" i="50" s="1"/>
  <c r="AI74" i="50"/>
  <c r="AJ74" i="50" s="1"/>
  <c r="AK74" i="50" s="1"/>
  <c r="G74" i="54" s="1"/>
  <c r="AD74" i="50"/>
  <c r="Y74" i="50"/>
  <c r="F74" i="54" s="1"/>
  <c r="O74" i="50"/>
  <c r="P74" i="50" s="1"/>
  <c r="Q74" i="50" s="1"/>
  <c r="M74" i="50"/>
  <c r="AJ73" i="50"/>
  <c r="AK73" i="50" s="1"/>
  <c r="G73" i="54" s="1"/>
  <c r="AD73" i="50"/>
  <c r="Y73" i="50"/>
  <c r="F73" i="54" s="1"/>
  <c r="O73" i="50"/>
  <c r="M73" i="50"/>
  <c r="AJ72" i="50"/>
  <c r="AK72" i="50" s="1"/>
  <c r="G72" i="54" s="1"/>
  <c r="AD72" i="50"/>
  <c r="Y72" i="50"/>
  <c r="F72" i="54" s="1"/>
  <c r="AJ71" i="50"/>
  <c r="AK71" i="50" s="1"/>
  <c r="G71" i="54" s="1"/>
  <c r="AD71" i="50"/>
  <c r="Y71" i="50"/>
  <c r="F71" i="54" s="1"/>
  <c r="O71" i="50"/>
  <c r="P71" i="50" s="1"/>
  <c r="M71" i="50"/>
  <c r="AJ70" i="50"/>
  <c r="AK70" i="50" s="1"/>
  <c r="G70" i="54" s="1"/>
  <c r="AD70" i="50"/>
  <c r="Y70" i="50"/>
  <c r="F70" i="54" s="1"/>
  <c r="O70" i="50"/>
  <c r="N70" i="50"/>
  <c r="M70" i="50"/>
  <c r="AJ69" i="50"/>
  <c r="AK69" i="50" s="1"/>
  <c r="G69" i="54" s="1"/>
  <c r="AI69" i="50"/>
  <c r="AD69" i="50"/>
  <c r="Y69" i="50"/>
  <c r="F69" i="54" s="1"/>
  <c r="P69" i="50"/>
  <c r="O69" i="50"/>
  <c r="M69" i="50"/>
  <c r="AJ68" i="50"/>
  <c r="AK68" i="50" s="1"/>
  <c r="G68" i="54" s="1"/>
  <c r="AD68" i="50"/>
  <c r="Y68" i="50"/>
  <c r="F68" i="54" s="1"/>
  <c r="O68" i="50"/>
  <c r="M68" i="50"/>
  <c r="P68" i="50" s="1"/>
  <c r="AJ67" i="50"/>
  <c r="AK67" i="50" s="1"/>
  <c r="G67" i="54" s="1"/>
  <c r="AD67" i="50"/>
  <c r="Y67" i="50"/>
  <c r="F67" i="54" s="1"/>
  <c r="O67" i="50"/>
  <c r="N67" i="50"/>
  <c r="M67" i="50"/>
  <c r="J67" i="50"/>
  <c r="AJ66" i="50"/>
  <c r="AK66" i="50" s="1"/>
  <c r="G66" i="54" s="1"/>
  <c r="AD66" i="50"/>
  <c r="Y66" i="50"/>
  <c r="F66" i="54" s="1"/>
  <c r="AJ65" i="50"/>
  <c r="AK65" i="50" s="1"/>
  <c r="G65" i="54" s="1"/>
  <c r="AD65" i="50"/>
  <c r="Y65" i="50"/>
  <c r="F65" i="54" s="1"/>
  <c r="O65" i="50"/>
  <c r="N65" i="50"/>
  <c r="M65" i="50"/>
  <c r="P65" i="50" s="1"/>
  <c r="Q65" i="50" s="1"/>
  <c r="AJ64" i="50"/>
  <c r="AK64" i="50" s="1"/>
  <c r="G64" i="54" s="1"/>
  <c r="AD64" i="50"/>
  <c r="Y64" i="50"/>
  <c r="F64" i="54" s="1"/>
  <c r="O64" i="50"/>
  <c r="M64" i="50"/>
  <c r="AJ63" i="50"/>
  <c r="AK63" i="50" s="1"/>
  <c r="G63" i="54" s="1"/>
  <c r="AD63" i="50"/>
  <c r="Y63" i="50"/>
  <c r="F63" i="54" s="1"/>
  <c r="O63" i="50"/>
  <c r="N63" i="50"/>
  <c r="M63" i="50"/>
  <c r="P63" i="50" s="1"/>
  <c r="AJ62" i="50"/>
  <c r="AK62" i="50" s="1"/>
  <c r="G62" i="54" s="1"/>
  <c r="AD62" i="50"/>
  <c r="Y62" i="50"/>
  <c r="F62" i="54" s="1"/>
  <c r="AJ61" i="50"/>
  <c r="AK61" i="50" s="1"/>
  <c r="G61" i="54" s="1"/>
  <c r="AD61" i="50"/>
  <c r="Y61" i="50"/>
  <c r="F61" i="54" s="1"/>
  <c r="AJ60" i="50"/>
  <c r="AK60" i="50" s="1"/>
  <c r="G60" i="54" s="1"/>
  <c r="AD60" i="50"/>
  <c r="Y60" i="50"/>
  <c r="F60" i="54" s="1"/>
  <c r="P60" i="50"/>
  <c r="AJ59" i="50"/>
  <c r="AK59" i="50" s="1"/>
  <c r="G59" i="54" s="1"/>
  <c r="AD59" i="50"/>
  <c r="Y59" i="50"/>
  <c r="F59" i="54" s="1"/>
  <c r="P59" i="50"/>
  <c r="AJ58" i="50"/>
  <c r="AK58" i="50" s="1"/>
  <c r="G58" i="54" s="1"/>
  <c r="AD58" i="50"/>
  <c r="Y58" i="50"/>
  <c r="F58" i="54" s="1"/>
  <c r="O58" i="50"/>
  <c r="M58" i="50"/>
  <c r="P58" i="50" s="1"/>
  <c r="AJ57" i="50"/>
  <c r="AK57" i="50" s="1"/>
  <c r="G57" i="54" s="1"/>
  <c r="AD57" i="50"/>
  <c r="Y57" i="50"/>
  <c r="F57" i="54" s="1"/>
  <c r="AJ56" i="50"/>
  <c r="AK56" i="50" s="1"/>
  <c r="G56" i="54" s="1"/>
  <c r="AD56" i="50"/>
  <c r="Y56" i="50"/>
  <c r="F56" i="54" s="1"/>
  <c r="AJ55" i="50"/>
  <c r="AK55" i="50" s="1"/>
  <c r="G55" i="54" s="1"/>
  <c r="AD55" i="50"/>
  <c r="Y55" i="50"/>
  <c r="F55" i="54" s="1"/>
  <c r="M55" i="50"/>
  <c r="P55" i="50" s="1"/>
  <c r="AJ54" i="50"/>
  <c r="AK54" i="50" s="1"/>
  <c r="G54" i="54" s="1"/>
  <c r="AD54" i="50"/>
  <c r="Y54" i="50"/>
  <c r="F54" i="54" s="1"/>
  <c r="AJ53" i="50"/>
  <c r="AK53" i="50" s="1"/>
  <c r="G53" i="54" s="1"/>
  <c r="AD53" i="50"/>
  <c r="Y53" i="50"/>
  <c r="F53" i="54" s="1"/>
  <c r="AJ52" i="50"/>
  <c r="AK52" i="50" s="1"/>
  <c r="G52" i="54" s="1"/>
  <c r="AD52" i="50"/>
  <c r="Y52" i="50"/>
  <c r="F52" i="54" s="1"/>
  <c r="AJ51" i="50"/>
  <c r="AK51" i="50" s="1"/>
  <c r="G51" i="54" s="1"/>
  <c r="AD51" i="50"/>
  <c r="Y51" i="50"/>
  <c r="F51" i="54" s="1"/>
  <c r="AJ50" i="50"/>
  <c r="AK50" i="50" s="1"/>
  <c r="G50" i="54" s="1"/>
  <c r="AD50" i="50"/>
  <c r="Y50" i="50"/>
  <c r="F50" i="54" s="1"/>
  <c r="O50" i="50"/>
  <c r="N50" i="50"/>
  <c r="M50" i="50"/>
  <c r="AJ49" i="50"/>
  <c r="AK49" i="50" s="1"/>
  <c r="G49" i="54" s="1"/>
  <c r="AD49" i="50"/>
  <c r="Y49" i="50"/>
  <c r="F49" i="54" s="1"/>
  <c r="AJ48" i="50"/>
  <c r="AK48" i="50" s="1"/>
  <c r="G48" i="54" s="1"/>
  <c r="AD48" i="50"/>
  <c r="Y48" i="50"/>
  <c r="F48" i="54" s="1"/>
  <c r="AJ47" i="50"/>
  <c r="AK47" i="50" s="1"/>
  <c r="G47" i="54" s="1"/>
  <c r="AD47" i="50"/>
  <c r="Y47" i="50"/>
  <c r="F47" i="54" s="1"/>
  <c r="AJ46" i="50"/>
  <c r="AK46" i="50" s="1"/>
  <c r="G46" i="54" s="1"/>
  <c r="AD46" i="50"/>
  <c r="Y46" i="50"/>
  <c r="F46" i="54" s="1"/>
  <c r="AJ45" i="50"/>
  <c r="AK45" i="50" s="1"/>
  <c r="G45" i="54" s="1"/>
  <c r="AD45" i="50"/>
  <c r="Y45" i="50"/>
  <c r="F45" i="54" s="1"/>
  <c r="AK44" i="50"/>
  <c r="G44" i="54" s="1"/>
  <c r="AI44" i="50"/>
  <c r="AJ44" i="50" s="1"/>
  <c r="AD44" i="50"/>
  <c r="Y44" i="50"/>
  <c r="F44" i="54" s="1"/>
  <c r="O44" i="50"/>
  <c r="N44" i="50"/>
  <c r="M44" i="50"/>
  <c r="AI43" i="50"/>
  <c r="AJ43" i="50" s="1"/>
  <c r="AK43" i="50" s="1"/>
  <c r="G43" i="54" s="1"/>
  <c r="AD43" i="50"/>
  <c r="Y43" i="50"/>
  <c r="F43" i="54" s="1"/>
  <c r="O43" i="50"/>
  <c r="N43" i="50"/>
  <c r="M43" i="50"/>
  <c r="AJ42" i="50"/>
  <c r="AK42" i="50" s="1"/>
  <c r="G42" i="54" s="1"/>
  <c r="AI42" i="50"/>
  <c r="AD42" i="50"/>
  <c r="Y42" i="50"/>
  <c r="F42" i="54" s="1"/>
  <c r="O42" i="50"/>
  <c r="P42" i="50" s="1"/>
  <c r="M42" i="50"/>
  <c r="AJ41" i="50"/>
  <c r="AK41" i="50" s="1"/>
  <c r="G41" i="54" s="1"/>
  <c r="AD41" i="50"/>
  <c r="Y41" i="50"/>
  <c r="F41" i="54" s="1"/>
  <c r="AJ40" i="50"/>
  <c r="AK40" i="50" s="1"/>
  <c r="G40" i="54" s="1"/>
  <c r="AD40" i="50"/>
  <c r="Y40" i="50"/>
  <c r="F40" i="54" s="1"/>
  <c r="O40" i="50"/>
  <c r="M40" i="50"/>
  <c r="AI39" i="50"/>
  <c r="AJ39" i="50" s="1"/>
  <c r="AK39" i="50" s="1"/>
  <c r="G39" i="54" s="1"/>
  <c r="AD39" i="50"/>
  <c r="Y39" i="50"/>
  <c r="F39" i="54" s="1"/>
  <c r="O39" i="50"/>
  <c r="M39" i="50"/>
  <c r="AJ38" i="50"/>
  <c r="AK38" i="50" s="1"/>
  <c r="G38" i="54" s="1"/>
  <c r="AD38" i="50"/>
  <c r="Y38" i="50"/>
  <c r="F38" i="54" s="1"/>
  <c r="P38" i="50"/>
  <c r="Q38" i="50" s="1"/>
  <c r="AJ37" i="50"/>
  <c r="AK37" i="50" s="1"/>
  <c r="G37" i="54" s="1"/>
  <c r="AD37" i="50"/>
  <c r="Y37" i="50"/>
  <c r="F37" i="54" s="1"/>
  <c r="AJ36" i="50"/>
  <c r="AK36" i="50" s="1"/>
  <c r="G36" i="54" s="1"/>
  <c r="AD36" i="50"/>
  <c r="Y36" i="50"/>
  <c r="F36" i="54" s="1"/>
  <c r="O36" i="50"/>
  <c r="N36" i="50"/>
  <c r="M36" i="50"/>
  <c r="AJ35" i="50"/>
  <c r="AK35" i="50" s="1"/>
  <c r="G35" i="54" s="1"/>
  <c r="AD35" i="50"/>
  <c r="Y35" i="50"/>
  <c r="F35" i="54" s="1"/>
  <c r="M35" i="50"/>
  <c r="P35" i="50" s="1"/>
  <c r="Q35" i="50" s="1"/>
  <c r="AJ34" i="50"/>
  <c r="AK34" i="50" s="1"/>
  <c r="G34" i="54" s="1"/>
  <c r="AD34" i="50"/>
  <c r="Y34" i="50"/>
  <c r="F34" i="54" s="1"/>
  <c r="P34" i="50"/>
  <c r="AK33" i="50"/>
  <c r="G33" i="54" s="1"/>
  <c r="AJ33" i="50"/>
  <c r="AD33" i="50"/>
  <c r="Y33" i="50"/>
  <c r="F33" i="54" s="1"/>
  <c r="P33" i="50"/>
  <c r="AJ32" i="50"/>
  <c r="AK32" i="50" s="1"/>
  <c r="G32" i="54" s="1"/>
  <c r="AD32" i="50"/>
  <c r="Y32" i="50"/>
  <c r="F32" i="54" s="1"/>
  <c r="M32" i="50"/>
  <c r="P32" i="50" s="1"/>
  <c r="Q32" i="50" s="1"/>
  <c r="AJ31" i="50"/>
  <c r="AK31" i="50" s="1"/>
  <c r="G31" i="54" s="1"/>
  <c r="AD31" i="50"/>
  <c r="Y31" i="50"/>
  <c r="F31" i="54" s="1"/>
  <c r="M31" i="50"/>
  <c r="P31" i="50" s="1"/>
  <c r="AK30" i="50"/>
  <c r="G30" i="54" s="1"/>
  <c r="AJ30" i="50"/>
  <c r="AD30" i="50"/>
  <c r="Y30" i="50"/>
  <c r="F30" i="54" s="1"/>
  <c r="O30" i="50"/>
  <c r="N30" i="50"/>
  <c r="M30" i="50"/>
  <c r="P30" i="50" s="1"/>
  <c r="AK29" i="50"/>
  <c r="G29" i="54" s="1"/>
  <c r="AJ29" i="50"/>
  <c r="AD29" i="50"/>
  <c r="Y29" i="50"/>
  <c r="F29" i="54" s="1"/>
  <c r="AK28" i="50"/>
  <c r="G28" i="54" s="1"/>
  <c r="AJ28" i="50"/>
  <c r="AD28" i="50"/>
  <c r="Y28" i="50"/>
  <c r="F28" i="54" s="1"/>
  <c r="O28" i="50"/>
  <c r="P28" i="50" s="1"/>
  <c r="M28" i="50"/>
  <c r="AJ27" i="50"/>
  <c r="AK27" i="50" s="1"/>
  <c r="G27" i="54" s="1"/>
  <c r="AD27" i="50"/>
  <c r="Y27" i="50"/>
  <c r="F27" i="54" s="1"/>
  <c r="AI26" i="50"/>
  <c r="AJ26" i="50" s="1"/>
  <c r="AK26" i="50" s="1"/>
  <c r="G26" i="54" s="1"/>
  <c r="AD26" i="50"/>
  <c r="Y26" i="50"/>
  <c r="F26" i="54" s="1"/>
  <c r="O26" i="50"/>
  <c r="N26" i="50"/>
  <c r="M26" i="50"/>
  <c r="P26" i="50" s="1"/>
  <c r="AJ25" i="50"/>
  <c r="AK25" i="50" s="1"/>
  <c r="G25" i="54" s="1"/>
  <c r="AD25" i="50"/>
  <c r="Y25" i="50"/>
  <c r="F25" i="54" s="1"/>
  <c r="P25" i="50"/>
  <c r="Q25" i="50" s="1"/>
  <c r="AJ24" i="50"/>
  <c r="AK24" i="50" s="1"/>
  <c r="G24" i="54" s="1"/>
  <c r="AD24" i="50"/>
  <c r="Y24" i="50"/>
  <c r="F24" i="54" s="1"/>
  <c r="O24" i="50"/>
  <c r="M24" i="50"/>
  <c r="AI23" i="50"/>
  <c r="AJ23" i="50" s="1"/>
  <c r="AK23" i="50" s="1"/>
  <c r="G23" i="54" s="1"/>
  <c r="O23" i="50"/>
  <c r="P23" i="50" s="1"/>
  <c r="Q23" i="50" s="1"/>
  <c r="M23" i="50"/>
  <c r="J23" i="50"/>
  <c r="AJ22" i="50"/>
  <c r="AK22" i="50" s="1"/>
  <c r="G22" i="54" s="1"/>
  <c r="AD22" i="50"/>
  <c r="AJ21" i="50"/>
  <c r="AK21" i="50" s="1"/>
  <c r="G21" i="54" s="1"/>
  <c r="AD21" i="50"/>
  <c r="Y21" i="50"/>
  <c r="F21" i="54" s="1"/>
  <c r="O21" i="50"/>
  <c r="M21" i="50"/>
  <c r="AJ20" i="50"/>
  <c r="AK20" i="50" s="1"/>
  <c r="G20" i="54" s="1"/>
  <c r="AD20" i="50"/>
  <c r="Y20" i="50"/>
  <c r="F20" i="54" s="1"/>
  <c r="AJ19" i="50"/>
  <c r="AK19" i="50" s="1"/>
  <c r="G19" i="54" s="1"/>
  <c r="AD19" i="50"/>
  <c r="Y19" i="50"/>
  <c r="F19" i="54" s="1"/>
  <c r="AJ18" i="50"/>
  <c r="AK18" i="50" s="1"/>
  <c r="G18" i="54" s="1"/>
  <c r="AD18" i="50"/>
  <c r="Y18" i="50"/>
  <c r="F18" i="54" s="1"/>
  <c r="O18" i="50"/>
  <c r="P18" i="50" s="1"/>
  <c r="M18" i="50"/>
  <c r="AJ17" i="50"/>
  <c r="AK17" i="50" s="1"/>
  <c r="G17" i="54" s="1"/>
  <c r="AD17" i="50"/>
  <c r="Y17" i="50"/>
  <c r="F17" i="54" s="1"/>
  <c r="M17" i="50"/>
  <c r="P17" i="50" s="1"/>
  <c r="AI16" i="50"/>
  <c r="AJ16" i="50" s="1"/>
  <c r="AK16" i="50" s="1"/>
  <c r="G16" i="54" s="1"/>
  <c r="AD16" i="50"/>
  <c r="Y16" i="50"/>
  <c r="F16" i="54" s="1"/>
  <c r="R16" i="50"/>
  <c r="O16" i="50"/>
  <c r="M16" i="50"/>
  <c r="P16" i="50" s="1"/>
  <c r="Q16" i="50" s="1"/>
  <c r="J16" i="50"/>
  <c r="AJ15" i="50"/>
  <c r="AK15" i="50" s="1"/>
  <c r="G15" i="54" s="1"/>
  <c r="AD15" i="50"/>
  <c r="Y15" i="50"/>
  <c r="F15" i="54" s="1"/>
  <c r="O15" i="50"/>
  <c r="M15" i="50"/>
  <c r="AJ14" i="50"/>
  <c r="AK14" i="50" s="1"/>
  <c r="G14" i="54" s="1"/>
  <c r="AD14" i="50"/>
  <c r="P14" i="50"/>
  <c r="Q14" i="50" s="1"/>
  <c r="AI13" i="50"/>
  <c r="AD13" i="50"/>
  <c r="Y13" i="50"/>
  <c r="F13" i="54" s="1"/>
  <c r="O13" i="50"/>
  <c r="M13" i="50"/>
  <c r="AJ12" i="50"/>
  <c r="AK12" i="50" s="1"/>
  <c r="G12" i="54" s="1"/>
  <c r="AD12" i="50"/>
  <c r="Y12" i="50"/>
  <c r="F12" i="54" s="1"/>
  <c r="AJ11" i="50"/>
  <c r="AK11" i="50" s="1"/>
  <c r="G11" i="54" s="1"/>
  <c r="AD11" i="50"/>
  <c r="Y11" i="50"/>
  <c r="F11" i="54" s="1"/>
  <c r="O11" i="50"/>
  <c r="M11" i="50"/>
  <c r="P11" i="50" s="1"/>
  <c r="AJ10" i="50"/>
  <c r="AK10" i="50" s="1"/>
  <c r="G10" i="54" s="1"/>
  <c r="AD10" i="50"/>
  <c r="Y10" i="50"/>
  <c r="F10" i="54" s="1"/>
  <c r="P10" i="50"/>
  <c r="AK9" i="50"/>
  <c r="G9" i="54" s="1"/>
  <c r="AJ9" i="50"/>
  <c r="AD9" i="50"/>
  <c r="Y9" i="50"/>
  <c r="F9" i="54" s="1"/>
  <c r="R9" i="50"/>
  <c r="P9" i="50"/>
  <c r="Q9" i="50" s="1"/>
  <c r="AJ8" i="50"/>
  <c r="AD8" i="50"/>
  <c r="Y8" i="50"/>
  <c r="C8" i="33" s="1"/>
  <c r="P8" i="50"/>
  <c r="A5" i="50"/>
  <c r="A3" i="50"/>
  <c r="A2" i="50"/>
  <c r="C18" i="33" l="1"/>
  <c r="C26" i="33"/>
  <c r="C42" i="33"/>
  <c r="C50" i="33"/>
  <c r="C70" i="33"/>
  <c r="C78" i="33"/>
  <c r="C98" i="33"/>
  <c r="P85" i="50"/>
  <c r="Q85" i="50" s="1"/>
  <c r="P93" i="50"/>
  <c r="P96" i="50"/>
  <c r="C9" i="33"/>
  <c r="C65" i="33"/>
  <c r="C69" i="33"/>
  <c r="C81" i="33"/>
  <c r="C97" i="33"/>
  <c r="P40" i="50"/>
  <c r="Q40" i="50" s="1"/>
  <c r="P87" i="50"/>
  <c r="Q87" i="50" s="1"/>
  <c r="AH100" i="50"/>
  <c r="C12" i="33"/>
  <c r="C16" i="33"/>
  <c r="C20" i="33"/>
  <c r="C24" i="33"/>
  <c r="C28" i="33"/>
  <c r="C32" i="33"/>
  <c r="C36" i="33"/>
  <c r="C40" i="33"/>
  <c r="C44" i="33"/>
  <c r="C48" i="33"/>
  <c r="C52" i="33"/>
  <c r="C56" i="33"/>
  <c r="C60" i="33"/>
  <c r="C64" i="33"/>
  <c r="C68" i="33"/>
  <c r="C72" i="33"/>
  <c r="C76" i="33"/>
  <c r="C80" i="33"/>
  <c r="C84" i="33"/>
  <c r="C88" i="33"/>
  <c r="C92" i="33"/>
  <c r="C96" i="33"/>
  <c r="C30" i="33"/>
  <c r="C46" i="33"/>
  <c r="C86" i="33"/>
  <c r="C94" i="33"/>
  <c r="O103" i="50"/>
  <c r="P43" i="50"/>
  <c r="P89" i="50"/>
  <c r="C13" i="33"/>
  <c r="C21" i="33"/>
  <c r="C29" i="33"/>
  <c r="C33" i="33"/>
  <c r="C45" i="33"/>
  <c r="C77" i="33"/>
  <c r="P24" i="50"/>
  <c r="Q24" i="50" s="1"/>
  <c r="P36" i="50"/>
  <c r="P39" i="50"/>
  <c r="Q39" i="50" s="1"/>
  <c r="P64" i="50"/>
  <c r="P70" i="50"/>
  <c r="Q70" i="50" s="1"/>
  <c r="P95" i="50"/>
  <c r="Q95" i="50" s="1"/>
  <c r="AH101" i="50"/>
  <c r="C11" i="33"/>
  <c r="C15" i="33"/>
  <c r="C19" i="33"/>
  <c r="C27" i="33"/>
  <c r="C31" i="33"/>
  <c r="C35" i="33"/>
  <c r="C39" i="33"/>
  <c r="C43" i="33"/>
  <c r="C47" i="33"/>
  <c r="C51" i="33"/>
  <c r="C55" i="33"/>
  <c r="C59" i="33"/>
  <c r="C63" i="33"/>
  <c r="C67" i="33"/>
  <c r="C71" i="33"/>
  <c r="C75" i="33"/>
  <c r="C79" i="33"/>
  <c r="C83" i="33"/>
  <c r="C87" i="33"/>
  <c r="C91" i="33"/>
  <c r="C95" i="33"/>
  <c r="C99" i="33"/>
  <c r="AG100" i="50"/>
  <c r="AJ184" i="52"/>
  <c r="AK183" i="52"/>
  <c r="Q89" i="50"/>
  <c r="Q96" i="50"/>
  <c r="Q18" i="50"/>
  <c r="Q28" i="50"/>
  <c r="Q36" i="50"/>
  <c r="Q42" i="50"/>
  <c r="Q88" i="50"/>
  <c r="Q92" i="50"/>
  <c r="Q55" i="50"/>
  <c r="AF34" i="52"/>
  <c r="AG34" i="52"/>
  <c r="AH34" i="52" s="1"/>
  <c r="K74" i="52"/>
  <c r="K100" i="52"/>
  <c r="Q10" i="50"/>
  <c r="Q93" i="50"/>
  <c r="M103" i="50"/>
  <c r="K49" i="52"/>
  <c r="AK8" i="50"/>
  <c r="AI103" i="50"/>
  <c r="AJ13" i="50"/>
  <c r="AK13" i="50" s="1"/>
  <c r="G13" i="54" s="1"/>
  <c r="Q33" i="50"/>
  <c r="P44" i="50"/>
  <c r="Q64" i="50"/>
  <c r="P67" i="50"/>
  <c r="P81" i="50"/>
  <c r="P94" i="50"/>
  <c r="Q99" i="50"/>
  <c r="K8" i="52"/>
  <c r="K38" i="52"/>
  <c r="AF50" i="52"/>
  <c r="AG50" i="52"/>
  <c r="AH50" i="52" s="1"/>
  <c r="K80" i="52"/>
  <c r="K96" i="52"/>
  <c r="AG100" i="52"/>
  <c r="AH100" i="52" s="1"/>
  <c r="AF100" i="52"/>
  <c r="K145" i="52"/>
  <c r="F8" i="54"/>
  <c r="Y104" i="50"/>
  <c r="Y103" i="50"/>
  <c r="Q84" i="50"/>
  <c r="AH12" i="52"/>
  <c r="AE13" i="52"/>
  <c r="AE14" i="52" s="1"/>
  <c r="K70" i="52"/>
  <c r="AG147" i="52"/>
  <c r="AH147" i="52" s="1"/>
  <c r="AF147" i="52"/>
  <c r="Q31" i="50"/>
  <c r="Q43" i="50"/>
  <c r="O26" i="51"/>
  <c r="P8" i="51"/>
  <c r="AG133" i="52"/>
  <c r="AH133" i="52" s="1"/>
  <c r="AF133" i="52"/>
  <c r="K139" i="52"/>
  <c r="K147" i="52"/>
  <c r="R103" i="50"/>
  <c r="Q11" i="50"/>
  <c r="P13" i="50"/>
  <c r="P15" i="50"/>
  <c r="Q17" i="50"/>
  <c r="P21" i="50"/>
  <c r="N103" i="50"/>
  <c r="Q30" i="50"/>
  <c r="P50" i="50"/>
  <c r="Q63" i="50"/>
  <c r="Q69" i="50"/>
  <c r="Q71" i="50"/>
  <c r="P73" i="50"/>
  <c r="Q76" i="50"/>
  <c r="Q86" i="50"/>
  <c r="Q91" i="50"/>
  <c r="AG101" i="50"/>
  <c r="AG102" i="50"/>
  <c r="K14" i="52"/>
  <c r="K17" i="52"/>
  <c r="K19" i="52"/>
  <c r="K31" i="52"/>
  <c r="K48" i="52"/>
  <c r="K84" i="52"/>
  <c r="AG110" i="52"/>
  <c r="AH110" i="52" s="1"/>
  <c r="AF110" i="52"/>
  <c r="AG145" i="52"/>
  <c r="AH145" i="52" s="1"/>
  <c r="AF145" i="52"/>
  <c r="AE8" i="52"/>
  <c r="AA8" i="52"/>
  <c r="AG16" i="52"/>
  <c r="AH16" i="52" s="1"/>
  <c r="AF16" i="52"/>
  <c r="AF51" i="52"/>
  <c r="AG51" i="52"/>
  <c r="AH51" i="52" s="1"/>
  <c r="AF56" i="52"/>
  <c r="AG56" i="52"/>
  <c r="AH56" i="52" s="1"/>
  <c r="AE59" i="52"/>
  <c r="S59" i="52"/>
  <c r="J86" i="52"/>
  <c r="K101" i="52"/>
  <c r="K111" i="52"/>
  <c r="AG119" i="52"/>
  <c r="AH119" i="52" s="1"/>
  <c r="AF119" i="52"/>
  <c r="AG122" i="52"/>
  <c r="AH122" i="52" s="1"/>
  <c r="AF122" i="52"/>
  <c r="K130" i="52"/>
  <c r="K143" i="52"/>
  <c r="AG151" i="52"/>
  <c r="AH151" i="52" s="1"/>
  <c r="K175" i="52"/>
  <c r="K46" i="52"/>
  <c r="AG49" i="52"/>
  <c r="AH49" i="52" s="1"/>
  <c r="K57" i="52"/>
  <c r="K61" i="52"/>
  <c r="K66" i="52"/>
  <c r="K94" i="52"/>
  <c r="K114" i="52"/>
  <c r="AF118" i="52"/>
  <c r="AG118" i="52"/>
  <c r="AH118" i="52" s="1"/>
  <c r="AF121" i="52"/>
  <c r="AG121" i="52"/>
  <c r="AH121" i="52" s="1"/>
  <c r="AF165" i="52"/>
  <c r="AG165" i="52"/>
  <c r="Q8" i="50"/>
  <c r="Q34" i="50"/>
  <c r="Q60" i="50"/>
  <c r="AG14" i="52"/>
  <c r="AH14" i="52" s="1"/>
  <c r="K21" i="52"/>
  <c r="K37" i="52"/>
  <c r="AG47" i="52"/>
  <c r="AH47" i="52" s="1"/>
  <c r="AF47" i="52"/>
  <c r="K65" i="52"/>
  <c r="AE69" i="52"/>
  <c r="S69" i="52"/>
  <c r="AG69" i="52"/>
  <c r="AH69" i="52" s="1"/>
  <c r="K76" i="52"/>
  <c r="K89" i="52"/>
  <c r="K108" i="52"/>
  <c r="K116" i="52"/>
  <c r="K123" i="52"/>
  <c r="K137" i="52"/>
  <c r="K140" i="52"/>
  <c r="AG146" i="52"/>
  <c r="AF146" i="52"/>
  <c r="K156" i="52"/>
  <c r="K162" i="52"/>
  <c r="AJ187" i="52"/>
  <c r="AG22" i="52"/>
  <c r="AH22" i="52" s="1"/>
  <c r="AF22" i="52"/>
  <c r="K30" i="52"/>
  <c r="AG32" i="52"/>
  <c r="AH32" i="52" s="1"/>
  <c r="K35" i="52"/>
  <c r="AG43" i="52"/>
  <c r="AH43" i="52" s="1"/>
  <c r="AF43" i="52"/>
  <c r="AE68" i="52"/>
  <c r="S68" i="52"/>
  <c r="J71" i="52"/>
  <c r="K81" i="52"/>
  <c r="AG97" i="52"/>
  <c r="AH97" i="52" s="1"/>
  <c r="AG98" i="52"/>
  <c r="AH98" i="52" s="1"/>
  <c r="AF98" i="52"/>
  <c r="J136" i="52"/>
  <c r="AG150" i="52"/>
  <c r="AH150" i="52" s="1"/>
  <c r="K163" i="52"/>
  <c r="AG171" i="52"/>
  <c r="AH171" i="52" s="1"/>
  <c r="AF171" i="52"/>
  <c r="AK185" i="52"/>
  <c r="AJ185" i="52"/>
  <c r="K185" i="52"/>
  <c r="AK186" i="52"/>
  <c r="K186" i="52"/>
  <c r="AG9" i="52"/>
  <c r="AH9" i="52" s="1"/>
  <c r="AF9" i="52"/>
  <c r="K50" i="52"/>
  <c r="K51" i="52"/>
  <c r="K52" i="52"/>
  <c r="K75" i="52"/>
  <c r="J90" i="52"/>
  <c r="AG92" i="52"/>
  <c r="AH92" i="52" s="1"/>
  <c r="AF92" i="52"/>
  <c r="AG162" i="52"/>
  <c r="AH162" i="52" s="1"/>
  <c r="AG167" i="52"/>
  <c r="AH167" i="52" s="1"/>
  <c r="K172" i="52"/>
  <c r="S190" i="52"/>
  <c r="AE56" i="52"/>
  <c r="AF180" i="52"/>
  <c r="K60" i="52"/>
  <c r="K95" i="52"/>
  <c r="AJ188" i="52"/>
  <c r="K184" i="52"/>
  <c r="K188" i="52"/>
  <c r="F41" i="55"/>
  <c r="G40" i="55" s="1"/>
  <c r="G39" i="55" s="1"/>
  <c r="AF93" i="50" s="1"/>
  <c r="AJ103" i="50" l="1"/>
  <c r="F44" i="55"/>
  <c r="AI69" i="52"/>
  <c r="AI18" i="52"/>
  <c r="AJ18" i="52" s="1"/>
  <c r="H128" i="54" s="1"/>
  <c r="AF57" i="50"/>
  <c r="AF58" i="50"/>
  <c r="AH58" i="50" s="1"/>
  <c r="AI84" i="52"/>
  <c r="AK84" i="52" s="1"/>
  <c r="AF98" i="50"/>
  <c r="AG98" i="50" s="1"/>
  <c r="G128" i="34"/>
  <c r="AH93" i="50"/>
  <c r="AG93" i="50"/>
  <c r="AJ84" i="52"/>
  <c r="Q21" i="50"/>
  <c r="AG57" i="50"/>
  <c r="AH57" i="50"/>
  <c r="P104" i="50"/>
  <c r="Q15" i="50"/>
  <c r="AH98" i="50"/>
  <c r="Q81" i="50"/>
  <c r="AI143" i="52"/>
  <c r="K90" i="52"/>
  <c r="K71" i="52"/>
  <c r="AH165" i="52"/>
  <c r="AE166" i="52"/>
  <c r="Q50" i="50"/>
  <c r="Q44" i="50"/>
  <c r="G8" i="54"/>
  <c r="AK103" i="50"/>
  <c r="AH146" i="52"/>
  <c r="AE147" i="52"/>
  <c r="K86" i="52"/>
  <c r="K136" i="52"/>
  <c r="G38" i="55"/>
  <c r="AI98" i="52"/>
  <c r="AI43" i="52"/>
  <c r="AI157" i="52"/>
  <c r="AI149" i="52"/>
  <c r="AI100" i="52"/>
  <c r="AI172" i="52"/>
  <c r="AF38" i="50"/>
  <c r="AF96" i="50"/>
  <c r="AE134" i="52"/>
  <c r="AI85" i="52"/>
  <c r="P103" i="50"/>
  <c r="Q13" i="50"/>
  <c r="Q103" i="50" s="1"/>
  <c r="G100" i="54"/>
  <c r="P26" i="51"/>
  <c r="K190" i="52"/>
  <c r="J190" i="52"/>
  <c r="Q94" i="50"/>
  <c r="Q67" i="50"/>
  <c r="AG58" i="50" l="1"/>
  <c r="H58" i="54" s="1"/>
  <c r="AK18" i="52"/>
  <c r="AJ69" i="52"/>
  <c r="AK69" i="52"/>
  <c r="D58" i="33"/>
  <c r="H98" i="54"/>
  <c r="D98" i="33"/>
  <c r="H93" i="54"/>
  <c r="D93" i="33"/>
  <c r="H194" i="54"/>
  <c r="G194" i="34"/>
  <c r="H57" i="54"/>
  <c r="D57" i="33"/>
  <c r="AK100" i="52"/>
  <c r="AJ100" i="52"/>
  <c r="AJ98" i="52"/>
  <c r="AK98" i="52"/>
  <c r="AK143" i="52"/>
  <c r="AJ143" i="52"/>
  <c r="AH96" i="50"/>
  <c r="AG96" i="50"/>
  <c r="AJ149" i="52"/>
  <c r="AK149" i="52"/>
  <c r="G37" i="55"/>
  <c r="AI171" i="52"/>
  <c r="AI28" i="52"/>
  <c r="AI175" i="52"/>
  <c r="AI116" i="52"/>
  <c r="AI21" i="52"/>
  <c r="AF94" i="50"/>
  <c r="AF89" i="50"/>
  <c r="AI57" i="52"/>
  <c r="AF97" i="50"/>
  <c r="AI30" i="52"/>
  <c r="AI90" i="52"/>
  <c r="AI75" i="52"/>
  <c r="AI120" i="52"/>
  <c r="AI61" i="52"/>
  <c r="AI163" i="52"/>
  <c r="AF95" i="50"/>
  <c r="AI19" i="52"/>
  <c r="AI71" i="52"/>
  <c r="AI136" i="52"/>
  <c r="AI156" i="52"/>
  <c r="AH38" i="50"/>
  <c r="AG38" i="50"/>
  <c r="AJ157" i="52"/>
  <c r="AK157" i="52"/>
  <c r="AJ85" i="52"/>
  <c r="AK85" i="52"/>
  <c r="AJ172" i="52"/>
  <c r="AK172" i="52"/>
  <c r="AJ43" i="52"/>
  <c r="AK43" i="52"/>
  <c r="G179" i="34" l="1"/>
  <c r="H179" i="54"/>
  <c r="H38" i="54"/>
  <c r="D38" i="33"/>
  <c r="H259" i="54"/>
  <c r="G259" i="34"/>
  <c r="H153" i="54"/>
  <c r="G153" i="34"/>
  <c r="H195" i="54"/>
  <c r="G195" i="34"/>
  <c r="H282" i="54"/>
  <c r="G282" i="34"/>
  <c r="H267" i="54"/>
  <c r="G267" i="34"/>
  <c r="H253" i="54"/>
  <c r="G253" i="34"/>
  <c r="H210" i="54"/>
  <c r="G210" i="34"/>
  <c r="H96" i="54"/>
  <c r="D96" i="33"/>
  <c r="H208" i="54"/>
  <c r="G208" i="34"/>
  <c r="AJ156" i="52"/>
  <c r="AK156" i="52"/>
  <c r="AK75" i="52"/>
  <c r="AJ75" i="52"/>
  <c r="AJ116" i="52"/>
  <c r="AK116" i="52"/>
  <c r="G36" i="55"/>
  <c r="AI41" i="52"/>
  <c r="AI145" i="52"/>
  <c r="AI162" i="52"/>
  <c r="AI9" i="52"/>
  <c r="AI96" i="52"/>
  <c r="AF90" i="50"/>
  <c r="AI114" i="52"/>
  <c r="AF85" i="50"/>
  <c r="AI46" i="52"/>
  <c r="AF91" i="50"/>
  <c r="AF88" i="50"/>
  <c r="AF43" i="50"/>
  <c r="AI170" i="52"/>
  <c r="AI179" i="52"/>
  <c r="AI49" i="52"/>
  <c r="AI97" i="52"/>
  <c r="AI126" i="52"/>
  <c r="AJ163" i="52"/>
  <c r="AK163" i="52"/>
  <c r="AH89" i="50"/>
  <c r="AG89" i="50"/>
  <c r="AK61" i="52"/>
  <c r="AJ61" i="52"/>
  <c r="AK19" i="52"/>
  <c r="AJ19" i="52"/>
  <c r="AJ120" i="52"/>
  <c r="AK120" i="52"/>
  <c r="AH97" i="50"/>
  <c r="AG97" i="50"/>
  <c r="AK21" i="52"/>
  <c r="AJ21" i="52"/>
  <c r="AK171" i="52"/>
  <c r="AJ171" i="52"/>
  <c r="AH95" i="50"/>
  <c r="AG95" i="50"/>
  <c r="AK57" i="52"/>
  <c r="AJ57" i="52"/>
  <c r="AK136" i="52"/>
  <c r="AJ136" i="52"/>
  <c r="AJ90" i="52"/>
  <c r="AK90" i="52"/>
  <c r="AJ175" i="52"/>
  <c r="AK175" i="52"/>
  <c r="AJ71" i="52"/>
  <c r="AK71" i="52"/>
  <c r="AK30" i="52"/>
  <c r="AJ30" i="52"/>
  <c r="AH94" i="50"/>
  <c r="AG94" i="50"/>
  <c r="AJ28" i="52"/>
  <c r="AK28" i="52"/>
  <c r="H181" i="54" l="1"/>
  <c r="G181" i="34"/>
  <c r="H200" i="54"/>
  <c r="G200" i="34"/>
  <c r="H140" i="54"/>
  <c r="G140" i="34"/>
  <c r="H246" i="54"/>
  <c r="G246" i="34"/>
  <c r="H95" i="54"/>
  <c r="D95" i="33"/>
  <c r="H131" i="54"/>
  <c r="G131" i="34"/>
  <c r="H171" i="54"/>
  <c r="G171" i="34"/>
  <c r="H138" i="54"/>
  <c r="G138" i="34"/>
  <c r="H285" i="54"/>
  <c r="G285" i="34"/>
  <c r="H230" i="54"/>
  <c r="G230" i="34"/>
  <c r="H273" i="54"/>
  <c r="G273" i="34"/>
  <c r="H226" i="54"/>
  <c r="G226" i="34"/>
  <c r="H266" i="54"/>
  <c r="G266" i="34"/>
  <c r="H94" i="54"/>
  <c r="D94" i="33"/>
  <c r="H167" i="54"/>
  <c r="G167" i="34"/>
  <c r="H281" i="54"/>
  <c r="G281" i="34"/>
  <c r="H97" i="54"/>
  <c r="D97" i="33"/>
  <c r="H129" i="54"/>
  <c r="G129" i="34"/>
  <c r="H89" i="54"/>
  <c r="D89" i="33"/>
  <c r="H185" i="54"/>
  <c r="G185" i="34"/>
  <c r="AK97" i="52"/>
  <c r="AJ97" i="52"/>
  <c r="AH85" i="50"/>
  <c r="AG85" i="50"/>
  <c r="G35" i="55"/>
  <c r="AI169" i="52"/>
  <c r="AI158" i="52"/>
  <c r="AI78" i="52"/>
  <c r="AI37" i="52"/>
  <c r="AI22" i="52"/>
  <c r="AI47" i="52"/>
  <c r="AI74" i="52"/>
  <c r="AF23" i="50"/>
  <c r="AI103" i="52"/>
  <c r="AI70" i="52"/>
  <c r="AI80" i="52"/>
  <c r="AI76" i="52"/>
  <c r="AF86" i="50"/>
  <c r="AI108" i="52"/>
  <c r="AF92" i="50"/>
  <c r="AF87" i="50"/>
  <c r="AF70" i="50"/>
  <c r="AF21" i="50"/>
  <c r="AF65" i="50"/>
  <c r="AF72" i="50"/>
  <c r="AF99" i="50"/>
  <c r="AI35" i="52"/>
  <c r="AF40" i="50"/>
  <c r="AI66" i="52"/>
  <c r="AI14" i="52"/>
  <c r="AF67" i="50"/>
  <c r="AI33" i="52"/>
  <c r="AI160" i="52"/>
  <c r="AH88" i="50"/>
  <c r="AG88" i="50"/>
  <c r="AK114" i="52"/>
  <c r="AJ114" i="52"/>
  <c r="AK179" i="52"/>
  <c r="AJ179" i="52"/>
  <c r="AK126" i="52"/>
  <c r="AJ126" i="52"/>
  <c r="AK170" i="52"/>
  <c r="AJ170" i="52"/>
  <c r="AJ46" i="52"/>
  <c r="AK46" i="52"/>
  <c r="AJ96" i="52"/>
  <c r="AK96" i="52"/>
  <c r="AJ41" i="52"/>
  <c r="AK41" i="52"/>
  <c r="AH43" i="50"/>
  <c r="AG43" i="50"/>
  <c r="AK9" i="52"/>
  <c r="AJ9" i="52"/>
  <c r="AK49" i="52"/>
  <c r="AJ49" i="52"/>
  <c r="AK162" i="52"/>
  <c r="AJ162" i="52"/>
  <c r="AH91" i="50"/>
  <c r="AG91" i="50"/>
  <c r="AH90" i="50"/>
  <c r="AG90" i="50"/>
  <c r="AJ145" i="52"/>
  <c r="AK145" i="52"/>
  <c r="H91" i="54" l="1"/>
  <c r="D91" i="33"/>
  <c r="H280" i="54"/>
  <c r="G280" i="34"/>
  <c r="H88" i="54"/>
  <c r="D88" i="33"/>
  <c r="H255" i="54"/>
  <c r="G255" i="34"/>
  <c r="H151" i="54"/>
  <c r="G151" i="34"/>
  <c r="H156" i="54"/>
  <c r="G156" i="34"/>
  <c r="H85" i="54"/>
  <c r="D85" i="33"/>
  <c r="H159" i="54"/>
  <c r="G159" i="34"/>
  <c r="H43" i="54"/>
  <c r="D43" i="33"/>
  <c r="H289" i="54"/>
  <c r="G289" i="34"/>
  <c r="H206" i="54"/>
  <c r="G206" i="34"/>
  <c r="H207" i="54"/>
  <c r="G207" i="34"/>
  <c r="H90" i="54"/>
  <c r="D90" i="33"/>
  <c r="H272" i="54"/>
  <c r="G272" i="34"/>
  <c r="H119" i="54"/>
  <c r="G119" i="34"/>
  <c r="H236" i="54"/>
  <c r="G236" i="34"/>
  <c r="H224" i="54"/>
  <c r="G224" i="34"/>
  <c r="AK35" i="52"/>
  <c r="AJ35" i="52"/>
  <c r="AJ108" i="52"/>
  <c r="AK108" i="52"/>
  <c r="AK47" i="52"/>
  <c r="AJ47" i="52"/>
  <c r="AJ158" i="52"/>
  <c r="AK158" i="52"/>
  <c r="AH99" i="50"/>
  <c r="AG99" i="50"/>
  <c r="AH86" i="50"/>
  <c r="AG86" i="50"/>
  <c r="AK169" i="52"/>
  <c r="AJ169" i="52"/>
  <c r="AJ33" i="52"/>
  <c r="AK33" i="52"/>
  <c r="AH40" i="50"/>
  <c r="AG40" i="50"/>
  <c r="AH65" i="50"/>
  <c r="AG65" i="50"/>
  <c r="AH92" i="50"/>
  <c r="AG92" i="50"/>
  <c r="AK80" i="52"/>
  <c r="AJ80" i="52"/>
  <c r="AK74" i="52"/>
  <c r="AJ74" i="52"/>
  <c r="AJ78" i="52"/>
  <c r="AK78" i="52"/>
  <c r="AH67" i="50"/>
  <c r="AG67" i="50"/>
  <c r="AH21" i="50"/>
  <c r="AG21" i="50"/>
  <c r="AJ70" i="52"/>
  <c r="AK70" i="52"/>
  <c r="AJ14" i="52"/>
  <c r="AK14" i="52"/>
  <c r="AH70" i="50"/>
  <c r="AG70" i="50"/>
  <c r="AK103" i="52"/>
  <c r="AJ103" i="52"/>
  <c r="AJ22" i="52"/>
  <c r="AK22" i="52"/>
  <c r="AK160" i="52"/>
  <c r="AJ160" i="52"/>
  <c r="AJ66" i="52"/>
  <c r="AK66" i="52"/>
  <c r="AG72" i="50"/>
  <c r="AH72" i="50"/>
  <c r="AH87" i="50"/>
  <c r="AG87" i="50"/>
  <c r="AJ76" i="52"/>
  <c r="AK76" i="52"/>
  <c r="AH23" i="50"/>
  <c r="AG23" i="50"/>
  <c r="AJ37" i="52"/>
  <c r="AK37" i="52"/>
  <c r="G34" i="55"/>
  <c r="AI15" i="52"/>
  <c r="AI123" i="52"/>
  <c r="AI65" i="52"/>
  <c r="AF76" i="50"/>
  <c r="AF71" i="50"/>
  <c r="AF63" i="50"/>
  <c r="AF69" i="50"/>
  <c r="AF18" i="50"/>
  <c r="AI8" i="52"/>
  <c r="AI82" i="52"/>
  <c r="AI118" i="52"/>
  <c r="AI173" i="52"/>
  <c r="AF44" i="50"/>
  <c r="AF81" i="50"/>
  <c r="AI52" i="52"/>
  <c r="AI94" i="52"/>
  <c r="AF16" i="50"/>
  <c r="AF24" i="50"/>
  <c r="AF13" i="50"/>
  <c r="H23" i="54" l="1"/>
  <c r="D23" i="33"/>
  <c r="H87" i="54"/>
  <c r="D87" i="33"/>
  <c r="H70" i="54"/>
  <c r="D70" i="33"/>
  <c r="H67" i="54"/>
  <c r="D67" i="33"/>
  <c r="H184" i="54"/>
  <c r="G184" i="34"/>
  <c r="H92" i="54"/>
  <c r="D92" i="33"/>
  <c r="H40" i="54"/>
  <c r="D40" i="33"/>
  <c r="H279" i="54"/>
  <c r="G279" i="34"/>
  <c r="H99" i="54"/>
  <c r="D99" i="33"/>
  <c r="H157" i="54"/>
  <c r="G157" i="34"/>
  <c r="H145" i="54"/>
  <c r="G145" i="34"/>
  <c r="H176" i="54"/>
  <c r="G176" i="34"/>
  <c r="H132" i="54"/>
  <c r="G132" i="34"/>
  <c r="H180" i="54"/>
  <c r="G180" i="34"/>
  <c r="H270" i="54"/>
  <c r="G270" i="34"/>
  <c r="H213" i="54"/>
  <c r="G213" i="34"/>
  <c r="H21" i="54"/>
  <c r="D21" i="33"/>
  <c r="H190" i="54"/>
  <c r="G190" i="34"/>
  <c r="H65" i="54"/>
  <c r="D65" i="33"/>
  <c r="H86" i="54"/>
  <c r="D86" i="33"/>
  <c r="H147" i="54"/>
  <c r="G147" i="34"/>
  <c r="H186" i="54"/>
  <c r="G186" i="34"/>
  <c r="H72" i="54"/>
  <c r="D72" i="33"/>
  <c r="H124" i="54"/>
  <c r="G124" i="34"/>
  <c r="H188" i="54"/>
  <c r="G188" i="34"/>
  <c r="H143" i="54"/>
  <c r="G143" i="34"/>
  <c r="H268" i="54"/>
  <c r="G268" i="34"/>
  <c r="H218" i="54"/>
  <c r="G218" i="34"/>
  <c r="AH24" i="50"/>
  <c r="AG24" i="50"/>
  <c r="AH81" i="50"/>
  <c r="AG81" i="50"/>
  <c r="AJ82" i="52"/>
  <c r="AK82" i="52"/>
  <c r="AH63" i="50"/>
  <c r="AG63" i="50"/>
  <c r="AJ123" i="52"/>
  <c r="AK123" i="52"/>
  <c r="AH44" i="50"/>
  <c r="AG44" i="50"/>
  <c r="AK8" i="52"/>
  <c r="AJ8" i="52"/>
  <c r="G118" i="34" s="1"/>
  <c r="AH71" i="50"/>
  <c r="AG71" i="50"/>
  <c r="AK15" i="52"/>
  <c r="AJ15" i="52"/>
  <c r="AH13" i="50"/>
  <c r="AG13" i="50"/>
  <c r="AK52" i="52"/>
  <c r="AJ52" i="52"/>
  <c r="AJ118" i="52"/>
  <c r="AK118" i="52"/>
  <c r="AH69" i="50"/>
  <c r="AG69" i="50"/>
  <c r="AK65" i="52"/>
  <c r="AJ65" i="52"/>
  <c r="AH16" i="50"/>
  <c r="AG16" i="50"/>
  <c r="AK94" i="52"/>
  <c r="AJ94" i="52"/>
  <c r="AK173" i="52"/>
  <c r="AJ173" i="52"/>
  <c r="AH18" i="50"/>
  <c r="AG18" i="50"/>
  <c r="AH76" i="50"/>
  <c r="AG76" i="50"/>
  <c r="G33" i="55"/>
  <c r="AI110" i="52"/>
  <c r="AI83" i="52"/>
  <c r="AI177" i="52"/>
  <c r="AI176" i="52"/>
  <c r="AI147" i="52"/>
  <c r="AI127" i="52"/>
  <c r="AI119" i="52"/>
  <c r="AI130" i="52"/>
  <c r="AI111" i="52"/>
  <c r="AI91" i="52"/>
  <c r="AI137" i="52"/>
  <c r="AI13" i="52"/>
  <c r="AF75" i="50"/>
  <c r="AF11" i="50"/>
  <c r="AF68" i="50"/>
  <c r="AF30" i="50"/>
  <c r="AF26" i="50"/>
  <c r="AF64" i="50"/>
  <c r="AF50" i="50"/>
  <c r="AI152" i="52"/>
  <c r="AI101" i="52"/>
  <c r="AF73" i="50"/>
  <c r="AI104" i="52"/>
  <c r="AF42" i="50"/>
  <c r="AI23" i="52"/>
  <c r="H228" i="54" l="1"/>
  <c r="G228" i="34"/>
  <c r="H76" i="54"/>
  <c r="D76" i="33"/>
  <c r="H283" i="54"/>
  <c r="G283" i="34"/>
  <c r="H16" i="54"/>
  <c r="D16" i="33"/>
  <c r="H69" i="54"/>
  <c r="D69" i="33"/>
  <c r="H162" i="54"/>
  <c r="G162" i="34"/>
  <c r="H125" i="54"/>
  <c r="G125" i="34"/>
  <c r="H24" i="54"/>
  <c r="D24" i="33"/>
  <c r="H18" i="54"/>
  <c r="D18" i="33"/>
  <c r="H204" i="54"/>
  <c r="G204" i="34"/>
  <c r="H175" i="54"/>
  <c r="G175" i="34"/>
  <c r="H13" i="54"/>
  <c r="D13" i="33"/>
  <c r="H71" i="54"/>
  <c r="D71" i="33"/>
  <c r="H44" i="54"/>
  <c r="D44" i="33"/>
  <c r="H63" i="54"/>
  <c r="D63" i="33"/>
  <c r="H81" i="54"/>
  <c r="D81" i="33"/>
  <c r="H233" i="54"/>
  <c r="G233" i="34"/>
  <c r="H192" i="54"/>
  <c r="G192" i="34"/>
  <c r="AH42" i="50"/>
  <c r="AG42" i="50"/>
  <c r="AH30" i="50"/>
  <c r="AG30" i="50"/>
  <c r="AK13" i="52"/>
  <c r="AJ13" i="52"/>
  <c r="AK130" i="52"/>
  <c r="AJ130" i="52"/>
  <c r="AK176" i="52"/>
  <c r="AJ176" i="52"/>
  <c r="G32" i="55"/>
  <c r="AI122" i="52"/>
  <c r="AI166" i="52"/>
  <c r="AI39" i="52"/>
  <c r="AI48" i="52"/>
  <c r="AI134" i="52"/>
  <c r="AI79" i="52"/>
  <c r="AI107" i="52"/>
  <c r="AI117" i="52"/>
  <c r="AK104" i="52"/>
  <c r="AJ104" i="52"/>
  <c r="AH68" i="50"/>
  <c r="AG68" i="50"/>
  <c r="AK119" i="52"/>
  <c r="AJ119" i="52"/>
  <c r="AK177" i="52"/>
  <c r="AJ177" i="52"/>
  <c r="H118" i="54"/>
  <c r="AJ23" i="52"/>
  <c r="AK23" i="52"/>
  <c r="AJ101" i="52"/>
  <c r="AK101" i="52"/>
  <c r="AH26" i="50"/>
  <c r="AG26" i="50"/>
  <c r="AH75" i="50"/>
  <c r="AG75" i="50"/>
  <c r="AJ111" i="52"/>
  <c r="AK111" i="52"/>
  <c r="AK147" i="52"/>
  <c r="AJ147" i="52"/>
  <c r="AK110" i="52"/>
  <c r="AJ110" i="52"/>
  <c r="AJ152" i="52"/>
  <c r="AK152" i="52"/>
  <c r="AH50" i="50"/>
  <c r="AG50" i="50"/>
  <c r="AK137" i="52"/>
  <c r="AJ137" i="52"/>
  <c r="AH73" i="50"/>
  <c r="AG73" i="50"/>
  <c r="AH64" i="50"/>
  <c r="AG64" i="50"/>
  <c r="AH11" i="50"/>
  <c r="AG11" i="50"/>
  <c r="AK91" i="52"/>
  <c r="AJ91" i="52"/>
  <c r="AK127" i="52"/>
  <c r="AJ127" i="52"/>
  <c r="AK83" i="52"/>
  <c r="AJ83" i="52"/>
  <c r="H262" i="54" l="1"/>
  <c r="G262" i="34"/>
  <c r="H211" i="54"/>
  <c r="G211" i="34"/>
  <c r="H287" i="54"/>
  <c r="G287" i="34"/>
  <c r="H68" i="54"/>
  <c r="D68" i="33"/>
  <c r="H237" i="54"/>
  <c r="G237" i="34"/>
  <c r="H11" i="54"/>
  <c r="D11" i="33"/>
  <c r="H73" i="54"/>
  <c r="D73" i="33"/>
  <c r="H50" i="54"/>
  <c r="D50" i="33"/>
  <c r="H220" i="54"/>
  <c r="G220" i="34"/>
  <c r="H26" i="54"/>
  <c r="D26" i="33"/>
  <c r="H286" i="54"/>
  <c r="G286" i="34"/>
  <c r="H123" i="54"/>
  <c r="G123" i="34"/>
  <c r="H42" i="54"/>
  <c r="D42" i="33"/>
  <c r="H193" i="54"/>
  <c r="G193" i="34"/>
  <c r="H201" i="54"/>
  <c r="G201" i="34"/>
  <c r="H64" i="54"/>
  <c r="D64" i="33"/>
  <c r="H247" i="54"/>
  <c r="G247" i="34"/>
  <c r="H257" i="54"/>
  <c r="G257" i="34"/>
  <c r="H75" i="54"/>
  <c r="D75" i="33"/>
  <c r="H240" i="54"/>
  <c r="G240" i="34"/>
  <c r="H30" i="54"/>
  <c r="D30" i="33"/>
  <c r="H221" i="54"/>
  <c r="G221" i="34"/>
  <c r="H133" i="54"/>
  <c r="G133" i="34"/>
  <c r="H229" i="54"/>
  <c r="G229" i="34"/>
  <c r="H214" i="54"/>
  <c r="G214" i="34"/>
  <c r="AK117" i="52"/>
  <c r="AJ117" i="52"/>
  <c r="AJ48" i="52"/>
  <c r="AK48" i="52"/>
  <c r="G31" i="55"/>
  <c r="AI174" i="52"/>
  <c r="AI24" i="52"/>
  <c r="AI93" i="52"/>
  <c r="AI25" i="52"/>
  <c r="AF36" i="50"/>
  <c r="AF84" i="50"/>
  <c r="AF74" i="50"/>
  <c r="AF55" i="50"/>
  <c r="AF39" i="50"/>
  <c r="AI17" i="52"/>
  <c r="AI86" i="52"/>
  <c r="AI181" i="52"/>
  <c r="AF78" i="50"/>
  <c r="AI64" i="52"/>
  <c r="AI182" i="52"/>
  <c r="AI155" i="52"/>
  <c r="AI180" i="52"/>
  <c r="AI72" i="52"/>
  <c r="AJ107" i="52"/>
  <c r="AK107" i="52"/>
  <c r="AJ39" i="52"/>
  <c r="AK39" i="52"/>
  <c r="AK134" i="52"/>
  <c r="AJ134" i="52"/>
  <c r="AK122" i="52"/>
  <c r="AJ122" i="52"/>
  <c r="AJ79" i="52"/>
  <c r="AK79" i="52"/>
  <c r="AJ166" i="52"/>
  <c r="AK166" i="52"/>
  <c r="H244" i="54" l="1"/>
  <c r="G244" i="34"/>
  <c r="H189" i="54"/>
  <c r="G189" i="34"/>
  <c r="H276" i="54"/>
  <c r="G276" i="34"/>
  <c r="H149" i="54"/>
  <c r="G149" i="34"/>
  <c r="H227" i="54"/>
  <c r="G227" i="34"/>
  <c r="H217" i="54"/>
  <c r="G217" i="34"/>
  <c r="H232" i="54"/>
  <c r="G232" i="34"/>
  <c r="H158" i="54"/>
  <c r="G158" i="34"/>
  <c r="AK72" i="52"/>
  <c r="AJ72" i="52"/>
  <c r="AJ64" i="52"/>
  <c r="AK64" i="52"/>
  <c r="AJ17" i="52"/>
  <c r="AK17" i="52"/>
  <c r="AH84" i="50"/>
  <c r="AG84" i="50"/>
  <c r="AJ180" i="52"/>
  <c r="AK180" i="52"/>
  <c r="AH39" i="50"/>
  <c r="AG39" i="50"/>
  <c r="AJ174" i="52"/>
  <c r="AK174" i="52"/>
  <c r="AK182" i="52"/>
  <c r="AJ182" i="52"/>
  <c r="AJ86" i="52"/>
  <c r="AK86" i="52"/>
  <c r="AH74" i="50"/>
  <c r="AG74" i="50"/>
  <c r="AJ93" i="52"/>
  <c r="AK93" i="52"/>
  <c r="AJ24" i="52"/>
  <c r="AK24" i="52"/>
  <c r="AH78" i="50"/>
  <c r="AG78" i="50"/>
  <c r="AH36" i="50"/>
  <c r="AG36" i="50"/>
  <c r="AK155" i="52"/>
  <c r="AJ155" i="52"/>
  <c r="AK181" i="52"/>
  <c r="AJ181" i="52"/>
  <c r="AH55" i="50"/>
  <c r="AG55" i="50"/>
  <c r="AJ25" i="52"/>
  <c r="AK25" i="52"/>
  <c r="G30" i="55"/>
  <c r="AI168" i="52"/>
  <c r="AI113" i="52"/>
  <c r="AI133" i="52"/>
  <c r="AI38" i="52"/>
  <c r="AI131" i="52"/>
  <c r="AF82" i="50"/>
  <c r="AF62" i="50"/>
  <c r="AF29" i="50"/>
  <c r="AF59" i="50"/>
  <c r="AF35" i="50"/>
  <c r="AF61" i="50"/>
  <c r="AI142" i="52"/>
  <c r="AF60" i="50"/>
  <c r="AI125" i="52"/>
  <c r="AI148" i="52"/>
  <c r="AI99" i="52"/>
  <c r="AF41" i="50"/>
  <c r="AI12" i="52"/>
  <c r="AI45" i="52"/>
  <c r="AI151" i="52"/>
  <c r="AI138" i="52"/>
  <c r="H291" i="54" l="1"/>
  <c r="G291" i="34"/>
  <c r="H36" i="54"/>
  <c r="D36" i="33"/>
  <c r="H74" i="54"/>
  <c r="D74" i="33"/>
  <c r="H292" i="54"/>
  <c r="G292" i="34"/>
  <c r="H39" i="54"/>
  <c r="D39" i="33"/>
  <c r="H84" i="54"/>
  <c r="D84" i="33"/>
  <c r="H135" i="54"/>
  <c r="G135" i="34"/>
  <c r="H134" i="54"/>
  <c r="G134" i="34"/>
  <c r="H174" i="54"/>
  <c r="G174" i="34"/>
  <c r="H55" i="54"/>
  <c r="D55" i="33"/>
  <c r="H265" i="54"/>
  <c r="G265" i="34"/>
  <c r="H78" i="54"/>
  <c r="D78" i="33"/>
  <c r="H182" i="54"/>
  <c r="G182" i="34"/>
  <c r="H203" i="54"/>
  <c r="G203" i="34"/>
  <c r="H196" i="54"/>
  <c r="G196" i="34"/>
  <c r="H284" i="54"/>
  <c r="G284" i="34"/>
  <c r="H290" i="54"/>
  <c r="G290" i="34"/>
  <c r="H127" i="54"/>
  <c r="G127" i="34"/>
  <c r="AJ12" i="52"/>
  <c r="AK12" i="52"/>
  <c r="AH35" i="50"/>
  <c r="AG35" i="50"/>
  <c r="AJ113" i="52"/>
  <c r="AK113" i="52"/>
  <c r="AG41" i="50"/>
  <c r="AH41" i="50"/>
  <c r="AH60" i="50"/>
  <c r="AG60" i="50"/>
  <c r="AK131" i="52"/>
  <c r="AJ131" i="52"/>
  <c r="AJ45" i="52"/>
  <c r="AK45" i="52"/>
  <c r="AJ148" i="52"/>
  <c r="AK148" i="52"/>
  <c r="AH61" i="50"/>
  <c r="AG61" i="50"/>
  <c r="AH62" i="50"/>
  <c r="AG62" i="50"/>
  <c r="AK133" i="52"/>
  <c r="AJ133" i="52"/>
  <c r="AJ125" i="52"/>
  <c r="AK125" i="52"/>
  <c r="AH82" i="50"/>
  <c r="AG82" i="50"/>
  <c r="AK138" i="52"/>
  <c r="AJ138" i="52"/>
  <c r="AH59" i="50"/>
  <c r="AG59" i="50"/>
  <c r="AJ168" i="52"/>
  <c r="AK168" i="52"/>
  <c r="AJ151" i="52"/>
  <c r="AK151" i="52"/>
  <c r="AK99" i="52"/>
  <c r="AJ99" i="52"/>
  <c r="AJ142" i="52"/>
  <c r="AK142" i="52"/>
  <c r="AH29" i="50"/>
  <c r="AG29" i="50"/>
  <c r="AK38" i="52"/>
  <c r="AJ38" i="52"/>
  <c r="G29" i="55"/>
  <c r="AI178" i="52"/>
  <c r="AI88" i="52"/>
  <c r="AI16" i="52"/>
  <c r="AI63" i="52"/>
  <c r="AI139" i="52"/>
  <c r="AI89" i="52"/>
  <c r="AF77" i="50"/>
  <c r="AF28" i="50"/>
  <c r="AI59" i="52"/>
  <c r="AI109" i="52"/>
  <c r="AI81" i="52"/>
  <c r="AI56" i="52"/>
  <c r="AI95" i="52"/>
  <c r="AF15" i="50"/>
  <c r="AI68" i="52"/>
  <c r="AI27" i="52"/>
  <c r="AI51" i="52"/>
  <c r="H278" i="54" l="1"/>
  <c r="G278" i="34"/>
  <c r="H235" i="54"/>
  <c r="G235" i="34"/>
  <c r="H258" i="54"/>
  <c r="G258" i="34"/>
  <c r="H41" i="54"/>
  <c r="D41" i="33"/>
  <c r="H148" i="54"/>
  <c r="G148" i="34"/>
  <c r="H59" i="54"/>
  <c r="D59" i="33"/>
  <c r="H82" i="54"/>
  <c r="D82" i="33"/>
  <c r="H243" i="54"/>
  <c r="G243" i="34"/>
  <c r="H61" i="54"/>
  <c r="D61" i="33"/>
  <c r="H60" i="54"/>
  <c r="D60" i="33"/>
  <c r="H29" i="54"/>
  <c r="D29" i="33"/>
  <c r="H209" i="54"/>
  <c r="G209" i="34"/>
  <c r="H248" i="54"/>
  <c r="G248" i="34"/>
  <c r="H62" i="54"/>
  <c r="D62" i="33"/>
  <c r="H241" i="54"/>
  <c r="G241" i="34"/>
  <c r="H35" i="54"/>
  <c r="D35" i="33"/>
  <c r="H252" i="54"/>
  <c r="G252" i="34"/>
  <c r="H261" i="54"/>
  <c r="G261" i="34"/>
  <c r="H155" i="54"/>
  <c r="G155" i="34"/>
  <c r="H223" i="54"/>
  <c r="G223" i="34"/>
  <c r="H122" i="54"/>
  <c r="G122" i="34"/>
  <c r="AJ56" i="52"/>
  <c r="AK56" i="52"/>
  <c r="AJ63" i="52"/>
  <c r="AK63" i="52"/>
  <c r="G28" i="55"/>
  <c r="AI129" i="52"/>
  <c r="AI73" i="52"/>
  <c r="AI128" i="52"/>
  <c r="AI144" i="52"/>
  <c r="AI42" i="52"/>
  <c r="AI165" i="52"/>
  <c r="AI141" i="52"/>
  <c r="AI154" i="52"/>
  <c r="AI92" i="52"/>
  <c r="AI55" i="52"/>
  <c r="AF9" i="50"/>
  <c r="AF10" i="50"/>
  <c r="AI31" i="52"/>
  <c r="AI102" i="52"/>
  <c r="AI159" i="52"/>
  <c r="AI115" i="52"/>
  <c r="AF80" i="50"/>
  <c r="AI132" i="52"/>
  <c r="AF33" i="50"/>
  <c r="AF8" i="50"/>
  <c r="AI105" i="52"/>
  <c r="AI10" i="52"/>
  <c r="AK68" i="52"/>
  <c r="AJ68" i="52"/>
  <c r="AH77" i="50"/>
  <c r="AG77" i="50"/>
  <c r="AK51" i="52"/>
  <c r="AJ51" i="52"/>
  <c r="AK95" i="52"/>
  <c r="AJ95" i="52"/>
  <c r="AJ59" i="52"/>
  <c r="AK59" i="52"/>
  <c r="AJ139" i="52"/>
  <c r="AK139" i="52"/>
  <c r="AK178" i="52"/>
  <c r="AJ178" i="52"/>
  <c r="AJ27" i="52"/>
  <c r="AK27" i="52"/>
  <c r="AH28" i="50"/>
  <c r="AG28" i="50"/>
  <c r="AJ81" i="52"/>
  <c r="AK81" i="52"/>
  <c r="AJ16" i="52"/>
  <c r="AK16" i="52"/>
  <c r="AH15" i="50"/>
  <c r="AG15" i="50"/>
  <c r="AJ109" i="52"/>
  <c r="AK109" i="52"/>
  <c r="AJ89" i="52"/>
  <c r="AK89" i="52"/>
  <c r="AK88" i="52"/>
  <c r="AJ88" i="52"/>
  <c r="H199" i="54" l="1"/>
  <c r="G199" i="34"/>
  <c r="H191" i="54"/>
  <c r="G191" i="34"/>
  <c r="H137" i="54"/>
  <c r="G137" i="34"/>
  <c r="H249" i="54"/>
  <c r="G249" i="34"/>
  <c r="H198" i="54"/>
  <c r="G198" i="34"/>
  <c r="H28" i="54"/>
  <c r="D28" i="33"/>
  <c r="H288" i="54"/>
  <c r="G288" i="34"/>
  <c r="H161" i="54"/>
  <c r="G161" i="34"/>
  <c r="H178" i="54"/>
  <c r="G178" i="34"/>
  <c r="H166" i="54"/>
  <c r="G166" i="34"/>
  <c r="H219" i="54"/>
  <c r="G219" i="34"/>
  <c r="H126" i="54"/>
  <c r="G126" i="34"/>
  <c r="H169" i="54"/>
  <c r="G169" i="34"/>
  <c r="H15" i="54"/>
  <c r="D15" i="33"/>
  <c r="H205" i="54"/>
  <c r="G205" i="34"/>
  <c r="H77" i="54"/>
  <c r="D77" i="33"/>
  <c r="H173" i="54"/>
  <c r="G173" i="34"/>
  <c r="AJ10" i="52"/>
  <c r="G120" i="34" s="1"/>
  <c r="AK10" i="52"/>
  <c r="AJ132" i="52"/>
  <c r="AK132" i="52"/>
  <c r="AJ102" i="52"/>
  <c r="AK102" i="52"/>
  <c r="AK55" i="52"/>
  <c r="AJ55" i="52"/>
  <c r="AK165" i="52"/>
  <c r="AJ165" i="52"/>
  <c r="AH80" i="50"/>
  <c r="AG80" i="50"/>
  <c r="AK42" i="52"/>
  <c r="AJ42" i="52"/>
  <c r="AH33" i="50"/>
  <c r="AG33" i="50"/>
  <c r="AJ159" i="52"/>
  <c r="AK159" i="52"/>
  <c r="AH9" i="50"/>
  <c r="AG9" i="50"/>
  <c r="AK141" i="52"/>
  <c r="AJ141" i="52"/>
  <c r="AK128" i="52"/>
  <c r="AJ128" i="52"/>
  <c r="AK73" i="52"/>
  <c r="AJ73" i="52"/>
  <c r="AK105" i="52"/>
  <c r="AJ105" i="52"/>
  <c r="AK31" i="52"/>
  <c r="AJ31" i="52"/>
  <c r="AJ92" i="52"/>
  <c r="AK92" i="52"/>
  <c r="AJ129" i="52"/>
  <c r="AK129" i="52"/>
  <c r="AH8" i="50"/>
  <c r="AG8" i="50"/>
  <c r="D8" i="33" s="1"/>
  <c r="AK115" i="52"/>
  <c r="AJ115" i="52"/>
  <c r="AH10" i="50"/>
  <c r="AG10" i="50"/>
  <c r="AK154" i="52"/>
  <c r="AJ154" i="52"/>
  <c r="AK144" i="52"/>
  <c r="AJ144" i="52"/>
  <c r="G27" i="55"/>
  <c r="AI167" i="52"/>
  <c r="AI140" i="52"/>
  <c r="AI106" i="52"/>
  <c r="AI40" i="52"/>
  <c r="AF66" i="50"/>
  <c r="AI150" i="52"/>
  <c r="AI112" i="52"/>
  <c r="AF46" i="50"/>
  <c r="H264" i="54" l="1"/>
  <c r="G264" i="34"/>
  <c r="H225" i="54"/>
  <c r="G225" i="34"/>
  <c r="H141" i="54"/>
  <c r="G141" i="34"/>
  <c r="H183" i="54"/>
  <c r="G183" i="34"/>
  <c r="H251" i="54"/>
  <c r="G251" i="34"/>
  <c r="H152" i="54"/>
  <c r="G152" i="34"/>
  <c r="H275" i="54"/>
  <c r="G275" i="34"/>
  <c r="H239" i="54"/>
  <c r="G239" i="34"/>
  <c r="H269" i="54"/>
  <c r="G269" i="34"/>
  <c r="H212" i="54"/>
  <c r="G212" i="34"/>
  <c r="H254" i="54"/>
  <c r="G254" i="34"/>
  <c r="H10" i="54"/>
  <c r="D10" i="33"/>
  <c r="H215" i="54"/>
  <c r="G215" i="34"/>
  <c r="H238" i="54"/>
  <c r="G238" i="34"/>
  <c r="H9" i="54"/>
  <c r="D9" i="33"/>
  <c r="H33" i="54"/>
  <c r="D33" i="33"/>
  <c r="H80" i="54"/>
  <c r="D80" i="33"/>
  <c r="H165" i="54"/>
  <c r="G165" i="34"/>
  <c r="H202" i="54"/>
  <c r="G202" i="34"/>
  <c r="H242" i="54"/>
  <c r="G242" i="34"/>
  <c r="AJ150" i="52"/>
  <c r="AK150" i="52"/>
  <c r="AK167" i="52"/>
  <c r="AJ167" i="52"/>
  <c r="AJ112" i="52"/>
  <c r="AK112" i="52"/>
  <c r="AK106" i="52"/>
  <c r="AJ106" i="52"/>
  <c r="H8" i="54"/>
  <c r="AJ140" i="52"/>
  <c r="AK140" i="52"/>
  <c r="AG66" i="50"/>
  <c r="AH66" i="50"/>
  <c r="AG46" i="50"/>
  <c r="AH46" i="50"/>
  <c r="AJ40" i="52"/>
  <c r="AK40" i="52"/>
  <c r="G26" i="55"/>
  <c r="AI164" i="52"/>
  <c r="AI20" i="52"/>
  <c r="AI11" i="52"/>
  <c r="AI146" i="52"/>
  <c r="AI124" i="52"/>
  <c r="AI54" i="52"/>
  <c r="AI29" i="52"/>
  <c r="AF19" i="50"/>
  <c r="AF56" i="50"/>
  <c r="AF22" i="50"/>
  <c r="AF49" i="50"/>
  <c r="AI87" i="52"/>
  <c r="AF27" i="50"/>
  <c r="AI77" i="52"/>
  <c r="AF25" i="50"/>
  <c r="AF14" i="50"/>
  <c r="AI62" i="52"/>
  <c r="AF34" i="50"/>
  <c r="AI121" i="52"/>
  <c r="AF83" i="50"/>
  <c r="AF12" i="50"/>
  <c r="AI58" i="52"/>
  <c r="H120" i="54"/>
  <c r="H150" i="54" l="1"/>
  <c r="G150" i="34"/>
  <c r="H66" i="54"/>
  <c r="D66" i="33"/>
  <c r="H216" i="54"/>
  <c r="G216" i="34"/>
  <c r="H277" i="54"/>
  <c r="G277" i="34"/>
  <c r="H46" i="54"/>
  <c r="D46" i="33"/>
  <c r="H250" i="54"/>
  <c r="G250" i="34"/>
  <c r="H222" i="54"/>
  <c r="G222" i="34"/>
  <c r="H260" i="54"/>
  <c r="G260" i="34"/>
  <c r="AH34" i="50"/>
  <c r="AG34" i="50"/>
  <c r="AH22" i="50"/>
  <c r="AG22" i="50"/>
  <c r="AK54" i="52"/>
  <c r="AJ54" i="52"/>
  <c r="AK20" i="52"/>
  <c r="AJ20" i="52"/>
  <c r="AH12" i="50"/>
  <c r="AG12" i="50"/>
  <c r="D12" i="33" s="1"/>
  <c r="AG27" i="50"/>
  <c r="AH27" i="50"/>
  <c r="AK124" i="52"/>
  <c r="AJ124" i="52"/>
  <c r="AK164" i="52"/>
  <c r="AJ164" i="52"/>
  <c r="AJ121" i="52"/>
  <c r="AK121" i="52"/>
  <c r="AG25" i="50"/>
  <c r="AH25" i="50"/>
  <c r="AG49" i="50"/>
  <c r="AH49" i="50"/>
  <c r="AJ29" i="52"/>
  <c r="AK29" i="52"/>
  <c r="AK11" i="52"/>
  <c r="AJ11" i="52"/>
  <c r="G121" i="34" s="1"/>
  <c r="AJ58" i="52"/>
  <c r="AK58" i="52"/>
  <c r="AK77" i="52"/>
  <c r="AJ77" i="52"/>
  <c r="AK62" i="52"/>
  <c r="AJ62" i="52"/>
  <c r="AH56" i="50"/>
  <c r="AG56" i="50"/>
  <c r="AH83" i="50"/>
  <c r="AG83" i="50"/>
  <c r="AH14" i="50"/>
  <c r="AG14" i="50"/>
  <c r="AK87" i="52"/>
  <c r="AJ87" i="52"/>
  <c r="AH19" i="50"/>
  <c r="AG19" i="50"/>
  <c r="AJ146" i="52"/>
  <c r="AK146" i="52"/>
  <c r="G25" i="55"/>
  <c r="AI26" i="52"/>
  <c r="AF32" i="50"/>
  <c r="AF51" i="50"/>
  <c r="AI60" i="52"/>
  <c r="AI135" i="52"/>
  <c r="AI67" i="52"/>
  <c r="AF17" i="50"/>
  <c r="H197" i="54" l="1"/>
  <c r="G197" i="34"/>
  <c r="H83" i="54"/>
  <c r="D83" i="33"/>
  <c r="H172" i="54"/>
  <c r="G172" i="34"/>
  <c r="H274" i="54"/>
  <c r="G274" i="34"/>
  <c r="H130" i="54"/>
  <c r="G130" i="34"/>
  <c r="H22" i="54"/>
  <c r="D22" i="33"/>
  <c r="H256" i="54"/>
  <c r="G256" i="34"/>
  <c r="H168" i="54"/>
  <c r="G168" i="34"/>
  <c r="H139" i="54"/>
  <c r="G139" i="34"/>
  <c r="H25" i="54"/>
  <c r="D25" i="33"/>
  <c r="H27" i="54"/>
  <c r="D27" i="33"/>
  <c r="H19" i="54"/>
  <c r="D19" i="33"/>
  <c r="H14" i="54"/>
  <c r="D14" i="33"/>
  <c r="H56" i="54"/>
  <c r="D56" i="33"/>
  <c r="H187" i="54"/>
  <c r="G187" i="34"/>
  <c r="H234" i="54"/>
  <c r="G234" i="34"/>
  <c r="H164" i="54"/>
  <c r="G164" i="34"/>
  <c r="H34" i="54"/>
  <c r="D34" i="33"/>
  <c r="H49" i="54"/>
  <c r="D49" i="33"/>
  <c r="H231" i="54"/>
  <c r="G231" i="34"/>
  <c r="AJ67" i="52"/>
  <c r="AK67" i="52"/>
  <c r="AK135" i="52"/>
  <c r="AJ135" i="52"/>
  <c r="H12" i="54"/>
  <c r="AH17" i="50"/>
  <c r="AG17" i="50"/>
  <c r="AG51" i="50"/>
  <c r="AH51" i="50"/>
  <c r="AH32" i="50"/>
  <c r="AG32" i="50"/>
  <c r="AK26" i="52"/>
  <c r="AJ26" i="52"/>
  <c r="H121" i="54"/>
  <c r="AK60" i="52"/>
  <c r="AJ60" i="52"/>
  <c r="G24" i="55"/>
  <c r="AI153" i="52"/>
  <c r="AI161" i="52"/>
  <c r="AF31" i="50"/>
  <c r="H170" i="54" l="1"/>
  <c r="G170" i="34"/>
  <c r="H51" i="54"/>
  <c r="D51" i="33"/>
  <c r="H245" i="54"/>
  <c r="G245" i="34"/>
  <c r="H32" i="54"/>
  <c r="D32" i="33"/>
  <c r="H17" i="54"/>
  <c r="D17" i="33"/>
  <c r="H136" i="54"/>
  <c r="G136" i="34"/>
  <c r="H177" i="54"/>
  <c r="G177" i="34"/>
  <c r="G23" i="55"/>
  <c r="AI34" i="52"/>
  <c r="AF47" i="50"/>
  <c r="AI50" i="52"/>
  <c r="AF20" i="50"/>
  <c r="AI44" i="52"/>
  <c r="AI53" i="52"/>
  <c r="AF37" i="50"/>
  <c r="AI36" i="52"/>
  <c r="AI32" i="52"/>
  <c r="AF52" i="50"/>
  <c r="AJ153" i="52"/>
  <c r="AK153" i="52"/>
  <c r="AH31" i="50"/>
  <c r="AG31" i="50"/>
  <c r="AJ161" i="52"/>
  <c r="AK161" i="52"/>
  <c r="H271" i="54" l="1"/>
  <c r="G271" i="34"/>
  <c r="H263" i="54"/>
  <c r="G263" i="34"/>
  <c r="H31" i="54"/>
  <c r="D31" i="33"/>
  <c r="AJ53" i="52"/>
  <c r="AK53" i="52"/>
  <c r="AK32" i="52"/>
  <c r="AJ32" i="52"/>
  <c r="G142" i="34" s="1"/>
  <c r="AJ44" i="52"/>
  <c r="AK44" i="52"/>
  <c r="AJ34" i="52"/>
  <c r="AK34" i="52"/>
  <c r="AJ36" i="52"/>
  <c r="AK36" i="52"/>
  <c r="AG20" i="50"/>
  <c r="D20" i="33" s="1"/>
  <c r="AH20" i="50"/>
  <c r="G22" i="55"/>
  <c r="AF79" i="50"/>
  <c r="AF54" i="50"/>
  <c r="AH52" i="50"/>
  <c r="AG52" i="50"/>
  <c r="AH47" i="50"/>
  <c r="AG47" i="50"/>
  <c r="AH37" i="50"/>
  <c r="AG37" i="50"/>
  <c r="AK50" i="52"/>
  <c r="AJ50" i="52"/>
  <c r="H37" i="54" l="1"/>
  <c r="D37" i="33"/>
  <c r="H52" i="54"/>
  <c r="D52" i="33"/>
  <c r="H146" i="54"/>
  <c r="G146" i="34"/>
  <c r="H154" i="54"/>
  <c r="G154" i="34"/>
  <c r="H163" i="54"/>
  <c r="G163" i="34"/>
  <c r="H160" i="54"/>
  <c r="G160" i="34"/>
  <c r="H47" i="54"/>
  <c r="D47" i="33"/>
  <c r="H144" i="54"/>
  <c r="G144" i="34"/>
  <c r="AK190" i="52"/>
  <c r="AG54" i="50"/>
  <c r="AH54" i="50"/>
  <c r="H20" i="54"/>
  <c r="AH79" i="50"/>
  <c r="AG79" i="50"/>
  <c r="G21" i="55"/>
  <c r="AF53" i="50"/>
  <c r="AF45" i="50"/>
  <c r="H142" i="54"/>
  <c r="AJ190" i="52"/>
  <c r="H79" i="54" l="1"/>
  <c r="D79" i="33"/>
  <c r="H54" i="54"/>
  <c r="D54" i="33"/>
  <c r="AH53" i="50"/>
  <c r="AG53" i="50"/>
  <c r="G20" i="55"/>
  <c r="G19" i="55" s="1"/>
  <c r="AF48" i="50"/>
  <c r="L24" i="51"/>
  <c r="M24" i="51" s="1"/>
  <c r="AG45" i="50"/>
  <c r="D45" i="33" s="1"/>
  <c r="AH45" i="50"/>
  <c r="H116" i="54" l="1"/>
  <c r="D116" i="33"/>
  <c r="H53" i="54"/>
  <c r="D53" i="33"/>
  <c r="AH48" i="50"/>
  <c r="AH103" i="50" s="1"/>
  <c r="AG48" i="50"/>
  <c r="G18" i="55"/>
  <c r="G17" i="55" s="1"/>
  <c r="G16" i="55" s="1"/>
  <c r="G15" i="55" s="1"/>
  <c r="L14" i="51"/>
  <c r="M14" i="51" s="1"/>
  <c r="L16" i="51"/>
  <c r="M16" i="51" s="1"/>
  <c r="H45" i="54"/>
  <c r="AG103" i="50"/>
  <c r="H108" i="54" l="1"/>
  <c r="D108" i="33"/>
  <c r="H106" i="54"/>
  <c r="D106" i="33"/>
  <c r="H48" i="54"/>
  <c r="D48" i="33"/>
  <c r="G14" i="55"/>
  <c r="G13" i="55" s="1"/>
  <c r="L19" i="51"/>
  <c r="M19" i="51" s="1"/>
  <c r="H111" i="54" l="1"/>
  <c r="D111" i="33"/>
  <c r="G12" i="55"/>
  <c r="L21" i="51"/>
  <c r="M21" i="51" s="1"/>
  <c r="L11" i="51"/>
  <c r="M11" i="51" s="1"/>
  <c r="H103" i="54" l="1"/>
  <c r="D103" i="33"/>
  <c r="H113" i="54"/>
  <c r="D113" i="33"/>
  <c r="G11" i="55"/>
  <c r="L25" i="51"/>
  <c r="M25" i="51" s="1"/>
  <c r="L17" i="51"/>
  <c r="M17" i="51" s="1"/>
  <c r="L10" i="51"/>
  <c r="M10" i="51" s="1"/>
  <c r="L22" i="51"/>
  <c r="M22" i="51" s="1"/>
  <c r="L8" i="51"/>
  <c r="M8" i="51" s="1"/>
  <c r="D100" i="33" s="1"/>
  <c r="L20" i="51"/>
  <c r="M20" i="51" s="1"/>
  <c r="H114" i="54" l="1"/>
  <c r="D114" i="33"/>
  <c r="H102" i="54"/>
  <c r="D102" i="33"/>
  <c r="H112" i="54"/>
  <c r="D112" i="33"/>
  <c r="H109" i="54"/>
  <c r="D109" i="33"/>
  <c r="H117" i="54"/>
  <c r="D117" i="33"/>
  <c r="H100" i="54"/>
  <c r="G10" i="55"/>
  <c r="L13" i="51"/>
  <c r="M13" i="51" s="1"/>
  <c r="H105" i="54" l="1"/>
  <c r="D105" i="33"/>
  <c r="G9" i="55"/>
  <c r="L23" i="51"/>
  <c r="M23" i="51" s="1"/>
  <c r="L12" i="51"/>
  <c r="M12" i="51" s="1"/>
  <c r="H104" i="54" l="1"/>
  <c r="D104" i="33"/>
  <c r="H115" i="54"/>
  <c r="D115" i="33"/>
  <c r="L18" i="51"/>
  <c r="M18" i="51" s="1"/>
  <c r="L15" i="51"/>
  <c r="M15" i="51" s="1"/>
  <c r="L9" i="51"/>
  <c r="M9" i="51" s="1"/>
  <c r="D101" i="33" s="1"/>
  <c r="H107" i="54" l="1"/>
  <c r="D107" i="33"/>
  <c r="H110" i="54"/>
  <c r="D110" i="33"/>
  <c r="H101" i="54"/>
  <c r="M26" i="51"/>
  <c r="B8" i="34" l="1"/>
  <c r="B9" i="34"/>
  <c r="B10" i="34"/>
  <c r="B11" i="34"/>
  <c r="B12" i="34"/>
  <c r="B13" i="34"/>
  <c r="B14" i="34"/>
  <c r="B15" i="34"/>
  <c r="B16" i="34"/>
  <c r="B17" i="34"/>
  <c r="B18" i="34"/>
  <c r="B19" i="34"/>
  <c r="B20" i="34"/>
  <c r="B21" i="34"/>
  <c r="B22" i="34"/>
  <c r="B23" i="34"/>
  <c r="B24" i="34"/>
  <c r="B25" i="34"/>
  <c r="B26" i="34"/>
  <c r="B27" i="34"/>
  <c r="B28" i="34"/>
  <c r="B29" i="34"/>
  <c r="B30" i="34"/>
  <c r="B31" i="34"/>
  <c r="B32" i="34"/>
  <c r="B33" i="34"/>
  <c r="B34" i="34"/>
  <c r="B35" i="34"/>
  <c r="B36" i="34"/>
  <c r="B37" i="34"/>
  <c r="B38" i="34"/>
  <c r="B39" i="34"/>
  <c r="B40" i="34"/>
  <c r="B41" i="34"/>
  <c r="B42" i="34"/>
  <c r="B43" i="34"/>
  <c r="B44" i="34"/>
  <c r="B45" i="34"/>
  <c r="B46" i="34"/>
  <c r="B47" i="34"/>
  <c r="B48" i="34"/>
  <c r="B49" i="34"/>
  <c r="B50" i="34"/>
  <c r="B51" i="34"/>
  <c r="B52" i="34"/>
  <c r="B53" i="34"/>
  <c r="B54" i="34"/>
  <c r="B55" i="34"/>
  <c r="B56" i="34"/>
  <c r="B57" i="34"/>
  <c r="B58" i="34"/>
  <c r="B59" i="34"/>
  <c r="B60" i="34"/>
  <c r="B61" i="34"/>
  <c r="B62" i="34"/>
  <c r="B63" i="34"/>
  <c r="B64" i="34"/>
  <c r="B65" i="34"/>
  <c r="B66" i="34"/>
  <c r="B67" i="34"/>
  <c r="B68" i="34"/>
  <c r="B69" i="34"/>
  <c r="B70" i="34"/>
  <c r="B71" i="34"/>
  <c r="B72" i="34"/>
  <c r="B73" i="34"/>
  <c r="B74" i="34"/>
  <c r="B75" i="34"/>
  <c r="B76" i="34"/>
  <c r="B77" i="34"/>
  <c r="B78" i="34"/>
  <c r="B79" i="34"/>
  <c r="B80" i="34"/>
  <c r="B81" i="34"/>
  <c r="B82" i="34"/>
  <c r="B83" i="34"/>
  <c r="B84" i="34"/>
  <c r="B85" i="34"/>
  <c r="B86" i="34"/>
  <c r="B87" i="34"/>
  <c r="B88" i="34"/>
  <c r="B89" i="34"/>
  <c r="B90" i="34"/>
  <c r="B91" i="34"/>
  <c r="B92" i="34"/>
  <c r="B93" i="34"/>
  <c r="B94" i="34"/>
  <c r="B95" i="34"/>
  <c r="B96" i="34"/>
  <c r="B97" i="34"/>
  <c r="B98" i="34"/>
  <c r="B99" i="34"/>
  <c r="B100" i="34"/>
  <c r="B101" i="34"/>
  <c r="B102" i="34"/>
  <c r="B103" i="34"/>
  <c r="B104" i="34"/>
  <c r="B105" i="34"/>
  <c r="B106" i="34"/>
  <c r="B107" i="34"/>
  <c r="B108" i="34"/>
  <c r="B109" i="34"/>
  <c r="B110" i="34"/>
  <c r="B111" i="34"/>
  <c r="B112" i="34"/>
  <c r="B113" i="34"/>
  <c r="B114" i="34"/>
  <c r="B115" i="34"/>
  <c r="B116" i="34"/>
  <c r="B117" i="34"/>
  <c r="I118" i="34"/>
  <c r="K125" i="34"/>
  <c r="I125" i="34"/>
  <c r="K131" i="34"/>
  <c r="K135" i="34"/>
  <c r="I231" i="34"/>
  <c r="K236" i="34"/>
  <c r="K241" i="34"/>
  <c r="K245" i="34"/>
  <c r="K249" i="34"/>
  <c r="K253" i="34"/>
  <c r="K257" i="34"/>
  <c r="K261" i="34"/>
  <c r="K265" i="34"/>
  <c r="K269" i="34"/>
  <c r="K273" i="34"/>
  <c r="K284" i="34" l="1"/>
  <c r="K282" i="34"/>
  <c r="I282" i="34"/>
  <c r="K278" i="34"/>
  <c r="K276" i="34"/>
  <c r="I254" i="34"/>
  <c r="I242" i="34"/>
  <c r="I237" i="34"/>
  <c r="K170" i="34"/>
  <c r="K154" i="34"/>
  <c r="K136" i="34"/>
  <c r="K132" i="34"/>
  <c r="K128" i="34"/>
  <c r="K126" i="34"/>
  <c r="K124" i="34"/>
  <c r="K122" i="34"/>
  <c r="I289" i="34"/>
  <c r="I291" i="34"/>
  <c r="I287" i="34"/>
  <c r="K220" i="34"/>
  <c r="I219" i="34"/>
  <c r="K214" i="34"/>
  <c r="K210" i="34"/>
  <c r="K208" i="34"/>
  <c r="K204" i="34"/>
  <c r="K202" i="34"/>
  <c r="K200" i="34"/>
  <c r="K196" i="34"/>
  <c r="K194" i="34"/>
  <c r="K192" i="34"/>
  <c r="K188" i="34"/>
  <c r="K186" i="34"/>
  <c r="K184" i="34"/>
  <c r="K180" i="34"/>
  <c r="K178" i="34"/>
  <c r="I177" i="34"/>
  <c r="I143" i="34"/>
  <c r="I141" i="34"/>
  <c r="K272" i="34"/>
  <c r="K268" i="34"/>
  <c r="K264" i="34"/>
  <c r="K260" i="34"/>
  <c r="K256" i="34"/>
  <c r="K252" i="34"/>
  <c r="K248" i="34"/>
  <c r="K244" i="34"/>
  <c r="K240" i="34"/>
  <c r="K231" i="34"/>
  <c r="K219" i="34"/>
  <c r="I161" i="34"/>
  <c r="I157" i="34"/>
  <c r="I156" i="34"/>
  <c r="I165" i="34"/>
  <c r="K279" i="34"/>
  <c r="I223" i="34"/>
  <c r="K162" i="34"/>
  <c r="K158" i="34"/>
  <c r="I283" i="34"/>
  <c r="I173" i="34"/>
  <c r="K167" i="34"/>
  <c r="K165" i="34"/>
  <c r="K157" i="34"/>
  <c r="K292" i="34"/>
  <c r="K238" i="34"/>
  <c r="K174" i="34"/>
  <c r="K156" i="34"/>
  <c r="K290" i="34"/>
  <c r="K288" i="34"/>
  <c r="I279" i="34"/>
  <c r="K234" i="34"/>
  <c r="K232" i="34"/>
  <c r="I215" i="34"/>
  <c r="I199" i="34"/>
  <c r="I197" i="34"/>
  <c r="I183" i="34"/>
  <c r="I181" i="34"/>
  <c r="I179" i="34"/>
  <c r="K172" i="34"/>
  <c r="I159" i="34"/>
  <c r="I154" i="34"/>
  <c r="I153" i="34"/>
  <c r="I149" i="34"/>
  <c r="I148" i="34"/>
  <c r="K146" i="34"/>
  <c r="K144" i="34"/>
  <c r="K140" i="34"/>
  <c r="K138" i="34"/>
  <c r="K291" i="34"/>
  <c r="I275" i="34"/>
  <c r="I271" i="34"/>
  <c r="I267" i="34"/>
  <c r="I263" i="34"/>
  <c r="K235" i="34"/>
  <c r="I228" i="34"/>
  <c r="I226" i="34"/>
  <c r="I225" i="34"/>
  <c r="K218" i="34"/>
  <c r="I175" i="34"/>
  <c r="K173" i="34"/>
  <c r="I170" i="34"/>
  <c r="I169" i="34"/>
  <c r="K164" i="34"/>
  <c r="I164" i="34"/>
  <c r="K151" i="34"/>
  <c r="K149" i="34"/>
  <c r="K147" i="34"/>
  <c r="I136" i="34"/>
  <c r="I135" i="34"/>
  <c r="K134" i="34"/>
  <c r="I133" i="34"/>
  <c r="I290" i="34"/>
  <c r="I277" i="34"/>
  <c r="I214" i="34"/>
  <c r="I210" i="34"/>
  <c r="I207" i="34"/>
  <c r="K287" i="34"/>
  <c r="K285" i="34"/>
  <c r="I281" i="34"/>
  <c r="K277" i="34"/>
  <c r="I274" i="34"/>
  <c r="I270" i="34"/>
  <c r="I266" i="34"/>
  <c r="I262" i="34"/>
  <c r="I258" i="34"/>
  <c r="I250" i="34"/>
  <c r="I246" i="34"/>
  <c r="K233" i="34"/>
  <c r="K230" i="34"/>
  <c r="K228" i="34"/>
  <c r="K226" i="34"/>
  <c r="K209" i="34"/>
  <c r="K201" i="34"/>
  <c r="K193" i="34"/>
  <c r="K185" i="34"/>
  <c r="K181" i="34"/>
  <c r="K179" i="34"/>
  <c r="K171" i="34"/>
  <c r="K166" i="34"/>
  <c r="K159" i="34"/>
  <c r="I151" i="34"/>
  <c r="K145" i="34"/>
  <c r="K127" i="34"/>
  <c r="K120" i="34"/>
  <c r="K286" i="34"/>
  <c r="K283" i="34"/>
  <c r="K280" i="34"/>
  <c r="I280" i="34"/>
  <c r="K275" i="34"/>
  <c r="K271" i="34"/>
  <c r="K267" i="34"/>
  <c r="K263" i="34"/>
  <c r="K259" i="34"/>
  <c r="I259" i="34"/>
  <c r="K255" i="34"/>
  <c r="I255" i="34"/>
  <c r="K251" i="34"/>
  <c r="K247" i="34"/>
  <c r="K243" i="34"/>
  <c r="K239" i="34"/>
  <c r="I235" i="34"/>
  <c r="I229" i="34"/>
  <c r="K223" i="34"/>
  <c r="K221" i="34"/>
  <c r="I217" i="34"/>
  <c r="K175" i="34"/>
  <c r="I167" i="34"/>
  <c r="K163" i="34"/>
  <c r="K155" i="34"/>
  <c r="I147" i="34"/>
  <c r="K133" i="34"/>
  <c r="I132" i="34"/>
  <c r="K130" i="34"/>
  <c r="I130" i="34"/>
  <c r="I119" i="34"/>
  <c r="I285" i="34"/>
  <c r="I221" i="34"/>
  <c r="I206" i="34"/>
  <c r="I205" i="34"/>
  <c r="I203" i="34"/>
  <c r="I198" i="34"/>
  <c r="I195" i="34"/>
  <c r="I194" i="34"/>
  <c r="I191" i="34"/>
  <c r="I190" i="34"/>
  <c r="I189" i="34"/>
  <c r="I187" i="34"/>
  <c r="I172" i="34"/>
  <c r="I142" i="34"/>
  <c r="I140" i="34"/>
  <c r="I138" i="34"/>
  <c r="I128" i="34"/>
  <c r="I127" i="34"/>
  <c r="I121" i="34"/>
  <c r="I251" i="34"/>
  <c r="I247" i="34"/>
  <c r="I243" i="34"/>
  <c r="K237" i="34"/>
  <c r="I232" i="34"/>
  <c r="I230" i="34"/>
  <c r="K215" i="34"/>
  <c r="I213" i="34"/>
  <c r="K207" i="34"/>
  <c r="K206" i="34"/>
  <c r="K205" i="34"/>
  <c r="K203" i="34"/>
  <c r="I209" i="34"/>
  <c r="I202" i="34"/>
  <c r="I292" i="34"/>
  <c r="I276" i="34"/>
  <c r="K289" i="34"/>
  <c r="I286" i="34"/>
  <c r="K281" i="34"/>
  <c r="I278" i="34"/>
  <c r="K274" i="34"/>
  <c r="I272" i="34"/>
  <c r="K270" i="34"/>
  <c r="I268" i="34"/>
  <c r="K266" i="34"/>
  <c r="I264" i="34"/>
  <c r="K262" i="34"/>
  <c r="I260" i="34"/>
  <c r="K258" i="34"/>
  <c r="I256" i="34"/>
  <c r="K254" i="34"/>
  <c r="I252" i="34"/>
  <c r="K250" i="34"/>
  <c r="I248" i="34"/>
  <c r="K246" i="34"/>
  <c r="I244" i="34"/>
  <c r="K242" i="34"/>
  <c r="I240" i="34"/>
  <c r="I233" i="34"/>
  <c r="K229" i="34"/>
  <c r="K227" i="34"/>
  <c r="K222" i="34"/>
  <c r="I220" i="34"/>
  <c r="K217" i="34"/>
  <c r="K216" i="34"/>
  <c r="I212" i="34"/>
  <c r="I211" i="34"/>
  <c r="I196" i="34"/>
  <c r="I193" i="34"/>
  <c r="K191" i="34"/>
  <c r="K190" i="34"/>
  <c r="K189" i="34"/>
  <c r="K187" i="34"/>
  <c r="K177" i="34"/>
  <c r="K176" i="34"/>
  <c r="I174" i="34"/>
  <c r="I163" i="34"/>
  <c r="K161" i="34"/>
  <c r="K160" i="34"/>
  <c r="I158" i="34"/>
  <c r="K148" i="34"/>
  <c r="I186" i="34"/>
  <c r="K150" i="34"/>
  <c r="I150" i="34"/>
  <c r="I146" i="34"/>
  <c r="I139" i="34"/>
  <c r="I137" i="34"/>
  <c r="I129" i="34"/>
  <c r="I123" i="34"/>
  <c r="I227" i="34"/>
  <c r="K225" i="34"/>
  <c r="K224" i="34"/>
  <c r="I222" i="34"/>
  <c r="I218" i="34"/>
  <c r="K213" i="34"/>
  <c r="K212" i="34"/>
  <c r="K211" i="34"/>
  <c r="I204" i="34"/>
  <c r="I201" i="34"/>
  <c r="K199" i="34"/>
  <c r="K198" i="34"/>
  <c r="K197" i="34"/>
  <c r="K195" i="34"/>
  <c r="I188" i="34"/>
  <c r="I185" i="34"/>
  <c r="K183" i="34"/>
  <c r="K182" i="34"/>
  <c r="I182" i="34"/>
  <c r="I180" i="34"/>
  <c r="I178" i="34"/>
  <c r="I171" i="34"/>
  <c r="K169" i="34"/>
  <c r="K168" i="34"/>
  <c r="I166" i="34"/>
  <c r="I162" i="34"/>
  <c r="I155" i="34"/>
  <c r="K153" i="34"/>
  <c r="K152" i="34"/>
  <c r="I145" i="34"/>
  <c r="K143" i="34"/>
  <c r="K142" i="34"/>
  <c r="K141" i="34"/>
  <c r="K139" i="34"/>
  <c r="K137" i="34"/>
  <c r="I134" i="34"/>
  <c r="I131" i="34"/>
  <c r="K129" i="34"/>
  <c r="K121" i="34"/>
  <c r="K123" i="34"/>
  <c r="I122" i="34"/>
  <c r="K119" i="34"/>
  <c r="K118" i="34"/>
  <c r="I239" i="34"/>
  <c r="I216" i="34"/>
  <c r="I152" i="34"/>
  <c r="I236" i="34"/>
  <c r="I224" i="34"/>
  <c r="I160" i="34"/>
  <c r="I124" i="34"/>
  <c r="I288" i="34"/>
  <c r="I284" i="34"/>
  <c r="I273" i="34"/>
  <c r="I269" i="34"/>
  <c r="I265" i="34"/>
  <c r="I261" i="34"/>
  <c r="I257" i="34"/>
  <c r="I253" i="34"/>
  <c r="I249" i="34"/>
  <c r="I245" i="34"/>
  <c r="I241" i="34"/>
  <c r="I238" i="34"/>
  <c r="I234" i="34"/>
  <c r="I208" i="34"/>
  <c r="I176" i="34"/>
  <c r="I144" i="34"/>
  <c r="I126" i="34"/>
  <c r="I184" i="34"/>
  <c r="I120" i="34"/>
  <c r="I192" i="34"/>
  <c r="I200" i="34"/>
  <c r="I168" i="34"/>
  <c r="E8" i="34" l="1"/>
  <c r="K8" i="34" s="1"/>
  <c r="B128" i="35" l="1"/>
  <c r="B128" i="36" s="1"/>
  <c r="B128" i="37" s="1"/>
  <c r="B128" i="38" s="1"/>
  <c r="B128" i="39" s="1"/>
  <c r="B128" i="40" s="1"/>
  <c r="B128" i="41" s="1"/>
  <c r="B128" i="42" s="1"/>
  <c r="B128" i="43" s="1"/>
  <c r="B128" i="44" s="1"/>
  <c r="B128" i="45" s="1"/>
  <c r="B128" i="46" s="1"/>
  <c r="B128" i="47" s="1"/>
  <c r="B128" i="48" s="1"/>
  <c r="A128" i="35"/>
  <c r="A128" i="36" s="1"/>
  <c r="A128" i="37" s="1"/>
  <c r="A128" i="38" s="1"/>
  <c r="A128" i="39" s="1"/>
  <c r="A128" i="40" s="1"/>
  <c r="A128" i="41" s="1"/>
  <c r="A128" i="42" s="1"/>
  <c r="A128" i="43" s="1"/>
  <c r="A128" i="44" s="1"/>
  <c r="A128" i="45" s="1"/>
  <c r="A128" i="46" s="1"/>
  <c r="A128" i="47" s="1"/>
  <c r="A128" i="48" s="1"/>
  <c r="C128" i="35" l="1"/>
  <c r="E128" i="35"/>
  <c r="C128" i="36" l="1"/>
  <c r="E128" i="36"/>
  <c r="C128" i="37" l="1"/>
  <c r="E128" i="37"/>
  <c r="C128" i="38" l="1"/>
  <c r="E128" i="38"/>
  <c r="C128" i="39" l="1"/>
  <c r="E128" i="39"/>
  <c r="E128" i="40" l="1"/>
  <c r="C128" i="40"/>
  <c r="E128" i="41" l="1"/>
  <c r="C128" i="41"/>
  <c r="C128" i="42" l="1"/>
  <c r="E128" i="42"/>
  <c r="C128" i="43" l="1"/>
  <c r="E128" i="43"/>
  <c r="C128" i="44" l="1"/>
  <c r="E128" i="44"/>
  <c r="C128" i="45" l="1"/>
  <c r="E128" i="45"/>
  <c r="C128" i="46" l="1"/>
  <c r="E128" i="46"/>
  <c r="E128" i="47" l="1"/>
  <c r="C128" i="47"/>
  <c r="C128" i="48" l="1"/>
  <c r="E128" i="48"/>
  <c r="B193" i="35" l="1"/>
  <c r="B193" i="36" s="1"/>
  <c r="B193" i="37" s="1"/>
  <c r="B193" i="38" s="1"/>
  <c r="B193" i="39" s="1"/>
  <c r="B193" i="40" s="1"/>
  <c r="B193" i="41" s="1"/>
  <c r="B193" i="42" s="1"/>
  <c r="B193" i="43" s="1"/>
  <c r="B193" i="44" s="1"/>
  <c r="B193" i="45" s="1"/>
  <c r="B193" i="46" s="1"/>
  <c r="B193" i="47" s="1"/>
  <c r="B193" i="48" s="1"/>
  <c r="E193" i="35"/>
  <c r="A193" i="35"/>
  <c r="A193" i="36" s="1"/>
  <c r="A193" i="37" s="1"/>
  <c r="A193" i="38" s="1"/>
  <c r="A193" i="39" s="1"/>
  <c r="A193" i="40" s="1"/>
  <c r="A193" i="41" s="1"/>
  <c r="A193" i="42" s="1"/>
  <c r="A193" i="43" s="1"/>
  <c r="A193" i="44" s="1"/>
  <c r="A193" i="45" s="1"/>
  <c r="A193" i="46" s="1"/>
  <c r="A193" i="47" s="1"/>
  <c r="A193" i="48" s="1"/>
  <c r="E193" i="36" l="1"/>
  <c r="C193" i="35"/>
  <c r="E193" i="37" l="1"/>
  <c r="C193" i="36"/>
  <c r="B291" i="35"/>
  <c r="B291" i="36" s="1"/>
  <c r="B291" i="37" s="1"/>
  <c r="B291" i="38" s="1"/>
  <c r="B291" i="39" s="1"/>
  <c r="B291" i="40" s="1"/>
  <c r="B291" i="41" s="1"/>
  <c r="B291" i="42" s="1"/>
  <c r="B291" i="43" s="1"/>
  <c r="B291" i="44" s="1"/>
  <c r="B291" i="45" s="1"/>
  <c r="B291" i="46" s="1"/>
  <c r="B291" i="47" s="1"/>
  <c r="B291" i="48" s="1"/>
  <c r="A291" i="35"/>
  <c r="A291" i="36" s="1"/>
  <c r="A291" i="37" s="1"/>
  <c r="A291" i="38" s="1"/>
  <c r="A291" i="39" s="1"/>
  <c r="A291" i="40" s="1"/>
  <c r="A291" i="41" s="1"/>
  <c r="A291" i="42" s="1"/>
  <c r="A291" i="43" s="1"/>
  <c r="A291" i="44" s="1"/>
  <c r="A291" i="45" s="1"/>
  <c r="A291" i="46" s="1"/>
  <c r="A291" i="47" s="1"/>
  <c r="A291" i="48" s="1"/>
  <c r="C193" i="37" l="1"/>
  <c r="E193" i="38"/>
  <c r="E291" i="35"/>
  <c r="C291" i="35"/>
  <c r="E193" i="39" l="1"/>
  <c r="C193" i="38"/>
  <c r="C291" i="36"/>
  <c r="E291" i="36"/>
  <c r="C193" i="39" l="1"/>
  <c r="E193" i="40"/>
  <c r="E291" i="37"/>
  <c r="C291" i="37"/>
  <c r="C193" i="40" l="1"/>
  <c r="E193" i="41"/>
  <c r="C291" i="38"/>
  <c r="E291" i="38"/>
  <c r="C193" i="41" l="1"/>
  <c r="E193" i="42"/>
  <c r="E291" i="39"/>
  <c r="C291" i="39"/>
  <c r="C193" i="42" l="1"/>
  <c r="E193" i="43"/>
  <c r="E291" i="40"/>
  <c r="C291" i="40"/>
  <c r="E193" i="44" l="1"/>
  <c r="C193" i="43"/>
  <c r="E291" i="41"/>
  <c r="C291" i="41"/>
  <c r="C193" i="44" l="1"/>
  <c r="E193" i="45"/>
  <c r="C291" i="42"/>
  <c r="E291" i="42"/>
  <c r="E193" i="46" l="1"/>
  <c r="C193" i="45"/>
  <c r="E291" i="43"/>
  <c r="C291" i="43"/>
  <c r="C193" i="46" l="1"/>
  <c r="E193" i="47"/>
  <c r="C291" i="44"/>
  <c r="E291" i="44"/>
  <c r="E193" i="48" l="1"/>
  <c r="C193" i="47"/>
  <c r="E291" i="45"/>
  <c r="C291" i="45"/>
  <c r="C193" i="48" l="1"/>
  <c r="E291" i="46"/>
  <c r="C291" i="46"/>
  <c r="C291" i="47" l="1"/>
  <c r="E291" i="47"/>
  <c r="E291" i="48" l="1"/>
  <c r="C291" i="48"/>
  <c r="B290" i="35" l="1"/>
  <c r="B290" i="36" s="1"/>
  <c r="B290" i="37" s="1"/>
  <c r="B290" i="38" s="1"/>
  <c r="B290" i="39" s="1"/>
  <c r="B290" i="40" s="1"/>
  <c r="B290" i="41" s="1"/>
  <c r="B290" i="42" s="1"/>
  <c r="B290" i="43" s="1"/>
  <c r="B290" i="44" s="1"/>
  <c r="B290" i="45" s="1"/>
  <c r="B290" i="46" s="1"/>
  <c r="B290" i="47" s="1"/>
  <c r="B290" i="48" s="1"/>
  <c r="D117" i="34" l="1"/>
  <c r="J117" i="34" s="1"/>
  <c r="D116" i="34"/>
  <c r="J116" i="34" s="1"/>
  <c r="D115" i="34"/>
  <c r="J115" i="34" s="1"/>
  <c r="D114" i="34"/>
  <c r="J114" i="34" s="1"/>
  <c r="D113" i="34"/>
  <c r="J113" i="34" s="1"/>
  <c r="D112" i="34"/>
  <c r="J112" i="34" s="1"/>
  <c r="D111" i="34"/>
  <c r="J111" i="34" s="1"/>
  <c r="D110" i="34"/>
  <c r="J110" i="34" s="1"/>
  <c r="D109" i="34"/>
  <c r="J109" i="34" s="1"/>
  <c r="D108" i="34"/>
  <c r="J108" i="34" s="1"/>
  <c r="D107" i="34"/>
  <c r="J107" i="34" s="1"/>
  <c r="D106" i="34"/>
  <c r="J106" i="34" s="1"/>
  <c r="D105" i="34"/>
  <c r="J105" i="34" s="1"/>
  <c r="D104" i="34"/>
  <c r="J104" i="34" s="1"/>
  <c r="D103" i="34"/>
  <c r="J103" i="34" s="1"/>
  <c r="D102" i="34"/>
  <c r="J102" i="34" s="1"/>
  <c r="D101" i="34"/>
  <c r="J101" i="34" s="1"/>
  <c r="D100" i="34"/>
  <c r="J100" i="34" s="1"/>
  <c r="E290" i="35"/>
  <c r="E290" i="36" s="1"/>
  <c r="C290" i="35"/>
  <c r="C290" i="36" s="1"/>
  <c r="C290" i="37" s="1"/>
  <c r="A290" i="35"/>
  <c r="A290" i="36" s="1"/>
  <c r="A290" i="37" s="1"/>
  <c r="A290" i="38" s="1"/>
  <c r="A290" i="39" s="1"/>
  <c r="A290" i="40" s="1"/>
  <c r="A290" i="41" s="1"/>
  <c r="A290" i="42" s="1"/>
  <c r="A290" i="43" s="1"/>
  <c r="A290" i="44" s="1"/>
  <c r="A290" i="45" s="1"/>
  <c r="A290" i="46" s="1"/>
  <c r="A290" i="47" s="1"/>
  <c r="A290" i="48" s="1"/>
  <c r="E117" i="34"/>
  <c r="K117" i="34" s="1"/>
  <c r="C117" i="34"/>
  <c r="I117" i="34" s="1"/>
  <c r="A117" i="34"/>
  <c r="E116" i="34"/>
  <c r="K116" i="34" s="1"/>
  <c r="C116" i="34"/>
  <c r="I116" i="34" s="1"/>
  <c r="A116" i="34"/>
  <c r="E115" i="34"/>
  <c r="K115" i="34" s="1"/>
  <c r="C115" i="34"/>
  <c r="I115" i="34" s="1"/>
  <c r="A115" i="34"/>
  <c r="E114" i="34"/>
  <c r="K114" i="34" s="1"/>
  <c r="C114" i="34"/>
  <c r="I114" i="34" s="1"/>
  <c r="A114" i="34"/>
  <c r="E113" i="34"/>
  <c r="K113" i="34" s="1"/>
  <c r="C113" i="34"/>
  <c r="I113" i="34" s="1"/>
  <c r="A113" i="34"/>
  <c r="E112" i="34"/>
  <c r="K112" i="34" s="1"/>
  <c r="C112" i="34"/>
  <c r="I112" i="34" s="1"/>
  <c r="A112" i="34"/>
  <c r="E111" i="34"/>
  <c r="K111" i="34" s="1"/>
  <c r="C111" i="34"/>
  <c r="I111" i="34" s="1"/>
  <c r="A111" i="34"/>
  <c r="E110" i="34"/>
  <c r="K110" i="34" s="1"/>
  <c r="C110" i="34"/>
  <c r="I110" i="34" s="1"/>
  <c r="A110" i="34"/>
  <c r="E109" i="34"/>
  <c r="K109" i="34" s="1"/>
  <c r="C109" i="34"/>
  <c r="I109" i="34" s="1"/>
  <c r="A109" i="34"/>
  <c r="E108" i="34"/>
  <c r="K108" i="34" s="1"/>
  <c r="C108" i="34"/>
  <c r="I108" i="34" s="1"/>
  <c r="A108" i="34"/>
  <c r="E107" i="34"/>
  <c r="K107" i="34" s="1"/>
  <c r="C107" i="34"/>
  <c r="I107" i="34" s="1"/>
  <c r="A107" i="34"/>
  <c r="E106" i="34"/>
  <c r="K106" i="34" s="1"/>
  <c r="C106" i="34"/>
  <c r="I106" i="34" s="1"/>
  <c r="A106" i="34"/>
  <c r="E105" i="34"/>
  <c r="K105" i="34" s="1"/>
  <c r="C105" i="34"/>
  <c r="I105" i="34" s="1"/>
  <c r="A105" i="34"/>
  <c r="E104" i="34"/>
  <c r="K104" i="34" s="1"/>
  <c r="C104" i="34"/>
  <c r="I104" i="34" s="1"/>
  <c r="A104" i="34"/>
  <c r="E103" i="34"/>
  <c r="K103" i="34" s="1"/>
  <c r="C103" i="34"/>
  <c r="I103" i="34" s="1"/>
  <c r="A103" i="34"/>
  <c r="E102" i="34"/>
  <c r="K102" i="34" s="1"/>
  <c r="C102" i="34"/>
  <c r="I102" i="34" s="1"/>
  <c r="A102" i="34"/>
  <c r="E101" i="34"/>
  <c r="K101" i="34" s="1"/>
  <c r="C101" i="34"/>
  <c r="I101" i="34" s="1"/>
  <c r="A101" i="34"/>
  <c r="E100" i="34"/>
  <c r="K100" i="34" s="1"/>
  <c r="C100" i="34"/>
  <c r="I100" i="34" s="1"/>
  <c r="A100" i="34"/>
  <c r="E99" i="34"/>
  <c r="K99" i="34" s="1"/>
  <c r="A99" i="34"/>
  <c r="E98" i="34"/>
  <c r="K98" i="34" s="1"/>
  <c r="A98" i="34"/>
  <c r="E97" i="34"/>
  <c r="K97" i="34" s="1"/>
  <c r="A97" i="34"/>
  <c r="E96" i="34"/>
  <c r="K96" i="34" s="1"/>
  <c r="A96" i="34"/>
  <c r="E95" i="34"/>
  <c r="K95" i="34" s="1"/>
  <c r="A95" i="34"/>
  <c r="E94" i="34"/>
  <c r="K94" i="34" s="1"/>
  <c r="A94" i="34"/>
  <c r="E93" i="34"/>
  <c r="K93" i="34" s="1"/>
  <c r="A93" i="34"/>
  <c r="E92" i="34"/>
  <c r="K92" i="34" s="1"/>
  <c r="A92" i="34"/>
  <c r="E91" i="34"/>
  <c r="K91" i="34" s="1"/>
  <c r="A91" i="34"/>
  <c r="E90" i="34"/>
  <c r="K90" i="34" s="1"/>
  <c r="A90" i="34"/>
  <c r="E89" i="34"/>
  <c r="K89" i="34" s="1"/>
  <c r="A89" i="34"/>
  <c r="E88" i="34"/>
  <c r="K88" i="34" s="1"/>
  <c r="A88" i="34"/>
  <c r="E87" i="34"/>
  <c r="K87" i="34" s="1"/>
  <c r="A87" i="34"/>
  <c r="E86" i="34"/>
  <c r="K86" i="34" s="1"/>
  <c r="A86" i="34"/>
  <c r="E85" i="34"/>
  <c r="K85" i="34" s="1"/>
  <c r="A85" i="34"/>
  <c r="E84" i="34"/>
  <c r="K84" i="34" s="1"/>
  <c r="A84" i="34"/>
  <c r="E83" i="34"/>
  <c r="K83" i="34" s="1"/>
  <c r="A83" i="34"/>
  <c r="E82" i="34"/>
  <c r="K82" i="34" s="1"/>
  <c r="C82" i="34"/>
  <c r="I82" i="34" s="1"/>
  <c r="A82" i="34"/>
  <c r="E81" i="34"/>
  <c r="K81" i="34" s="1"/>
  <c r="A81" i="34"/>
  <c r="E80" i="34"/>
  <c r="K80" i="34" s="1"/>
  <c r="A80" i="34"/>
  <c r="E79" i="34"/>
  <c r="K79" i="34" s="1"/>
  <c r="A79" i="34"/>
  <c r="E78" i="34"/>
  <c r="K78" i="34" s="1"/>
  <c r="A78" i="34"/>
  <c r="E77" i="34"/>
  <c r="K77" i="34" s="1"/>
  <c r="A77" i="34"/>
  <c r="E76" i="34"/>
  <c r="K76" i="34" s="1"/>
  <c r="A76" i="34"/>
  <c r="E75" i="34"/>
  <c r="K75" i="34" s="1"/>
  <c r="A75" i="34"/>
  <c r="E74" i="34"/>
  <c r="K74" i="34" s="1"/>
  <c r="A74" i="34"/>
  <c r="E73" i="34"/>
  <c r="K73" i="34" s="1"/>
  <c r="A73" i="34"/>
  <c r="E72" i="34"/>
  <c r="K72" i="34" s="1"/>
  <c r="A72" i="34"/>
  <c r="E71" i="34"/>
  <c r="K71" i="34" s="1"/>
  <c r="A71" i="34"/>
  <c r="E70" i="34"/>
  <c r="K70" i="34" s="1"/>
  <c r="A70" i="34"/>
  <c r="E69" i="34"/>
  <c r="K69" i="34" s="1"/>
  <c r="A69" i="34"/>
  <c r="E68" i="34"/>
  <c r="K68" i="34" s="1"/>
  <c r="A68" i="34"/>
  <c r="E67" i="34"/>
  <c r="K67" i="34" s="1"/>
  <c r="A67" i="34"/>
  <c r="E66" i="34"/>
  <c r="K66" i="34" s="1"/>
  <c r="A66" i="34"/>
  <c r="E65" i="34"/>
  <c r="K65" i="34" s="1"/>
  <c r="A65" i="34"/>
  <c r="E64" i="34"/>
  <c r="K64" i="34" s="1"/>
  <c r="A64" i="34"/>
  <c r="E63" i="34"/>
  <c r="K63" i="34" s="1"/>
  <c r="A63" i="34"/>
  <c r="E62" i="34"/>
  <c r="K62" i="34" s="1"/>
  <c r="A62" i="34"/>
  <c r="E61" i="34"/>
  <c r="K61" i="34" s="1"/>
  <c r="A61" i="34"/>
  <c r="E60" i="34"/>
  <c r="K60" i="34" s="1"/>
  <c r="A60" i="34"/>
  <c r="E59" i="34"/>
  <c r="K59" i="34" s="1"/>
  <c r="A59" i="34"/>
  <c r="E58" i="34"/>
  <c r="K58" i="34" s="1"/>
  <c r="A58" i="34"/>
  <c r="E57" i="34"/>
  <c r="K57" i="34" s="1"/>
  <c r="A57" i="34"/>
  <c r="E56" i="34"/>
  <c r="K56" i="34" s="1"/>
  <c r="A56" i="34"/>
  <c r="E55" i="34"/>
  <c r="K55" i="34" s="1"/>
  <c r="A55" i="34"/>
  <c r="E54" i="34"/>
  <c r="K54" i="34" s="1"/>
  <c r="A54" i="34"/>
  <c r="E53" i="34"/>
  <c r="K53" i="34" s="1"/>
  <c r="A53" i="34"/>
  <c r="E52" i="34"/>
  <c r="K52" i="34" s="1"/>
  <c r="A52" i="34"/>
  <c r="E51" i="34"/>
  <c r="K51" i="34" s="1"/>
  <c r="A51" i="34"/>
  <c r="E50" i="34"/>
  <c r="K50" i="34" s="1"/>
  <c r="A50" i="34"/>
  <c r="E49" i="34"/>
  <c r="K49" i="34" s="1"/>
  <c r="A49" i="34"/>
  <c r="E48" i="34"/>
  <c r="K48" i="34" s="1"/>
  <c r="A48" i="34"/>
  <c r="E47" i="34"/>
  <c r="K47" i="34" s="1"/>
  <c r="A47" i="34"/>
  <c r="E46" i="34"/>
  <c r="K46" i="34" s="1"/>
  <c r="A46" i="34"/>
  <c r="E45" i="34"/>
  <c r="K45" i="34" s="1"/>
  <c r="A45" i="34"/>
  <c r="E44" i="34"/>
  <c r="K44" i="34" s="1"/>
  <c r="A44" i="34"/>
  <c r="E43" i="34"/>
  <c r="K43" i="34" s="1"/>
  <c r="A43" i="34"/>
  <c r="E42" i="34"/>
  <c r="K42" i="34" s="1"/>
  <c r="A42" i="34"/>
  <c r="E41" i="34"/>
  <c r="K41" i="34" s="1"/>
  <c r="A41" i="34"/>
  <c r="E40" i="34"/>
  <c r="K40" i="34" s="1"/>
  <c r="A40" i="34"/>
  <c r="E39" i="34"/>
  <c r="K39" i="34" s="1"/>
  <c r="A39" i="34"/>
  <c r="E38" i="34"/>
  <c r="K38" i="34" s="1"/>
  <c r="A38" i="34"/>
  <c r="E37" i="34"/>
  <c r="K37" i="34" s="1"/>
  <c r="A37" i="34"/>
  <c r="E36" i="34"/>
  <c r="K36" i="34" s="1"/>
  <c r="A36" i="34"/>
  <c r="E35" i="34"/>
  <c r="K35" i="34" s="1"/>
  <c r="A35" i="34"/>
  <c r="E34" i="34"/>
  <c r="K34" i="34" s="1"/>
  <c r="A34" i="34"/>
  <c r="E33" i="34"/>
  <c r="K33" i="34" s="1"/>
  <c r="A33" i="34"/>
  <c r="E32" i="34"/>
  <c r="K32" i="34" s="1"/>
  <c r="A32" i="34"/>
  <c r="E31" i="34"/>
  <c r="K31" i="34" s="1"/>
  <c r="A31" i="34"/>
  <c r="E30" i="34"/>
  <c r="K30" i="34" s="1"/>
  <c r="A30" i="34"/>
  <c r="E29" i="34"/>
  <c r="K29" i="34" s="1"/>
  <c r="A29" i="34"/>
  <c r="E28" i="34"/>
  <c r="K28" i="34" s="1"/>
  <c r="A28" i="34"/>
  <c r="E27" i="34"/>
  <c r="K27" i="34" s="1"/>
  <c r="A27" i="34"/>
  <c r="E26" i="34"/>
  <c r="K26" i="34" s="1"/>
  <c r="A26" i="34"/>
  <c r="E25" i="34"/>
  <c r="K25" i="34" s="1"/>
  <c r="A25" i="34"/>
  <c r="E24" i="34"/>
  <c r="K24" i="34" s="1"/>
  <c r="A24" i="34"/>
  <c r="E23" i="34"/>
  <c r="K23" i="34" s="1"/>
  <c r="C23" i="34"/>
  <c r="I23" i="34" s="1"/>
  <c r="A23" i="34"/>
  <c r="E22" i="34"/>
  <c r="K22" i="34" s="1"/>
  <c r="C22" i="34"/>
  <c r="I22" i="34" s="1"/>
  <c r="A22" i="34"/>
  <c r="E21" i="34"/>
  <c r="K21" i="34" s="1"/>
  <c r="A21" i="34"/>
  <c r="E20" i="34"/>
  <c r="K20" i="34" s="1"/>
  <c r="A20" i="34"/>
  <c r="E19" i="34"/>
  <c r="K19" i="34" s="1"/>
  <c r="A19" i="34"/>
  <c r="E18" i="34"/>
  <c r="K18" i="34" s="1"/>
  <c r="A18" i="34"/>
  <c r="E17" i="34"/>
  <c r="K17" i="34" s="1"/>
  <c r="A17" i="34"/>
  <c r="E16" i="34"/>
  <c r="K16" i="34" s="1"/>
  <c r="A16" i="34"/>
  <c r="E15" i="34"/>
  <c r="K15" i="34" s="1"/>
  <c r="A15" i="34"/>
  <c r="E14" i="34"/>
  <c r="K14" i="34" s="1"/>
  <c r="C14" i="34"/>
  <c r="I14" i="34" s="1"/>
  <c r="A14" i="34"/>
  <c r="E13" i="34"/>
  <c r="K13" i="34" s="1"/>
  <c r="A13" i="34"/>
  <c r="E12" i="34"/>
  <c r="K12" i="34" s="1"/>
  <c r="A12" i="34"/>
  <c r="E11" i="34"/>
  <c r="K11" i="34" s="1"/>
  <c r="A11" i="34"/>
  <c r="E10" i="34"/>
  <c r="K10" i="34" s="1"/>
  <c r="A10" i="34"/>
  <c r="E9" i="34"/>
  <c r="K9" i="34" s="1"/>
  <c r="A9" i="34"/>
  <c r="A8" i="34"/>
  <c r="C290" i="38" l="1"/>
  <c r="E290" i="37"/>
  <c r="A5" i="49"/>
  <c r="A2" i="49"/>
  <c r="A5" i="48"/>
  <c r="A2" i="48"/>
  <c r="A5" i="47"/>
  <c r="A2" i="47"/>
  <c r="A5" i="46"/>
  <c r="A2" i="46"/>
  <c r="A5" i="45"/>
  <c r="A2" i="45"/>
  <c r="A5" i="44"/>
  <c r="A2" i="44"/>
  <c r="A5" i="43"/>
  <c r="A2" i="43"/>
  <c r="A5" i="42"/>
  <c r="A2" i="42"/>
  <c r="A5" i="41"/>
  <c r="A2" i="41"/>
  <c r="A5" i="40"/>
  <c r="A2" i="40"/>
  <c r="A5" i="39"/>
  <c r="A2" i="39"/>
  <c r="A5" i="38"/>
  <c r="A2" i="38"/>
  <c r="A5" i="37"/>
  <c r="A2" i="37"/>
  <c r="A5" i="36"/>
  <c r="A2" i="36"/>
  <c r="B292" i="35"/>
  <c r="B292" i="36" s="1"/>
  <c r="A292" i="35"/>
  <c r="A292" i="36" s="1"/>
  <c r="C289" i="35"/>
  <c r="B289" i="35"/>
  <c r="B289" i="36" s="1"/>
  <c r="B289" i="37" s="1"/>
  <c r="B289" i="38" s="1"/>
  <c r="B289" i="39" s="1"/>
  <c r="B289" i="40" s="1"/>
  <c r="B289" i="41" s="1"/>
  <c r="B289" i="42" s="1"/>
  <c r="B289" i="43" s="1"/>
  <c r="B289" i="44" s="1"/>
  <c r="B289" i="45" s="1"/>
  <c r="B289" i="46" s="1"/>
  <c r="B289" i="47" s="1"/>
  <c r="B289" i="48" s="1"/>
  <c r="C288" i="35"/>
  <c r="B288" i="35"/>
  <c r="B288" i="36" s="1"/>
  <c r="B288" i="37" s="1"/>
  <c r="B288" i="38" s="1"/>
  <c r="B288" i="39" s="1"/>
  <c r="B288" i="40" s="1"/>
  <c r="B288" i="41" s="1"/>
  <c r="B288" i="42" s="1"/>
  <c r="B288" i="43" s="1"/>
  <c r="B288" i="44" s="1"/>
  <c r="B288" i="45" s="1"/>
  <c r="B288" i="46" s="1"/>
  <c r="B288" i="47" s="1"/>
  <c r="B288" i="48" s="1"/>
  <c r="B287" i="35"/>
  <c r="B287" i="36" s="1"/>
  <c r="B287" i="37" s="1"/>
  <c r="B287" i="38" s="1"/>
  <c r="B287" i="39" s="1"/>
  <c r="B287" i="40" s="1"/>
  <c r="B287" i="41" s="1"/>
  <c r="B287" i="42" s="1"/>
  <c r="B287" i="43" s="1"/>
  <c r="B287" i="44" s="1"/>
  <c r="B287" i="45" s="1"/>
  <c r="B287" i="46" s="1"/>
  <c r="B287" i="47" s="1"/>
  <c r="B287" i="48" s="1"/>
  <c r="A287" i="35"/>
  <c r="A287" i="36" s="1"/>
  <c r="A287" i="37" s="1"/>
  <c r="A287" i="38" s="1"/>
  <c r="A287" i="39" s="1"/>
  <c r="A287" i="40" s="1"/>
  <c r="A287" i="41" s="1"/>
  <c r="A287" i="42" s="1"/>
  <c r="A287" i="43" s="1"/>
  <c r="A287" i="44" s="1"/>
  <c r="A287" i="45" s="1"/>
  <c r="A287" i="46" s="1"/>
  <c r="A287" i="47" s="1"/>
  <c r="A287" i="48" s="1"/>
  <c r="B286" i="35"/>
  <c r="B286" i="36" s="1"/>
  <c r="B286" i="37" s="1"/>
  <c r="B286" i="38" s="1"/>
  <c r="B286" i="39" s="1"/>
  <c r="B286" i="40" s="1"/>
  <c r="B286" i="41" s="1"/>
  <c r="B286" i="42" s="1"/>
  <c r="B286" i="43" s="1"/>
  <c r="B286" i="44" s="1"/>
  <c r="B286" i="45" s="1"/>
  <c r="B286" i="46" s="1"/>
  <c r="B286" i="47" s="1"/>
  <c r="B286" i="48" s="1"/>
  <c r="A286" i="35"/>
  <c r="A286" i="36" s="1"/>
  <c r="A286" i="37" s="1"/>
  <c r="A286" i="38" s="1"/>
  <c r="A286" i="39" s="1"/>
  <c r="A286" i="40" s="1"/>
  <c r="A286" i="41" s="1"/>
  <c r="A286" i="42" s="1"/>
  <c r="A286" i="43" s="1"/>
  <c r="A286" i="44" s="1"/>
  <c r="A286" i="45" s="1"/>
  <c r="A286" i="46" s="1"/>
  <c r="A286" i="47" s="1"/>
  <c r="A286" i="48" s="1"/>
  <c r="C285" i="35"/>
  <c r="B285" i="35"/>
  <c r="B285" i="36" s="1"/>
  <c r="B285" i="37" s="1"/>
  <c r="B285" i="38" s="1"/>
  <c r="B285" i="39" s="1"/>
  <c r="B285" i="40" s="1"/>
  <c r="B285" i="41" s="1"/>
  <c r="B285" i="42" s="1"/>
  <c r="B285" i="43" s="1"/>
  <c r="B285" i="44" s="1"/>
  <c r="B285" i="45" s="1"/>
  <c r="B285" i="46" s="1"/>
  <c r="B285" i="47" s="1"/>
  <c r="B285" i="48" s="1"/>
  <c r="C284" i="35"/>
  <c r="B284" i="35"/>
  <c r="B284" i="36" s="1"/>
  <c r="B284" i="37" s="1"/>
  <c r="B284" i="38" s="1"/>
  <c r="B284" i="39" s="1"/>
  <c r="B284" i="40" s="1"/>
  <c r="B284" i="41" s="1"/>
  <c r="B284" i="42" s="1"/>
  <c r="B284" i="43" s="1"/>
  <c r="B284" i="44" s="1"/>
  <c r="B284" i="45" s="1"/>
  <c r="B284" i="46" s="1"/>
  <c r="B284" i="47" s="1"/>
  <c r="B284" i="48" s="1"/>
  <c r="B283" i="35"/>
  <c r="B283" i="36" s="1"/>
  <c r="B283" i="37" s="1"/>
  <c r="B283" i="38" s="1"/>
  <c r="B283" i="39" s="1"/>
  <c r="B283" i="40" s="1"/>
  <c r="B283" i="41" s="1"/>
  <c r="B283" i="42" s="1"/>
  <c r="B283" i="43" s="1"/>
  <c r="B283" i="44" s="1"/>
  <c r="B283" i="45" s="1"/>
  <c r="B283" i="46" s="1"/>
  <c r="B283" i="47" s="1"/>
  <c r="B283" i="48" s="1"/>
  <c r="A283" i="35"/>
  <c r="A283" i="36" s="1"/>
  <c r="A283" i="37" s="1"/>
  <c r="A283" i="38" s="1"/>
  <c r="A283" i="39" s="1"/>
  <c r="A283" i="40" s="1"/>
  <c r="A283" i="41" s="1"/>
  <c r="A283" i="42" s="1"/>
  <c r="A283" i="43" s="1"/>
  <c r="A283" i="44" s="1"/>
  <c r="A283" i="45" s="1"/>
  <c r="A283" i="46" s="1"/>
  <c r="A283" i="47" s="1"/>
  <c r="A283" i="48" s="1"/>
  <c r="B282" i="35"/>
  <c r="B282" i="36" s="1"/>
  <c r="B282" i="37" s="1"/>
  <c r="B282" i="38" s="1"/>
  <c r="B282" i="39" s="1"/>
  <c r="B282" i="40" s="1"/>
  <c r="B282" i="41" s="1"/>
  <c r="B282" i="42" s="1"/>
  <c r="B282" i="43" s="1"/>
  <c r="B282" i="44" s="1"/>
  <c r="B282" i="45" s="1"/>
  <c r="B282" i="46" s="1"/>
  <c r="B282" i="47" s="1"/>
  <c r="B282" i="48" s="1"/>
  <c r="A282" i="35"/>
  <c r="A282" i="36" s="1"/>
  <c r="A282" i="37" s="1"/>
  <c r="A282" i="38" s="1"/>
  <c r="A282" i="39" s="1"/>
  <c r="A282" i="40" s="1"/>
  <c r="A282" i="41" s="1"/>
  <c r="A282" i="42" s="1"/>
  <c r="A282" i="43" s="1"/>
  <c r="A282" i="44" s="1"/>
  <c r="A282" i="45" s="1"/>
  <c r="A282" i="46" s="1"/>
  <c r="A282" i="47" s="1"/>
  <c r="A282" i="48" s="1"/>
  <c r="C281" i="35"/>
  <c r="B281" i="35"/>
  <c r="B281" i="36" s="1"/>
  <c r="B281" i="37" s="1"/>
  <c r="B281" i="38" s="1"/>
  <c r="B281" i="39" s="1"/>
  <c r="B281" i="40" s="1"/>
  <c r="B281" i="41" s="1"/>
  <c r="B281" i="42" s="1"/>
  <c r="B281" i="43" s="1"/>
  <c r="B281" i="44" s="1"/>
  <c r="B281" i="45" s="1"/>
  <c r="B281" i="46" s="1"/>
  <c r="B281" i="47" s="1"/>
  <c r="B281" i="48" s="1"/>
  <c r="C280" i="35"/>
  <c r="B280" i="35"/>
  <c r="B280" i="36" s="1"/>
  <c r="B280" i="37" s="1"/>
  <c r="B280" i="38" s="1"/>
  <c r="B280" i="39" s="1"/>
  <c r="B280" i="40" s="1"/>
  <c r="B280" i="41" s="1"/>
  <c r="B280" i="42" s="1"/>
  <c r="B280" i="43" s="1"/>
  <c r="B280" i="44" s="1"/>
  <c r="B280" i="45" s="1"/>
  <c r="B280" i="46" s="1"/>
  <c r="B280" i="47" s="1"/>
  <c r="B280" i="48" s="1"/>
  <c r="B279" i="35"/>
  <c r="B279" i="36" s="1"/>
  <c r="B279" i="37" s="1"/>
  <c r="B279" i="38" s="1"/>
  <c r="B279" i="39" s="1"/>
  <c r="B279" i="40" s="1"/>
  <c r="B279" i="41" s="1"/>
  <c r="B279" i="42" s="1"/>
  <c r="B279" i="43" s="1"/>
  <c r="B279" i="44" s="1"/>
  <c r="B279" i="45" s="1"/>
  <c r="B279" i="46" s="1"/>
  <c r="B279" i="47" s="1"/>
  <c r="B279" i="48" s="1"/>
  <c r="A279" i="35"/>
  <c r="A279" i="36" s="1"/>
  <c r="A279" i="37" s="1"/>
  <c r="A279" i="38" s="1"/>
  <c r="A279" i="39" s="1"/>
  <c r="A279" i="40" s="1"/>
  <c r="A279" i="41" s="1"/>
  <c r="A279" i="42" s="1"/>
  <c r="A279" i="43" s="1"/>
  <c r="A279" i="44" s="1"/>
  <c r="A279" i="45" s="1"/>
  <c r="A279" i="46" s="1"/>
  <c r="A279" i="47" s="1"/>
  <c r="A279" i="48" s="1"/>
  <c r="B278" i="35"/>
  <c r="B278" i="36" s="1"/>
  <c r="B278" i="37" s="1"/>
  <c r="B278" i="38" s="1"/>
  <c r="B278" i="39" s="1"/>
  <c r="B278" i="40" s="1"/>
  <c r="B278" i="41" s="1"/>
  <c r="B278" i="42" s="1"/>
  <c r="B278" i="43" s="1"/>
  <c r="B278" i="44" s="1"/>
  <c r="B278" i="45" s="1"/>
  <c r="B278" i="46" s="1"/>
  <c r="B278" i="47" s="1"/>
  <c r="B278" i="48" s="1"/>
  <c r="A278" i="35"/>
  <c r="A278" i="36" s="1"/>
  <c r="A278" i="37" s="1"/>
  <c r="A278" i="38" s="1"/>
  <c r="A278" i="39" s="1"/>
  <c r="A278" i="40" s="1"/>
  <c r="A278" i="41" s="1"/>
  <c r="A278" i="42" s="1"/>
  <c r="A278" i="43" s="1"/>
  <c r="A278" i="44" s="1"/>
  <c r="A278" i="45" s="1"/>
  <c r="A278" i="46" s="1"/>
  <c r="A278" i="47" s="1"/>
  <c r="A278" i="48" s="1"/>
  <c r="B277" i="35"/>
  <c r="B277" i="36" s="1"/>
  <c r="B277" i="37" s="1"/>
  <c r="B277" i="38" s="1"/>
  <c r="B277" i="39" s="1"/>
  <c r="B277" i="40" s="1"/>
  <c r="B277" i="41" s="1"/>
  <c r="B277" i="42" s="1"/>
  <c r="B277" i="43" s="1"/>
  <c r="B277" i="44" s="1"/>
  <c r="B277" i="45" s="1"/>
  <c r="B277" i="46" s="1"/>
  <c r="B277" i="47" s="1"/>
  <c r="B277" i="48" s="1"/>
  <c r="C276" i="35"/>
  <c r="B276" i="35"/>
  <c r="B276" i="36" s="1"/>
  <c r="B276" i="37" s="1"/>
  <c r="B276" i="38" s="1"/>
  <c r="B276" i="39" s="1"/>
  <c r="B276" i="40" s="1"/>
  <c r="B276" i="41" s="1"/>
  <c r="B276" i="42" s="1"/>
  <c r="B276" i="43" s="1"/>
  <c r="B276" i="44" s="1"/>
  <c r="B276" i="45" s="1"/>
  <c r="B276" i="46" s="1"/>
  <c r="B276" i="47" s="1"/>
  <c r="B276" i="48" s="1"/>
  <c r="B275" i="35"/>
  <c r="B275" i="36" s="1"/>
  <c r="B275" i="37" s="1"/>
  <c r="B275" i="38" s="1"/>
  <c r="B275" i="39" s="1"/>
  <c r="B275" i="40" s="1"/>
  <c r="B275" i="41" s="1"/>
  <c r="B275" i="42" s="1"/>
  <c r="B275" i="43" s="1"/>
  <c r="B275" i="44" s="1"/>
  <c r="B275" i="45" s="1"/>
  <c r="B275" i="46" s="1"/>
  <c r="B275" i="47" s="1"/>
  <c r="B275" i="48" s="1"/>
  <c r="A275" i="35"/>
  <c r="A275" i="36" s="1"/>
  <c r="A275" i="37" s="1"/>
  <c r="A275" i="38" s="1"/>
  <c r="A275" i="39" s="1"/>
  <c r="A275" i="40" s="1"/>
  <c r="A275" i="41" s="1"/>
  <c r="A275" i="42" s="1"/>
  <c r="A275" i="43" s="1"/>
  <c r="A275" i="44" s="1"/>
  <c r="A275" i="45" s="1"/>
  <c r="A275" i="46" s="1"/>
  <c r="A275" i="47" s="1"/>
  <c r="A275" i="48" s="1"/>
  <c r="B274" i="35"/>
  <c r="B274" i="36" s="1"/>
  <c r="B274" i="37" s="1"/>
  <c r="B274" i="38" s="1"/>
  <c r="B274" i="39" s="1"/>
  <c r="B274" i="40" s="1"/>
  <c r="B274" i="41" s="1"/>
  <c r="B274" i="42" s="1"/>
  <c r="B274" i="43" s="1"/>
  <c r="B274" i="44" s="1"/>
  <c r="B274" i="45" s="1"/>
  <c r="B274" i="46" s="1"/>
  <c r="B274" i="47" s="1"/>
  <c r="B274" i="48" s="1"/>
  <c r="A274" i="35"/>
  <c r="A274" i="36" s="1"/>
  <c r="A274" i="37" s="1"/>
  <c r="A274" i="38" s="1"/>
  <c r="A274" i="39" s="1"/>
  <c r="A274" i="40" s="1"/>
  <c r="A274" i="41" s="1"/>
  <c r="A274" i="42" s="1"/>
  <c r="A274" i="43" s="1"/>
  <c r="A274" i="44" s="1"/>
  <c r="A274" i="45" s="1"/>
  <c r="A274" i="46" s="1"/>
  <c r="A274" i="47" s="1"/>
  <c r="A274" i="48" s="1"/>
  <c r="C273" i="35"/>
  <c r="B273" i="35"/>
  <c r="B273" i="36" s="1"/>
  <c r="B273" i="37" s="1"/>
  <c r="B273" i="38" s="1"/>
  <c r="B273" i="39" s="1"/>
  <c r="B273" i="40" s="1"/>
  <c r="B273" i="41" s="1"/>
  <c r="B273" i="42" s="1"/>
  <c r="B273" i="43" s="1"/>
  <c r="B273" i="44" s="1"/>
  <c r="B273" i="45" s="1"/>
  <c r="B273" i="46" s="1"/>
  <c r="B273" i="47" s="1"/>
  <c r="B273" i="48" s="1"/>
  <c r="C272" i="35"/>
  <c r="B272" i="35"/>
  <c r="B272" i="36" s="1"/>
  <c r="B272" i="37" s="1"/>
  <c r="B272" i="38" s="1"/>
  <c r="B272" i="39" s="1"/>
  <c r="B272" i="40" s="1"/>
  <c r="B272" i="41" s="1"/>
  <c r="B272" i="42" s="1"/>
  <c r="B272" i="43" s="1"/>
  <c r="B272" i="44" s="1"/>
  <c r="B272" i="45" s="1"/>
  <c r="B272" i="46" s="1"/>
  <c r="B272" i="47" s="1"/>
  <c r="B272" i="48" s="1"/>
  <c r="B271" i="35"/>
  <c r="B271" i="36" s="1"/>
  <c r="B271" i="37" s="1"/>
  <c r="B271" i="38" s="1"/>
  <c r="B271" i="39" s="1"/>
  <c r="B271" i="40" s="1"/>
  <c r="B271" i="41" s="1"/>
  <c r="B271" i="42" s="1"/>
  <c r="B271" i="43" s="1"/>
  <c r="B271" i="44" s="1"/>
  <c r="B271" i="45" s="1"/>
  <c r="B271" i="46" s="1"/>
  <c r="B271" i="47" s="1"/>
  <c r="B271" i="48" s="1"/>
  <c r="A271" i="35"/>
  <c r="A271" i="36" s="1"/>
  <c r="A271" i="37" s="1"/>
  <c r="A271" i="38" s="1"/>
  <c r="A271" i="39" s="1"/>
  <c r="A271" i="40" s="1"/>
  <c r="A271" i="41" s="1"/>
  <c r="A271" i="42" s="1"/>
  <c r="A271" i="43" s="1"/>
  <c r="A271" i="44" s="1"/>
  <c r="A271" i="45" s="1"/>
  <c r="A271" i="46" s="1"/>
  <c r="A271" i="47" s="1"/>
  <c r="A271" i="48" s="1"/>
  <c r="B270" i="35"/>
  <c r="B270" i="36" s="1"/>
  <c r="B270" i="37" s="1"/>
  <c r="B270" i="38" s="1"/>
  <c r="B270" i="39" s="1"/>
  <c r="B270" i="40" s="1"/>
  <c r="B270" i="41" s="1"/>
  <c r="B270" i="42" s="1"/>
  <c r="B270" i="43" s="1"/>
  <c r="B270" i="44" s="1"/>
  <c r="B270" i="45" s="1"/>
  <c r="B270" i="46" s="1"/>
  <c r="B270" i="47" s="1"/>
  <c r="B270" i="48" s="1"/>
  <c r="A270" i="35"/>
  <c r="A270" i="36" s="1"/>
  <c r="A270" i="37" s="1"/>
  <c r="A270" i="38" s="1"/>
  <c r="A270" i="39" s="1"/>
  <c r="A270" i="40" s="1"/>
  <c r="A270" i="41" s="1"/>
  <c r="A270" i="42" s="1"/>
  <c r="A270" i="43" s="1"/>
  <c r="A270" i="44" s="1"/>
  <c r="A270" i="45" s="1"/>
  <c r="A270" i="46" s="1"/>
  <c r="A270" i="47" s="1"/>
  <c r="A270" i="48" s="1"/>
  <c r="C269" i="35"/>
  <c r="B269" i="35"/>
  <c r="B269" i="36" s="1"/>
  <c r="B269" i="37" s="1"/>
  <c r="B269" i="38" s="1"/>
  <c r="B269" i="39" s="1"/>
  <c r="B269" i="40" s="1"/>
  <c r="B269" i="41" s="1"/>
  <c r="B269" i="42" s="1"/>
  <c r="B269" i="43" s="1"/>
  <c r="B269" i="44" s="1"/>
  <c r="B269" i="45" s="1"/>
  <c r="B269" i="46" s="1"/>
  <c r="B269" i="47" s="1"/>
  <c r="B269" i="48" s="1"/>
  <c r="C268" i="35"/>
  <c r="B268" i="35"/>
  <c r="B268" i="36" s="1"/>
  <c r="B268" i="37" s="1"/>
  <c r="B268" i="38" s="1"/>
  <c r="B268" i="39" s="1"/>
  <c r="B268" i="40" s="1"/>
  <c r="B268" i="41" s="1"/>
  <c r="B268" i="42" s="1"/>
  <c r="B268" i="43" s="1"/>
  <c r="B268" i="44" s="1"/>
  <c r="B268" i="45" s="1"/>
  <c r="B268" i="46" s="1"/>
  <c r="B268" i="47" s="1"/>
  <c r="B268" i="48" s="1"/>
  <c r="B267" i="35"/>
  <c r="B267" i="36" s="1"/>
  <c r="B267" i="37" s="1"/>
  <c r="B267" i="38" s="1"/>
  <c r="B267" i="39" s="1"/>
  <c r="B267" i="40" s="1"/>
  <c r="B267" i="41" s="1"/>
  <c r="B267" i="42" s="1"/>
  <c r="B267" i="43" s="1"/>
  <c r="B267" i="44" s="1"/>
  <c r="B267" i="45" s="1"/>
  <c r="B267" i="46" s="1"/>
  <c r="B267" i="47" s="1"/>
  <c r="B267" i="48" s="1"/>
  <c r="A267" i="35"/>
  <c r="A267" i="36" s="1"/>
  <c r="A267" i="37" s="1"/>
  <c r="A267" i="38" s="1"/>
  <c r="A267" i="39" s="1"/>
  <c r="A267" i="40" s="1"/>
  <c r="A267" i="41" s="1"/>
  <c r="A267" i="42" s="1"/>
  <c r="A267" i="43" s="1"/>
  <c r="A267" i="44" s="1"/>
  <c r="A267" i="45" s="1"/>
  <c r="A267" i="46" s="1"/>
  <c r="A267" i="47" s="1"/>
  <c r="A267" i="48" s="1"/>
  <c r="B266" i="35"/>
  <c r="B266" i="36" s="1"/>
  <c r="B266" i="37" s="1"/>
  <c r="B266" i="38" s="1"/>
  <c r="B266" i="39" s="1"/>
  <c r="B266" i="40" s="1"/>
  <c r="B266" i="41" s="1"/>
  <c r="B266" i="42" s="1"/>
  <c r="B266" i="43" s="1"/>
  <c r="B266" i="44" s="1"/>
  <c r="B266" i="45" s="1"/>
  <c r="B266" i="46" s="1"/>
  <c r="B266" i="47" s="1"/>
  <c r="B266" i="48" s="1"/>
  <c r="A266" i="35"/>
  <c r="A266" i="36" s="1"/>
  <c r="A266" i="37" s="1"/>
  <c r="A266" i="38" s="1"/>
  <c r="A266" i="39" s="1"/>
  <c r="A266" i="40" s="1"/>
  <c r="A266" i="41" s="1"/>
  <c r="A266" i="42" s="1"/>
  <c r="A266" i="43" s="1"/>
  <c r="A266" i="44" s="1"/>
  <c r="A266" i="45" s="1"/>
  <c r="A266" i="46" s="1"/>
  <c r="A266" i="47" s="1"/>
  <c r="A266" i="48" s="1"/>
  <c r="C265" i="35"/>
  <c r="B265" i="35"/>
  <c r="B265" i="36" s="1"/>
  <c r="B265" i="37" s="1"/>
  <c r="B265" i="38" s="1"/>
  <c r="B265" i="39" s="1"/>
  <c r="B265" i="40" s="1"/>
  <c r="B265" i="41" s="1"/>
  <c r="B265" i="42" s="1"/>
  <c r="B265" i="43" s="1"/>
  <c r="B265" i="44" s="1"/>
  <c r="B265" i="45" s="1"/>
  <c r="B265" i="46" s="1"/>
  <c r="B265" i="47" s="1"/>
  <c r="B265" i="48" s="1"/>
  <c r="C264" i="35"/>
  <c r="B264" i="35"/>
  <c r="B264" i="36" s="1"/>
  <c r="B264" i="37" s="1"/>
  <c r="B264" i="38" s="1"/>
  <c r="B264" i="39" s="1"/>
  <c r="B264" i="40" s="1"/>
  <c r="B264" i="41" s="1"/>
  <c r="B264" i="42" s="1"/>
  <c r="B264" i="43" s="1"/>
  <c r="B264" i="44" s="1"/>
  <c r="B264" i="45" s="1"/>
  <c r="B264" i="46" s="1"/>
  <c r="B264" i="47" s="1"/>
  <c r="B264" i="48" s="1"/>
  <c r="B263" i="35"/>
  <c r="B263" i="36" s="1"/>
  <c r="B263" i="37" s="1"/>
  <c r="B263" i="38" s="1"/>
  <c r="B263" i="39" s="1"/>
  <c r="B263" i="40" s="1"/>
  <c r="B263" i="41" s="1"/>
  <c r="B263" i="42" s="1"/>
  <c r="B263" i="43" s="1"/>
  <c r="B263" i="44" s="1"/>
  <c r="B263" i="45" s="1"/>
  <c r="B263" i="46" s="1"/>
  <c r="B263" i="47" s="1"/>
  <c r="B263" i="48" s="1"/>
  <c r="A263" i="35"/>
  <c r="A263" i="36" s="1"/>
  <c r="A263" i="37" s="1"/>
  <c r="A263" i="38" s="1"/>
  <c r="A263" i="39" s="1"/>
  <c r="A263" i="40" s="1"/>
  <c r="A263" i="41" s="1"/>
  <c r="A263" i="42" s="1"/>
  <c r="A263" i="43" s="1"/>
  <c r="A263" i="44" s="1"/>
  <c r="A263" i="45" s="1"/>
  <c r="A263" i="46" s="1"/>
  <c r="A263" i="47" s="1"/>
  <c r="A263" i="48" s="1"/>
  <c r="B262" i="35"/>
  <c r="B262" i="36" s="1"/>
  <c r="B262" i="37" s="1"/>
  <c r="B262" i="38" s="1"/>
  <c r="B262" i="39" s="1"/>
  <c r="B262" i="40" s="1"/>
  <c r="B262" i="41" s="1"/>
  <c r="B262" i="42" s="1"/>
  <c r="B262" i="43" s="1"/>
  <c r="B262" i="44" s="1"/>
  <c r="B262" i="45" s="1"/>
  <c r="B262" i="46" s="1"/>
  <c r="B262" i="47" s="1"/>
  <c r="B262" i="48" s="1"/>
  <c r="A262" i="35"/>
  <c r="A262" i="36" s="1"/>
  <c r="A262" i="37" s="1"/>
  <c r="A262" i="38" s="1"/>
  <c r="A262" i="39" s="1"/>
  <c r="A262" i="40" s="1"/>
  <c r="A262" i="41" s="1"/>
  <c r="A262" i="42" s="1"/>
  <c r="A262" i="43" s="1"/>
  <c r="A262" i="44" s="1"/>
  <c r="A262" i="45" s="1"/>
  <c r="A262" i="46" s="1"/>
  <c r="A262" i="47" s="1"/>
  <c r="A262" i="48" s="1"/>
  <c r="C261" i="35"/>
  <c r="B261" i="35"/>
  <c r="B261" i="36" s="1"/>
  <c r="B261" i="37" s="1"/>
  <c r="B261" i="38" s="1"/>
  <c r="B261" i="39" s="1"/>
  <c r="B261" i="40" s="1"/>
  <c r="B261" i="41" s="1"/>
  <c r="B261" i="42" s="1"/>
  <c r="B261" i="43" s="1"/>
  <c r="B261" i="44" s="1"/>
  <c r="B261" i="45" s="1"/>
  <c r="B261" i="46" s="1"/>
  <c r="B261" i="47" s="1"/>
  <c r="B261" i="48" s="1"/>
  <c r="C260" i="35"/>
  <c r="B260" i="35"/>
  <c r="B260" i="36" s="1"/>
  <c r="B260" i="37" s="1"/>
  <c r="B260" i="38" s="1"/>
  <c r="B260" i="39" s="1"/>
  <c r="B260" i="40" s="1"/>
  <c r="B260" i="41" s="1"/>
  <c r="B260" i="42" s="1"/>
  <c r="B260" i="43" s="1"/>
  <c r="B260" i="44" s="1"/>
  <c r="B260" i="45" s="1"/>
  <c r="B260" i="46" s="1"/>
  <c r="B260" i="47" s="1"/>
  <c r="B260" i="48" s="1"/>
  <c r="B259" i="35"/>
  <c r="B259" i="36" s="1"/>
  <c r="B259" i="37" s="1"/>
  <c r="B259" i="38" s="1"/>
  <c r="B259" i="39" s="1"/>
  <c r="B259" i="40" s="1"/>
  <c r="B259" i="41" s="1"/>
  <c r="B259" i="42" s="1"/>
  <c r="B259" i="43" s="1"/>
  <c r="B259" i="44" s="1"/>
  <c r="B259" i="45" s="1"/>
  <c r="B259" i="46" s="1"/>
  <c r="B259" i="47" s="1"/>
  <c r="B259" i="48" s="1"/>
  <c r="A259" i="35"/>
  <c r="A259" i="36" s="1"/>
  <c r="A259" i="37" s="1"/>
  <c r="A259" i="38" s="1"/>
  <c r="A259" i="39" s="1"/>
  <c r="A259" i="40" s="1"/>
  <c r="A259" i="41" s="1"/>
  <c r="A259" i="42" s="1"/>
  <c r="A259" i="43" s="1"/>
  <c r="A259" i="44" s="1"/>
  <c r="A259" i="45" s="1"/>
  <c r="A259" i="46" s="1"/>
  <c r="A259" i="47" s="1"/>
  <c r="A259" i="48" s="1"/>
  <c r="B258" i="35"/>
  <c r="B258" i="36" s="1"/>
  <c r="B258" i="37" s="1"/>
  <c r="B258" i="38" s="1"/>
  <c r="B258" i="39" s="1"/>
  <c r="B258" i="40" s="1"/>
  <c r="B258" i="41" s="1"/>
  <c r="B258" i="42" s="1"/>
  <c r="B258" i="43" s="1"/>
  <c r="B258" i="44" s="1"/>
  <c r="B258" i="45" s="1"/>
  <c r="B258" i="46" s="1"/>
  <c r="B258" i="47" s="1"/>
  <c r="B258" i="48" s="1"/>
  <c r="A258" i="35"/>
  <c r="A258" i="36" s="1"/>
  <c r="A258" i="37" s="1"/>
  <c r="A258" i="38" s="1"/>
  <c r="A258" i="39" s="1"/>
  <c r="A258" i="40" s="1"/>
  <c r="A258" i="41" s="1"/>
  <c r="A258" i="42" s="1"/>
  <c r="A258" i="43" s="1"/>
  <c r="A258" i="44" s="1"/>
  <c r="A258" i="45" s="1"/>
  <c r="A258" i="46" s="1"/>
  <c r="A258" i="47" s="1"/>
  <c r="A258" i="48" s="1"/>
  <c r="C257" i="35"/>
  <c r="B257" i="35"/>
  <c r="B257" i="36" s="1"/>
  <c r="B257" i="37" s="1"/>
  <c r="B257" i="38" s="1"/>
  <c r="B257" i="39" s="1"/>
  <c r="B257" i="40" s="1"/>
  <c r="B257" i="41" s="1"/>
  <c r="B257" i="42" s="1"/>
  <c r="B257" i="43" s="1"/>
  <c r="B257" i="44" s="1"/>
  <c r="B257" i="45" s="1"/>
  <c r="B257" i="46" s="1"/>
  <c r="B257" i="47" s="1"/>
  <c r="B257" i="48" s="1"/>
  <c r="C256" i="35"/>
  <c r="B256" i="35"/>
  <c r="B256" i="36" s="1"/>
  <c r="B256" i="37" s="1"/>
  <c r="B256" i="38" s="1"/>
  <c r="B256" i="39" s="1"/>
  <c r="B256" i="40" s="1"/>
  <c r="B256" i="41" s="1"/>
  <c r="B256" i="42" s="1"/>
  <c r="B256" i="43" s="1"/>
  <c r="B256" i="44" s="1"/>
  <c r="B256" i="45" s="1"/>
  <c r="B256" i="46" s="1"/>
  <c r="B256" i="47" s="1"/>
  <c r="B256" i="48" s="1"/>
  <c r="B255" i="35"/>
  <c r="B255" i="36" s="1"/>
  <c r="B255" i="37" s="1"/>
  <c r="B255" i="38" s="1"/>
  <c r="B255" i="39" s="1"/>
  <c r="B255" i="40" s="1"/>
  <c r="B255" i="41" s="1"/>
  <c r="B255" i="42" s="1"/>
  <c r="B255" i="43" s="1"/>
  <c r="B255" i="44" s="1"/>
  <c r="B255" i="45" s="1"/>
  <c r="B255" i="46" s="1"/>
  <c r="B255" i="47" s="1"/>
  <c r="B255" i="48" s="1"/>
  <c r="A255" i="35"/>
  <c r="A255" i="36" s="1"/>
  <c r="A255" i="37" s="1"/>
  <c r="A255" i="38" s="1"/>
  <c r="A255" i="39" s="1"/>
  <c r="A255" i="40" s="1"/>
  <c r="A255" i="41" s="1"/>
  <c r="A255" i="42" s="1"/>
  <c r="A255" i="43" s="1"/>
  <c r="A255" i="44" s="1"/>
  <c r="A255" i="45" s="1"/>
  <c r="A255" i="46" s="1"/>
  <c r="A255" i="47" s="1"/>
  <c r="A255" i="48" s="1"/>
  <c r="B254" i="35"/>
  <c r="B254" i="36" s="1"/>
  <c r="B254" i="37" s="1"/>
  <c r="B254" i="38" s="1"/>
  <c r="B254" i="39" s="1"/>
  <c r="B254" i="40" s="1"/>
  <c r="B254" i="41" s="1"/>
  <c r="B254" i="42" s="1"/>
  <c r="B254" i="43" s="1"/>
  <c r="B254" i="44" s="1"/>
  <c r="B254" i="45" s="1"/>
  <c r="B254" i="46" s="1"/>
  <c r="B254" i="47" s="1"/>
  <c r="B254" i="48" s="1"/>
  <c r="A254" i="35"/>
  <c r="A254" i="36" s="1"/>
  <c r="A254" i="37" s="1"/>
  <c r="A254" i="38" s="1"/>
  <c r="A254" i="39" s="1"/>
  <c r="A254" i="40" s="1"/>
  <c r="A254" i="41" s="1"/>
  <c r="A254" i="42" s="1"/>
  <c r="A254" i="43" s="1"/>
  <c r="A254" i="44" s="1"/>
  <c r="A254" i="45" s="1"/>
  <c r="A254" i="46" s="1"/>
  <c r="A254" i="47" s="1"/>
  <c r="A254" i="48" s="1"/>
  <c r="C253" i="35"/>
  <c r="B253" i="35"/>
  <c r="B253" i="36" s="1"/>
  <c r="B253" i="37" s="1"/>
  <c r="B253" i="38" s="1"/>
  <c r="B253" i="39" s="1"/>
  <c r="B253" i="40" s="1"/>
  <c r="B253" i="41" s="1"/>
  <c r="B253" i="42" s="1"/>
  <c r="B253" i="43" s="1"/>
  <c r="B253" i="44" s="1"/>
  <c r="B253" i="45" s="1"/>
  <c r="B253" i="46" s="1"/>
  <c r="B253" i="47" s="1"/>
  <c r="B253" i="48" s="1"/>
  <c r="C252" i="35"/>
  <c r="B252" i="35"/>
  <c r="B252" i="36" s="1"/>
  <c r="B252" i="37" s="1"/>
  <c r="B252" i="38" s="1"/>
  <c r="B252" i="39" s="1"/>
  <c r="B252" i="40" s="1"/>
  <c r="B252" i="41" s="1"/>
  <c r="B252" i="42" s="1"/>
  <c r="B252" i="43" s="1"/>
  <c r="B252" i="44" s="1"/>
  <c r="B252" i="45" s="1"/>
  <c r="B252" i="46" s="1"/>
  <c r="B252" i="47" s="1"/>
  <c r="B252" i="48" s="1"/>
  <c r="B251" i="35"/>
  <c r="B251" i="36" s="1"/>
  <c r="B251" i="37" s="1"/>
  <c r="B251" i="38" s="1"/>
  <c r="B251" i="39" s="1"/>
  <c r="B251" i="40" s="1"/>
  <c r="B251" i="41" s="1"/>
  <c r="B251" i="42" s="1"/>
  <c r="B251" i="43" s="1"/>
  <c r="B251" i="44" s="1"/>
  <c r="B251" i="45" s="1"/>
  <c r="B251" i="46" s="1"/>
  <c r="B251" i="47" s="1"/>
  <c r="B251" i="48" s="1"/>
  <c r="A251" i="35"/>
  <c r="A251" i="36" s="1"/>
  <c r="A251" i="37" s="1"/>
  <c r="A251" i="38" s="1"/>
  <c r="A251" i="39" s="1"/>
  <c r="A251" i="40" s="1"/>
  <c r="A251" i="41" s="1"/>
  <c r="A251" i="42" s="1"/>
  <c r="A251" i="43" s="1"/>
  <c r="A251" i="44" s="1"/>
  <c r="A251" i="45" s="1"/>
  <c r="A251" i="46" s="1"/>
  <c r="A251" i="47" s="1"/>
  <c r="A251" i="48" s="1"/>
  <c r="B250" i="35"/>
  <c r="B250" i="36" s="1"/>
  <c r="B250" i="37" s="1"/>
  <c r="B250" i="38" s="1"/>
  <c r="B250" i="39" s="1"/>
  <c r="B250" i="40" s="1"/>
  <c r="B250" i="41" s="1"/>
  <c r="B250" i="42" s="1"/>
  <c r="B250" i="43" s="1"/>
  <c r="B250" i="44" s="1"/>
  <c r="B250" i="45" s="1"/>
  <c r="B250" i="46" s="1"/>
  <c r="B250" i="47" s="1"/>
  <c r="B250" i="48" s="1"/>
  <c r="A250" i="35"/>
  <c r="A250" i="36" s="1"/>
  <c r="A250" i="37" s="1"/>
  <c r="A250" i="38" s="1"/>
  <c r="A250" i="39" s="1"/>
  <c r="A250" i="40" s="1"/>
  <c r="A250" i="41" s="1"/>
  <c r="A250" i="42" s="1"/>
  <c r="A250" i="43" s="1"/>
  <c r="A250" i="44" s="1"/>
  <c r="A250" i="45" s="1"/>
  <c r="A250" i="46" s="1"/>
  <c r="A250" i="47" s="1"/>
  <c r="A250" i="48" s="1"/>
  <c r="C249" i="35"/>
  <c r="B249" i="35"/>
  <c r="B249" i="36" s="1"/>
  <c r="B249" i="37" s="1"/>
  <c r="B249" i="38" s="1"/>
  <c r="B249" i="39" s="1"/>
  <c r="B249" i="40" s="1"/>
  <c r="B249" i="41" s="1"/>
  <c r="B249" i="42" s="1"/>
  <c r="B249" i="43" s="1"/>
  <c r="B249" i="44" s="1"/>
  <c r="B249" i="45" s="1"/>
  <c r="B249" i="46" s="1"/>
  <c r="B249" i="47" s="1"/>
  <c r="B249" i="48" s="1"/>
  <c r="C248" i="35"/>
  <c r="B248" i="35"/>
  <c r="B248" i="36" s="1"/>
  <c r="B248" i="37" s="1"/>
  <c r="B248" i="38" s="1"/>
  <c r="B248" i="39" s="1"/>
  <c r="B248" i="40" s="1"/>
  <c r="B248" i="41" s="1"/>
  <c r="B248" i="42" s="1"/>
  <c r="B248" i="43" s="1"/>
  <c r="B248" i="44" s="1"/>
  <c r="B248" i="45" s="1"/>
  <c r="B248" i="46" s="1"/>
  <c r="B248" i="47" s="1"/>
  <c r="B248" i="48" s="1"/>
  <c r="B247" i="35"/>
  <c r="B247" i="36" s="1"/>
  <c r="B247" i="37" s="1"/>
  <c r="B247" i="38" s="1"/>
  <c r="B247" i="39" s="1"/>
  <c r="B247" i="40" s="1"/>
  <c r="B247" i="41" s="1"/>
  <c r="B247" i="42" s="1"/>
  <c r="B247" i="43" s="1"/>
  <c r="B247" i="44" s="1"/>
  <c r="B247" i="45" s="1"/>
  <c r="B247" i="46" s="1"/>
  <c r="B247" i="47" s="1"/>
  <c r="B247" i="48" s="1"/>
  <c r="A247" i="35"/>
  <c r="A247" i="36" s="1"/>
  <c r="A247" i="37" s="1"/>
  <c r="A247" i="38" s="1"/>
  <c r="A247" i="39" s="1"/>
  <c r="A247" i="40" s="1"/>
  <c r="A247" i="41" s="1"/>
  <c r="A247" i="42" s="1"/>
  <c r="A247" i="43" s="1"/>
  <c r="A247" i="44" s="1"/>
  <c r="A247" i="45" s="1"/>
  <c r="A247" i="46" s="1"/>
  <c r="A247" i="47" s="1"/>
  <c r="A247" i="48" s="1"/>
  <c r="B246" i="35"/>
  <c r="B246" i="36" s="1"/>
  <c r="B246" i="37" s="1"/>
  <c r="B246" i="38" s="1"/>
  <c r="B246" i="39" s="1"/>
  <c r="B246" i="40" s="1"/>
  <c r="B246" i="41" s="1"/>
  <c r="B246" i="42" s="1"/>
  <c r="B246" i="43" s="1"/>
  <c r="B246" i="44" s="1"/>
  <c r="B246" i="45" s="1"/>
  <c r="B246" i="46" s="1"/>
  <c r="B246" i="47" s="1"/>
  <c r="B246" i="48" s="1"/>
  <c r="A246" i="35"/>
  <c r="A246" i="36" s="1"/>
  <c r="A246" i="37" s="1"/>
  <c r="A246" i="38" s="1"/>
  <c r="A246" i="39" s="1"/>
  <c r="A246" i="40" s="1"/>
  <c r="A246" i="41" s="1"/>
  <c r="A246" i="42" s="1"/>
  <c r="A246" i="43" s="1"/>
  <c r="A246" i="44" s="1"/>
  <c r="A246" i="45" s="1"/>
  <c r="A246" i="46" s="1"/>
  <c r="A246" i="47" s="1"/>
  <c r="A246" i="48" s="1"/>
  <c r="C245" i="35"/>
  <c r="B245" i="35"/>
  <c r="B245" i="36" s="1"/>
  <c r="B245" i="37" s="1"/>
  <c r="B245" i="38" s="1"/>
  <c r="B245" i="39" s="1"/>
  <c r="B245" i="40" s="1"/>
  <c r="B245" i="41" s="1"/>
  <c r="B245" i="42" s="1"/>
  <c r="B245" i="43" s="1"/>
  <c r="B245" i="44" s="1"/>
  <c r="B245" i="45" s="1"/>
  <c r="B245" i="46" s="1"/>
  <c r="B245" i="47" s="1"/>
  <c r="B245" i="48" s="1"/>
  <c r="C244" i="35"/>
  <c r="B244" i="35"/>
  <c r="B244" i="36" s="1"/>
  <c r="B244" i="37" s="1"/>
  <c r="B244" i="38" s="1"/>
  <c r="B244" i="39" s="1"/>
  <c r="B244" i="40" s="1"/>
  <c r="B244" i="41" s="1"/>
  <c r="B244" i="42" s="1"/>
  <c r="B244" i="43" s="1"/>
  <c r="B244" i="44" s="1"/>
  <c r="B244" i="45" s="1"/>
  <c r="B244" i="46" s="1"/>
  <c r="B244" i="47" s="1"/>
  <c r="B244" i="48" s="1"/>
  <c r="B243" i="35"/>
  <c r="B243" i="36" s="1"/>
  <c r="B243" i="37" s="1"/>
  <c r="B243" i="38" s="1"/>
  <c r="B243" i="39" s="1"/>
  <c r="B243" i="40" s="1"/>
  <c r="B243" i="41" s="1"/>
  <c r="B243" i="42" s="1"/>
  <c r="B243" i="43" s="1"/>
  <c r="B243" i="44" s="1"/>
  <c r="B243" i="45" s="1"/>
  <c r="B243" i="46" s="1"/>
  <c r="B243" i="47" s="1"/>
  <c r="B243" i="48" s="1"/>
  <c r="A243" i="35"/>
  <c r="A243" i="36" s="1"/>
  <c r="A243" i="37" s="1"/>
  <c r="A243" i="38" s="1"/>
  <c r="A243" i="39" s="1"/>
  <c r="A243" i="40" s="1"/>
  <c r="A243" i="41" s="1"/>
  <c r="A243" i="42" s="1"/>
  <c r="A243" i="43" s="1"/>
  <c r="A243" i="44" s="1"/>
  <c r="A243" i="45" s="1"/>
  <c r="A243" i="46" s="1"/>
  <c r="A243" i="47" s="1"/>
  <c r="A243" i="48" s="1"/>
  <c r="B242" i="35"/>
  <c r="B242" i="36" s="1"/>
  <c r="B242" i="37" s="1"/>
  <c r="B242" i="38" s="1"/>
  <c r="B242" i="39" s="1"/>
  <c r="B242" i="40" s="1"/>
  <c r="B242" i="41" s="1"/>
  <c r="B242" i="42" s="1"/>
  <c r="B242" i="43" s="1"/>
  <c r="B242" i="44" s="1"/>
  <c r="B242" i="45" s="1"/>
  <c r="B242" i="46" s="1"/>
  <c r="B242" i="47" s="1"/>
  <c r="B242" i="48" s="1"/>
  <c r="A242" i="35"/>
  <c r="A242" i="36" s="1"/>
  <c r="A242" i="37" s="1"/>
  <c r="A242" i="38" s="1"/>
  <c r="A242" i="39" s="1"/>
  <c r="A242" i="40" s="1"/>
  <c r="A242" i="41" s="1"/>
  <c r="A242" i="42" s="1"/>
  <c r="A242" i="43" s="1"/>
  <c r="A242" i="44" s="1"/>
  <c r="A242" i="45" s="1"/>
  <c r="A242" i="46" s="1"/>
  <c r="A242" i="47" s="1"/>
  <c r="A242" i="48" s="1"/>
  <c r="C241" i="35"/>
  <c r="B241" i="35"/>
  <c r="B241" i="36" s="1"/>
  <c r="B241" i="37" s="1"/>
  <c r="B241" i="38" s="1"/>
  <c r="B241" i="39" s="1"/>
  <c r="B241" i="40" s="1"/>
  <c r="B241" i="41" s="1"/>
  <c r="B241" i="42" s="1"/>
  <c r="B241" i="43" s="1"/>
  <c r="B241" i="44" s="1"/>
  <c r="B241" i="45" s="1"/>
  <c r="B241" i="46" s="1"/>
  <c r="B241" i="47" s="1"/>
  <c r="B241" i="48" s="1"/>
  <c r="B240" i="35"/>
  <c r="B240" i="36" s="1"/>
  <c r="B240" i="37" s="1"/>
  <c r="B240" i="38" s="1"/>
  <c r="B240" i="39" s="1"/>
  <c r="B240" i="40" s="1"/>
  <c r="B240" i="41" s="1"/>
  <c r="B240" i="42" s="1"/>
  <c r="B240" i="43" s="1"/>
  <c r="B240" i="44" s="1"/>
  <c r="B240" i="45" s="1"/>
  <c r="B240" i="46" s="1"/>
  <c r="B240" i="47" s="1"/>
  <c r="B240" i="48" s="1"/>
  <c r="A240" i="35"/>
  <c r="A240" i="36" s="1"/>
  <c r="A240" i="37" s="1"/>
  <c r="A240" i="38" s="1"/>
  <c r="A240" i="39" s="1"/>
  <c r="A240" i="40" s="1"/>
  <c r="A240" i="41" s="1"/>
  <c r="A240" i="42" s="1"/>
  <c r="A240" i="43" s="1"/>
  <c r="A240" i="44" s="1"/>
  <c r="A240" i="45" s="1"/>
  <c r="A240" i="46" s="1"/>
  <c r="A240" i="47" s="1"/>
  <c r="A240" i="48" s="1"/>
  <c r="B239" i="35"/>
  <c r="B239" i="36" s="1"/>
  <c r="B239" i="37" s="1"/>
  <c r="B239" i="38" s="1"/>
  <c r="B239" i="39" s="1"/>
  <c r="B239" i="40" s="1"/>
  <c r="B239" i="41" s="1"/>
  <c r="B239" i="42" s="1"/>
  <c r="B239" i="43" s="1"/>
  <c r="B239" i="44" s="1"/>
  <c r="B239" i="45" s="1"/>
  <c r="B239" i="46" s="1"/>
  <c r="B239" i="47" s="1"/>
  <c r="B239" i="48" s="1"/>
  <c r="A239" i="35"/>
  <c r="A239" i="36" s="1"/>
  <c r="A239" i="37" s="1"/>
  <c r="A239" i="38" s="1"/>
  <c r="A239" i="39" s="1"/>
  <c r="A239" i="40" s="1"/>
  <c r="A239" i="41" s="1"/>
  <c r="A239" i="42" s="1"/>
  <c r="A239" i="43" s="1"/>
  <c r="A239" i="44" s="1"/>
  <c r="A239" i="45" s="1"/>
  <c r="A239" i="46" s="1"/>
  <c r="A239" i="47" s="1"/>
  <c r="A239" i="48" s="1"/>
  <c r="C238" i="35"/>
  <c r="B238" i="35"/>
  <c r="B238" i="36" s="1"/>
  <c r="B238" i="37" s="1"/>
  <c r="B238" i="38" s="1"/>
  <c r="B238" i="39" s="1"/>
  <c r="B238" i="40" s="1"/>
  <c r="B238" i="41" s="1"/>
  <c r="B238" i="42" s="1"/>
  <c r="B238" i="43" s="1"/>
  <c r="B238" i="44" s="1"/>
  <c r="B238" i="45" s="1"/>
  <c r="B238" i="46" s="1"/>
  <c r="B238" i="47" s="1"/>
  <c r="B238" i="48" s="1"/>
  <c r="C237" i="35"/>
  <c r="B237" i="35"/>
  <c r="B237" i="36" s="1"/>
  <c r="B237" i="37" s="1"/>
  <c r="B237" i="38" s="1"/>
  <c r="B237" i="39" s="1"/>
  <c r="B237" i="40" s="1"/>
  <c r="B237" i="41" s="1"/>
  <c r="B237" i="42" s="1"/>
  <c r="B237" i="43" s="1"/>
  <c r="B237" i="44" s="1"/>
  <c r="B237" i="45" s="1"/>
  <c r="B237" i="46" s="1"/>
  <c r="B237" i="47" s="1"/>
  <c r="B237" i="48" s="1"/>
  <c r="B236" i="35"/>
  <c r="B236" i="36" s="1"/>
  <c r="B236" i="37" s="1"/>
  <c r="B236" i="38" s="1"/>
  <c r="B236" i="39" s="1"/>
  <c r="B236" i="40" s="1"/>
  <c r="B236" i="41" s="1"/>
  <c r="B236" i="42" s="1"/>
  <c r="B236" i="43" s="1"/>
  <c r="B236" i="44" s="1"/>
  <c r="B236" i="45" s="1"/>
  <c r="B236" i="46" s="1"/>
  <c r="B236" i="47" s="1"/>
  <c r="B236" i="48" s="1"/>
  <c r="A236" i="35"/>
  <c r="A236" i="36" s="1"/>
  <c r="A236" i="37" s="1"/>
  <c r="A236" i="38" s="1"/>
  <c r="A236" i="39" s="1"/>
  <c r="A236" i="40" s="1"/>
  <c r="A236" i="41" s="1"/>
  <c r="A236" i="42" s="1"/>
  <c r="A236" i="43" s="1"/>
  <c r="A236" i="44" s="1"/>
  <c r="A236" i="45" s="1"/>
  <c r="A236" i="46" s="1"/>
  <c r="A236" i="47" s="1"/>
  <c r="A236" i="48" s="1"/>
  <c r="B235" i="35"/>
  <c r="B235" i="36" s="1"/>
  <c r="B235" i="37" s="1"/>
  <c r="B235" i="38" s="1"/>
  <c r="B235" i="39" s="1"/>
  <c r="B235" i="40" s="1"/>
  <c r="B235" i="41" s="1"/>
  <c r="B235" i="42" s="1"/>
  <c r="B235" i="43" s="1"/>
  <c r="B235" i="44" s="1"/>
  <c r="B235" i="45" s="1"/>
  <c r="B235" i="46" s="1"/>
  <c r="B235" i="47" s="1"/>
  <c r="B235" i="48" s="1"/>
  <c r="A235" i="35"/>
  <c r="A235" i="36" s="1"/>
  <c r="A235" i="37" s="1"/>
  <c r="A235" i="38" s="1"/>
  <c r="A235" i="39" s="1"/>
  <c r="A235" i="40" s="1"/>
  <c r="A235" i="41" s="1"/>
  <c r="A235" i="42" s="1"/>
  <c r="A235" i="43" s="1"/>
  <c r="A235" i="44" s="1"/>
  <c r="A235" i="45" s="1"/>
  <c r="A235" i="46" s="1"/>
  <c r="A235" i="47" s="1"/>
  <c r="A235" i="48" s="1"/>
  <c r="C234" i="35"/>
  <c r="B234" i="35"/>
  <c r="B234" i="36" s="1"/>
  <c r="B234" i="37" s="1"/>
  <c r="B234" i="38" s="1"/>
  <c r="B234" i="39" s="1"/>
  <c r="B234" i="40" s="1"/>
  <c r="B234" i="41" s="1"/>
  <c r="B234" i="42" s="1"/>
  <c r="B234" i="43" s="1"/>
  <c r="B234" i="44" s="1"/>
  <c r="B234" i="45" s="1"/>
  <c r="B234" i="46" s="1"/>
  <c r="B234" i="47" s="1"/>
  <c r="B234" i="48" s="1"/>
  <c r="C233" i="35"/>
  <c r="B233" i="35"/>
  <c r="B233" i="36" s="1"/>
  <c r="B233" i="37" s="1"/>
  <c r="B233" i="38" s="1"/>
  <c r="B233" i="39" s="1"/>
  <c r="B233" i="40" s="1"/>
  <c r="B233" i="41" s="1"/>
  <c r="B233" i="42" s="1"/>
  <c r="B233" i="43" s="1"/>
  <c r="B233" i="44" s="1"/>
  <c r="B233" i="45" s="1"/>
  <c r="B233" i="46" s="1"/>
  <c r="B233" i="47" s="1"/>
  <c r="B233" i="48" s="1"/>
  <c r="B232" i="35"/>
  <c r="B232" i="36" s="1"/>
  <c r="B232" i="37" s="1"/>
  <c r="B232" i="38" s="1"/>
  <c r="B232" i="39" s="1"/>
  <c r="B232" i="40" s="1"/>
  <c r="B232" i="41" s="1"/>
  <c r="B232" i="42" s="1"/>
  <c r="B232" i="43" s="1"/>
  <c r="B232" i="44" s="1"/>
  <c r="B232" i="45" s="1"/>
  <c r="B232" i="46" s="1"/>
  <c r="B232" i="47" s="1"/>
  <c r="B232" i="48" s="1"/>
  <c r="A232" i="35"/>
  <c r="A232" i="36" s="1"/>
  <c r="A232" i="37" s="1"/>
  <c r="A232" i="38" s="1"/>
  <c r="A232" i="39" s="1"/>
  <c r="A232" i="40" s="1"/>
  <c r="A232" i="41" s="1"/>
  <c r="A232" i="42" s="1"/>
  <c r="A232" i="43" s="1"/>
  <c r="A232" i="44" s="1"/>
  <c r="A232" i="45" s="1"/>
  <c r="A232" i="46" s="1"/>
  <c r="A232" i="47" s="1"/>
  <c r="A232" i="48" s="1"/>
  <c r="B231" i="35"/>
  <c r="B231" i="36" s="1"/>
  <c r="B231" i="37" s="1"/>
  <c r="B231" i="38" s="1"/>
  <c r="B231" i="39" s="1"/>
  <c r="B231" i="40" s="1"/>
  <c r="B231" i="41" s="1"/>
  <c r="B231" i="42" s="1"/>
  <c r="B231" i="43" s="1"/>
  <c r="B231" i="44" s="1"/>
  <c r="B231" i="45" s="1"/>
  <c r="B231" i="46" s="1"/>
  <c r="B231" i="47" s="1"/>
  <c r="B231" i="48" s="1"/>
  <c r="A231" i="35"/>
  <c r="A231" i="36" s="1"/>
  <c r="A231" i="37" s="1"/>
  <c r="A231" i="38" s="1"/>
  <c r="A231" i="39" s="1"/>
  <c r="A231" i="40" s="1"/>
  <c r="A231" i="41" s="1"/>
  <c r="A231" i="42" s="1"/>
  <c r="A231" i="43" s="1"/>
  <c r="A231" i="44" s="1"/>
  <c r="A231" i="45" s="1"/>
  <c r="A231" i="46" s="1"/>
  <c r="A231" i="47" s="1"/>
  <c r="A231" i="48" s="1"/>
  <c r="C230" i="35"/>
  <c r="B230" i="35"/>
  <c r="B230" i="36" s="1"/>
  <c r="B230" i="37" s="1"/>
  <c r="B230" i="38" s="1"/>
  <c r="B230" i="39" s="1"/>
  <c r="B230" i="40" s="1"/>
  <c r="B230" i="41" s="1"/>
  <c r="B230" i="42" s="1"/>
  <c r="B230" i="43" s="1"/>
  <c r="B230" i="44" s="1"/>
  <c r="B230" i="45" s="1"/>
  <c r="B230" i="46" s="1"/>
  <c r="B230" i="47" s="1"/>
  <c r="B230" i="48" s="1"/>
  <c r="C229" i="35"/>
  <c r="B229" i="35"/>
  <c r="B229" i="36" s="1"/>
  <c r="B229" i="37" s="1"/>
  <c r="B229" i="38" s="1"/>
  <c r="B229" i="39" s="1"/>
  <c r="B229" i="40" s="1"/>
  <c r="B229" i="41" s="1"/>
  <c r="B229" i="42" s="1"/>
  <c r="B229" i="43" s="1"/>
  <c r="B229" i="44" s="1"/>
  <c r="B229" i="45" s="1"/>
  <c r="B229" i="46" s="1"/>
  <c r="B229" i="47" s="1"/>
  <c r="B229" i="48" s="1"/>
  <c r="B228" i="35"/>
  <c r="B228" i="36" s="1"/>
  <c r="B228" i="37" s="1"/>
  <c r="B228" i="38" s="1"/>
  <c r="B228" i="39" s="1"/>
  <c r="B228" i="40" s="1"/>
  <c r="B228" i="41" s="1"/>
  <c r="B228" i="42" s="1"/>
  <c r="B228" i="43" s="1"/>
  <c r="B228" i="44" s="1"/>
  <c r="B228" i="45" s="1"/>
  <c r="B228" i="46" s="1"/>
  <c r="B228" i="47" s="1"/>
  <c r="B228" i="48" s="1"/>
  <c r="A228" i="35"/>
  <c r="A228" i="36" s="1"/>
  <c r="A228" i="37" s="1"/>
  <c r="A228" i="38" s="1"/>
  <c r="A228" i="39" s="1"/>
  <c r="A228" i="40" s="1"/>
  <c r="A228" i="41" s="1"/>
  <c r="A228" i="42" s="1"/>
  <c r="A228" i="43" s="1"/>
  <c r="A228" i="44" s="1"/>
  <c r="A228" i="45" s="1"/>
  <c r="A228" i="46" s="1"/>
  <c r="A228" i="47" s="1"/>
  <c r="A228" i="48" s="1"/>
  <c r="B227" i="35"/>
  <c r="B227" i="36" s="1"/>
  <c r="B227" i="37" s="1"/>
  <c r="B227" i="38" s="1"/>
  <c r="B227" i="39" s="1"/>
  <c r="B227" i="40" s="1"/>
  <c r="B227" i="41" s="1"/>
  <c r="B227" i="42" s="1"/>
  <c r="B227" i="43" s="1"/>
  <c r="B227" i="44" s="1"/>
  <c r="B227" i="45" s="1"/>
  <c r="B227" i="46" s="1"/>
  <c r="B227" i="47" s="1"/>
  <c r="B227" i="48" s="1"/>
  <c r="A227" i="35"/>
  <c r="A227" i="36" s="1"/>
  <c r="A227" i="37" s="1"/>
  <c r="A227" i="38" s="1"/>
  <c r="A227" i="39" s="1"/>
  <c r="A227" i="40" s="1"/>
  <c r="A227" i="41" s="1"/>
  <c r="A227" i="42" s="1"/>
  <c r="A227" i="43" s="1"/>
  <c r="A227" i="44" s="1"/>
  <c r="A227" i="45" s="1"/>
  <c r="A227" i="46" s="1"/>
  <c r="A227" i="47" s="1"/>
  <c r="A227" i="48" s="1"/>
  <c r="C226" i="35"/>
  <c r="B226" i="35"/>
  <c r="B226" i="36" s="1"/>
  <c r="B226" i="37" s="1"/>
  <c r="B226" i="38" s="1"/>
  <c r="B226" i="39" s="1"/>
  <c r="B226" i="40" s="1"/>
  <c r="B226" i="41" s="1"/>
  <c r="B226" i="42" s="1"/>
  <c r="B226" i="43" s="1"/>
  <c r="B226" i="44" s="1"/>
  <c r="B226" i="45" s="1"/>
  <c r="B226" i="46" s="1"/>
  <c r="B226" i="47" s="1"/>
  <c r="B226" i="48" s="1"/>
  <c r="C225" i="35"/>
  <c r="B225" i="35"/>
  <c r="B225" i="36" s="1"/>
  <c r="B225" i="37" s="1"/>
  <c r="B225" i="38" s="1"/>
  <c r="B225" i="39" s="1"/>
  <c r="B225" i="40" s="1"/>
  <c r="B225" i="41" s="1"/>
  <c r="B225" i="42" s="1"/>
  <c r="B225" i="43" s="1"/>
  <c r="B225" i="44" s="1"/>
  <c r="B225" i="45" s="1"/>
  <c r="B225" i="46" s="1"/>
  <c r="B225" i="47" s="1"/>
  <c r="B225" i="48" s="1"/>
  <c r="B224" i="35"/>
  <c r="B224" i="36" s="1"/>
  <c r="B224" i="37" s="1"/>
  <c r="B224" i="38" s="1"/>
  <c r="B224" i="39" s="1"/>
  <c r="B224" i="40" s="1"/>
  <c r="B224" i="41" s="1"/>
  <c r="B224" i="42" s="1"/>
  <c r="B224" i="43" s="1"/>
  <c r="B224" i="44" s="1"/>
  <c r="B224" i="45" s="1"/>
  <c r="B224" i="46" s="1"/>
  <c r="B224" i="47" s="1"/>
  <c r="B224" i="48" s="1"/>
  <c r="A224" i="35"/>
  <c r="A224" i="36" s="1"/>
  <c r="A224" i="37" s="1"/>
  <c r="A224" i="38" s="1"/>
  <c r="A224" i="39" s="1"/>
  <c r="A224" i="40" s="1"/>
  <c r="A224" i="41" s="1"/>
  <c r="A224" i="42" s="1"/>
  <c r="A224" i="43" s="1"/>
  <c r="A224" i="44" s="1"/>
  <c r="A224" i="45" s="1"/>
  <c r="A224" i="46" s="1"/>
  <c r="A224" i="47" s="1"/>
  <c r="A224" i="48" s="1"/>
  <c r="B223" i="35"/>
  <c r="B223" i="36" s="1"/>
  <c r="B223" i="37" s="1"/>
  <c r="B223" i="38" s="1"/>
  <c r="B223" i="39" s="1"/>
  <c r="B223" i="40" s="1"/>
  <c r="B223" i="41" s="1"/>
  <c r="B223" i="42" s="1"/>
  <c r="B223" i="43" s="1"/>
  <c r="B223" i="44" s="1"/>
  <c r="B223" i="45" s="1"/>
  <c r="B223" i="46" s="1"/>
  <c r="B223" i="47" s="1"/>
  <c r="B223" i="48" s="1"/>
  <c r="A223" i="35"/>
  <c r="A223" i="36" s="1"/>
  <c r="A223" i="37" s="1"/>
  <c r="A223" i="38" s="1"/>
  <c r="A223" i="39" s="1"/>
  <c r="A223" i="40" s="1"/>
  <c r="A223" i="41" s="1"/>
  <c r="A223" i="42" s="1"/>
  <c r="A223" i="43" s="1"/>
  <c r="A223" i="44" s="1"/>
  <c r="A223" i="45" s="1"/>
  <c r="A223" i="46" s="1"/>
  <c r="A223" i="47" s="1"/>
  <c r="A223" i="48" s="1"/>
  <c r="C222" i="35"/>
  <c r="B222" i="35"/>
  <c r="B222" i="36" s="1"/>
  <c r="B222" i="37" s="1"/>
  <c r="B222" i="38" s="1"/>
  <c r="B222" i="39" s="1"/>
  <c r="B222" i="40" s="1"/>
  <c r="B222" i="41" s="1"/>
  <c r="B222" i="42" s="1"/>
  <c r="B222" i="43" s="1"/>
  <c r="B222" i="44" s="1"/>
  <c r="B222" i="45" s="1"/>
  <c r="B222" i="46" s="1"/>
  <c r="B222" i="47" s="1"/>
  <c r="B222" i="48" s="1"/>
  <c r="C221" i="35"/>
  <c r="B221" i="35"/>
  <c r="B221" i="36" s="1"/>
  <c r="B221" i="37" s="1"/>
  <c r="B221" i="38" s="1"/>
  <c r="B221" i="39" s="1"/>
  <c r="B221" i="40" s="1"/>
  <c r="B221" i="41" s="1"/>
  <c r="B221" i="42" s="1"/>
  <c r="B221" i="43" s="1"/>
  <c r="B221" i="44" s="1"/>
  <c r="B221" i="45" s="1"/>
  <c r="B221" i="46" s="1"/>
  <c r="B221" i="47" s="1"/>
  <c r="B221" i="48" s="1"/>
  <c r="B220" i="35"/>
  <c r="B220" i="36" s="1"/>
  <c r="B220" i="37" s="1"/>
  <c r="B220" i="38" s="1"/>
  <c r="B220" i="39" s="1"/>
  <c r="B220" i="40" s="1"/>
  <c r="B220" i="41" s="1"/>
  <c r="B220" i="42" s="1"/>
  <c r="B220" i="43" s="1"/>
  <c r="B220" i="44" s="1"/>
  <c r="B220" i="45" s="1"/>
  <c r="B220" i="46" s="1"/>
  <c r="B220" i="47" s="1"/>
  <c r="B220" i="48" s="1"/>
  <c r="A220" i="35"/>
  <c r="A220" i="36" s="1"/>
  <c r="A220" i="37" s="1"/>
  <c r="A220" i="38" s="1"/>
  <c r="A220" i="39" s="1"/>
  <c r="A220" i="40" s="1"/>
  <c r="A220" i="41" s="1"/>
  <c r="A220" i="42" s="1"/>
  <c r="A220" i="43" s="1"/>
  <c r="A220" i="44" s="1"/>
  <c r="A220" i="45" s="1"/>
  <c r="A220" i="46" s="1"/>
  <c r="A220" i="47" s="1"/>
  <c r="A220" i="48" s="1"/>
  <c r="B219" i="35"/>
  <c r="B219" i="36" s="1"/>
  <c r="B219" i="37" s="1"/>
  <c r="B219" i="38" s="1"/>
  <c r="B219" i="39" s="1"/>
  <c r="B219" i="40" s="1"/>
  <c r="B219" i="41" s="1"/>
  <c r="B219" i="42" s="1"/>
  <c r="B219" i="43" s="1"/>
  <c r="B219" i="44" s="1"/>
  <c r="B219" i="45" s="1"/>
  <c r="B219" i="46" s="1"/>
  <c r="B219" i="47" s="1"/>
  <c r="B219" i="48" s="1"/>
  <c r="A219" i="35"/>
  <c r="A219" i="36" s="1"/>
  <c r="A219" i="37" s="1"/>
  <c r="A219" i="38" s="1"/>
  <c r="A219" i="39" s="1"/>
  <c r="A219" i="40" s="1"/>
  <c r="A219" i="41" s="1"/>
  <c r="A219" i="42" s="1"/>
  <c r="A219" i="43" s="1"/>
  <c r="A219" i="44" s="1"/>
  <c r="A219" i="45" s="1"/>
  <c r="A219" i="46" s="1"/>
  <c r="A219" i="47" s="1"/>
  <c r="A219" i="48" s="1"/>
  <c r="C218" i="35"/>
  <c r="B218" i="35"/>
  <c r="B218" i="36" s="1"/>
  <c r="B218" i="37" s="1"/>
  <c r="B218" i="38" s="1"/>
  <c r="B218" i="39" s="1"/>
  <c r="B218" i="40" s="1"/>
  <c r="B218" i="41" s="1"/>
  <c r="B218" i="42" s="1"/>
  <c r="B218" i="43" s="1"/>
  <c r="B218" i="44" s="1"/>
  <c r="B218" i="45" s="1"/>
  <c r="B218" i="46" s="1"/>
  <c r="B218" i="47" s="1"/>
  <c r="B218" i="48" s="1"/>
  <c r="B217" i="35"/>
  <c r="B217" i="36" s="1"/>
  <c r="B217" i="37" s="1"/>
  <c r="B217" i="38" s="1"/>
  <c r="B217" i="39" s="1"/>
  <c r="B217" i="40" s="1"/>
  <c r="B217" i="41" s="1"/>
  <c r="B217" i="42" s="1"/>
  <c r="B217" i="43" s="1"/>
  <c r="B217" i="44" s="1"/>
  <c r="B217" i="45" s="1"/>
  <c r="B217" i="46" s="1"/>
  <c r="B217" i="47" s="1"/>
  <c r="B217" i="48" s="1"/>
  <c r="A217" i="35"/>
  <c r="A217" i="36" s="1"/>
  <c r="A217" i="37" s="1"/>
  <c r="A217" i="38" s="1"/>
  <c r="A217" i="39" s="1"/>
  <c r="A217" i="40" s="1"/>
  <c r="A217" i="41" s="1"/>
  <c r="A217" i="42" s="1"/>
  <c r="A217" i="43" s="1"/>
  <c r="A217" i="44" s="1"/>
  <c r="A217" i="45" s="1"/>
  <c r="A217" i="46" s="1"/>
  <c r="A217" i="47" s="1"/>
  <c r="A217" i="48" s="1"/>
  <c r="B216" i="35"/>
  <c r="B216" i="36" s="1"/>
  <c r="B216" i="37" s="1"/>
  <c r="B216" i="38" s="1"/>
  <c r="B216" i="39" s="1"/>
  <c r="B216" i="40" s="1"/>
  <c r="B216" i="41" s="1"/>
  <c r="B216" i="42" s="1"/>
  <c r="B216" i="43" s="1"/>
  <c r="B216" i="44" s="1"/>
  <c r="B216" i="45" s="1"/>
  <c r="B216" i="46" s="1"/>
  <c r="B216" i="47" s="1"/>
  <c r="B216" i="48" s="1"/>
  <c r="A216" i="35"/>
  <c r="A216" i="36" s="1"/>
  <c r="A216" i="37" s="1"/>
  <c r="A216" i="38" s="1"/>
  <c r="A216" i="39" s="1"/>
  <c r="A216" i="40" s="1"/>
  <c r="A216" i="41" s="1"/>
  <c r="A216" i="42" s="1"/>
  <c r="A216" i="43" s="1"/>
  <c r="A216" i="44" s="1"/>
  <c r="A216" i="45" s="1"/>
  <c r="A216" i="46" s="1"/>
  <c r="A216" i="47" s="1"/>
  <c r="A216" i="48" s="1"/>
  <c r="C215" i="35"/>
  <c r="B215" i="35"/>
  <c r="B215" i="36" s="1"/>
  <c r="B215" i="37" s="1"/>
  <c r="B215" i="38" s="1"/>
  <c r="B215" i="39" s="1"/>
  <c r="B215" i="40" s="1"/>
  <c r="B215" i="41" s="1"/>
  <c r="B215" i="42" s="1"/>
  <c r="B215" i="43" s="1"/>
  <c r="B215" i="44" s="1"/>
  <c r="B215" i="45" s="1"/>
  <c r="B215" i="46" s="1"/>
  <c r="B215" i="47" s="1"/>
  <c r="B215" i="48" s="1"/>
  <c r="C214" i="35"/>
  <c r="B214" i="35"/>
  <c r="B214" i="36" s="1"/>
  <c r="B214" i="37" s="1"/>
  <c r="B214" i="38" s="1"/>
  <c r="B214" i="39" s="1"/>
  <c r="B214" i="40" s="1"/>
  <c r="B214" i="41" s="1"/>
  <c r="B214" i="42" s="1"/>
  <c r="B214" i="43" s="1"/>
  <c r="B214" i="44" s="1"/>
  <c r="B214" i="45" s="1"/>
  <c r="B214" i="46" s="1"/>
  <c r="B214" i="47" s="1"/>
  <c r="B214" i="48" s="1"/>
  <c r="B213" i="35"/>
  <c r="B213" i="36" s="1"/>
  <c r="B213" i="37" s="1"/>
  <c r="B213" i="38" s="1"/>
  <c r="B213" i="39" s="1"/>
  <c r="B213" i="40" s="1"/>
  <c r="B213" i="41" s="1"/>
  <c r="B213" i="42" s="1"/>
  <c r="B213" i="43" s="1"/>
  <c r="B213" i="44" s="1"/>
  <c r="B213" i="45" s="1"/>
  <c r="B213" i="46" s="1"/>
  <c r="B213" i="47" s="1"/>
  <c r="B213" i="48" s="1"/>
  <c r="A213" i="35"/>
  <c r="A213" i="36" s="1"/>
  <c r="A213" i="37" s="1"/>
  <c r="A213" i="38" s="1"/>
  <c r="A213" i="39" s="1"/>
  <c r="A213" i="40" s="1"/>
  <c r="A213" i="41" s="1"/>
  <c r="A213" i="42" s="1"/>
  <c r="A213" i="43" s="1"/>
  <c r="A213" i="44" s="1"/>
  <c r="A213" i="45" s="1"/>
  <c r="A213" i="46" s="1"/>
  <c r="A213" i="47" s="1"/>
  <c r="A213" i="48" s="1"/>
  <c r="B212" i="35"/>
  <c r="B212" i="36" s="1"/>
  <c r="B212" i="37" s="1"/>
  <c r="B212" i="38" s="1"/>
  <c r="B212" i="39" s="1"/>
  <c r="B212" i="40" s="1"/>
  <c r="B212" i="41" s="1"/>
  <c r="B212" i="42" s="1"/>
  <c r="B212" i="43" s="1"/>
  <c r="B212" i="44" s="1"/>
  <c r="B212" i="45" s="1"/>
  <c r="B212" i="46" s="1"/>
  <c r="B212" i="47" s="1"/>
  <c r="B212" i="48" s="1"/>
  <c r="A212" i="35"/>
  <c r="A212" i="36" s="1"/>
  <c r="A212" i="37" s="1"/>
  <c r="A212" i="38" s="1"/>
  <c r="A212" i="39" s="1"/>
  <c r="A212" i="40" s="1"/>
  <c r="A212" i="41" s="1"/>
  <c r="A212" i="42" s="1"/>
  <c r="A212" i="43" s="1"/>
  <c r="A212" i="44" s="1"/>
  <c r="A212" i="45" s="1"/>
  <c r="A212" i="46" s="1"/>
  <c r="A212" i="47" s="1"/>
  <c r="A212" i="48" s="1"/>
  <c r="C211" i="35"/>
  <c r="B211" i="35"/>
  <c r="B211" i="36" s="1"/>
  <c r="B211" i="37" s="1"/>
  <c r="B211" i="38" s="1"/>
  <c r="B211" i="39" s="1"/>
  <c r="B211" i="40" s="1"/>
  <c r="B211" i="41" s="1"/>
  <c r="B211" i="42" s="1"/>
  <c r="B211" i="43" s="1"/>
  <c r="B211" i="44" s="1"/>
  <c r="B211" i="45" s="1"/>
  <c r="B211" i="46" s="1"/>
  <c r="B211" i="47" s="1"/>
  <c r="B211" i="48" s="1"/>
  <c r="C210" i="35"/>
  <c r="B210" i="35"/>
  <c r="B210" i="36" s="1"/>
  <c r="B210" i="37" s="1"/>
  <c r="B210" i="38" s="1"/>
  <c r="B210" i="39" s="1"/>
  <c r="B210" i="40" s="1"/>
  <c r="B210" i="41" s="1"/>
  <c r="B210" i="42" s="1"/>
  <c r="B210" i="43" s="1"/>
  <c r="B210" i="44" s="1"/>
  <c r="B210" i="45" s="1"/>
  <c r="B210" i="46" s="1"/>
  <c r="B210" i="47" s="1"/>
  <c r="B210" i="48" s="1"/>
  <c r="B209" i="35"/>
  <c r="B209" i="36" s="1"/>
  <c r="B209" i="37" s="1"/>
  <c r="B209" i="38" s="1"/>
  <c r="B209" i="39" s="1"/>
  <c r="B209" i="40" s="1"/>
  <c r="B209" i="41" s="1"/>
  <c r="B209" i="42" s="1"/>
  <c r="B209" i="43" s="1"/>
  <c r="B209" i="44" s="1"/>
  <c r="B209" i="45" s="1"/>
  <c r="B209" i="46" s="1"/>
  <c r="B209" i="47" s="1"/>
  <c r="B209" i="48" s="1"/>
  <c r="A209" i="35"/>
  <c r="A209" i="36" s="1"/>
  <c r="A209" i="37" s="1"/>
  <c r="A209" i="38" s="1"/>
  <c r="A209" i="39" s="1"/>
  <c r="A209" i="40" s="1"/>
  <c r="A209" i="41" s="1"/>
  <c r="A209" i="42" s="1"/>
  <c r="A209" i="43" s="1"/>
  <c r="A209" i="44" s="1"/>
  <c r="A209" i="45" s="1"/>
  <c r="A209" i="46" s="1"/>
  <c r="A209" i="47" s="1"/>
  <c r="A209" i="48" s="1"/>
  <c r="B208" i="35"/>
  <c r="B208" i="36" s="1"/>
  <c r="B208" i="37" s="1"/>
  <c r="B208" i="38" s="1"/>
  <c r="B208" i="39" s="1"/>
  <c r="B208" i="40" s="1"/>
  <c r="B208" i="41" s="1"/>
  <c r="B208" i="42" s="1"/>
  <c r="B208" i="43" s="1"/>
  <c r="B208" i="44" s="1"/>
  <c r="B208" i="45" s="1"/>
  <c r="B208" i="46" s="1"/>
  <c r="B208" i="47" s="1"/>
  <c r="B208" i="48" s="1"/>
  <c r="A208" i="35"/>
  <c r="A208" i="36" s="1"/>
  <c r="A208" i="37" s="1"/>
  <c r="A208" i="38" s="1"/>
  <c r="A208" i="39" s="1"/>
  <c r="A208" i="40" s="1"/>
  <c r="A208" i="41" s="1"/>
  <c r="A208" i="42" s="1"/>
  <c r="A208" i="43" s="1"/>
  <c r="A208" i="44" s="1"/>
  <c r="A208" i="45" s="1"/>
  <c r="A208" i="46" s="1"/>
  <c r="A208" i="47" s="1"/>
  <c r="A208" i="48" s="1"/>
  <c r="C207" i="35"/>
  <c r="B207" i="35"/>
  <c r="B207" i="36" s="1"/>
  <c r="B207" i="37" s="1"/>
  <c r="B207" i="38" s="1"/>
  <c r="B207" i="39" s="1"/>
  <c r="B207" i="40" s="1"/>
  <c r="B207" i="41" s="1"/>
  <c r="B207" i="42" s="1"/>
  <c r="B207" i="43" s="1"/>
  <c r="B207" i="44" s="1"/>
  <c r="B207" i="45" s="1"/>
  <c r="B207" i="46" s="1"/>
  <c r="B207" i="47" s="1"/>
  <c r="B207" i="48" s="1"/>
  <c r="C206" i="35"/>
  <c r="B206" i="35"/>
  <c r="B206" i="36" s="1"/>
  <c r="B206" i="37" s="1"/>
  <c r="B206" i="38" s="1"/>
  <c r="B206" i="39" s="1"/>
  <c r="B206" i="40" s="1"/>
  <c r="B206" i="41" s="1"/>
  <c r="B206" i="42" s="1"/>
  <c r="B206" i="43" s="1"/>
  <c r="B206" i="44" s="1"/>
  <c r="B206" i="45" s="1"/>
  <c r="B206" i="46" s="1"/>
  <c r="B206" i="47" s="1"/>
  <c r="B206" i="48" s="1"/>
  <c r="B205" i="35"/>
  <c r="B205" i="36" s="1"/>
  <c r="B205" i="37" s="1"/>
  <c r="B205" i="38" s="1"/>
  <c r="B205" i="39" s="1"/>
  <c r="B205" i="40" s="1"/>
  <c r="B205" i="41" s="1"/>
  <c r="B205" i="42" s="1"/>
  <c r="B205" i="43" s="1"/>
  <c r="B205" i="44" s="1"/>
  <c r="B205" i="45" s="1"/>
  <c r="B205" i="46" s="1"/>
  <c r="B205" i="47" s="1"/>
  <c r="B205" i="48" s="1"/>
  <c r="A205" i="35"/>
  <c r="A205" i="36" s="1"/>
  <c r="A205" i="37" s="1"/>
  <c r="A205" i="38" s="1"/>
  <c r="A205" i="39" s="1"/>
  <c r="A205" i="40" s="1"/>
  <c r="A205" i="41" s="1"/>
  <c r="A205" i="42" s="1"/>
  <c r="A205" i="43" s="1"/>
  <c r="A205" i="44" s="1"/>
  <c r="A205" i="45" s="1"/>
  <c r="A205" i="46" s="1"/>
  <c r="A205" i="47" s="1"/>
  <c r="A205" i="48" s="1"/>
  <c r="B204" i="35"/>
  <c r="B204" i="36" s="1"/>
  <c r="B204" i="37" s="1"/>
  <c r="B204" i="38" s="1"/>
  <c r="B204" i="39" s="1"/>
  <c r="B204" i="40" s="1"/>
  <c r="B204" i="41" s="1"/>
  <c r="B204" i="42" s="1"/>
  <c r="B204" i="43" s="1"/>
  <c r="B204" i="44" s="1"/>
  <c r="B204" i="45" s="1"/>
  <c r="B204" i="46" s="1"/>
  <c r="B204" i="47" s="1"/>
  <c r="B204" i="48" s="1"/>
  <c r="A204" i="35"/>
  <c r="A204" i="36" s="1"/>
  <c r="A204" i="37" s="1"/>
  <c r="A204" i="38" s="1"/>
  <c r="A204" i="39" s="1"/>
  <c r="A204" i="40" s="1"/>
  <c r="A204" i="41" s="1"/>
  <c r="A204" i="42" s="1"/>
  <c r="A204" i="43" s="1"/>
  <c r="A204" i="44" s="1"/>
  <c r="A204" i="45" s="1"/>
  <c r="A204" i="46" s="1"/>
  <c r="A204" i="47" s="1"/>
  <c r="A204" i="48" s="1"/>
  <c r="C203" i="35"/>
  <c r="B203" i="35"/>
  <c r="B203" i="36" s="1"/>
  <c r="B203" i="37" s="1"/>
  <c r="B203" i="38" s="1"/>
  <c r="B203" i="39" s="1"/>
  <c r="B203" i="40" s="1"/>
  <c r="B203" i="41" s="1"/>
  <c r="B203" i="42" s="1"/>
  <c r="B203" i="43" s="1"/>
  <c r="B203" i="44" s="1"/>
  <c r="B203" i="45" s="1"/>
  <c r="B203" i="46" s="1"/>
  <c r="B203" i="47" s="1"/>
  <c r="B203" i="48" s="1"/>
  <c r="C202" i="35"/>
  <c r="B202" i="35"/>
  <c r="B202" i="36" s="1"/>
  <c r="B202" i="37" s="1"/>
  <c r="B202" i="38" s="1"/>
  <c r="B202" i="39" s="1"/>
  <c r="B202" i="40" s="1"/>
  <c r="B202" i="41" s="1"/>
  <c r="B202" i="42" s="1"/>
  <c r="B202" i="43" s="1"/>
  <c r="B202" i="44" s="1"/>
  <c r="B202" i="45" s="1"/>
  <c r="B202" i="46" s="1"/>
  <c r="B202" i="47" s="1"/>
  <c r="B202" i="48" s="1"/>
  <c r="B201" i="35"/>
  <c r="B201" i="36" s="1"/>
  <c r="B201" i="37" s="1"/>
  <c r="B201" i="38" s="1"/>
  <c r="B201" i="39" s="1"/>
  <c r="B201" i="40" s="1"/>
  <c r="B201" i="41" s="1"/>
  <c r="B201" i="42" s="1"/>
  <c r="B201" i="43" s="1"/>
  <c r="B201" i="44" s="1"/>
  <c r="B201" i="45" s="1"/>
  <c r="B201" i="46" s="1"/>
  <c r="B201" i="47" s="1"/>
  <c r="B201" i="48" s="1"/>
  <c r="A201" i="35"/>
  <c r="A201" i="36" s="1"/>
  <c r="A201" i="37" s="1"/>
  <c r="A201" i="38" s="1"/>
  <c r="A201" i="39" s="1"/>
  <c r="A201" i="40" s="1"/>
  <c r="A201" i="41" s="1"/>
  <c r="A201" i="42" s="1"/>
  <c r="A201" i="43" s="1"/>
  <c r="A201" i="44" s="1"/>
  <c r="A201" i="45" s="1"/>
  <c r="A201" i="46" s="1"/>
  <c r="A201" i="47" s="1"/>
  <c r="A201" i="48" s="1"/>
  <c r="B200" i="35"/>
  <c r="B200" i="36" s="1"/>
  <c r="B200" i="37" s="1"/>
  <c r="B200" i="38" s="1"/>
  <c r="B200" i="39" s="1"/>
  <c r="B200" i="40" s="1"/>
  <c r="B200" i="41" s="1"/>
  <c r="B200" i="42" s="1"/>
  <c r="B200" i="43" s="1"/>
  <c r="B200" i="44" s="1"/>
  <c r="B200" i="45" s="1"/>
  <c r="B200" i="46" s="1"/>
  <c r="B200" i="47" s="1"/>
  <c r="B200" i="48" s="1"/>
  <c r="A200" i="35"/>
  <c r="A200" i="36" s="1"/>
  <c r="A200" i="37" s="1"/>
  <c r="A200" i="38" s="1"/>
  <c r="A200" i="39" s="1"/>
  <c r="A200" i="40" s="1"/>
  <c r="A200" i="41" s="1"/>
  <c r="A200" i="42" s="1"/>
  <c r="A200" i="43" s="1"/>
  <c r="A200" i="44" s="1"/>
  <c r="A200" i="45" s="1"/>
  <c r="A200" i="46" s="1"/>
  <c r="A200" i="47" s="1"/>
  <c r="A200" i="48" s="1"/>
  <c r="C199" i="35"/>
  <c r="B199" i="35"/>
  <c r="B199" i="36" s="1"/>
  <c r="B199" i="37" s="1"/>
  <c r="B199" i="38" s="1"/>
  <c r="B199" i="39" s="1"/>
  <c r="B199" i="40" s="1"/>
  <c r="B199" i="41" s="1"/>
  <c r="B199" i="42" s="1"/>
  <c r="B199" i="43" s="1"/>
  <c r="B199" i="44" s="1"/>
  <c r="B199" i="45" s="1"/>
  <c r="B199" i="46" s="1"/>
  <c r="B199" i="47" s="1"/>
  <c r="B199" i="48" s="1"/>
  <c r="C198" i="35"/>
  <c r="B198" i="35"/>
  <c r="B198" i="36" s="1"/>
  <c r="B198" i="37" s="1"/>
  <c r="B198" i="38" s="1"/>
  <c r="B198" i="39" s="1"/>
  <c r="B198" i="40" s="1"/>
  <c r="B198" i="41" s="1"/>
  <c r="B198" i="42" s="1"/>
  <c r="B198" i="43" s="1"/>
  <c r="B198" i="44" s="1"/>
  <c r="B198" i="45" s="1"/>
  <c r="B198" i="46" s="1"/>
  <c r="B198" i="47" s="1"/>
  <c r="B198" i="48" s="1"/>
  <c r="B197" i="35"/>
  <c r="B197" i="36" s="1"/>
  <c r="B197" i="37" s="1"/>
  <c r="B197" i="38" s="1"/>
  <c r="B197" i="39" s="1"/>
  <c r="B197" i="40" s="1"/>
  <c r="B197" i="41" s="1"/>
  <c r="B197" i="42" s="1"/>
  <c r="B197" i="43" s="1"/>
  <c r="B197" i="44" s="1"/>
  <c r="B197" i="45" s="1"/>
  <c r="B197" i="46" s="1"/>
  <c r="B197" i="47" s="1"/>
  <c r="B197" i="48" s="1"/>
  <c r="A197" i="35"/>
  <c r="A197" i="36" s="1"/>
  <c r="A197" i="37" s="1"/>
  <c r="A197" i="38" s="1"/>
  <c r="A197" i="39" s="1"/>
  <c r="A197" i="40" s="1"/>
  <c r="A197" i="41" s="1"/>
  <c r="A197" i="42" s="1"/>
  <c r="A197" i="43" s="1"/>
  <c r="A197" i="44" s="1"/>
  <c r="A197" i="45" s="1"/>
  <c r="A197" i="46" s="1"/>
  <c r="A197" i="47" s="1"/>
  <c r="A197" i="48" s="1"/>
  <c r="B196" i="35"/>
  <c r="B196" i="36" s="1"/>
  <c r="B196" i="37" s="1"/>
  <c r="B196" i="38" s="1"/>
  <c r="B196" i="39" s="1"/>
  <c r="B196" i="40" s="1"/>
  <c r="B196" i="41" s="1"/>
  <c r="B196" i="42" s="1"/>
  <c r="B196" i="43" s="1"/>
  <c r="B196" i="44" s="1"/>
  <c r="B196" i="45" s="1"/>
  <c r="B196" i="46" s="1"/>
  <c r="B196" i="47" s="1"/>
  <c r="B196" i="48" s="1"/>
  <c r="A196" i="35"/>
  <c r="A196" i="36" s="1"/>
  <c r="A196" i="37" s="1"/>
  <c r="A196" i="38" s="1"/>
  <c r="A196" i="39" s="1"/>
  <c r="A196" i="40" s="1"/>
  <c r="A196" i="41" s="1"/>
  <c r="A196" i="42" s="1"/>
  <c r="A196" i="43" s="1"/>
  <c r="A196" i="44" s="1"/>
  <c r="A196" i="45" s="1"/>
  <c r="A196" i="46" s="1"/>
  <c r="A196" i="47" s="1"/>
  <c r="A196" i="48" s="1"/>
  <c r="C195" i="35"/>
  <c r="B195" i="35"/>
  <c r="B195" i="36" s="1"/>
  <c r="B195" i="37" s="1"/>
  <c r="B195" i="38" s="1"/>
  <c r="B195" i="39" s="1"/>
  <c r="B195" i="40" s="1"/>
  <c r="B195" i="41" s="1"/>
  <c r="B195" i="42" s="1"/>
  <c r="B195" i="43" s="1"/>
  <c r="B195" i="44" s="1"/>
  <c r="B195" i="45" s="1"/>
  <c r="B195" i="46" s="1"/>
  <c r="B195" i="47" s="1"/>
  <c r="B195" i="48" s="1"/>
  <c r="C194" i="35"/>
  <c r="B194" i="35"/>
  <c r="B194" i="36" s="1"/>
  <c r="B194" i="37" s="1"/>
  <c r="B194" i="38" s="1"/>
  <c r="B194" i="39" s="1"/>
  <c r="B194" i="40" s="1"/>
  <c r="B194" i="41" s="1"/>
  <c r="B194" i="42" s="1"/>
  <c r="B194" i="43" s="1"/>
  <c r="B194" i="44" s="1"/>
  <c r="B194" i="45" s="1"/>
  <c r="B194" i="46" s="1"/>
  <c r="B194" i="47" s="1"/>
  <c r="B194" i="48" s="1"/>
  <c r="B192" i="35"/>
  <c r="B192" i="36" s="1"/>
  <c r="B192" i="37" s="1"/>
  <c r="B192" i="38" s="1"/>
  <c r="B192" i="39" s="1"/>
  <c r="B192" i="40" s="1"/>
  <c r="B192" i="41" s="1"/>
  <c r="B192" i="42" s="1"/>
  <c r="B192" i="43" s="1"/>
  <c r="B192" i="44" s="1"/>
  <c r="B192" i="45" s="1"/>
  <c r="B192" i="46" s="1"/>
  <c r="B192" i="47" s="1"/>
  <c r="B192" i="48" s="1"/>
  <c r="A192" i="35"/>
  <c r="A192" i="36" s="1"/>
  <c r="A192" i="37" s="1"/>
  <c r="A192" i="38" s="1"/>
  <c r="A192" i="39" s="1"/>
  <c r="A192" i="40" s="1"/>
  <c r="A192" i="41" s="1"/>
  <c r="A192" i="42" s="1"/>
  <c r="A192" i="43" s="1"/>
  <c r="A192" i="44" s="1"/>
  <c r="A192" i="45" s="1"/>
  <c r="A192" i="46" s="1"/>
  <c r="A192" i="47" s="1"/>
  <c r="A192" i="48" s="1"/>
  <c r="B191" i="35"/>
  <c r="B191" i="36" s="1"/>
  <c r="B191" i="37" s="1"/>
  <c r="B191" i="38" s="1"/>
  <c r="B191" i="39" s="1"/>
  <c r="B191" i="40" s="1"/>
  <c r="B191" i="41" s="1"/>
  <c r="B191" i="42" s="1"/>
  <c r="B191" i="43" s="1"/>
  <c r="B191" i="44" s="1"/>
  <c r="B191" i="45" s="1"/>
  <c r="B191" i="46" s="1"/>
  <c r="B191" i="47" s="1"/>
  <c r="B191" i="48" s="1"/>
  <c r="A191" i="35"/>
  <c r="A191" i="36" s="1"/>
  <c r="A191" i="37" s="1"/>
  <c r="A191" i="38" s="1"/>
  <c r="A191" i="39" s="1"/>
  <c r="A191" i="40" s="1"/>
  <c r="A191" i="41" s="1"/>
  <c r="A191" i="42" s="1"/>
  <c r="A191" i="43" s="1"/>
  <c r="A191" i="44" s="1"/>
  <c r="A191" i="45" s="1"/>
  <c r="A191" i="46" s="1"/>
  <c r="A191" i="47" s="1"/>
  <c r="A191" i="48" s="1"/>
  <c r="C190" i="35"/>
  <c r="B190" i="35"/>
  <c r="B190" i="36" s="1"/>
  <c r="B190" i="37" s="1"/>
  <c r="B190" i="38" s="1"/>
  <c r="B190" i="39" s="1"/>
  <c r="B190" i="40" s="1"/>
  <c r="B190" i="41" s="1"/>
  <c r="B190" i="42" s="1"/>
  <c r="B190" i="43" s="1"/>
  <c r="B190" i="44" s="1"/>
  <c r="B190" i="45" s="1"/>
  <c r="B190" i="46" s="1"/>
  <c r="B190" i="47" s="1"/>
  <c r="B190" i="48" s="1"/>
  <c r="C189" i="35"/>
  <c r="B189" i="35"/>
  <c r="B189" i="36" s="1"/>
  <c r="B189" i="37" s="1"/>
  <c r="B189" i="38" s="1"/>
  <c r="B189" i="39" s="1"/>
  <c r="B189" i="40" s="1"/>
  <c r="B189" i="41" s="1"/>
  <c r="B189" i="42" s="1"/>
  <c r="B189" i="43" s="1"/>
  <c r="B189" i="44" s="1"/>
  <c r="B189" i="45" s="1"/>
  <c r="B189" i="46" s="1"/>
  <c r="B189" i="47" s="1"/>
  <c r="B189" i="48" s="1"/>
  <c r="B188" i="35"/>
  <c r="B188" i="36" s="1"/>
  <c r="B188" i="37" s="1"/>
  <c r="B188" i="38" s="1"/>
  <c r="B188" i="39" s="1"/>
  <c r="B188" i="40" s="1"/>
  <c r="B188" i="41" s="1"/>
  <c r="B188" i="42" s="1"/>
  <c r="B188" i="43" s="1"/>
  <c r="B188" i="44" s="1"/>
  <c r="B188" i="45" s="1"/>
  <c r="B188" i="46" s="1"/>
  <c r="B188" i="47" s="1"/>
  <c r="B188" i="48" s="1"/>
  <c r="A188" i="35"/>
  <c r="A188" i="36" s="1"/>
  <c r="A188" i="37" s="1"/>
  <c r="A188" i="38" s="1"/>
  <c r="A188" i="39" s="1"/>
  <c r="A188" i="40" s="1"/>
  <c r="A188" i="41" s="1"/>
  <c r="A188" i="42" s="1"/>
  <c r="A188" i="43" s="1"/>
  <c r="A188" i="44" s="1"/>
  <c r="A188" i="45" s="1"/>
  <c r="A188" i="46" s="1"/>
  <c r="A188" i="47" s="1"/>
  <c r="A188" i="48" s="1"/>
  <c r="B187" i="35"/>
  <c r="B187" i="36" s="1"/>
  <c r="B187" i="37" s="1"/>
  <c r="B187" i="38" s="1"/>
  <c r="B187" i="39" s="1"/>
  <c r="B187" i="40" s="1"/>
  <c r="B187" i="41" s="1"/>
  <c r="B187" i="42" s="1"/>
  <c r="B187" i="43" s="1"/>
  <c r="B187" i="44" s="1"/>
  <c r="B187" i="45" s="1"/>
  <c r="B187" i="46" s="1"/>
  <c r="B187" i="47" s="1"/>
  <c r="B187" i="48" s="1"/>
  <c r="A187" i="35"/>
  <c r="A187" i="36" s="1"/>
  <c r="A187" i="37" s="1"/>
  <c r="A187" i="38" s="1"/>
  <c r="A187" i="39" s="1"/>
  <c r="A187" i="40" s="1"/>
  <c r="A187" i="41" s="1"/>
  <c r="A187" i="42" s="1"/>
  <c r="A187" i="43" s="1"/>
  <c r="A187" i="44" s="1"/>
  <c r="A187" i="45" s="1"/>
  <c r="A187" i="46" s="1"/>
  <c r="A187" i="47" s="1"/>
  <c r="A187" i="48" s="1"/>
  <c r="C186" i="35"/>
  <c r="B186" i="35"/>
  <c r="B186" i="36" s="1"/>
  <c r="B186" i="37" s="1"/>
  <c r="B186" i="38" s="1"/>
  <c r="B186" i="39" s="1"/>
  <c r="B186" i="40" s="1"/>
  <c r="B186" i="41" s="1"/>
  <c r="B186" i="42" s="1"/>
  <c r="B186" i="43" s="1"/>
  <c r="B186" i="44" s="1"/>
  <c r="B186" i="45" s="1"/>
  <c r="B186" i="46" s="1"/>
  <c r="B186" i="47" s="1"/>
  <c r="B186" i="48" s="1"/>
  <c r="C185" i="35"/>
  <c r="B185" i="35"/>
  <c r="B185" i="36" s="1"/>
  <c r="B185" i="37" s="1"/>
  <c r="B185" i="38" s="1"/>
  <c r="B185" i="39" s="1"/>
  <c r="B185" i="40" s="1"/>
  <c r="B185" i="41" s="1"/>
  <c r="B185" i="42" s="1"/>
  <c r="B185" i="43" s="1"/>
  <c r="B185" i="44" s="1"/>
  <c r="B185" i="45" s="1"/>
  <c r="B185" i="46" s="1"/>
  <c r="B185" i="47" s="1"/>
  <c r="B185" i="48" s="1"/>
  <c r="B184" i="35"/>
  <c r="B184" i="36" s="1"/>
  <c r="B184" i="37" s="1"/>
  <c r="B184" i="38" s="1"/>
  <c r="B184" i="39" s="1"/>
  <c r="B184" i="40" s="1"/>
  <c r="B184" i="41" s="1"/>
  <c r="B184" i="42" s="1"/>
  <c r="B184" i="43" s="1"/>
  <c r="B184" i="44" s="1"/>
  <c r="B184" i="45" s="1"/>
  <c r="B184" i="46" s="1"/>
  <c r="B184" i="47" s="1"/>
  <c r="B184" i="48" s="1"/>
  <c r="A184" i="35"/>
  <c r="A184" i="36" s="1"/>
  <c r="A184" i="37" s="1"/>
  <c r="A184" i="38" s="1"/>
  <c r="A184" i="39" s="1"/>
  <c r="A184" i="40" s="1"/>
  <c r="A184" i="41" s="1"/>
  <c r="A184" i="42" s="1"/>
  <c r="A184" i="43" s="1"/>
  <c r="A184" i="44" s="1"/>
  <c r="A184" i="45" s="1"/>
  <c r="A184" i="46" s="1"/>
  <c r="A184" i="47" s="1"/>
  <c r="A184" i="48" s="1"/>
  <c r="B183" i="35"/>
  <c r="B183" i="36" s="1"/>
  <c r="B183" i="37" s="1"/>
  <c r="B183" i="38" s="1"/>
  <c r="B183" i="39" s="1"/>
  <c r="B183" i="40" s="1"/>
  <c r="B183" i="41" s="1"/>
  <c r="B183" i="42" s="1"/>
  <c r="B183" i="43" s="1"/>
  <c r="B183" i="44" s="1"/>
  <c r="B183" i="45" s="1"/>
  <c r="B183" i="46" s="1"/>
  <c r="B183" i="47" s="1"/>
  <c r="B183" i="48" s="1"/>
  <c r="A183" i="35"/>
  <c r="A183" i="36" s="1"/>
  <c r="A183" i="37" s="1"/>
  <c r="A183" i="38" s="1"/>
  <c r="A183" i="39" s="1"/>
  <c r="A183" i="40" s="1"/>
  <c r="A183" i="41" s="1"/>
  <c r="A183" i="42" s="1"/>
  <c r="A183" i="43" s="1"/>
  <c r="A183" i="44" s="1"/>
  <c r="A183" i="45" s="1"/>
  <c r="A183" i="46" s="1"/>
  <c r="A183" i="47" s="1"/>
  <c r="A183" i="48" s="1"/>
  <c r="C182" i="35"/>
  <c r="B182" i="35"/>
  <c r="B182" i="36" s="1"/>
  <c r="B182" i="37" s="1"/>
  <c r="B182" i="38" s="1"/>
  <c r="B182" i="39" s="1"/>
  <c r="B182" i="40" s="1"/>
  <c r="B182" i="41" s="1"/>
  <c r="B182" i="42" s="1"/>
  <c r="B182" i="43" s="1"/>
  <c r="B182" i="44" s="1"/>
  <c r="B182" i="45" s="1"/>
  <c r="B182" i="46" s="1"/>
  <c r="B182" i="47" s="1"/>
  <c r="B182" i="48" s="1"/>
  <c r="C181" i="35"/>
  <c r="B181" i="35"/>
  <c r="B181" i="36" s="1"/>
  <c r="B181" i="37" s="1"/>
  <c r="B181" i="38" s="1"/>
  <c r="B181" i="39" s="1"/>
  <c r="B181" i="40" s="1"/>
  <c r="B181" i="41" s="1"/>
  <c r="B181" i="42" s="1"/>
  <c r="B181" i="43" s="1"/>
  <c r="B181" i="44" s="1"/>
  <c r="B181" i="45" s="1"/>
  <c r="B181" i="46" s="1"/>
  <c r="B181" i="47" s="1"/>
  <c r="B181" i="48" s="1"/>
  <c r="B180" i="35"/>
  <c r="B180" i="36" s="1"/>
  <c r="B180" i="37" s="1"/>
  <c r="B180" i="38" s="1"/>
  <c r="B180" i="39" s="1"/>
  <c r="B180" i="40" s="1"/>
  <c r="B180" i="41" s="1"/>
  <c r="B180" i="42" s="1"/>
  <c r="B180" i="43" s="1"/>
  <c r="B180" i="44" s="1"/>
  <c r="B180" i="45" s="1"/>
  <c r="B180" i="46" s="1"/>
  <c r="B180" i="47" s="1"/>
  <c r="B180" i="48" s="1"/>
  <c r="A180" i="35"/>
  <c r="A180" i="36" s="1"/>
  <c r="A180" i="37" s="1"/>
  <c r="A180" i="38" s="1"/>
  <c r="A180" i="39" s="1"/>
  <c r="A180" i="40" s="1"/>
  <c r="A180" i="41" s="1"/>
  <c r="A180" i="42" s="1"/>
  <c r="A180" i="43" s="1"/>
  <c r="A180" i="44" s="1"/>
  <c r="A180" i="45" s="1"/>
  <c r="A180" i="46" s="1"/>
  <c r="A180" i="47" s="1"/>
  <c r="A180" i="48" s="1"/>
  <c r="B179" i="35"/>
  <c r="B179" i="36" s="1"/>
  <c r="B179" i="37" s="1"/>
  <c r="B179" i="38" s="1"/>
  <c r="B179" i="39" s="1"/>
  <c r="B179" i="40" s="1"/>
  <c r="B179" i="41" s="1"/>
  <c r="B179" i="42" s="1"/>
  <c r="B179" i="43" s="1"/>
  <c r="B179" i="44" s="1"/>
  <c r="B179" i="45" s="1"/>
  <c r="B179" i="46" s="1"/>
  <c r="B179" i="47" s="1"/>
  <c r="B179" i="48" s="1"/>
  <c r="A179" i="35"/>
  <c r="A179" i="36" s="1"/>
  <c r="A179" i="37" s="1"/>
  <c r="A179" i="38" s="1"/>
  <c r="A179" i="39" s="1"/>
  <c r="A179" i="40" s="1"/>
  <c r="A179" i="41" s="1"/>
  <c r="A179" i="42" s="1"/>
  <c r="A179" i="43" s="1"/>
  <c r="A179" i="44" s="1"/>
  <c r="A179" i="45" s="1"/>
  <c r="A179" i="46" s="1"/>
  <c r="A179" i="47" s="1"/>
  <c r="A179" i="48" s="1"/>
  <c r="B178" i="35"/>
  <c r="B178" i="36" s="1"/>
  <c r="B178" i="37" s="1"/>
  <c r="B178" i="38" s="1"/>
  <c r="B178" i="39" s="1"/>
  <c r="B178" i="40" s="1"/>
  <c r="B178" i="41" s="1"/>
  <c r="B178" i="42" s="1"/>
  <c r="B178" i="43" s="1"/>
  <c r="B178" i="44" s="1"/>
  <c r="B178" i="45" s="1"/>
  <c r="B178" i="46" s="1"/>
  <c r="B178" i="47" s="1"/>
  <c r="B178" i="48" s="1"/>
  <c r="B177" i="35"/>
  <c r="B177" i="36" s="1"/>
  <c r="B177" i="37" s="1"/>
  <c r="B177" i="38" s="1"/>
  <c r="B177" i="39" s="1"/>
  <c r="B177" i="40" s="1"/>
  <c r="B177" i="41" s="1"/>
  <c r="B177" i="42" s="1"/>
  <c r="B177" i="43" s="1"/>
  <c r="B177" i="44" s="1"/>
  <c r="B177" i="45" s="1"/>
  <c r="B177" i="46" s="1"/>
  <c r="B177" i="47" s="1"/>
  <c r="B177" i="48" s="1"/>
  <c r="B176" i="35"/>
  <c r="B176" i="36" s="1"/>
  <c r="B176" i="37" s="1"/>
  <c r="B176" i="38" s="1"/>
  <c r="B176" i="39" s="1"/>
  <c r="B176" i="40" s="1"/>
  <c r="B176" i="41" s="1"/>
  <c r="B176" i="42" s="1"/>
  <c r="B176" i="43" s="1"/>
  <c r="B176" i="44" s="1"/>
  <c r="B176" i="45" s="1"/>
  <c r="B176" i="46" s="1"/>
  <c r="B176" i="47" s="1"/>
  <c r="B176" i="48" s="1"/>
  <c r="A176" i="35"/>
  <c r="A176" i="36" s="1"/>
  <c r="A176" i="37" s="1"/>
  <c r="A176" i="38" s="1"/>
  <c r="A176" i="39" s="1"/>
  <c r="A176" i="40" s="1"/>
  <c r="A176" i="41" s="1"/>
  <c r="A176" i="42" s="1"/>
  <c r="A176" i="43" s="1"/>
  <c r="A176" i="44" s="1"/>
  <c r="A176" i="45" s="1"/>
  <c r="A176" i="46" s="1"/>
  <c r="A176" i="47" s="1"/>
  <c r="A176" i="48" s="1"/>
  <c r="B175" i="35"/>
  <c r="B175" i="36" s="1"/>
  <c r="B175" i="37" s="1"/>
  <c r="B175" i="38" s="1"/>
  <c r="B175" i="39" s="1"/>
  <c r="B175" i="40" s="1"/>
  <c r="B175" i="41" s="1"/>
  <c r="B175" i="42" s="1"/>
  <c r="B175" i="43" s="1"/>
  <c r="B175" i="44" s="1"/>
  <c r="B175" i="45" s="1"/>
  <c r="B175" i="46" s="1"/>
  <c r="B175" i="47" s="1"/>
  <c r="B175" i="48" s="1"/>
  <c r="A175" i="35"/>
  <c r="A175" i="36" s="1"/>
  <c r="A175" i="37" s="1"/>
  <c r="A175" i="38" s="1"/>
  <c r="A175" i="39" s="1"/>
  <c r="A175" i="40" s="1"/>
  <c r="A175" i="41" s="1"/>
  <c r="A175" i="42" s="1"/>
  <c r="A175" i="43" s="1"/>
  <c r="A175" i="44" s="1"/>
  <c r="A175" i="45" s="1"/>
  <c r="A175" i="46" s="1"/>
  <c r="A175" i="47" s="1"/>
  <c r="A175" i="48" s="1"/>
  <c r="C174" i="35"/>
  <c r="B174" i="35"/>
  <c r="B174" i="36" s="1"/>
  <c r="B174" i="37" s="1"/>
  <c r="B174" i="38" s="1"/>
  <c r="B174" i="39" s="1"/>
  <c r="B174" i="40" s="1"/>
  <c r="B174" i="41" s="1"/>
  <c r="B174" i="42" s="1"/>
  <c r="B174" i="43" s="1"/>
  <c r="B174" i="44" s="1"/>
  <c r="B174" i="45" s="1"/>
  <c r="B174" i="46" s="1"/>
  <c r="B174" i="47" s="1"/>
  <c r="B174" i="48" s="1"/>
  <c r="C173" i="35"/>
  <c r="B173" i="35"/>
  <c r="B173" i="36" s="1"/>
  <c r="B173" i="37" s="1"/>
  <c r="B173" i="38" s="1"/>
  <c r="B173" i="39" s="1"/>
  <c r="B173" i="40" s="1"/>
  <c r="B173" i="41" s="1"/>
  <c r="B173" i="42" s="1"/>
  <c r="B173" i="43" s="1"/>
  <c r="B173" i="44" s="1"/>
  <c r="B173" i="45" s="1"/>
  <c r="B173" i="46" s="1"/>
  <c r="B173" i="47" s="1"/>
  <c r="B173" i="48" s="1"/>
  <c r="B172" i="35"/>
  <c r="B172" i="36" s="1"/>
  <c r="B172" i="37" s="1"/>
  <c r="B172" i="38" s="1"/>
  <c r="B172" i="39" s="1"/>
  <c r="B172" i="40" s="1"/>
  <c r="B172" i="41" s="1"/>
  <c r="B172" i="42" s="1"/>
  <c r="B172" i="43" s="1"/>
  <c r="B172" i="44" s="1"/>
  <c r="B172" i="45" s="1"/>
  <c r="B172" i="46" s="1"/>
  <c r="B172" i="47" s="1"/>
  <c r="B172" i="48" s="1"/>
  <c r="A172" i="35"/>
  <c r="A172" i="36" s="1"/>
  <c r="A172" i="37" s="1"/>
  <c r="A172" i="38" s="1"/>
  <c r="A172" i="39" s="1"/>
  <c r="A172" i="40" s="1"/>
  <c r="A172" i="41" s="1"/>
  <c r="A172" i="42" s="1"/>
  <c r="A172" i="43" s="1"/>
  <c r="A172" i="44" s="1"/>
  <c r="A172" i="45" s="1"/>
  <c r="A172" i="46" s="1"/>
  <c r="A172" i="47" s="1"/>
  <c r="A172" i="48" s="1"/>
  <c r="B171" i="35"/>
  <c r="B171" i="36" s="1"/>
  <c r="B171" i="37" s="1"/>
  <c r="B171" i="38" s="1"/>
  <c r="B171" i="39" s="1"/>
  <c r="B171" i="40" s="1"/>
  <c r="B171" i="41" s="1"/>
  <c r="B171" i="42" s="1"/>
  <c r="B171" i="43" s="1"/>
  <c r="B171" i="44" s="1"/>
  <c r="B171" i="45" s="1"/>
  <c r="B171" i="46" s="1"/>
  <c r="B171" i="47" s="1"/>
  <c r="B171" i="48" s="1"/>
  <c r="A171" i="35"/>
  <c r="A171" i="36" s="1"/>
  <c r="A171" i="37" s="1"/>
  <c r="A171" i="38" s="1"/>
  <c r="A171" i="39" s="1"/>
  <c r="A171" i="40" s="1"/>
  <c r="A171" i="41" s="1"/>
  <c r="A171" i="42" s="1"/>
  <c r="A171" i="43" s="1"/>
  <c r="A171" i="44" s="1"/>
  <c r="A171" i="45" s="1"/>
  <c r="A171" i="46" s="1"/>
  <c r="A171" i="47" s="1"/>
  <c r="A171" i="48" s="1"/>
  <c r="C170" i="35"/>
  <c r="B170" i="35"/>
  <c r="B170" i="36" s="1"/>
  <c r="B170" i="37" s="1"/>
  <c r="B170" i="38" s="1"/>
  <c r="B170" i="39" s="1"/>
  <c r="B170" i="40" s="1"/>
  <c r="B170" i="41" s="1"/>
  <c r="B170" i="42" s="1"/>
  <c r="B170" i="43" s="1"/>
  <c r="B170" i="44" s="1"/>
  <c r="B170" i="45" s="1"/>
  <c r="B170" i="46" s="1"/>
  <c r="B170" i="47" s="1"/>
  <c r="B170" i="48" s="1"/>
  <c r="B169" i="35"/>
  <c r="B169" i="36" s="1"/>
  <c r="B169" i="37" s="1"/>
  <c r="B169" i="38" s="1"/>
  <c r="B169" i="39" s="1"/>
  <c r="B169" i="40" s="1"/>
  <c r="B169" i="41" s="1"/>
  <c r="B169" i="42" s="1"/>
  <c r="B169" i="43" s="1"/>
  <c r="B169" i="44" s="1"/>
  <c r="B169" i="45" s="1"/>
  <c r="B169" i="46" s="1"/>
  <c r="B169" i="47" s="1"/>
  <c r="B169" i="48" s="1"/>
  <c r="B168" i="35"/>
  <c r="B168" i="36" s="1"/>
  <c r="B168" i="37" s="1"/>
  <c r="B168" i="38" s="1"/>
  <c r="B168" i="39" s="1"/>
  <c r="B168" i="40" s="1"/>
  <c r="B168" i="41" s="1"/>
  <c r="B168" i="42" s="1"/>
  <c r="B168" i="43" s="1"/>
  <c r="B168" i="44" s="1"/>
  <c r="B168" i="45" s="1"/>
  <c r="B168" i="46" s="1"/>
  <c r="B168" i="47" s="1"/>
  <c r="B168" i="48" s="1"/>
  <c r="A168" i="35"/>
  <c r="A168" i="36" s="1"/>
  <c r="A168" i="37" s="1"/>
  <c r="A168" i="38" s="1"/>
  <c r="A168" i="39" s="1"/>
  <c r="A168" i="40" s="1"/>
  <c r="A168" i="41" s="1"/>
  <c r="A168" i="42" s="1"/>
  <c r="A168" i="43" s="1"/>
  <c r="A168" i="44" s="1"/>
  <c r="A168" i="45" s="1"/>
  <c r="A168" i="46" s="1"/>
  <c r="A168" i="47" s="1"/>
  <c r="A168" i="48" s="1"/>
  <c r="B167" i="35"/>
  <c r="B167" i="36" s="1"/>
  <c r="B167" i="37" s="1"/>
  <c r="B167" i="38" s="1"/>
  <c r="B167" i="39" s="1"/>
  <c r="B167" i="40" s="1"/>
  <c r="B167" i="41" s="1"/>
  <c r="B167" i="42" s="1"/>
  <c r="B167" i="43" s="1"/>
  <c r="B167" i="44" s="1"/>
  <c r="B167" i="45" s="1"/>
  <c r="B167" i="46" s="1"/>
  <c r="B167" i="47" s="1"/>
  <c r="B167" i="48" s="1"/>
  <c r="A167" i="35"/>
  <c r="A167" i="36" s="1"/>
  <c r="A167" i="37" s="1"/>
  <c r="A167" i="38" s="1"/>
  <c r="A167" i="39" s="1"/>
  <c r="A167" i="40" s="1"/>
  <c r="A167" i="41" s="1"/>
  <c r="A167" i="42" s="1"/>
  <c r="A167" i="43" s="1"/>
  <c r="A167" i="44" s="1"/>
  <c r="A167" i="45" s="1"/>
  <c r="A167" i="46" s="1"/>
  <c r="A167" i="47" s="1"/>
  <c r="A167" i="48" s="1"/>
  <c r="C166" i="35"/>
  <c r="B166" i="35"/>
  <c r="B166" i="36" s="1"/>
  <c r="B166" i="37" s="1"/>
  <c r="B166" i="38" s="1"/>
  <c r="B166" i="39" s="1"/>
  <c r="B166" i="40" s="1"/>
  <c r="B166" i="41" s="1"/>
  <c r="B166" i="42" s="1"/>
  <c r="B166" i="43" s="1"/>
  <c r="B166" i="44" s="1"/>
  <c r="B166" i="45" s="1"/>
  <c r="B166" i="46" s="1"/>
  <c r="B166" i="47" s="1"/>
  <c r="B166" i="48" s="1"/>
  <c r="C165" i="35"/>
  <c r="B165" i="35"/>
  <c r="B165" i="36" s="1"/>
  <c r="B165" i="37" s="1"/>
  <c r="B165" i="38" s="1"/>
  <c r="B165" i="39" s="1"/>
  <c r="B165" i="40" s="1"/>
  <c r="B165" i="41" s="1"/>
  <c r="B165" i="42" s="1"/>
  <c r="B165" i="43" s="1"/>
  <c r="B165" i="44" s="1"/>
  <c r="B165" i="45" s="1"/>
  <c r="B165" i="46" s="1"/>
  <c r="B165" i="47" s="1"/>
  <c r="B165" i="48" s="1"/>
  <c r="B164" i="35"/>
  <c r="B164" i="36" s="1"/>
  <c r="B164" i="37" s="1"/>
  <c r="B164" i="38" s="1"/>
  <c r="B164" i="39" s="1"/>
  <c r="B164" i="40" s="1"/>
  <c r="B164" i="41" s="1"/>
  <c r="B164" i="42" s="1"/>
  <c r="B164" i="43" s="1"/>
  <c r="B164" i="44" s="1"/>
  <c r="B164" i="45" s="1"/>
  <c r="B164" i="46" s="1"/>
  <c r="B164" i="47" s="1"/>
  <c r="B164" i="48" s="1"/>
  <c r="A164" i="35"/>
  <c r="A164" i="36" s="1"/>
  <c r="A164" i="37" s="1"/>
  <c r="A164" i="38" s="1"/>
  <c r="A164" i="39" s="1"/>
  <c r="A164" i="40" s="1"/>
  <c r="A164" i="41" s="1"/>
  <c r="A164" i="42" s="1"/>
  <c r="A164" i="43" s="1"/>
  <c r="A164" i="44" s="1"/>
  <c r="A164" i="45" s="1"/>
  <c r="A164" i="46" s="1"/>
  <c r="A164" i="47" s="1"/>
  <c r="A164" i="48" s="1"/>
  <c r="B163" i="35"/>
  <c r="B163" i="36" s="1"/>
  <c r="B163" i="37" s="1"/>
  <c r="B163" i="38" s="1"/>
  <c r="B163" i="39" s="1"/>
  <c r="B163" i="40" s="1"/>
  <c r="B163" i="41" s="1"/>
  <c r="B163" i="42" s="1"/>
  <c r="B163" i="43" s="1"/>
  <c r="B163" i="44" s="1"/>
  <c r="B163" i="45" s="1"/>
  <c r="B163" i="46" s="1"/>
  <c r="B163" i="47" s="1"/>
  <c r="B163" i="48" s="1"/>
  <c r="A163" i="35"/>
  <c r="A163" i="36" s="1"/>
  <c r="A163" i="37" s="1"/>
  <c r="A163" i="38" s="1"/>
  <c r="A163" i="39" s="1"/>
  <c r="A163" i="40" s="1"/>
  <c r="A163" i="41" s="1"/>
  <c r="A163" i="42" s="1"/>
  <c r="A163" i="43" s="1"/>
  <c r="A163" i="44" s="1"/>
  <c r="A163" i="45" s="1"/>
  <c r="A163" i="46" s="1"/>
  <c r="A163" i="47" s="1"/>
  <c r="A163" i="48" s="1"/>
  <c r="C162" i="35"/>
  <c r="B162" i="35"/>
  <c r="B162" i="36" s="1"/>
  <c r="B162" i="37" s="1"/>
  <c r="B162" i="38" s="1"/>
  <c r="B162" i="39" s="1"/>
  <c r="B162" i="40" s="1"/>
  <c r="B162" i="41" s="1"/>
  <c r="B162" i="42" s="1"/>
  <c r="B162" i="43" s="1"/>
  <c r="B162" i="44" s="1"/>
  <c r="B162" i="45" s="1"/>
  <c r="B162" i="46" s="1"/>
  <c r="B162" i="47" s="1"/>
  <c r="B162" i="48" s="1"/>
  <c r="C161" i="35"/>
  <c r="B161" i="35"/>
  <c r="B161" i="36" s="1"/>
  <c r="B161" i="37" s="1"/>
  <c r="B161" i="38" s="1"/>
  <c r="B161" i="39" s="1"/>
  <c r="B161" i="40" s="1"/>
  <c r="B161" i="41" s="1"/>
  <c r="B161" i="42" s="1"/>
  <c r="B161" i="43" s="1"/>
  <c r="B161" i="44" s="1"/>
  <c r="B161" i="45" s="1"/>
  <c r="B161" i="46" s="1"/>
  <c r="B161" i="47" s="1"/>
  <c r="B161" i="48" s="1"/>
  <c r="B160" i="35"/>
  <c r="B160" i="36" s="1"/>
  <c r="B160" i="37" s="1"/>
  <c r="B160" i="38" s="1"/>
  <c r="B160" i="39" s="1"/>
  <c r="B160" i="40" s="1"/>
  <c r="B160" i="41" s="1"/>
  <c r="B160" i="42" s="1"/>
  <c r="B160" i="43" s="1"/>
  <c r="B160" i="44" s="1"/>
  <c r="B160" i="45" s="1"/>
  <c r="B160" i="46" s="1"/>
  <c r="B160" i="47" s="1"/>
  <c r="B160" i="48" s="1"/>
  <c r="A160" i="35"/>
  <c r="A160" i="36" s="1"/>
  <c r="A160" i="37" s="1"/>
  <c r="A160" i="38" s="1"/>
  <c r="A160" i="39" s="1"/>
  <c r="A160" i="40" s="1"/>
  <c r="A160" i="41" s="1"/>
  <c r="A160" i="42" s="1"/>
  <c r="A160" i="43" s="1"/>
  <c r="A160" i="44" s="1"/>
  <c r="A160" i="45" s="1"/>
  <c r="A160" i="46" s="1"/>
  <c r="A160" i="47" s="1"/>
  <c r="A160" i="48" s="1"/>
  <c r="B159" i="35"/>
  <c r="B159" i="36" s="1"/>
  <c r="B159" i="37" s="1"/>
  <c r="B159" i="38" s="1"/>
  <c r="B159" i="39" s="1"/>
  <c r="B159" i="40" s="1"/>
  <c r="B159" i="41" s="1"/>
  <c r="B159" i="42" s="1"/>
  <c r="B159" i="43" s="1"/>
  <c r="B159" i="44" s="1"/>
  <c r="B159" i="45" s="1"/>
  <c r="B159" i="46" s="1"/>
  <c r="B159" i="47" s="1"/>
  <c r="B159" i="48" s="1"/>
  <c r="A159" i="35"/>
  <c r="A159" i="36" s="1"/>
  <c r="A159" i="37" s="1"/>
  <c r="A159" i="38" s="1"/>
  <c r="A159" i="39" s="1"/>
  <c r="A159" i="40" s="1"/>
  <c r="A159" i="41" s="1"/>
  <c r="A159" i="42" s="1"/>
  <c r="A159" i="43" s="1"/>
  <c r="A159" i="44" s="1"/>
  <c r="A159" i="45" s="1"/>
  <c r="A159" i="46" s="1"/>
  <c r="A159" i="47" s="1"/>
  <c r="A159" i="48" s="1"/>
  <c r="C158" i="35"/>
  <c r="B158" i="35"/>
  <c r="B158" i="36" s="1"/>
  <c r="B158" i="37" s="1"/>
  <c r="B158" i="38" s="1"/>
  <c r="B158" i="39" s="1"/>
  <c r="B158" i="40" s="1"/>
  <c r="B158" i="41" s="1"/>
  <c r="B158" i="42" s="1"/>
  <c r="B158" i="43" s="1"/>
  <c r="B158" i="44" s="1"/>
  <c r="B158" i="45" s="1"/>
  <c r="B158" i="46" s="1"/>
  <c r="B158" i="47" s="1"/>
  <c r="B158" i="48" s="1"/>
  <c r="C157" i="35"/>
  <c r="B157" i="35"/>
  <c r="B157" i="36" s="1"/>
  <c r="B157" i="37" s="1"/>
  <c r="B157" i="38" s="1"/>
  <c r="B157" i="39" s="1"/>
  <c r="B157" i="40" s="1"/>
  <c r="B157" i="41" s="1"/>
  <c r="B157" i="42" s="1"/>
  <c r="B157" i="43" s="1"/>
  <c r="B157" i="44" s="1"/>
  <c r="B157" i="45" s="1"/>
  <c r="B157" i="46" s="1"/>
  <c r="B157" i="47" s="1"/>
  <c r="B157" i="48" s="1"/>
  <c r="B156" i="35"/>
  <c r="B156" i="36" s="1"/>
  <c r="B156" i="37" s="1"/>
  <c r="B156" i="38" s="1"/>
  <c r="B156" i="39" s="1"/>
  <c r="B156" i="40" s="1"/>
  <c r="B156" i="41" s="1"/>
  <c r="B156" i="42" s="1"/>
  <c r="B156" i="43" s="1"/>
  <c r="B156" i="44" s="1"/>
  <c r="B156" i="45" s="1"/>
  <c r="B156" i="46" s="1"/>
  <c r="B156" i="47" s="1"/>
  <c r="B156" i="48" s="1"/>
  <c r="A156" i="35"/>
  <c r="A156" i="36" s="1"/>
  <c r="A156" i="37" s="1"/>
  <c r="A156" i="38" s="1"/>
  <c r="A156" i="39" s="1"/>
  <c r="A156" i="40" s="1"/>
  <c r="A156" i="41" s="1"/>
  <c r="A156" i="42" s="1"/>
  <c r="A156" i="43" s="1"/>
  <c r="A156" i="44" s="1"/>
  <c r="A156" i="45" s="1"/>
  <c r="A156" i="46" s="1"/>
  <c r="A156" i="47" s="1"/>
  <c r="A156" i="48" s="1"/>
  <c r="B155" i="35"/>
  <c r="B155" i="36" s="1"/>
  <c r="B155" i="37" s="1"/>
  <c r="B155" i="38" s="1"/>
  <c r="B155" i="39" s="1"/>
  <c r="B155" i="40" s="1"/>
  <c r="B155" i="41" s="1"/>
  <c r="B155" i="42" s="1"/>
  <c r="B155" i="43" s="1"/>
  <c r="B155" i="44" s="1"/>
  <c r="B155" i="45" s="1"/>
  <c r="B155" i="46" s="1"/>
  <c r="B155" i="47" s="1"/>
  <c r="B155" i="48" s="1"/>
  <c r="A155" i="35"/>
  <c r="A155" i="36" s="1"/>
  <c r="A155" i="37" s="1"/>
  <c r="A155" i="38" s="1"/>
  <c r="A155" i="39" s="1"/>
  <c r="A155" i="40" s="1"/>
  <c r="A155" i="41" s="1"/>
  <c r="A155" i="42" s="1"/>
  <c r="A155" i="43" s="1"/>
  <c r="A155" i="44" s="1"/>
  <c r="A155" i="45" s="1"/>
  <c r="A155" i="46" s="1"/>
  <c r="A155" i="47" s="1"/>
  <c r="A155" i="48" s="1"/>
  <c r="C154" i="35"/>
  <c r="B154" i="35"/>
  <c r="B154" i="36" s="1"/>
  <c r="B154" i="37" s="1"/>
  <c r="B154" i="38" s="1"/>
  <c r="B154" i="39" s="1"/>
  <c r="B154" i="40" s="1"/>
  <c r="B154" i="41" s="1"/>
  <c r="B154" i="42" s="1"/>
  <c r="B154" i="43" s="1"/>
  <c r="B154" i="44" s="1"/>
  <c r="B154" i="45" s="1"/>
  <c r="B154" i="46" s="1"/>
  <c r="B154" i="47" s="1"/>
  <c r="B154" i="48" s="1"/>
  <c r="C153" i="35"/>
  <c r="B153" i="35"/>
  <c r="B153" i="36" s="1"/>
  <c r="B153" i="37" s="1"/>
  <c r="B153" i="38" s="1"/>
  <c r="B153" i="39" s="1"/>
  <c r="B153" i="40" s="1"/>
  <c r="B153" i="41" s="1"/>
  <c r="B153" i="42" s="1"/>
  <c r="B153" i="43" s="1"/>
  <c r="B153" i="44" s="1"/>
  <c r="B153" i="45" s="1"/>
  <c r="B153" i="46" s="1"/>
  <c r="B153" i="47" s="1"/>
  <c r="B153" i="48" s="1"/>
  <c r="B152" i="35"/>
  <c r="B152" i="36" s="1"/>
  <c r="B152" i="37" s="1"/>
  <c r="B152" i="38" s="1"/>
  <c r="B152" i="39" s="1"/>
  <c r="B152" i="40" s="1"/>
  <c r="B152" i="41" s="1"/>
  <c r="B152" i="42" s="1"/>
  <c r="B152" i="43" s="1"/>
  <c r="B152" i="44" s="1"/>
  <c r="B152" i="45" s="1"/>
  <c r="B152" i="46" s="1"/>
  <c r="B152" i="47" s="1"/>
  <c r="B152" i="48" s="1"/>
  <c r="A152" i="35"/>
  <c r="A152" i="36" s="1"/>
  <c r="A152" i="37" s="1"/>
  <c r="A152" i="38" s="1"/>
  <c r="A152" i="39" s="1"/>
  <c r="A152" i="40" s="1"/>
  <c r="A152" i="41" s="1"/>
  <c r="A152" i="42" s="1"/>
  <c r="A152" i="43" s="1"/>
  <c r="A152" i="44" s="1"/>
  <c r="A152" i="45" s="1"/>
  <c r="A152" i="46" s="1"/>
  <c r="A152" i="47" s="1"/>
  <c r="A152" i="48" s="1"/>
  <c r="B151" i="35"/>
  <c r="B151" i="36" s="1"/>
  <c r="B151" i="37" s="1"/>
  <c r="B151" i="38" s="1"/>
  <c r="B151" i="39" s="1"/>
  <c r="B151" i="40" s="1"/>
  <c r="B151" i="41" s="1"/>
  <c r="B151" i="42" s="1"/>
  <c r="B151" i="43" s="1"/>
  <c r="B151" i="44" s="1"/>
  <c r="B151" i="45" s="1"/>
  <c r="B151" i="46" s="1"/>
  <c r="B151" i="47" s="1"/>
  <c r="B151" i="48" s="1"/>
  <c r="A151" i="35"/>
  <c r="A151" i="36" s="1"/>
  <c r="A151" i="37" s="1"/>
  <c r="A151" i="38" s="1"/>
  <c r="A151" i="39" s="1"/>
  <c r="A151" i="40" s="1"/>
  <c r="A151" i="41" s="1"/>
  <c r="A151" i="42" s="1"/>
  <c r="A151" i="43" s="1"/>
  <c r="A151" i="44" s="1"/>
  <c r="A151" i="45" s="1"/>
  <c r="A151" i="46" s="1"/>
  <c r="A151" i="47" s="1"/>
  <c r="A151" i="48" s="1"/>
  <c r="C150" i="35"/>
  <c r="B150" i="35"/>
  <c r="B150" i="36" s="1"/>
  <c r="B150" i="37" s="1"/>
  <c r="B150" i="38" s="1"/>
  <c r="B150" i="39" s="1"/>
  <c r="B150" i="40" s="1"/>
  <c r="B150" i="41" s="1"/>
  <c r="B150" i="42" s="1"/>
  <c r="B150" i="43" s="1"/>
  <c r="B150" i="44" s="1"/>
  <c r="B150" i="45" s="1"/>
  <c r="B150" i="46" s="1"/>
  <c r="B150" i="47" s="1"/>
  <c r="B150" i="48" s="1"/>
  <c r="C149" i="35"/>
  <c r="B149" i="35"/>
  <c r="B149" i="36" s="1"/>
  <c r="B149" i="37" s="1"/>
  <c r="B149" i="38" s="1"/>
  <c r="B149" i="39" s="1"/>
  <c r="B149" i="40" s="1"/>
  <c r="B149" i="41" s="1"/>
  <c r="B149" i="42" s="1"/>
  <c r="B149" i="43" s="1"/>
  <c r="B149" i="44" s="1"/>
  <c r="B149" i="45" s="1"/>
  <c r="B149" i="46" s="1"/>
  <c r="B149" i="47" s="1"/>
  <c r="B149" i="48" s="1"/>
  <c r="B148" i="35"/>
  <c r="B148" i="36" s="1"/>
  <c r="B148" i="37" s="1"/>
  <c r="B148" i="38" s="1"/>
  <c r="B148" i="39" s="1"/>
  <c r="B148" i="40" s="1"/>
  <c r="B148" i="41" s="1"/>
  <c r="B148" i="42" s="1"/>
  <c r="B148" i="43" s="1"/>
  <c r="B148" i="44" s="1"/>
  <c r="B148" i="45" s="1"/>
  <c r="B148" i="46" s="1"/>
  <c r="B148" i="47" s="1"/>
  <c r="B148" i="48" s="1"/>
  <c r="A148" i="35"/>
  <c r="A148" i="36" s="1"/>
  <c r="A148" i="37" s="1"/>
  <c r="A148" i="38" s="1"/>
  <c r="A148" i="39" s="1"/>
  <c r="A148" i="40" s="1"/>
  <c r="A148" i="41" s="1"/>
  <c r="A148" i="42" s="1"/>
  <c r="A148" i="43" s="1"/>
  <c r="A148" i="44" s="1"/>
  <c r="A148" i="45" s="1"/>
  <c r="A148" i="46" s="1"/>
  <c r="A148" i="47" s="1"/>
  <c r="A148" i="48" s="1"/>
  <c r="B147" i="35"/>
  <c r="B147" i="36" s="1"/>
  <c r="B147" i="37" s="1"/>
  <c r="B147" i="38" s="1"/>
  <c r="B147" i="39" s="1"/>
  <c r="B147" i="40" s="1"/>
  <c r="B147" i="41" s="1"/>
  <c r="B147" i="42" s="1"/>
  <c r="B147" i="43" s="1"/>
  <c r="B147" i="44" s="1"/>
  <c r="B147" i="45" s="1"/>
  <c r="B147" i="46" s="1"/>
  <c r="B147" i="47" s="1"/>
  <c r="B147" i="48" s="1"/>
  <c r="A147" i="35"/>
  <c r="A147" i="36" s="1"/>
  <c r="A147" i="37" s="1"/>
  <c r="A147" i="38" s="1"/>
  <c r="A147" i="39" s="1"/>
  <c r="A147" i="40" s="1"/>
  <c r="A147" i="41" s="1"/>
  <c r="A147" i="42" s="1"/>
  <c r="A147" i="43" s="1"/>
  <c r="A147" i="44" s="1"/>
  <c r="A147" i="45" s="1"/>
  <c r="A147" i="46" s="1"/>
  <c r="A147" i="47" s="1"/>
  <c r="A147" i="48" s="1"/>
  <c r="C146" i="35"/>
  <c r="B146" i="35"/>
  <c r="B146" i="36" s="1"/>
  <c r="B146" i="37" s="1"/>
  <c r="B146" i="38" s="1"/>
  <c r="B146" i="39" s="1"/>
  <c r="B146" i="40" s="1"/>
  <c r="B146" i="41" s="1"/>
  <c r="B146" i="42" s="1"/>
  <c r="B146" i="43" s="1"/>
  <c r="B146" i="44" s="1"/>
  <c r="B146" i="45" s="1"/>
  <c r="B146" i="46" s="1"/>
  <c r="B146" i="47" s="1"/>
  <c r="B146" i="48" s="1"/>
  <c r="C145" i="35"/>
  <c r="B145" i="35"/>
  <c r="B145" i="36" s="1"/>
  <c r="B145" i="37" s="1"/>
  <c r="B145" i="38" s="1"/>
  <c r="B145" i="39" s="1"/>
  <c r="B145" i="40" s="1"/>
  <c r="B145" i="41" s="1"/>
  <c r="B145" i="42" s="1"/>
  <c r="B145" i="43" s="1"/>
  <c r="B145" i="44" s="1"/>
  <c r="B145" i="45" s="1"/>
  <c r="B145" i="46" s="1"/>
  <c r="B145" i="47" s="1"/>
  <c r="B145" i="48" s="1"/>
  <c r="B144" i="35"/>
  <c r="B144" i="36" s="1"/>
  <c r="B144" i="37" s="1"/>
  <c r="B144" i="38" s="1"/>
  <c r="B144" i="39" s="1"/>
  <c r="B144" i="40" s="1"/>
  <c r="B144" i="41" s="1"/>
  <c r="B144" i="42" s="1"/>
  <c r="B144" i="43" s="1"/>
  <c r="B144" i="44" s="1"/>
  <c r="B144" i="45" s="1"/>
  <c r="B144" i="46" s="1"/>
  <c r="B144" i="47" s="1"/>
  <c r="B144" i="48" s="1"/>
  <c r="A144" i="35"/>
  <c r="A144" i="36" s="1"/>
  <c r="A144" i="37" s="1"/>
  <c r="A144" i="38" s="1"/>
  <c r="A144" i="39" s="1"/>
  <c r="A144" i="40" s="1"/>
  <c r="A144" i="41" s="1"/>
  <c r="A144" i="42" s="1"/>
  <c r="A144" i="43" s="1"/>
  <c r="A144" i="44" s="1"/>
  <c r="A144" i="45" s="1"/>
  <c r="A144" i="46" s="1"/>
  <c r="A144" i="47" s="1"/>
  <c r="A144" i="48" s="1"/>
  <c r="B143" i="35"/>
  <c r="B143" i="36" s="1"/>
  <c r="B143" i="37" s="1"/>
  <c r="B143" i="38" s="1"/>
  <c r="B143" i="39" s="1"/>
  <c r="B143" i="40" s="1"/>
  <c r="B143" i="41" s="1"/>
  <c r="B143" i="42" s="1"/>
  <c r="B143" i="43" s="1"/>
  <c r="B143" i="44" s="1"/>
  <c r="B143" i="45" s="1"/>
  <c r="B143" i="46" s="1"/>
  <c r="B143" i="47" s="1"/>
  <c r="B143" i="48" s="1"/>
  <c r="A143" i="35"/>
  <c r="A143" i="36" s="1"/>
  <c r="A143" i="37" s="1"/>
  <c r="A143" i="38" s="1"/>
  <c r="A143" i="39" s="1"/>
  <c r="A143" i="40" s="1"/>
  <c r="A143" i="41" s="1"/>
  <c r="A143" i="42" s="1"/>
  <c r="A143" i="43" s="1"/>
  <c r="A143" i="44" s="1"/>
  <c r="A143" i="45" s="1"/>
  <c r="A143" i="46" s="1"/>
  <c r="A143" i="47" s="1"/>
  <c r="A143" i="48" s="1"/>
  <c r="C142" i="35"/>
  <c r="B142" i="35"/>
  <c r="B142" i="36" s="1"/>
  <c r="B142" i="37" s="1"/>
  <c r="B142" i="38" s="1"/>
  <c r="B142" i="39" s="1"/>
  <c r="B142" i="40" s="1"/>
  <c r="B142" i="41" s="1"/>
  <c r="B142" i="42" s="1"/>
  <c r="B142" i="43" s="1"/>
  <c r="B142" i="44" s="1"/>
  <c r="B142" i="45" s="1"/>
  <c r="B142" i="46" s="1"/>
  <c r="B142" i="47" s="1"/>
  <c r="B142" i="48" s="1"/>
  <c r="C141" i="35"/>
  <c r="B141" i="35"/>
  <c r="B141" i="36" s="1"/>
  <c r="B141" i="37" s="1"/>
  <c r="B141" i="38" s="1"/>
  <c r="B141" i="39" s="1"/>
  <c r="B141" i="40" s="1"/>
  <c r="B141" i="41" s="1"/>
  <c r="B141" i="42" s="1"/>
  <c r="B141" i="43" s="1"/>
  <c r="B141" i="44" s="1"/>
  <c r="B141" i="45" s="1"/>
  <c r="B141" i="46" s="1"/>
  <c r="B141" i="47" s="1"/>
  <c r="B141" i="48" s="1"/>
  <c r="B140" i="35"/>
  <c r="B140" i="36" s="1"/>
  <c r="B140" i="37" s="1"/>
  <c r="B140" i="38" s="1"/>
  <c r="B140" i="39" s="1"/>
  <c r="B140" i="40" s="1"/>
  <c r="B140" i="41" s="1"/>
  <c r="B140" i="42" s="1"/>
  <c r="B140" i="43" s="1"/>
  <c r="B140" i="44" s="1"/>
  <c r="B140" i="45" s="1"/>
  <c r="B140" i="46" s="1"/>
  <c r="B140" i="47" s="1"/>
  <c r="B140" i="48" s="1"/>
  <c r="A140" i="35"/>
  <c r="A140" i="36" s="1"/>
  <c r="A140" i="37" s="1"/>
  <c r="A140" i="38" s="1"/>
  <c r="A140" i="39" s="1"/>
  <c r="A140" i="40" s="1"/>
  <c r="A140" i="41" s="1"/>
  <c r="A140" i="42" s="1"/>
  <c r="A140" i="43" s="1"/>
  <c r="A140" i="44" s="1"/>
  <c r="A140" i="45" s="1"/>
  <c r="A140" i="46" s="1"/>
  <c r="A140" i="47" s="1"/>
  <c r="A140" i="48" s="1"/>
  <c r="B139" i="35"/>
  <c r="B139" i="36" s="1"/>
  <c r="B139" i="37" s="1"/>
  <c r="B139" i="38" s="1"/>
  <c r="B139" i="39" s="1"/>
  <c r="B139" i="40" s="1"/>
  <c r="B139" i="41" s="1"/>
  <c r="B139" i="42" s="1"/>
  <c r="B139" i="43" s="1"/>
  <c r="B139" i="44" s="1"/>
  <c r="B139" i="45" s="1"/>
  <c r="B139" i="46" s="1"/>
  <c r="B139" i="47" s="1"/>
  <c r="B139" i="48" s="1"/>
  <c r="A139" i="35"/>
  <c r="A139" i="36" s="1"/>
  <c r="A139" i="37" s="1"/>
  <c r="A139" i="38" s="1"/>
  <c r="A139" i="39" s="1"/>
  <c r="A139" i="40" s="1"/>
  <c r="A139" i="41" s="1"/>
  <c r="A139" i="42" s="1"/>
  <c r="A139" i="43" s="1"/>
  <c r="A139" i="44" s="1"/>
  <c r="A139" i="45" s="1"/>
  <c r="A139" i="46" s="1"/>
  <c r="A139" i="47" s="1"/>
  <c r="A139" i="48" s="1"/>
  <c r="C138" i="35"/>
  <c r="B138" i="35"/>
  <c r="B138" i="36" s="1"/>
  <c r="B138" i="37" s="1"/>
  <c r="B138" i="38" s="1"/>
  <c r="B138" i="39" s="1"/>
  <c r="B138" i="40" s="1"/>
  <c r="B138" i="41" s="1"/>
  <c r="B138" i="42" s="1"/>
  <c r="B138" i="43" s="1"/>
  <c r="B138" i="44" s="1"/>
  <c r="B138" i="45" s="1"/>
  <c r="B138" i="46" s="1"/>
  <c r="B138" i="47" s="1"/>
  <c r="B138" i="48" s="1"/>
  <c r="C137" i="35"/>
  <c r="B137" i="35"/>
  <c r="B137" i="36" s="1"/>
  <c r="B137" i="37" s="1"/>
  <c r="B137" i="38" s="1"/>
  <c r="B137" i="39" s="1"/>
  <c r="B137" i="40" s="1"/>
  <c r="B137" i="41" s="1"/>
  <c r="B137" i="42" s="1"/>
  <c r="B137" i="43" s="1"/>
  <c r="B137" i="44" s="1"/>
  <c r="B137" i="45" s="1"/>
  <c r="B137" i="46" s="1"/>
  <c r="B137" i="47" s="1"/>
  <c r="B137" i="48" s="1"/>
  <c r="B136" i="35"/>
  <c r="B136" i="36" s="1"/>
  <c r="B136" i="37" s="1"/>
  <c r="B136" i="38" s="1"/>
  <c r="B136" i="39" s="1"/>
  <c r="B136" i="40" s="1"/>
  <c r="B136" i="41" s="1"/>
  <c r="B136" i="42" s="1"/>
  <c r="B136" i="43" s="1"/>
  <c r="B136" i="44" s="1"/>
  <c r="B136" i="45" s="1"/>
  <c r="B136" i="46" s="1"/>
  <c r="B136" i="47" s="1"/>
  <c r="B136" i="48" s="1"/>
  <c r="A136" i="35"/>
  <c r="A136" i="36" s="1"/>
  <c r="A136" i="37" s="1"/>
  <c r="A136" i="38" s="1"/>
  <c r="A136" i="39" s="1"/>
  <c r="A136" i="40" s="1"/>
  <c r="A136" i="41" s="1"/>
  <c r="A136" i="42" s="1"/>
  <c r="A136" i="43" s="1"/>
  <c r="A136" i="44" s="1"/>
  <c r="A136" i="45" s="1"/>
  <c r="A136" i="46" s="1"/>
  <c r="A136" i="47" s="1"/>
  <c r="A136" i="48" s="1"/>
  <c r="B135" i="35"/>
  <c r="B135" i="36" s="1"/>
  <c r="B135" i="37" s="1"/>
  <c r="B135" i="38" s="1"/>
  <c r="B135" i="39" s="1"/>
  <c r="B135" i="40" s="1"/>
  <c r="B135" i="41" s="1"/>
  <c r="B135" i="42" s="1"/>
  <c r="B135" i="43" s="1"/>
  <c r="B135" i="44" s="1"/>
  <c r="B135" i="45" s="1"/>
  <c r="B135" i="46" s="1"/>
  <c r="B135" i="47" s="1"/>
  <c r="B135" i="48" s="1"/>
  <c r="A135" i="35"/>
  <c r="A135" i="36" s="1"/>
  <c r="A135" i="37" s="1"/>
  <c r="A135" i="38" s="1"/>
  <c r="A135" i="39" s="1"/>
  <c r="A135" i="40" s="1"/>
  <c r="A135" i="41" s="1"/>
  <c r="A135" i="42" s="1"/>
  <c r="A135" i="43" s="1"/>
  <c r="A135" i="44" s="1"/>
  <c r="A135" i="45" s="1"/>
  <c r="A135" i="46" s="1"/>
  <c r="A135" i="47" s="1"/>
  <c r="A135" i="48" s="1"/>
  <c r="C134" i="35"/>
  <c r="B134" i="35"/>
  <c r="B134" i="36" s="1"/>
  <c r="B134" i="37" s="1"/>
  <c r="B134" i="38" s="1"/>
  <c r="B134" i="39" s="1"/>
  <c r="B134" i="40" s="1"/>
  <c r="B134" i="41" s="1"/>
  <c r="B134" i="42" s="1"/>
  <c r="B134" i="43" s="1"/>
  <c r="B134" i="44" s="1"/>
  <c r="B134" i="45" s="1"/>
  <c r="B134" i="46" s="1"/>
  <c r="B134" i="47" s="1"/>
  <c r="B134" i="48" s="1"/>
  <c r="C133" i="35"/>
  <c r="B133" i="35"/>
  <c r="B133" i="36" s="1"/>
  <c r="B133" i="37" s="1"/>
  <c r="B133" i="38" s="1"/>
  <c r="B133" i="39" s="1"/>
  <c r="B133" i="40" s="1"/>
  <c r="B133" i="41" s="1"/>
  <c r="B133" i="42" s="1"/>
  <c r="B133" i="43" s="1"/>
  <c r="B133" i="44" s="1"/>
  <c r="B133" i="45" s="1"/>
  <c r="B133" i="46" s="1"/>
  <c r="B133" i="47" s="1"/>
  <c r="B133" i="48" s="1"/>
  <c r="B132" i="35"/>
  <c r="B132" i="36" s="1"/>
  <c r="B132" i="37" s="1"/>
  <c r="B132" i="38" s="1"/>
  <c r="B132" i="39" s="1"/>
  <c r="B132" i="40" s="1"/>
  <c r="B132" i="41" s="1"/>
  <c r="B132" i="42" s="1"/>
  <c r="B132" i="43" s="1"/>
  <c r="B132" i="44" s="1"/>
  <c r="B132" i="45" s="1"/>
  <c r="B132" i="46" s="1"/>
  <c r="B132" i="47" s="1"/>
  <c r="B132" i="48" s="1"/>
  <c r="A132" i="35"/>
  <c r="A132" i="36" s="1"/>
  <c r="A132" i="37" s="1"/>
  <c r="A132" i="38" s="1"/>
  <c r="A132" i="39" s="1"/>
  <c r="A132" i="40" s="1"/>
  <c r="A132" i="41" s="1"/>
  <c r="A132" i="42" s="1"/>
  <c r="A132" i="43" s="1"/>
  <c r="A132" i="44" s="1"/>
  <c r="A132" i="45" s="1"/>
  <c r="A132" i="46" s="1"/>
  <c r="A132" i="47" s="1"/>
  <c r="A132" i="48" s="1"/>
  <c r="B131" i="35"/>
  <c r="B131" i="36" s="1"/>
  <c r="B131" i="37" s="1"/>
  <c r="B131" i="38" s="1"/>
  <c r="B131" i="39" s="1"/>
  <c r="B131" i="40" s="1"/>
  <c r="B131" i="41" s="1"/>
  <c r="B131" i="42" s="1"/>
  <c r="B131" i="43" s="1"/>
  <c r="B131" i="44" s="1"/>
  <c r="B131" i="45" s="1"/>
  <c r="B131" i="46" s="1"/>
  <c r="B131" i="47" s="1"/>
  <c r="B131" i="48" s="1"/>
  <c r="A131" i="35"/>
  <c r="A131" i="36" s="1"/>
  <c r="A131" i="37" s="1"/>
  <c r="A131" i="38" s="1"/>
  <c r="A131" i="39" s="1"/>
  <c r="A131" i="40" s="1"/>
  <c r="A131" i="41" s="1"/>
  <c r="A131" i="42" s="1"/>
  <c r="A131" i="43" s="1"/>
  <c r="A131" i="44" s="1"/>
  <c r="A131" i="45" s="1"/>
  <c r="A131" i="46" s="1"/>
  <c r="A131" i="47" s="1"/>
  <c r="A131" i="48" s="1"/>
  <c r="C130" i="35"/>
  <c r="B130" i="35"/>
  <c r="B130" i="36" s="1"/>
  <c r="B130" i="37" s="1"/>
  <c r="B130" i="38" s="1"/>
  <c r="B130" i="39" s="1"/>
  <c r="B130" i="40" s="1"/>
  <c r="B130" i="41" s="1"/>
  <c r="B130" i="42" s="1"/>
  <c r="B130" i="43" s="1"/>
  <c r="B130" i="44" s="1"/>
  <c r="B130" i="45" s="1"/>
  <c r="B130" i="46" s="1"/>
  <c r="B130" i="47" s="1"/>
  <c r="B130" i="48" s="1"/>
  <c r="C129" i="35"/>
  <c r="B129" i="35"/>
  <c r="B129" i="36" s="1"/>
  <c r="B129" i="37" s="1"/>
  <c r="B129" i="38" s="1"/>
  <c r="B129" i="39" s="1"/>
  <c r="B129" i="40" s="1"/>
  <c r="B129" i="41" s="1"/>
  <c r="B129" i="42" s="1"/>
  <c r="B129" i="43" s="1"/>
  <c r="B129" i="44" s="1"/>
  <c r="B129" i="45" s="1"/>
  <c r="B129" i="46" s="1"/>
  <c r="B129" i="47" s="1"/>
  <c r="B129" i="48" s="1"/>
  <c r="B127" i="35"/>
  <c r="B127" i="36" s="1"/>
  <c r="B127" i="37" s="1"/>
  <c r="B127" i="38" s="1"/>
  <c r="B127" i="39" s="1"/>
  <c r="B127" i="40" s="1"/>
  <c r="B127" i="41" s="1"/>
  <c r="B127" i="42" s="1"/>
  <c r="B127" i="43" s="1"/>
  <c r="B127" i="44" s="1"/>
  <c r="B127" i="45" s="1"/>
  <c r="B127" i="46" s="1"/>
  <c r="B127" i="47" s="1"/>
  <c r="B127" i="48" s="1"/>
  <c r="A127" i="35"/>
  <c r="A127" i="36" s="1"/>
  <c r="A127" i="37" s="1"/>
  <c r="A127" i="38" s="1"/>
  <c r="A127" i="39" s="1"/>
  <c r="A127" i="40" s="1"/>
  <c r="A127" i="41" s="1"/>
  <c r="A127" i="42" s="1"/>
  <c r="A127" i="43" s="1"/>
  <c r="A127" i="44" s="1"/>
  <c r="A127" i="45" s="1"/>
  <c r="A127" i="46" s="1"/>
  <c r="A127" i="47" s="1"/>
  <c r="A127" i="48" s="1"/>
  <c r="B126" i="35"/>
  <c r="B126" i="36" s="1"/>
  <c r="B126" i="37" s="1"/>
  <c r="B126" i="38" s="1"/>
  <c r="B126" i="39" s="1"/>
  <c r="B126" i="40" s="1"/>
  <c r="B126" i="41" s="1"/>
  <c r="B126" i="42" s="1"/>
  <c r="B126" i="43" s="1"/>
  <c r="B126" i="44" s="1"/>
  <c r="B126" i="45" s="1"/>
  <c r="B126" i="46" s="1"/>
  <c r="B126" i="47" s="1"/>
  <c r="B126" i="48" s="1"/>
  <c r="A126" i="35"/>
  <c r="A126" i="36" s="1"/>
  <c r="A126" i="37" s="1"/>
  <c r="A126" i="38" s="1"/>
  <c r="A126" i="39" s="1"/>
  <c r="A126" i="40" s="1"/>
  <c r="A126" i="41" s="1"/>
  <c r="A126" i="42" s="1"/>
  <c r="A126" i="43" s="1"/>
  <c r="A126" i="44" s="1"/>
  <c r="A126" i="45" s="1"/>
  <c r="A126" i="46" s="1"/>
  <c r="A126" i="47" s="1"/>
  <c r="A126" i="48" s="1"/>
  <c r="C125" i="35"/>
  <c r="B125" i="35"/>
  <c r="B125" i="36" s="1"/>
  <c r="B125" i="37" s="1"/>
  <c r="B125" i="38" s="1"/>
  <c r="B125" i="39" s="1"/>
  <c r="B125" i="40" s="1"/>
  <c r="B125" i="41" s="1"/>
  <c r="B125" i="42" s="1"/>
  <c r="B125" i="43" s="1"/>
  <c r="B125" i="44" s="1"/>
  <c r="B125" i="45" s="1"/>
  <c r="B125" i="46" s="1"/>
  <c r="B125" i="47" s="1"/>
  <c r="B125" i="48" s="1"/>
  <c r="C124" i="35"/>
  <c r="B124" i="35"/>
  <c r="B124" i="36" s="1"/>
  <c r="B124" i="37" s="1"/>
  <c r="B124" i="38" s="1"/>
  <c r="B124" i="39" s="1"/>
  <c r="B124" i="40" s="1"/>
  <c r="B124" i="41" s="1"/>
  <c r="B124" i="42" s="1"/>
  <c r="B124" i="43" s="1"/>
  <c r="B124" i="44" s="1"/>
  <c r="B124" i="45" s="1"/>
  <c r="B124" i="46" s="1"/>
  <c r="B124" i="47" s="1"/>
  <c r="B124" i="48" s="1"/>
  <c r="B123" i="35"/>
  <c r="B123" i="36" s="1"/>
  <c r="B123" i="37" s="1"/>
  <c r="B123" i="38" s="1"/>
  <c r="B123" i="39" s="1"/>
  <c r="B123" i="40" s="1"/>
  <c r="B123" i="41" s="1"/>
  <c r="B123" i="42" s="1"/>
  <c r="B123" i="43" s="1"/>
  <c r="B123" i="44" s="1"/>
  <c r="B123" i="45" s="1"/>
  <c r="B123" i="46" s="1"/>
  <c r="B123" i="47" s="1"/>
  <c r="B123" i="48" s="1"/>
  <c r="A123" i="35"/>
  <c r="A123" i="36" s="1"/>
  <c r="A123" i="37" s="1"/>
  <c r="A123" i="38" s="1"/>
  <c r="A123" i="39" s="1"/>
  <c r="A123" i="40" s="1"/>
  <c r="A123" i="41" s="1"/>
  <c r="A123" i="42" s="1"/>
  <c r="A123" i="43" s="1"/>
  <c r="A123" i="44" s="1"/>
  <c r="A123" i="45" s="1"/>
  <c r="A123" i="46" s="1"/>
  <c r="A123" i="47" s="1"/>
  <c r="A123" i="48" s="1"/>
  <c r="B122" i="35"/>
  <c r="B122" i="36" s="1"/>
  <c r="B122" i="37" s="1"/>
  <c r="B122" i="38" s="1"/>
  <c r="B122" i="39" s="1"/>
  <c r="B122" i="40" s="1"/>
  <c r="B122" i="41" s="1"/>
  <c r="B122" i="42" s="1"/>
  <c r="B122" i="43" s="1"/>
  <c r="B122" i="44" s="1"/>
  <c r="B122" i="45" s="1"/>
  <c r="B122" i="46" s="1"/>
  <c r="B122" i="47" s="1"/>
  <c r="B122" i="48" s="1"/>
  <c r="A122" i="35"/>
  <c r="A122" i="36" s="1"/>
  <c r="A122" i="37" s="1"/>
  <c r="A122" i="38" s="1"/>
  <c r="A122" i="39" s="1"/>
  <c r="A122" i="40" s="1"/>
  <c r="A122" i="41" s="1"/>
  <c r="A122" i="42" s="1"/>
  <c r="A122" i="43" s="1"/>
  <c r="A122" i="44" s="1"/>
  <c r="A122" i="45" s="1"/>
  <c r="A122" i="46" s="1"/>
  <c r="A122" i="47" s="1"/>
  <c r="A122" i="48" s="1"/>
  <c r="C121" i="35"/>
  <c r="B121" i="35"/>
  <c r="B121" i="36" s="1"/>
  <c r="B121" i="37" s="1"/>
  <c r="B121" i="38" s="1"/>
  <c r="B121" i="39" s="1"/>
  <c r="B121" i="40" s="1"/>
  <c r="B121" i="41" s="1"/>
  <c r="B121" i="42" s="1"/>
  <c r="B121" i="43" s="1"/>
  <c r="B121" i="44" s="1"/>
  <c r="B121" i="45" s="1"/>
  <c r="B121" i="46" s="1"/>
  <c r="B121" i="47" s="1"/>
  <c r="B121" i="48" s="1"/>
  <c r="C120" i="35"/>
  <c r="B120" i="35"/>
  <c r="B120" i="36" s="1"/>
  <c r="B120" i="37" s="1"/>
  <c r="B120" i="38" s="1"/>
  <c r="B120" i="39" s="1"/>
  <c r="B120" i="40" s="1"/>
  <c r="B120" i="41" s="1"/>
  <c r="B120" i="42" s="1"/>
  <c r="B120" i="43" s="1"/>
  <c r="B120" i="44" s="1"/>
  <c r="B120" i="45" s="1"/>
  <c r="B120" i="46" s="1"/>
  <c r="B120" i="47" s="1"/>
  <c r="B120" i="48" s="1"/>
  <c r="B119" i="35"/>
  <c r="B119" i="36" s="1"/>
  <c r="B119" i="37" s="1"/>
  <c r="B119" i="38" s="1"/>
  <c r="B119" i="39" s="1"/>
  <c r="B119" i="40" s="1"/>
  <c r="B119" i="41" s="1"/>
  <c r="B119" i="42" s="1"/>
  <c r="B119" i="43" s="1"/>
  <c r="B119" i="44" s="1"/>
  <c r="B119" i="45" s="1"/>
  <c r="B119" i="46" s="1"/>
  <c r="B119" i="47" s="1"/>
  <c r="B119" i="48" s="1"/>
  <c r="A119" i="35"/>
  <c r="A119" i="36" s="1"/>
  <c r="A119" i="37" s="1"/>
  <c r="A119" i="38" s="1"/>
  <c r="A119" i="39" s="1"/>
  <c r="A119" i="40" s="1"/>
  <c r="A119" i="41" s="1"/>
  <c r="A119" i="42" s="1"/>
  <c r="A119" i="43" s="1"/>
  <c r="A119" i="44" s="1"/>
  <c r="A119" i="45" s="1"/>
  <c r="A119" i="46" s="1"/>
  <c r="A119" i="47" s="1"/>
  <c r="A119" i="48" s="1"/>
  <c r="B118" i="35"/>
  <c r="B118" i="36" s="1"/>
  <c r="B118" i="37" s="1"/>
  <c r="B118" i="38" s="1"/>
  <c r="B118" i="39" s="1"/>
  <c r="B118" i="40" s="1"/>
  <c r="B118" i="41" s="1"/>
  <c r="B118" i="42" s="1"/>
  <c r="B118" i="43" s="1"/>
  <c r="B118" i="44" s="1"/>
  <c r="B118" i="45" s="1"/>
  <c r="B118" i="46" s="1"/>
  <c r="B118" i="47" s="1"/>
  <c r="B118" i="48" s="1"/>
  <c r="A118" i="35"/>
  <c r="A118" i="36" s="1"/>
  <c r="A118" i="37" s="1"/>
  <c r="A118" i="38" s="1"/>
  <c r="A118" i="39" s="1"/>
  <c r="A118" i="40" s="1"/>
  <c r="A118" i="41" s="1"/>
  <c r="A118" i="42" s="1"/>
  <c r="A118" i="43" s="1"/>
  <c r="A118" i="44" s="1"/>
  <c r="A118" i="45" s="1"/>
  <c r="A118" i="46" s="1"/>
  <c r="A118" i="47" s="1"/>
  <c r="A118" i="48" s="1"/>
  <c r="A5" i="35"/>
  <c r="A2" i="35"/>
  <c r="C292" i="35"/>
  <c r="A289" i="35"/>
  <c r="A289" i="36" s="1"/>
  <c r="A289" i="37" s="1"/>
  <c r="A289" i="38" s="1"/>
  <c r="A289" i="39" s="1"/>
  <c r="A289" i="40" s="1"/>
  <c r="A289" i="41" s="1"/>
  <c r="A289" i="42" s="1"/>
  <c r="A289" i="43" s="1"/>
  <c r="A289" i="44" s="1"/>
  <c r="A289" i="45" s="1"/>
  <c r="A289" i="46" s="1"/>
  <c r="A289" i="47" s="1"/>
  <c r="A289" i="48" s="1"/>
  <c r="A288" i="35"/>
  <c r="A288" i="36" s="1"/>
  <c r="A288" i="37" s="1"/>
  <c r="A288" i="38" s="1"/>
  <c r="A288" i="39" s="1"/>
  <c r="A288" i="40" s="1"/>
  <c r="A288" i="41" s="1"/>
  <c r="A288" i="42" s="1"/>
  <c r="A288" i="43" s="1"/>
  <c r="A288" i="44" s="1"/>
  <c r="A288" i="45" s="1"/>
  <c r="A288" i="46" s="1"/>
  <c r="A288" i="47" s="1"/>
  <c r="A288" i="48" s="1"/>
  <c r="C287" i="35"/>
  <c r="C286" i="35"/>
  <c r="C286" i="36" s="1"/>
  <c r="A285" i="35"/>
  <c r="A285" i="36" s="1"/>
  <c r="A285" i="37" s="1"/>
  <c r="A285" i="38" s="1"/>
  <c r="A285" i="39" s="1"/>
  <c r="A285" i="40" s="1"/>
  <c r="A285" i="41" s="1"/>
  <c r="A285" i="42" s="1"/>
  <c r="A285" i="43" s="1"/>
  <c r="A285" i="44" s="1"/>
  <c r="A285" i="45" s="1"/>
  <c r="A285" i="46" s="1"/>
  <c r="A285" i="47" s="1"/>
  <c r="A285" i="48" s="1"/>
  <c r="A284" i="35"/>
  <c r="A284" i="36" s="1"/>
  <c r="A284" i="37" s="1"/>
  <c r="A284" i="38" s="1"/>
  <c r="A284" i="39" s="1"/>
  <c r="A284" i="40" s="1"/>
  <c r="A284" i="41" s="1"/>
  <c r="A284" i="42" s="1"/>
  <c r="A284" i="43" s="1"/>
  <c r="A284" i="44" s="1"/>
  <c r="A284" i="45" s="1"/>
  <c r="A284" i="46" s="1"/>
  <c r="A284" i="47" s="1"/>
  <c r="A284" i="48" s="1"/>
  <c r="C283" i="35"/>
  <c r="C282" i="35"/>
  <c r="C282" i="36" s="1"/>
  <c r="A281" i="35"/>
  <c r="A281" i="36" s="1"/>
  <c r="A281" i="37" s="1"/>
  <c r="A281" i="38" s="1"/>
  <c r="A281" i="39" s="1"/>
  <c r="A281" i="40" s="1"/>
  <c r="A281" i="41" s="1"/>
  <c r="A281" i="42" s="1"/>
  <c r="A281" i="43" s="1"/>
  <c r="A281" i="44" s="1"/>
  <c r="A281" i="45" s="1"/>
  <c r="A281" i="46" s="1"/>
  <c r="A281" i="47" s="1"/>
  <c r="A281" i="48" s="1"/>
  <c r="A280" i="35"/>
  <c r="A280" i="36" s="1"/>
  <c r="A280" i="37" s="1"/>
  <c r="A280" i="38" s="1"/>
  <c r="A280" i="39" s="1"/>
  <c r="A280" i="40" s="1"/>
  <c r="A280" i="41" s="1"/>
  <c r="A280" i="42" s="1"/>
  <c r="A280" i="43" s="1"/>
  <c r="A280" i="44" s="1"/>
  <c r="A280" i="45" s="1"/>
  <c r="A280" i="46" s="1"/>
  <c r="A280" i="47" s="1"/>
  <c r="A280" i="48" s="1"/>
  <c r="C279" i="35"/>
  <c r="A277" i="35"/>
  <c r="A277" i="36" s="1"/>
  <c r="A277" i="37" s="1"/>
  <c r="A277" i="38" s="1"/>
  <c r="A277" i="39" s="1"/>
  <c r="A277" i="40" s="1"/>
  <c r="A277" i="41" s="1"/>
  <c r="A277" i="42" s="1"/>
  <c r="A277" i="43" s="1"/>
  <c r="A277" i="44" s="1"/>
  <c r="A277" i="45" s="1"/>
  <c r="A277" i="46" s="1"/>
  <c r="A277" i="47" s="1"/>
  <c r="A277" i="48" s="1"/>
  <c r="A276" i="35"/>
  <c r="A276" i="36" s="1"/>
  <c r="A276" i="37" s="1"/>
  <c r="A276" i="38" s="1"/>
  <c r="A276" i="39" s="1"/>
  <c r="A276" i="40" s="1"/>
  <c r="A276" i="41" s="1"/>
  <c r="A276" i="42" s="1"/>
  <c r="A276" i="43" s="1"/>
  <c r="A276" i="44" s="1"/>
  <c r="A276" i="45" s="1"/>
  <c r="A276" i="46" s="1"/>
  <c r="A276" i="47" s="1"/>
  <c r="A276" i="48" s="1"/>
  <c r="C275" i="35"/>
  <c r="C274" i="35"/>
  <c r="C274" i="36" s="1"/>
  <c r="A273" i="35"/>
  <c r="A273" i="36" s="1"/>
  <c r="A273" i="37" s="1"/>
  <c r="A273" i="38" s="1"/>
  <c r="A273" i="39" s="1"/>
  <c r="A273" i="40" s="1"/>
  <c r="A273" i="41" s="1"/>
  <c r="A273" i="42" s="1"/>
  <c r="A273" i="43" s="1"/>
  <c r="A273" i="44" s="1"/>
  <c r="A273" i="45" s="1"/>
  <c r="A273" i="46" s="1"/>
  <c r="A273" i="47" s="1"/>
  <c r="A273" i="48" s="1"/>
  <c r="A272" i="35"/>
  <c r="A272" i="36" s="1"/>
  <c r="A272" i="37" s="1"/>
  <c r="A272" i="38" s="1"/>
  <c r="A272" i="39" s="1"/>
  <c r="A272" i="40" s="1"/>
  <c r="A272" i="41" s="1"/>
  <c r="A272" i="42" s="1"/>
  <c r="A272" i="43" s="1"/>
  <c r="A272" i="44" s="1"/>
  <c r="A272" i="45" s="1"/>
  <c r="A272" i="46" s="1"/>
  <c r="A272" i="47" s="1"/>
  <c r="A272" i="48" s="1"/>
  <c r="C271" i="35"/>
  <c r="C270" i="35"/>
  <c r="C270" i="36" s="1"/>
  <c r="A269" i="35"/>
  <c r="A269" i="36" s="1"/>
  <c r="A269" i="37" s="1"/>
  <c r="A269" i="38" s="1"/>
  <c r="A269" i="39" s="1"/>
  <c r="A269" i="40" s="1"/>
  <c r="A269" i="41" s="1"/>
  <c r="A269" i="42" s="1"/>
  <c r="A269" i="43" s="1"/>
  <c r="A269" i="44" s="1"/>
  <c r="A269" i="45" s="1"/>
  <c r="A269" i="46" s="1"/>
  <c r="A269" i="47" s="1"/>
  <c r="A269" i="48" s="1"/>
  <c r="A268" i="35"/>
  <c r="A268" i="36" s="1"/>
  <c r="A268" i="37" s="1"/>
  <c r="A268" i="38" s="1"/>
  <c r="A268" i="39" s="1"/>
  <c r="A268" i="40" s="1"/>
  <c r="A268" i="41" s="1"/>
  <c r="A268" i="42" s="1"/>
  <c r="A268" i="43" s="1"/>
  <c r="A268" i="44" s="1"/>
  <c r="A268" i="45" s="1"/>
  <c r="A268" i="46" s="1"/>
  <c r="A268" i="47" s="1"/>
  <c r="A268" i="48" s="1"/>
  <c r="C267" i="35"/>
  <c r="C266" i="35"/>
  <c r="C266" i="36" s="1"/>
  <c r="A265" i="35"/>
  <c r="A265" i="36" s="1"/>
  <c r="A265" i="37" s="1"/>
  <c r="A265" i="38" s="1"/>
  <c r="A265" i="39" s="1"/>
  <c r="A265" i="40" s="1"/>
  <c r="A265" i="41" s="1"/>
  <c r="A265" i="42" s="1"/>
  <c r="A265" i="43" s="1"/>
  <c r="A265" i="44" s="1"/>
  <c r="A265" i="45" s="1"/>
  <c r="A265" i="46" s="1"/>
  <c r="A265" i="47" s="1"/>
  <c r="A265" i="48" s="1"/>
  <c r="A264" i="35"/>
  <c r="A264" i="36" s="1"/>
  <c r="A264" i="37" s="1"/>
  <c r="A264" i="38" s="1"/>
  <c r="A264" i="39" s="1"/>
  <c r="A264" i="40" s="1"/>
  <c r="A264" i="41" s="1"/>
  <c r="A264" i="42" s="1"/>
  <c r="A264" i="43" s="1"/>
  <c r="A264" i="44" s="1"/>
  <c r="A264" i="45" s="1"/>
  <c r="A264" i="46" s="1"/>
  <c r="A264" i="47" s="1"/>
  <c r="A264" i="48" s="1"/>
  <c r="C263" i="35"/>
  <c r="C262" i="35"/>
  <c r="C262" i="36" s="1"/>
  <c r="A261" i="35"/>
  <c r="A261" i="36" s="1"/>
  <c r="A261" i="37" s="1"/>
  <c r="A261" i="38" s="1"/>
  <c r="A261" i="39" s="1"/>
  <c r="A261" i="40" s="1"/>
  <c r="A261" i="41" s="1"/>
  <c r="A261" i="42" s="1"/>
  <c r="A261" i="43" s="1"/>
  <c r="A261" i="44" s="1"/>
  <c r="A261" i="45" s="1"/>
  <c r="A261" i="46" s="1"/>
  <c r="A261" i="47" s="1"/>
  <c r="A261" i="48" s="1"/>
  <c r="A260" i="35"/>
  <c r="A260" i="36" s="1"/>
  <c r="A260" i="37" s="1"/>
  <c r="A260" i="38" s="1"/>
  <c r="A260" i="39" s="1"/>
  <c r="A260" i="40" s="1"/>
  <c r="A260" i="41" s="1"/>
  <c r="A260" i="42" s="1"/>
  <c r="A260" i="43" s="1"/>
  <c r="A260" i="44" s="1"/>
  <c r="A260" i="45" s="1"/>
  <c r="A260" i="46" s="1"/>
  <c r="A260" i="47" s="1"/>
  <c r="A260" i="48" s="1"/>
  <c r="C259" i="35"/>
  <c r="C258" i="35"/>
  <c r="C258" i="36" s="1"/>
  <c r="A257" i="35"/>
  <c r="A257" i="36" s="1"/>
  <c r="A257" i="37" s="1"/>
  <c r="A257" i="38" s="1"/>
  <c r="A257" i="39" s="1"/>
  <c r="A257" i="40" s="1"/>
  <c r="A257" i="41" s="1"/>
  <c r="A257" i="42" s="1"/>
  <c r="A257" i="43" s="1"/>
  <c r="A257" i="44" s="1"/>
  <c r="A257" i="45" s="1"/>
  <c r="A257" i="46" s="1"/>
  <c r="A257" i="47" s="1"/>
  <c r="A257" i="48" s="1"/>
  <c r="A256" i="35"/>
  <c r="A256" i="36" s="1"/>
  <c r="A256" i="37" s="1"/>
  <c r="A256" i="38" s="1"/>
  <c r="A256" i="39" s="1"/>
  <c r="A256" i="40" s="1"/>
  <c r="A256" i="41" s="1"/>
  <c r="A256" i="42" s="1"/>
  <c r="A256" i="43" s="1"/>
  <c r="A256" i="44" s="1"/>
  <c r="A256" i="45" s="1"/>
  <c r="A256" i="46" s="1"/>
  <c r="A256" i="47" s="1"/>
  <c r="A256" i="48" s="1"/>
  <c r="C255" i="35"/>
  <c r="C254" i="35"/>
  <c r="C254" i="36" s="1"/>
  <c r="A253" i="35"/>
  <c r="A253" i="36" s="1"/>
  <c r="A253" i="37" s="1"/>
  <c r="A253" i="38" s="1"/>
  <c r="A253" i="39" s="1"/>
  <c r="A253" i="40" s="1"/>
  <c r="A253" i="41" s="1"/>
  <c r="A253" i="42" s="1"/>
  <c r="A253" i="43" s="1"/>
  <c r="A253" i="44" s="1"/>
  <c r="A253" i="45" s="1"/>
  <c r="A253" i="46" s="1"/>
  <c r="A253" i="47" s="1"/>
  <c r="A253" i="48" s="1"/>
  <c r="A252" i="35"/>
  <c r="A252" i="36" s="1"/>
  <c r="A252" i="37" s="1"/>
  <c r="A252" i="38" s="1"/>
  <c r="A252" i="39" s="1"/>
  <c r="A252" i="40" s="1"/>
  <c r="A252" i="41" s="1"/>
  <c r="A252" i="42" s="1"/>
  <c r="A252" i="43" s="1"/>
  <c r="A252" i="44" s="1"/>
  <c r="A252" i="45" s="1"/>
  <c r="A252" i="46" s="1"/>
  <c r="A252" i="47" s="1"/>
  <c r="A252" i="48" s="1"/>
  <c r="C251" i="35"/>
  <c r="C250" i="35"/>
  <c r="C250" i="36" s="1"/>
  <c r="A249" i="35"/>
  <c r="A249" i="36" s="1"/>
  <c r="A249" i="37" s="1"/>
  <c r="A249" i="38" s="1"/>
  <c r="A249" i="39" s="1"/>
  <c r="A249" i="40" s="1"/>
  <c r="A249" i="41" s="1"/>
  <c r="A249" i="42" s="1"/>
  <c r="A249" i="43" s="1"/>
  <c r="A249" i="44" s="1"/>
  <c r="A249" i="45" s="1"/>
  <c r="A249" i="46" s="1"/>
  <c r="A249" i="47" s="1"/>
  <c r="A249" i="48" s="1"/>
  <c r="A248" i="35"/>
  <c r="A248" i="36" s="1"/>
  <c r="A248" i="37" s="1"/>
  <c r="A248" i="38" s="1"/>
  <c r="A248" i="39" s="1"/>
  <c r="A248" i="40" s="1"/>
  <c r="A248" i="41" s="1"/>
  <c r="A248" i="42" s="1"/>
  <c r="A248" i="43" s="1"/>
  <c r="A248" i="44" s="1"/>
  <c r="A248" i="45" s="1"/>
  <c r="A248" i="46" s="1"/>
  <c r="A248" i="47" s="1"/>
  <c r="A248" i="48" s="1"/>
  <c r="C247" i="35"/>
  <c r="C246" i="35"/>
  <c r="C246" i="36" s="1"/>
  <c r="A245" i="35"/>
  <c r="A245" i="36" s="1"/>
  <c r="A245" i="37" s="1"/>
  <c r="A245" i="38" s="1"/>
  <c r="A245" i="39" s="1"/>
  <c r="A245" i="40" s="1"/>
  <c r="A245" i="41" s="1"/>
  <c r="A245" i="42" s="1"/>
  <c r="A245" i="43" s="1"/>
  <c r="A245" i="44" s="1"/>
  <c r="A245" i="45" s="1"/>
  <c r="A245" i="46" s="1"/>
  <c r="A245" i="47" s="1"/>
  <c r="A245" i="48" s="1"/>
  <c r="A244" i="35"/>
  <c r="A244" i="36" s="1"/>
  <c r="A244" i="37" s="1"/>
  <c r="A244" i="38" s="1"/>
  <c r="A244" i="39" s="1"/>
  <c r="A244" i="40" s="1"/>
  <c r="A244" i="41" s="1"/>
  <c r="A244" i="42" s="1"/>
  <c r="A244" i="43" s="1"/>
  <c r="A244" i="44" s="1"/>
  <c r="A244" i="45" s="1"/>
  <c r="A244" i="46" s="1"/>
  <c r="A244" i="47" s="1"/>
  <c r="A244" i="48" s="1"/>
  <c r="C243" i="35"/>
  <c r="C242" i="35"/>
  <c r="C242" i="36" s="1"/>
  <c r="A241" i="35"/>
  <c r="A241" i="36" s="1"/>
  <c r="A241" i="37" s="1"/>
  <c r="A241" i="38" s="1"/>
  <c r="A241" i="39" s="1"/>
  <c r="A241" i="40" s="1"/>
  <c r="A241" i="41" s="1"/>
  <c r="A241" i="42" s="1"/>
  <c r="A241" i="43" s="1"/>
  <c r="A241" i="44" s="1"/>
  <c r="A241" i="45" s="1"/>
  <c r="A241" i="46" s="1"/>
  <c r="A241" i="47" s="1"/>
  <c r="A241" i="48" s="1"/>
  <c r="C240" i="35"/>
  <c r="C239" i="35"/>
  <c r="C239" i="36" s="1"/>
  <c r="A238" i="35"/>
  <c r="A238" i="36" s="1"/>
  <c r="A238" i="37" s="1"/>
  <c r="A238" i="38" s="1"/>
  <c r="A238" i="39" s="1"/>
  <c r="A238" i="40" s="1"/>
  <c r="A238" i="41" s="1"/>
  <c r="A238" i="42" s="1"/>
  <c r="A238" i="43" s="1"/>
  <c r="A238" i="44" s="1"/>
  <c r="A238" i="45" s="1"/>
  <c r="A238" i="46" s="1"/>
  <c r="A238" i="47" s="1"/>
  <c r="A238" i="48" s="1"/>
  <c r="M237" i="34"/>
  <c r="F237" i="35"/>
  <c r="F237" i="36" s="1"/>
  <c r="F237" i="37" s="1"/>
  <c r="F237" i="38" s="1"/>
  <c r="F237" i="39" s="1"/>
  <c r="F237" i="40" s="1"/>
  <c r="F237" i="41" s="1"/>
  <c r="F237" i="42" s="1"/>
  <c r="F237" i="43" s="1"/>
  <c r="F237" i="44" s="1"/>
  <c r="F237" i="45" s="1"/>
  <c r="F237" i="46" s="1"/>
  <c r="F237" i="47" s="1"/>
  <c r="F237" i="48" s="1"/>
  <c r="A237" i="35"/>
  <c r="A237" i="36" s="1"/>
  <c r="A237" i="37" s="1"/>
  <c r="A237" i="38" s="1"/>
  <c r="A237" i="39" s="1"/>
  <c r="A237" i="40" s="1"/>
  <c r="A237" i="41" s="1"/>
  <c r="A237" i="42" s="1"/>
  <c r="A237" i="43" s="1"/>
  <c r="A237" i="44" s="1"/>
  <c r="A237" i="45" s="1"/>
  <c r="A237" i="46" s="1"/>
  <c r="A237" i="47" s="1"/>
  <c r="A237" i="48" s="1"/>
  <c r="C236" i="35"/>
  <c r="C235" i="35"/>
  <c r="C235" i="36" s="1"/>
  <c r="A234" i="35"/>
  <c r="A234" i="36" s="1"/>
  <c r="A234" i="37" s="1"/>
  <c r="A234" i="38" s="1"/>
  <c r="A234" i="39" s="1"/>
  <c r="A234" i="40" s="1"/>
  <c r="A234" i="41" s="1"/>
  <c r="A234" i="42" s="1"/>
  <c r="A234" i="43" s="1"/>
  <c r="A234" i="44" s="1"/>
  <c r="A234" i="45" s="1"/>
  <c r="A234" i="46" s="1"/>
  <c r="A234" i="47" s="1"/>
  <c r="A234" i="48" s="1"/>
  <c r="A233" i="35"/>
  <c r="A233" i="36" s="1"/>
  <c r="A233" i="37" s="1"/>
  <c r="A233" i="38" s="1"/>
  <c r="A233" i="39" s="1"/>
  <c r="A233" i="40" s="1"/>
  <c r="A233" i="41" s="1"/>
  <c r="A233" i="42" s="1"/>
  <c r="A233" i="43" s="1"/>
  <c r="A233" i="44" s="1"/>
  <c r="A233" i="45" s="1"/>
  <c r="A233" i="46" s="1"/>
  <c r="A233" i="47" s="1"/>
  <c r="A233" i="48" s="1"/>
  <c r="C232" i="35"/>
  <c r="C231" i="35"/>
  <c r="C231" i="36" s="1"/>
  <c r="A230" i="35"/>
  <c r="A230" i="36" s="1"/>
  <c r="A230" i="37" s="1"/>
  <c r="A230" i="38" s="1"/>
  <c r="A230" i="39" s="1"/>
  <c r="A230" i="40" s="1"/>
  <c r="A230" i="41" s="1"/>
  <c r="A230" i="42" s="1"/>
  <c r="A230" i="43" s="1"/>
  <c r="A230" i="44" s="1"/>
  <c r="A230" i="45" s="1"/>
  <c r="A230" i="46" s="1"/>
  <c r="A230" i="47" s="1"/>
  <c r="A230" i="48" s="1"/>
  <c r="A229" i="35"/>
  <c r="A229" i="36" s="1"/>
  <c r="A229" i="37" s="1"/>
  <c r="A229" i="38" s="1"/>
  <c r="A229" i="39" s="1"/>
  <c r="A229" i="40" s="1"/>
  <c r="A229" i="41" s="1"/>
  <c r="A229" i="42" s="1"/>
  <c r="A229" i="43" s="1"/>
  <c r="A229" i="44" s="1"/>
  <c r="A229" i="45" s="1"/>
  <c r="A229" i="46" s="1"/>
  <c r="A229" i="47" s="1"/>
  <c r="A229" i="48" s="1"/>
  <c r="C228" i="35"/>
  <c r="C227" i="35"/>
  <c r="C227" i="36" s="1"/>
  <c r="A226" i="35"/>
  <c r="A226" i="36" s="1"/>
  <c r="A226" i="37" s="1"/>
  <c r="A226" i="38" s="1"/>
  <c r="A226" i="39" s="1"/>
  <c r="A226" i="40" s="1"/>
  <c r="A226" i="41" s="1"/>
  <c r="A226" i="42" s="1"/>
  <c r="A226" i="43" s="1"/>
  <c r="A226" i="44" s="1"/>
  <c r="A226" i="45" s="1"/>
  <c r="A226" i="46" s="1"/>
  <c r="A226" i="47" s="1"/>
  <c r="A226" i="48" s="1"/>
  <c r="A225" i="35"/>
  <c r="A225" i="36" s="1"/>
  <c r="A225" i="37" s="1"/>
  <c r="A225" i="38" s="1"/>
  <c r="A225" i="39" s="1"/>
  <c r="A225" i="40" s="1"/>
  <c r="A225" i="41" s="1"/>
  <c r="A225" i="42" s="1"/>
  <c r="A225" i="43" s="1"/>
  <c r="A225" i="44" s="1"/>
  <c r="A225" i="45" s="1"/>
  <c r="A225" i="46" s="1"/>
  <c r="A225" i="47" s="1"/>
  <c r="A225" i="48" s="1"/>
  <c r="C224" i="35"/>
  <c r="C223" i="35"/>
  <c r="C223" i="36" s="1"/>
  <c r="A222" i="35"/>
  <c r="A222" i="36" s="1"/>
  <c r="A222" i="37" s="1"/>
  <c r="A222" i="38" s="1"/>
  <c r="A222" i="39" s="1"/>
  <c r="A222" i="40" s="1"/>
  <c r="A222" i="41" s="1"/>
  <c r="A222" i="42" s="1"/>
  <c r="A222" i="43" s="1"/>
  <c r="A222" i="44" s="1"/>
  <c r="A222" i="45" s="1"/>
  <c r="A222" i="46" s="1"/>
  <c r="A222" i="47" s="1"/>
  <c r="A222" i="48" s="1"/>
  <c r="A221" i="35"/>
  <c r="A221" i="36" s="1"/>
  <c r="A221" i="37" s="1"/>
  <c r="A221" i="38" s="1"/>
  <c r="A221" i="39" s="1"/>
  <c r="A221" i="40" s="1"/>
  <c r="A221" i="41" s="1"/>
  <c r="A221" i="42" s="1"/>
  <c r="A221" i="43" s="1"/>
  <c r="A221" i="44" s="1"/>
  <c r="A221" i="45" s="1"/>
  <c r="A221" i="46" s="1"/>
  <c r="A221" i="47" s="1"/>
  <c r="A221" i="48" s="1"/>
  <c r="C220" i="35"/>
  <c r="C219" i="35"/>
  <c r="C219" i="36" s="1"/>
  <c r="A218" i="35"/>
  <c r="A218" i="36" s="1"/>
  <c r="A218" i="37" s="1"/>
  <c r="A218" i="38" s="1"/>
  <c r="A218" i="39" s="1"/>
  <c r="A218" i="40" s="1"/>
  <c r="A218" i="41" s="1"/>
  <c r="A218" i="42" s="1"/>
  <c r="A218" i="43" s="1"/>
  <c r="A218" i="44" s="1"/>
  <c r="A218" i="45" s="1"/>
  <c r="A218" i="46" s="1"/>
  <c r="A218" i="47" s="1"/>
  <c r="A218" i="48" s="1"/>
  <c r="C217" i="35"/>
  <c r="C216" i="35"/>
  <c r="C216" i="36" s="1"/>
  <c r="A215" i="35"/>
  <c r="A215" i="36" s="1"/>
  <c r="A215" i="37" s="1"/>
  <c r="A215" i="38" s="1"/>
  <c r="A215" i="39" s="1"/>
  <c r="A215" i="40" s="1"/>
  <c r="A215" i="41" s="1"/>
  <c r="A215" i="42" s="1"/>
  <c r="A215" i="43" s="1"/>
  <c r="A215" i="44" s="1"/>
  <c r="A215" i="45" s="1"/>
  <c r="A215" i="46" s="1"/>
  <c r="A215" i="47" s="1"/>
  <c r="A215" i="48" s="1"/>
  <c r="A214" i="35"/>
  <c r="A214" i="36" s="1"/>
  <c r="A214" i="37" s="1"/>
  <c r="A214" i="38" s="1"/>
  <c r="A214" i="39" s="1"/>
  <c r="A214" i="40" s="1"/>
  <c r="A214" i="41" s="1"/>
  <c r="A214" i="42" s="1"/>
  <c r="A214" i="43" s="1"/>
  <c r="A214" i="44" s="1"/>
  <c r="A214" i="45" s="1"/>
  <c r="A214" i="46" s="1"/>
  <c r="A214" i="47" s="1"/>
  <c r="A214" i="48" s="1"/>
  <c r="C213" i="35"/>
  <c r="A211" i="35"/>
  <c r="A211" i="36" s="1"/>
  <c r="A211" i="37" s="1"/>
  <c r="A211" i="38" s="1"/>
  <c r="A211" i="39" s="1"/>
  <c r="A211" i="40" s="1"/>
  <c r="A211" i="41" s="1"/>
  <c r="A211" i="42" s="1"/>
  <c r="A211" i="43" s="1"/>
  <c r="A211" i="44" s="1"/>
  <c r="A211" i="45" s="1"/>
  <c r="A211" i="46" s="1"/>
  <c r="A211" i="47" s="1"/>
  <c r="A211" i="48" s="1"/>
  <c r="A210" i="35"/>
  <c r="A210" i="36" s="1"/>
  <c r="A210" i="37" s="1"/>
  <c r="A210" i="38" s="1"/>
  <c r="A210" i="39" s="1"/>
  <c r="A210" i="40" s="1"/>
  <c r="A210" i="41" s="1"/>
  <c r="A210" i="42" s="1"/>
  <c r="A210" i="43" s="1"/>
  <c r="A210" i="44" s="1"/>
  <c r="A210" i="45" s="1"/>
  <c r="A210" i="46" s="1"/>
  <c r="A210" i="47" s="1"/>
  <c r="A210" i="48" s="1"/>
  <c r="C209" i="35"/>
  <c r="C208" i="35"/>
  <c r="C208" i="36" s="1"/>
  <c r="A207" i="35"/>
  <c r="A207" i="36" s="1"/>
  <c r="A207" i="37" s="1"/>
  <c r="A207" i="38" s="1"/>
  <c r="A207" i="39" s="1"/>
  <c r="A207" i="40" s="1"/>
  <c r="A207" i="41" s="1"/>
  <c r="A207" i="42" s="1"/>
  <c r="A207" i="43" s="1"/>
  <c r="A207" i="44" s="1"/>
  <c r="A207" i="45" s="1"/>
  <c r="A207" i="46" s="1"/>
  <c r="A207" i="47" s="1"/>
  <c r="A207" i="48" s="1"/>
  <c r="A206" i="35"/>
  <c r="A206" i="36" s="1"/>
  <c r="A206" i="37" s="1"/>
  <c r="A206" i="38" s="1"/>
  <c r="A206" i="39" s="1"/>
  <c r="A206" i="40" s="1"/>
  <c r="A206" i="41" s="1"/>
  <c r="A206" i="42" s="1"/>
  <c r="A206" i="43" s="1"/>
  <c r="A206" i="44" s="1"/>
  <c r="A206" i="45" s="1"/>
  <c r="A206" i="46" s="1"/>
  <c r="A206" i="47" s="1"/>
  <c r="A206" i="48" s="1"/>
  <c r="C205" i="35"/>
  <c r="C204" i="35"/>
  <c r="C204" i="36" s="1"/>
  <c r="A203" i="35"/>
  <c r="A203" i="36" s="1"/>
  <c r="A203" i="37" s="1"/>
  <c r="A203" i="38" s="1"/>
  <c r="A203" i="39" s="1"/>
  <c r="A203" i="40" s="1"/>
  <c r="A203" i="41" s="1"/>
  <c r="A203" i="42" s="1"/>
  <c r="A203" i="43" s="1"/>
  <c r="A203" i="44" s="1"/>
  <c r="A203" i="45" s="1"/>
  <c r="A203" i="46" s="1"/>
  <c r="A203" i="47" s="1"/>
  <c r="A203" i="48" s="1"/>
  <c r="A202" i="35"/>
  <c r="A202" i="36" s="1"/>
  <c r="A202" i="37" s="1"/>
  <c r="A202" i="38" s="1"/>
  <c r="A202" i="39" s="1"/>
  <c r="A202" i="40" s="1"/>
  <c r="A202" i="41" s="1"/>
  <c r="A202" i="42" s="1"/>
  <c r="A202" i="43" s="1"/>
  <c r="A202" i="44" s="1"/>
  <c r="A202" i="45" s="1"/>
  <c r="A202" i="46" s="1"/>
  <c r="A202" i="47" s="1"/>
  <c r="A202" i="48" s="1"/>
  <c r="C201" i="35"/>
  <c r="C200" i="35"/>
  <c r="C200" i="36" s="1"/>
  <c r="A199" i="35"/>
  <c r="A199" i="36" s="1"/>
  <c r="A199" i="37" s="1"/>
  <c r="A199" i="38" s="1"/>
  <c r="A199" i="39" s="1"/>
  <c r="A199" i="40" s="1"/>
  <c r="A199" i="41" s="1"/>
  <c r="A199" i="42" s="1"/>
  <c r="A199" i="43" s="1"/>
  <c r="A199" i="44" s="1"/>
  <c r="A199" i="45" s="1"/>
  <c r="A199" i="46" s="1"/>
  <c r="A199" i="47" s="1"/>
  <c r="A199" i="48" s="1"/>
  <c r="A198" i="35"/>
  <c r="A198" i="36" s="1"/>
  <c r="A198" i="37" s="1"/>
  <c r="A198" i="38" s="1"/>
  <c r="A198" i="39" s="1"/>
  <c r="A198" i="40" s="1"/>
  <c r="A198" i="41" s="1"/>
  <c r="A198" i="42" s="1"/>
  <c r="A198" i="43" s="1"/>
  <c r="A198" i="44" s="1"/>
  <c r="A198" i="45" s="1"/>
  <c r="A198" i="46" s="1"/>
  <c r="A198" i="47" s="1"/>
  <c r="A198" i="48" s="1"/>
  <c r="C197" i="35"/>
  <c r="C196" i="35"/>
  <c r="C196" i="36" s="1"/>
  <c r="A195" i="35"/>
  <c r="A195" i="36" s="1"/>
  <c r="A195" i="37" s="1"/>
  <c r="A195" i="38" s="1"/>
  <c r="A195" i="39" s="1"/>
  <c r="A195" i="40" s="1"/>
  <c r="A195" i="41" s="1"/>
  <c r="A195" i="42" s="1"/>
  <c r="A195" i="43" s="1"/>
  <c r="A195" i="44" s="1"/>
  <c r="A195" i="45" s="1"/>
  <c r="A195" i="46" s="1"/>
  <c r="A195" i="47" s="1"/>
  <c r="A195" i="48" s="1"/>
  <c r="A194" i="35"/>
  <c r="A194" i="36" s="1"/>
  <c r="A194" i="37" s="1"/>
  <c r="A194" i="38" s="1"/>
  <c r="A194" i="39" s="1"/>
  <c r="A194" i="40" s="1"/>
  <c r="A194" i="41" s="1"/>
  <c r="A194" i="42" s="1"/>
  <c r="A194" i="43" s="1"/>
  <c r="A194" i="44" s="1"/>
  <c r="A194" i="45" s="1"/>
  <c r="A194" i="46" s="1"/>
  <c r="A194" i="47" s="1"/>
  <c r="A194" i="48" s="1"/>
  <c r="C192" i="35"/>
  <c r="A190" i="35"/>
  <c r="A190" i="36" s="1"/>
  <c r="A190" i="37" s="1"/>
  <c r="A190" i="38" s="1"/>
  <c r="A190" i="39" s="1"/>
  <c r="A190" i="40" s="1"/>
  <c r="A190" i="41" s="1"/>
  <c r="A190" i="42" s="1"/>
  <c r="A190" i="43" s="1"/>
  <c r="A190" i="44" s="1"/>
  <c r="A190" i="45" s="1"/>
  <c r="A190" i="46" s="1"/>
  <c r="A190" i="47" s="1"/>
  <c r="A190" i="48" s="1"/>
  <c r="A189" i="35"/>
  <c r="A189" i="36" s="1"/>
  <c r="A189" i="37" s="1"/>
  <c r="A189" i="38" s="1"/>
  <c r="A189" i="39" s="1"/>
  <c r="A189" i="40" s="1"/>
  <c r="A189" i="41" s="1"/>
  <c r="A189" i="42" s="1"/>
  <c r="A189" i="43" s="1"/>
  <c r="A189" i="44" s="1"/>
  <c r="A189" i="45" s="1"/>
  <c r="A189" i="46" s="1"/>
  <c r="A189" i="47" s="1"/>
  <c r="A189" i="48" s="1"/>
  <c r="C188" i="35"/>
  <c r="C187" i="35"/>
  <c r="C187" i="36" s="1"/>
  <c r="A186" i="35"/>
  <c r="A186" i="36" s="1"/>
  <c r="A186" i="37" s="1"/>
  <c r="A186" i="38" s="1"/>
  <c r="A186" i="39" s="1"/>
  <c r="A186" i="40" s="1"/>
  <c r="A186" i="41" s="1"/>
  <c r="A186" i="42" s="1"/>
  <c r="A186" i="43" s="1"/>
  <c r="A186" i="44" s="1"/>
  <c r="A186" i="45" s="1"/>
  <c r="A186" i="46" s="1"/>
  <c r="A186" i="47" s="1"/>
  <c r="A186" i="48" s="1"/>
  <c r="A185" i="35"/>
  <c r="A185" i="36" s="1"/>
  <c r="A185" i="37" s="1"/>
  <c r="A185" i="38" s="1"/>
  <c r="A185" i="39" s="1"/>
  <c r="A185" i="40" s="1"/>
  <c r="A185" i="41" s="1"/>
  <c r="A185" i="42" s="1"/>
  <c r="A185" i="43" s="1"/>
  <c r="A185" i="44" s="1"/>
  <c r="A185" i="45" s="1"/>
  <c r="A185" i="46" s="1"/>
  <c r="A185" i="47" s="1"/>
  <c r="A185" i="48" s="1"/>
  <c r="C184" i="35"/>
  <c r="C183" i="35"/>
  <c r="C183" i="36" s="1"/>
  <c r="A182" i="35"/>
  <c r="A182" i="36" s="1"/>
  <c r="A182" i="37" s="1"/>
  <c r="A182" i="38" s="1"/>
  <c r="A182" i="39" s="1"/>
  <c r="A182" i="40" s="1"/>
  <c r="A182" i="41" s="1"/>
  <c r="A182" i="42" s="1"/>
  <c r="A182" i="43" s="1"/>
  <c r="A182" i="44" s="1"/>
  <c r="A182" i="45" s="1"/>
  <c r="A182" i="46" s="1"/>
  <c r="A182" i="47" s="1"/>
  <c r="A182" i="48" s="1"/>
  <c r="A181" i="35"/>
  <c r="A181" i="36" s="1"/>
  <c r="A181" i="37" s="1"/>
  <c r="A181" i="38" s="1"/>
  <c r="A181" i="39" s="1"/>
  <c r="A181" i="40" s="1"/>
  <c r="A181" i="41" s="1"/>
  <c r="A181" i="42" s="1"/>
  <c r="A181" i="43" s="1"/>
  <c r="A181" i="44" s="1"/>
  <c r="A181" i="45" s="1"/>
  <c r="A181" i="46" s="1"/>
  <c r="A181" i="47" s="1"/>
  <c r="A181" i="48" s="1"/>
  <c r="C180" i="35"/>
  <c r="A178" i="35"/>
  <c r="A178" i="36" s="1"/>
  <c r="A178" i="37" s="1"/>
  <c r="A178" i="38" s="1"/>
  <c r="A178" i="39" s="1"/>
  <c r="A178" i="40" s="1"/>
  <c r="A178" i="41" s="1"/>
  <c r="A178" i="42" s="1"/>
  <c r="A178" i="43" s="1"/>
  <c r="A178" i="44" s="1"/>
  <c r="A178" i="45" s="1"/>
  <c r="A178" i="46" s="1"/>
  <c r="A178" i="47" s="1"/>
  <c r="A178" i="48" s="1"/>
  <c r="A177" i="35"/>
  <c r="A177" i="36" s="1"/>
  <c r="A177" i="37" s="1"/>
  <c r="A177" i="38" s="1"/>
  <c r="A177" i="39" s="1"/>
  <c r="A177" i="40" s="1"/>
  <c r="A177" i="41" s="1"/>
  <c r="A177" i="42" s="1"/>
  <c r="A177" i="43" s="1"/>
  <c r="A177" i="44" s="1"/>
  <c r="A177" i="45" s="1"/>
  <c r="A177" i="46" s="1"/>
  <c r="A177" i="47" s="1"/>
  <c r="A177" i="48" s="1"/>
  <c r="C176" i="35"/>
  <c r="C175" i="35"/>
  <c r="C175" i="36" s="1"/>
  <c r="A174" i="35"/>
  <c r="A174" i="36" s="1"/>
  <c r="A174" i="37" s="1"/>
  <c r="A174" i="38" s="1"/>
  <c r="A174" i="39" s="1"/>
  <c r="A174" i="40" s="1"/>
  <c r="A174" i="41" s="1"/>
  <c r="A174" i="42" s="1"/>
  <c r="A174" i="43" s="1"/>
  <c r="A174" i="44" s="1"/>
  <c r="A174" i="45" s="1"/>
  <c r="A174" i="46" s="1"/>
  <c r="A174" i="47" s="1"/>
  <c r="A174" i="48" s="1"/>
  <c r="A173" i="35"/>
  <c r="A173" i="36" s="1"/>
  <c r="A173" i="37" s="1"/>
  <c r="A173" i="38" s="1"/>
  <c r="A173" i="39" s="1"/>
  <c r="A173" i="40" s="1"/>
  <c r="A173" i="41" s="1"/>
  <c r="A173" i="42" s="1"/>
  <c r="A173" i="43" s="1"/>
  <c r="A173" i="44" s="1"/>
  <c r="A173" i="45" s="1"/>
  <c r="A173" i="46" s="1"/>
  <c r="A173" i="47" s="1"/>
  <c r="A173" i="48" s="1"/>
  <c r="C172" i="35"/>
  <c r="C171" i="35"/>
  <c r="C171" i="36" s="1"/>
  <c r="A170" i="35"/>
  <c r="A170" i="36" s="1"/>
  <c r="A170" i="37" s="1"/>
  <c r="A170" i="38" s="1"/>
  <c r="A170" i="39" s="1"/>
  <c r="A170" i="40" s="1"/>
  <c r="A170" i="41" s="1"/>
  <c r="A170" i="42" s="1"/>
  <c r="A170" i="43" s="1"/>
  <c r="A170" i="44" s="1"/>
  <c r="A170" i="45" s="1"/>
  <c r="A170" i="46" s="1"/>
  <c r="A170" i="47" s="1"/>
  <c r="A170" i="48" s="1"/>
  <c r="A169" i="35"/>
  <c r="A169" i="36" s="1"/>
  <c r="A169" i="37" s="1"/>
  <c r="A169" i="38" s="1"/>
  <c r="A169" i="39" s="1"/>
  <c r="A169" i="40" s="1"/>
  <c r="A169" i="41" s="1"/>
  <c r="A169" i="42" s="1"/>
  <c r="A169" i="43" s="1"/>
  <c r="A169" i="44" s="1"/>
  <c r="A169" i="45" s="1"/>
  <c r="A169" i="46" s="1"/>
  <c r="A169" i="47" s="1"/>
  <c r="A169" i="48" s="1"/>
  <c r="C168" i="35"/>
  <c r="C167" i="35"/>
  <c r="C167" i="36" s="1"/>
  <c r="A166" i="35"/>
  <c r="A166" i="36" s="1"/>
  <c r="A166" i="37" s="1"/>
  <c r="A166" i="38" s="1"/>
  <c r="A166" i="39" s="1"/>
  <c r="A166" i="40" s="1"/>
  <c r="A166" i="41" s="1"/>
  <c r="A166" i="42" s="1"/>
  <c r="A166" i="43" s="1"/>
  <c r="A166" i="44" s="1"/>
  <c r="A166" i="45" s="1"/>
  <c r="A166" i="46" s="1"/>
  <c r="A166" i="47" s="1"/>
  <c r="A166" i="48" s="1"/>
  <c r="A165" i="35"/>
  <c r="A165" i="36" s="1"/>
  <c r="A165" i="37" s="1"/>
  <c r="A165" i="38" s="1"/>
  <c r="A165" i="39" s="1"/>
  <c r="A165" i="40" s="1"/>
  <c r="A165" i="41" s="1"/>
  <c r="A165" i="42" s="1"/>
  <c r="A165" i="43" s="1"/>
  <c r="A165" i="44" s="1"/>
  <c r="A165" i="45" s="1"/>
  <c r="A165" i="46" s="1"/>
  <c r="A165" i="47" s="1"/>
  <c r="A165" i="48" s="1"/>
  <c r="C164" i="35"/>
  <c r="C163" i="35"/>
  <c r="C163" i="36" s="1"/>
  <c r="A162" i="35"/>
  <c r="A162" i="36" s="1"/>
  <c r="A162" i="37" s="1"/>
  <c r="A162" i="38" s="1"/>
  <c r="A162" i="39" s="1"/>
  <c r="A162" i="40" s="1"/>
  <c r="A162" i="41" s="1"/>
  <c r="A162" i="42" s="1"/>
  <c r="A162" i="43" s="1"/>
  <c r="A162" i="44" s="1"/>
  <c r="A162" i="45" s="1"/>
  <c r="A162" i="46" s="1"/>
  <c r="A162" i="47" s="1"/>
  <c r="A162" i="48" s="1"/>
  <c r="A161" i="35"/>
  <c r="A161" i="36" s="1"/>
  <c r="A161" i="37" s="1"/>
  <c r="A161" i="38" s="1"/>
  <c r="A161" i="39" s="1"/>
  <c r="A161" i="40" s="1"/>
  <c r="A161" i="41" s="1"/>
  <c r="A161" i="42" s="1"/>
  <c r="A161" i="43" s="1"/>
  <c r="A161" i="44" s="1"/>
  <c r="A161" i="45" s="1"/>
  <c r="A161" i="46" s="1"/>
  <c r="A161" i="47" s="1"/>
  <c r="A161" i="48" s="1"/>
  <c r="C160" i="35"/>
  <c r="C159" i="35"/>
  <c r="C159" i="36" s="1"/>
  <c r="A158" i="35"/>
  <c r="A158" i="36" s="1"/>
  <c r="A158" i="37" s="1"/>
  <c r="A158" i="38" s="1"/>
  <c r="A158" i="39" s="1"/>
  <c r="A158" i="40" s="1"/>
  <c r="A158" i="41" s="1"/>
  <c r="A158" i="42" s="1"/>
  <c r="A158" i="43" s="1"/>
  <c r="A158" i="44" s="1"/>
  <c r="A158" i="45" s="1"/>
  <c r="A158" i="46" s="1"/>
  <c r="A158" i="47" s="1"/>
  <c r="A158" i="48" s="1"/>
  <c r="A157" i="35"/>
  <c r="A157" i="36" s="1"/>
  <c r="A157" i="37" s="1"/>
  <c r="A157" i="38" s="1"/>
  <c r="A157" i="39" s="1"/>
  <c r="A157" i="40" s="1"/>
  <c r="A157" i="41" s="1"/>
  <c r="A157" i="42" s="1"/>
  <c r="A157" i="43" s="1"/>
  <c r="A157" i="44" s="1"/>
  <c r="A157" i="45" s="1"/>
  <c r="A157" i="46" s="1"/>
  <c r="A157" i="47" s="1"/>
  <c r="A157" i="48" s="1"/>
  <c r="C156" i="35"/>
  <c r="C155" i="35"/>
  <c r="C155" i="36" s="1"/>
  <c r="A154" i="35"/>
  <c r="A154" i="36" s="1"/>
  <c r="A154" i="37" s="1"/>
  <c r="A154" i="38" s="1"/>
  <c r="A154" i="39" s="1"/>
  <c r="A154" i="40" s="1"/>
  <c r="A154" i="41" s="1"/>
  <c r="A154" i="42" s="1"/>
  <c r="A154" i="43" s="1"/>
  <c r="A154" i="44" s="1"/>
  <c r="A154" i="45" s="1"/>
  <c r="A154" i="46" s="1"/>
  <c r="A154" i="47" s="1"/>
  <c r="A154" i="48" s="1"/>
  <c r="A153" i="35"/>
  <c r="A153" i="36" s="1"/>
  <c r="A153" i="37" s="1"/>
  <c r="A153" i="38" s="1"/>
  <c r="A153" i="39" s="1"/>
  <c r="A153" i="40" s="1"/>
  <c r="A153" i="41" s="1"/>
  <c r="A153" i="42" s="1"/>
  <c r="A153" i="43" s="1"/>
  <c r="A153" i="44" s="1"/>
  <c r="A153" i="45" s="1"/>
  <c r="A153" i="46" s="1"/>
  <c r="A153" i="47" s="1"/>
  <c r="A153" i="48" s="1"/>
  <c r="C152" i="35"/>
  <c r="C151" i="35"/>
  <c r="C151" i="36" s="1"/>
  <c r="A150" i="35"/>
  <c r="A150" i="36" s="1"/>
  <c r="A150" i="37" s="1"/>
  <c r="A150" i="38" s="1"/>
  <c r="A150" i="39" s="1"/>
  <c r="A150" i="40" s="1"/>
  <c r="A150" i="41" s="1"/>
  <c r="A150" i="42" s="1"/>
  <c r="A150" i="43" s="1"/>
  <c r="A150" i="44" s="1"/>
  <c r="A150" i="45" s="1"/>
  <c r="A150" i="46" s="1"/>
  <c r="A150" i="47" s="1"/>
  <c r="A150" i="48" s="1"/>
  <c r="A149" i="35"/>
  <c r="A149" i="36" s="1"/>
  <c r="A149" i="37" s="1"/>
  <c r="A149" i="38" s="1"/>
  <c r="A149" i="39" s="1"/>
  <c r="A149" i="40" s="1"/>
  <c r="A149" i="41" s="1"/>
  <c r="A149" i="42" s="1"/>
  <c r="A149" i="43" s="1"/>
  <c r="A149" i="44" s="1"/>
  <c r="A149" i="45" s="1"/>
  <c r="A149" i="46" s="1"/>
  <c r="A149" i="47" s="1"/>
  <c r="A149" i="48" s="1"/>
  <c r="C148" i="35"/>
  <c r="C147" i="35"/>
  <c r="C147" i="36" s="1"/>
  <c r="A146" i="35"/>
  <c r="A146" i="36" s="1"/>
  <c r="A146" i="37" s="1"/>
  <c r="A146" i="38" s="1"/>
  <c r="A146" i="39" s="1"/>
  <c r="A146" i="40" s="1"/>
  <c r="A146" i="41" s="1"/>
  <c r="A146" i="42" s="1"/>
  <c r="A146" i="43" s="1"/>
  <c r="A146" i="44" s="1"/>
  <c r="A146" i="45" s="1"/>
  <c r="A146" i="46" s="1"/>
  <c r="A146" i="47" s="1"/>
  <c r="A146" i="48" s="1"/>
  <c r="A145" i="35"/>
  <c r="A145" i="36" s="1"/>
  <c r="A145" i="37" s="1"/>
  <c r="A145" i="38" s="1"/>
  <c r="A145" i="39" s="1"/>
  <c r="A145" i="40" s="1"/>
  <c r="A145" i="41" s="1"/>
  <c r="A145" i="42" s="1"/>
  <c r="A145" i="43" s="1"/>
  <c r="A145" i="44" s="1"/>
  <c r="A145" i="45" s="1"/>
  <c r="A145" i="46" s="1"/>
  <c r="A145" i="47" s="1"/>
  <c r="A145" i="48" s="1"/>
  <c r="C144" i="35"/>
  <c r="C143" i="35"/>
  <c r="C143" i="36" s="1"/>
  <c r="A142" i="35"/>
  <c r="A142" i="36" s="1"/>
  <c r="A142" i="37" s="1"/>
  <c r="A142" i="38" s="1"/>
  <c r="A142" i="39" s="1"/>
  <c r="A142" i="40" s="1"/>
  <c r="A142" i="41" s="1"/>
  <c r="A142" i="42" s="1"/>
  <c r="A142" i="43" s="1"/>
  <c r="A142" i="44" s="1"/>
  <c r="A142" i="45" s="1"/>
  <c r="A142" i="46" s="1"/>
  <c r="A142" i="47" s="1"/>
  <c r="A142" i="48" s="1"/>
  <c r="A141" i="35"/>
  <c r="A141" i="36" s="1"/>
  <c r="A141" i="37" s="1"/>
  <c r="A141" i="38" s="1"/>
  <c r="A141" i="39" s="1"/>
  <c r="A141" i="40" s="1"/>
  <c r="A141" i="41" s="1"/>
  <c r="A141" i="42" s="1"/>
  <c r="A141" i="43" s="1"/>
  <c r="A141" i="44" s="1"/>
  <c r="A141" i="45" s="1"/>
  <c r="A141" i="46" s="1"/>
  <c r="A141" i="47" s="1"/>
  <c r="A141" i="48" s="1"/>
  <c r="C140" i="35"/>
  <c r="C139" i="35"/>
  <c r="C139" i="36" s="1"/>
  <c r="A138" i="35"/>
  <c r="A138" i="36" s="1"/>
  <c r="A138" i="37" s="1"/>
  <c r="A138" i="38" s="1"/>
  <c r="A138" i="39" s="1"/>
  <c r="A138" i="40" s="1"/>
  <c r="A138" i="41" s="1"/>
  <c r="A138" i="42" s="1"/>
  <c r="A138" i="43" s="1"/>
  <c r="A138" i="44" s="1"/>
  <c r="A138" i="45" s="1"/>
  <c r="A138" i="46" s="1"/>
  <c r="A138" i="47" s="1"/>
  <c r="A138" i="48" s="1"/>
  <c r="A137" i="35"/>
  <c r="A137" i="36" s="1"/>
  <c r="A137" i="37" s="1"/>
  <c r="A137" i="38" s="1"/>
  <c r="A137" i="39" s="1"/>
  <c r="A137" i="40" s="1"/>
  <c r="A137" i="41" s="1"/>
  <c r="A137" i="42" s="1"/>
  <c r="A137" i="43" s="1"/>
  <c r="A137" i="44" s="1"/>
  <c r="A137" i="45" s="1"/>
  <c r="A137" i="46" s="1"/>
  <c r="A137" i="47" s="1"/>
  <c r="A137" i="48" s="1"/>
  <c r="C136" i="35"/>
  <c r="C135" i="35"/>
  <c r="C135" i="36" s="1"/>
  <c r="A134" i="35"/>
  <c r="A134" i="36" s="1"/>
  <c r="A134" i="37" s="1"/>
  <c r="A134" i="38" s="1"/>
  <c r="A134" i="39" s="1"/>
  <c r="A134" i="40" s="1"/>
  <c r="A134" i="41" s="1"/>
  <c r="A134" i="42" s="1"/>
  <c r="A134" i="43" s="1"/>
  <c r="A134" i="44" s="1"/>
  <c r="A134" i="45" s="1"/>
  <c r="A134" i="46" s="1"/>
  <c r="A134" i="47" s="1"/>
  <c r="A134" i="48" s="1"/>
  <c r="A133" i="35"/>
  <c r="A133" i="36" s="1"/>
  <c r="A133" i="37" s="1"/>
  <c r="A133" i="38" s="1"/>
  <c r="A133" i="39" s="1"/>
  <c r="A133" i="40" s="1"/>
  <c r="A133" i="41" s="1"/>
  <c r="A133" i="42" s="1"/>
  <c r="A133" i="43" s="1"/>
  <c r="A133" i="44" s="1"/>
  <c r="A133" i="45" s="1"/>
  <c r="A133" i="46" s="1"/>
  <c r="A133" i="47" s="1"/>
  <c r="A133" i="48" s="1"/>
  <c r="C132" i="35"/>
  <c r="C131" i="35"/>
  <c r="C131" i="36" s="1"/>
  <c r="A130" i="35"/>
  <c r="A130" i="36" s="1"/>
  <c r="A130" i="37" s="1"/>
  <c r="A130" i="38" s="1"/>
  <c r="A130" i="39" s="1"/>
  <c r="A130" i="40" s="1"/>
  <c r="A130" i="41" s="1"/>
  <c r="A130" i="42" s="1"/>
  <c r="A130" i="43" s="1"/>
  <c r="A130" i="44" s="1"/>
  <c r="A130" i="45" s="1"/>
  <c r="A130" i="46" s="1"/>
  <c r="A130" i="47" s="1"/>
  <c r="A130" i="48" s="1"/>
  <c r="A129" i="35"/>
  <c r="A129" i="36" s="1"/>
  <c r="A129" i="37" s="1"/>
  <c r="A129" i="38" s="1"/>
  <c r="A129" i="39" s="1"/>
  <c r="A129" i="40" s="1"/>
  <c r="A129" i="41" s="1"/>
  <c r="A129" i="42" s="1"/>
  <c r="A129" i="43" s="1"/>
  <c r="A129" i="44" s="1"/>
  <c r="A129" i="45" s="1"/>
  <c r="A129" i="46" s="1"/>
  <c r="A129" i="47" s="1"/>
  <c r="A129" i="48" s="1"/>
  <c r="C127" i="35"/>
  <c r="A125" i="35"/>
  <c r="A125" i="36" s="1"/>
  <c r="A125" i="37" s="1"/>
  <c r="A125" i="38" s="1"/>
  <c r="A125" i="39" s="1"/>
  <c r="A125" i="40" s="1"/>
  <c r="A125" i="41" s="1"/>
  <c r="A125" i="42" s="1"/>
  <c r="A125" i="43" s="1"/>
  <c r="A125" i="44" s="1"/>
  <c r="A125" i="45" s="1"/>
  <c r="A125" i="46" s="1"/>
  <c r="A125" i="47" s="1"/>
  <c r="A125" i="48" s="1"/>
  <c r="A124" i="35"/>
  <c r="A124" i="36" s="1"/>
  <c r="A124" i="37" s="1"/>
  <c r="A124" i="38" s="1"/>
  <c r="A124" i="39" s="1"/>
  <c r="A124" i="40" s="1"/>
  <c r="A124" i="41" s="1"/>
  <c r="A124" i="42" s="1"/>
  <c r="A124" i="43" s="1"/>
  <c r="A124" i="44" s="1"/>
  <c r="A124" i="45" s="1"/>
  <c r="A124" i="46" s="1"/>
  <c r="A124" i="47" s="1"/>
  <c r="A124" i="48" s="1"/>
  <c r="C123" i="35"/>
  <c r="C122" i="35"/>
  <c r="C122" i="36" s="1"/>
  <c r="A121" i="35"/>
  <c r="A121" i="36" s="1"/>
  <c r="A121" i="37" s="1"/>
  <c r="A121" i="38" s="1"/>
  <c r="A121" i="39" s="1"/>
  <c r="A121" i="40" s="1"/>
  <c r="A121" i="41" s="1"/>
  <c r="A121" i="42" s="1"/>
  <c r="A121" i="43" s="1"/>
  <c r="A121" i="44" s="1"/>
  <c r="A121" i="45" s="1"/>
  <c r="A121" i="46" s="1"/>
  <c r="A121" i="47" s="1"/>
  <c r="A121" i="48" s="1"/>
  <c r="A120" i="35"/>
  <c r="A120" i="36" s="1"/>
  <c r="A120" i="37" s="1"/>
  <c r="A120" i="38" s="1"/>
  <c r="A120" i="39" s="1"/>
  <c r="A120" i="40" s="1"/>
  <c r="A120" i="41" s="1"/>
  <c r="A120" i="42" s="1"/>
  <c r="A120" i="43" s="1"/>
  <c r="A120" i="44" s="1"/>
  <c r="A120" i="45" s="1"/>
  <c r="A120" i="46" s="1"/>
  <c r="A120" i="47" s="1"/>
  <c r="A120" i="48" s="1"/>
  <c r="C119" i="35"/>
  <c r="C118" i="35"/>
  <c r="C118" i="36" s="1"/>
  <c r="B117" i="35"/>
  <c r="B117" i="36" s="1"/>
  <c r="B117" i="37" s="1"/>
  <c r="B117" i="38" s="1"/>
  <c r="B117" i="39" s="1"/>
  <c r="B117" i="40" s="1"/>
  <c r="B117" i="41" s="1"/>
  <c r="B117" i="42" s="1"/>
  <c r="B117" i="43" s="1"/>
  <c r="B117" i="44" s="1"/>
  <c r="B117" i="45" s="1"/>
  <c r="B117" i="46" s="1"/>
  <c r="B117" i="47" s="1"/>
  <c r="B117" i="48" s="1"/>
  <c r="A117" i="35"/>
  <c r="A117" i="36" s="1"/>
  <c r="A117" i="37" s="1"/>
  <c r="A117" i="38" s="1"/>
  <c r="A117" i="39" s="1"/>
  <c r="A117" i="40" s="1"/>
  <c r="A117" i="41" s="1"/>
  <c r="A117" i="42" s="1"/>
  <c r="A117" i="43" s="1"/>
  <c r="A117" i="44" s="1"/>
  <c r="A117" i="45" s="1"/>
  <c r="A117" i="46" s="1"/>
  <c r="A117" i="47" s="1"/>
  <c r="A117" i="48" s="1"/>
  <c r="B116" i="35"/>
  <c r="B116" i="36" s="1"/>
  <c r="B116" i="37" s="1"/>
  <c r="B116" i="38" s="1"/>
  <c r="B116" i="39" s="1"/>
  <c r="B116" i="40" s="1"/>
  <c r="B116" i="41" s="1"/>
  <c r="B116" i="42" s="1"/>
  <c r="B116" i="43" s="1"/>
  <c r="B116" i="44" s="1"/>
  <c r="B116" i="45" s="1"/>
  <c r="B116" i="46" s="1"/>
  <c r="B116" i="47" s="1"/>
  <c r="B116" i="48" s="1"/>
  <c r="B115" i="35"/>
  <c r="B115" i="36" s="1"/>
  <c r="B115" i="37" s="1"/>
  <c r="B115" i="38" s="1"/>
  <c r="B115" i="39" s="1"/>
  <c r="B115" i="40" s="1"/>
  <c r="B115" i="41" s="1"/>
  <c r="B115" i="42" s="1"/>
  <c r="B115" i="43" s="1"/>
  <c r="B115" i="44" s="1"/>
  <c r="B115" i="45" s="1"/>
  <c r="B115" i="46" s="1"/>
  <c r="B115" i="47" s="1"/>
  <c r="B115" i="48" s="1"/>
  <c r="A115" i="35"/>
  <c r="A115" i="36" s="1"/>
  <c r="A115" i="37" s="1"/>
  <c r="A115" i="38" s="1"/>
  <c r="A115" i="39" s="1"/>
  <c r="A115" i="40" s="1"/>
  <c r="A115" i="41" s="1"/>
  <c r="A115" i="42" s="1"/>
  <c r="A115" i="43" s="1"/>
  <c r="A115" i="44" s="1"/>
  <c r="A115" i="45" s="1"/>
  <c r="A115" i="46" s="1"/>
  <c r="A115" i="47" s="1"/>
  <c r="A115" i="48" s="1"/>
  <c r="B114" i="35"/>
  <c r="B114" i="36" s="1"/>
  <c r="B114" i="37" s="1"/>
  <c r="B114" i="38" s="1"/>
  <c r="B114" i="39" s="1"/>
  <c r="B114" i="40" s="1"/>
  <c r="B114" i="41" s="1"/>
  <c r="B114" i="42" s="1"/>
  <c r="B114" i="43" s="1"/>
  <c r="B114" i="44" s="1"/>
  <c r="B114" i="45" s="1"/>
  <c r="B114" i="46" s="1"/>
  <c r="B114" i="47" s="1"/>
  <c r="B114" i="48" s="1"/>
  <c r="B113" i="35"/>
  <c r="B113" i="36" s="1"/>
  <c r="B113" i="37" s="1"/>
  <c r="B113" i="38" s="1"/>
  <c r="B113" i="39" s="1"/>
  <c r="B113" i="40" s="1"/>
  <c r="B113" i="41" s="1"/>
  <c r="B113" i="42" s="1"/>
  <c r="B113" i="43" s="1"/>
  <c r="B113" i="44" s="1"/>
  <c r="B113" i="45" s="1"/>
  <c r="B113" i="46" s="1"/>
  <c r="B113" i="47" s="1"/>
  <c r="B113" i="48" s="1"/>
  <c r="A113" i="35"/>
  <c r="A113" i="36" s="1"/>
  <c r="A113" i="37" s="1"/>
  <c r="A113" i="38" s="1"/>
  <c r="A113" i="39" s="1"/>
  <c r="A113" i="40" s="1"/>
  <c r="A113" i="41" s="1"/>
  <c r="A113" i="42" s="1"/>
  <c r="A113" i="43" s="1"/>
  <c r="A113" i="44" s="1"/>
  <c r="A113" i="45" s="1"/>
  <c r="A113" i="46" s="1"/>
  <c r="A113" i="47" s="1"/>
  <c r="A113" i="48" s="1"/>
  <c r="B112" i="35"/>
  <c r="B112" i="36" s="1"/>
  <c r="B112" i="37" s="1"/>
  <c r="B112" i="38" s="1"/>
  <c r="B112" i="39" s="1"/>
  <c r="B112" i="40" s="1"/>
  <c r="B112" i="41" s="1"/>
  <c r="B112" i="42" s="1"/>
  <c r="B112" i="43" s="1"/>
  <c r="B112" i="44" s="1"/>
  <c r="B112" i="45" s="1"/>
  <c r="B112" i="46" s="1"/>
  <c r="B112" i="47" s="1"/>
  <c r="B112" i="48" s="1"/>
  <c r="B111" i="35"/>
  <c r="B111" i="36" s="1"/>
  <c r="B111" i="37" s="1"/>
  <c r="B111" i="38" s="1"/>
  <c r="B111" i="39" s="1"/>
  <c r="B111" i="40" s="1"/>
  <c r="B111" i="41" s="1"/>
  <c r="B111" i="42" s="1"/>
  <c r="B111" i="43" s="1"/>
  <c r="B111" i="44" s="1"/>
  <c r="B111" i="45" s="1"/>
  <c r="B111" i="46" s="1"/>
  <c r="B111" i="47" s="1"/>
  <c r="B111" i="48" s="1"/>
  <c r="A111" i="35"/>
  <c r="A111" i="36" s="1"/>
  <c r="A111" i="37" s="1"/>
  <c r="A111" i="38" s="1"/>
  <c r="A111" i="39" s="1"/>
  <c r="A111" i="40" s="1"/>
  <c r="A111" i="41" s="1"/>
  <c r="A111" i="42" s="1"/>
  <c r="A111" i="43" s="1"/>
  <c r="A111" i="44" s="1"/>
  <c r="A111" i="45" s="1"/>
  <c r="A111" i="46" s="1"/>
  <c r="A111" i="47" s="1"/>
  <c r="A111" i="48" s="1"/>
  <c r="B110" i="35"/>
  <c r="B110" i="36" s="1"/>
  <c r="B110" i="37" s="1"/>
  <c r="B110" i="38" s="1"/>
  <c r="B110" i="39" s="1"/>
  <c r="B110" i="40" s="1"/>
  <c r="B110" i="41" s="1"/>
  <c r="B110" i="42" s="1"/>
  <c r="B110" i="43" s="1"/>
  <c r="B110" i="44" s="1"/>
  <c r="B110" i="45" s="1"/>
  <c r="B110" i="46" s="1"/>
  <c r="B110" i="47" s="1"/>
  <c r="B110" i="48" s="1"/>
  <c r="B109" i="35"/>
  <c r="B109" i="36" s="1"/>
  <c r="B109" i="37" s="1"/>
  <c r="B109" i="38" s="1"/>
  <c r="B109" i="39" s="1"/>
  <c r="B109" i="40" s="1"/>
  <c r="B109" i="41" s="1"/>
  <c r="B109" i="42" s="1"/>
  <c r="B109" i="43" s="1"/>
  <c r="B109" i="44" s="1"/>
  <c r="B109" i="45" s="1"/>
  <c r="B109" i="46" s="1"/>
  <c r="B109" i="47" s="1"/>
  <c r="B109" i="48" s="1"/>
  <c r="A109" i="35"/>
  <c r="A109" i="36" s="1"/>
  <c r="A109" i="37" s="1"/>
  <c r="A109" i="38" s="1"/>
  <c r="A109" i="39" s="1"/>
  <c r="A109" i="40" s="1"/>
  <c r="A109" i="41" s="1"/>
  <c r="A109" i="42" s="1"/>
  <c r="A109" i="43" s="1"/>
  <c r="A109" i="44" s="1"/>
  <c r="A109" i="45" s="1"/>
  <c r="A109" i="46" s="1"/>
  <c r="A109" i="47" s="1"/>
  <c r="A109" i="48" s="1"/>
  <c r="B108" i="35"/>
  <c r="B108" i="36" s="1"/>
  <c r="B108" i="37" s="1"/>
  <c r="B108" i="38" s="1"/>
  <c r="B108" i="39" s="1"/>
  <c r="B108" i="40" s="1"/>
  <c r="B108" i="41" s="1"/>
  <c r="B108" i="42" s="1"/>
  <c r="B108" i="43" s="1"/>
  <c r="B108" i="44" s="1"/>
  <c r="B108" i="45" s="1"/>
  <c r="B108" i="46" s="1"/>
  <c r="B108" i="47" s="1"/>
  <c r="B108" i="48" s="1"/>
  <c r="B107" i="35"/>
  <c r="B107" i="36" s="1"/>
  <c r="B107" i="37" s="1"/>
  <c r="B107" i="38" s="1"/>
  <c r="B107" i="39" s="1"/>
  <c r="B107" i="40" s="1"/>
  <c r="B107" i="41" s="1"/>
  <c r="B107" i="42" s="1"/>
  <c r="B107" i="43" s="1"/>
  <c r="B107" i="44" s="1"/>
  <c r="B107" i="45" s="1"/>
  <c r="B107" i="46" s="1"/>
  <c r="B107" i="47" s="1"/>
  <c r="B107" i="48" s="1"/>
  <c r="A107" i="35"/>
  <c r="A107" i="36" s="1"/>
  <c r="A107" i="37" s="1"/>
  <c r="A107" i="38" s="1"/>
  <c r="A107" i="39" s="1"/>
  <c r="A107" i="40" s="1"/>
  <c r="A107" i="41" s="1"/>
  <c r="A107" i="42" s="1"/>
  <c r="A107" i="43" s="1"/>
  <c r="A107" i="44" s="1"/>
  <c r="A107" i="45" s="1"/>
  <c r="A107" i="46" s="1"/>
  <c r="A107" i="47" s="1"/>
  <c r="A107" i="48" s="1"/>
  <c r="B106" i="35"/>
  <c r="B106" i="36" s="1"/>
  <c r="B106" i="37" s="1"/>
  <c r="B106" i="38" s="1"/>
  <c r="B106" i="39" s="1"/>
  <c r="B106" i="40" s="1"/>
  <c r="B106" i="41" s="1"/>
  <c r="B106" i="42" s="1"/>
  <c r="B106" i="43" s="1"/>
  <c r="B106" i="44" s="1"/>
  <c r="B106" i="45" s="1"/>
  <c r="B106" i="46" s="1"/>
  <c r="B106" i="47" s="1"/>
  <c r="B106" i="48" s="1"/>
  <c r="B105" i="35"/>
  <c r="B105" i="36" s="1"/>
  <c r="B105" i="37" s="1"/>
  <c r="B105" i="38" s="1"/>
  <c r="B105" i="39" s="1"/>
  <c r="B105" i="40" s="1"/>
  <c r="B105" i="41" s="1"/>
  <c r="B105" i="42" s="1"/>
  <c r="B105" i="43" s="1"/>
  <c r="B105" i="44" s="1"/>
  <c r="B105" i="45" s="1"/>
  <c r="B105" i="46" s="1"/>
  <c r="B105" i="47" s="1"/>
  <c r="B105" i="48" s="1"/>
  <c r="A105" i="35"/>
  <c r="A105" i="36" s="1"/>
  <c r="A105" i="37" s="1"/>
  <c r="A105" i="38" s="1"/>
  <c r="A105" i="39" s="1"/>
  <c r="A105" i="40" s="1"/>
  <c r="A105" i="41" s="1"/>
  <c r="A105" i="42" s="1"/>
  <c r="A105" i="43" s="1"/>
  <c r="A105" i="44" s="1"/>
  <c r="A105" i="45" s="1"/>
  <c r="A105" i="46" s="1"/>
  <c r="A105" i="47" s="1"/>
  <c r="A105" i="48" s="1"/>
  <c r="B104" i="35"/>
  <c r="B104" i="36" s="1"/>
  <c r="B104" i="37" s="1"/>
  <c r="B104" i="38" s="1"/>
  <c r="B104" i="39" s="1"/>
  <c r="B104" i="40" s="1"/>
  <c r="B104" i="41" s="1"/>
  <c r="B104" i="42" s="1"/>
  <c r="B104" i="43" s="1"/>
  <c r="B104" i="44" s="1"/>
  <c r="B104" i="45" s="1"/>
  <c r="B104" i="46" s="1"/>
  <c r="B104" i="47" s="1"/>
  <c r="B104" i="48" s="1"/>
  <c r="B103" i="35"/>
  <c r="B103" i="36" s="1"/>
  <c r="B103" i="37" s="1"/>
  <c r="B103" i="38" s="1"/>
  <c r="B103" i="39" s="1"/>
  <c r="B103" i="40" s="1"/>
  <c r="B103" i="41" s="1"/>
  <c r="B103" i="42" s="1"/>
  <c r="B103" i="43" s="1"/>
  <c r="B103" i="44" s="1"/>
  <c r="B103" i="45" s="1"/>
  <c r="B103" i="46" s="1"/>
  <c r="B103" i="47" s="1"/>
  <c r="B103" i="48" s="1"/>
  <c r="A103" i="35"/>
  <c r="A103" i="36" s="1"/>
  <c r="A103" i="37" s="1"/>
  <c r="A103" i="38" s="1"/>
  <c r="A103" i="39" s="1"/>
  <c r="A103" i="40" s="1"/>
  <c r="A103" i="41" s="1"/>
  <c r="A103" i="42" s="1"/>
  <c r="A103" i="43" s="1"/>
  <c r="A103" i="44" s="1"/>
  <c r="A103" i="45" s="1"/>
  <c r="A103" i="46" s="1"/>
  <c r="A103" i="47" s="1"/>
  <c r="A103" i="48" s="1"/>
  <c r="B102" i="35"/>
  <c r="B102" i="36" s="1"/>
  <c r="B102" i="37" s="1"/>
  <c r="B102" i="38" s="1"/>
  <c r="B102" i="39" s="1"/>
  <c r="B102" i="40" s="1"/>
  <c r="B102" i="41" s="1"/>
  <c r="B102" i="42" s="1"/>
  <c r="B102" i="43" s="1"/>
  <c r="B102" i="44" s="1"/>
  <c r="B102" i="45" s="1"/>
  <c r="B102" i="46" s="1"/>
  <c r="B102" i="47" s="1"/>
  <c r="B102" i="48" s="1"/>
  <c r="B101" i="35"/>
  <c r="B101" i="36" s="1"/>
  <c r="B101" i="37" s="1"/>
  <c r="B101" i="38" s="1"/>
  <c r="B101" i="39" s="1"/>
  <c r="B101" i="40" s="1"/>
  <c r="B101" i="41" s="1"/>
  <c r="B101" i="42" s="1"/>
  <c r="B101" i="43" s="1"/>
  <c r="B101" i="44" s="1"/>
  <c r="B101" i="45" s="1"/>
  <c r="B101" i="46" s="1"/>
  <c r="B101" i="47" s="1"/>
  <c r="B101" i="48" s="1"/>
  <c r="A101" i="35"/>
  <c r="A101" i="36" s="1"/>
  <c r="A101" i="37" s="1"/>
  <c r="A101" i="38" s="1"/>
  <c r="A101" i="39" s="1"/>
  <c r="A101" i="40" s="1"/>
  <c r="A101" i="41" s="1"/>
  <c r="A101" i="42" s="1"/>
  <c r="A101" i="43" s="1"/>
  <c r="A101" i="44" s="1"/>
  <c r="A101" i="45" s="1"/>
  <c r="A101" i="46" s="1"/>
  <c r="A101" i="47" s="1"/>
  <c r="A101" i="48" s="1"/>
  <c r="B100" i="35"/>
  <c r="B100" i="36" s="1"/>
  <c r="B100" i="37" s="1"/>
  <c r="B100" i="38" s="1"/>
  <c r="B100" i="39" s="1"/>
  <c r="B100" i="40" s="1"/>
  <c r="B100" i="41" s="1"/>
  <c r="B100" i="42" s="1"/>
  <c r="B100" i="43" s="1"/>
  <c r="B100" i="44" s="1"/>
  <c r="B100" i="45" s="1"/>
  <c r="B100" i="46" s="1"/>
  <c r="B100" i="47" s="1"/>
  <c r="B100" i="48" s="1"/>
  <c r="B99" i="35"/>
  <c r="B99" i="36" s="1"/>
  <c r="B99" i="37" s="1"/>
  <c r="B99" i="38" s="1"/>
  <c r="B99" i="39" s="1"/>
  <c r="B99" i="40" s="1"/>
  <c r="B99" i="41" s="1"/>
  <c r="B99" i="42" s="1"/>
  <c r="B99" i="43" s="1"/>
  <c r="B99" i="44" s="1"/>
  <c r="B99" i="45" s="1"/>
  <c r="B99" i="46" s="1"/>
  <c r="B99" i="47" s="1"/>
  <c r="B99" i="48" s="1"/>
  <c r="A99" i="35"/>
  <c r="A99" i="36" s="1"/>
  <c r="A99" i="37" s="1"/>
  <c r="A99" i="38" s="1"/>
  <c r="A99" i="39" s="1"/>
  <c r="A99" i="40" s="1"/>
  <c r="A99" i="41" s="1"/>
  <c r="A99" i="42" s="1"/>
  <c r="A99" i="43" s="1"/>
  <c r="A99" i="44" s="1"/>
  <c r="A99" i="45" s="1"/>
  <c r="A99" i="46" s="1"/>
  <c r="A99" i="47" s="1"/>
  <c r="A99" i="48" s="1"/>
  <c r="B98" i="35"/>
  <c r="B98" i="36" s="1"/>
  <c r="B98" i="37" s="1"/>
  <c r="B98" i="38" s="1"/>
  <c r="B98" i="39" s="1"/>
  <c r="B98" i="40" s="1"/>
  <c r="B98" i="41" s="1"/>
  <c r="B98" i="42" s="1"/>
  <c r="B98" i="43" s="1"/>
  <c r="B98" i="44" s="1"/>
  <c r="B98" i="45" s="1"/>
  <c r="B98" i="46" s="1"/>
  <c r="B98" i="47" s="1"/>
  <c r="B98" i="48" s="1"/>
  <c r="B97" i="35"/>
  <c r="B97" i="36" s="1"/>
  <c r="B97" i="37" s="1"/>
  <c r="B97" i="38" s="1"/>
  <c r="B97" i="39" s="1"/>
  <c r="B97" i="40" s="1"/>
  <c r="B97" i="41" s="1"/>
  <c r="B97" i="42" s="1"/>
  <c r="B97" i="43" s="1"/>
  <c r="B97" i="44" s="1"/>
  <c r="B97" i="45" s="1"/>
  <c r="B97" i="46" s="1"/>
  <c r="B97" i="47" s="1"/>
  <c r="B97" i="48" s="1"/>
  <c r="A97" i="35"/>
  <c r="A97" i="36" s="1"/>
  <c r="A97" i="37" s="1"/>
  <c r="A97" i="38" s="1"/>
  <c r="A97" i="39" s="1"/>
  <c r="A97" i="40" s="1"/>
  <c r="A97" i="41" s="1"/>
  <c r="A97" i="42" s="1"/>
  <c r="A97" i="43" s="1"/>
  <c r="A97" i="44" s="1"/>
  <c r="A97" i="45" s="1"/>
  <c r="A97" i="46" s="1"/>
  <c r="A97" i="47" s="1"/>
  <c r="A97" i="48" s="1"/>
  <c r="B96" i="35"/>
  <c r="B96" i="36" s="1"/>
  <c r="B96" i="37" s="1"/>
  <c r="B96" i="38" s="1"/>
  <c r="B96" i="39" s="1"/>
  <c r="B96" i="40" s="1"/>
  <c r="B96" i="41" s="1"/>
  <c r="B96" i="42" s="1"/>
  <c r="B96" i="43" s="1"/>
  <c r="B96" i="44" s="1"/>
  <c r="B96" i="45" s="1"/>
  <c r="B96" i="46" s="1"/>
  <c r="B96" i="47" s="1"/>
  <c r="B96" i="48" s="1"/>
  <c r="B95" i="35"/>
  <c r="B95" i="36" s="1"/>
  <c r="B95" i="37" s="1"/>
  <c r="B95" i="38" s="1"/>
  <c r="B95" i="39" s="1"/>
  <c r="B95" i="40" s="1"/>
  <c r="B95" i="41" s="1"/>
  <c r="B95" i="42" s="1"/>
  <c r="B95" i="43" s="1"/>
  <c r="B95" i="44" s="1"/>
  <c r="B95" i="45" s="1"/>
  <c r="B95" i="46" s="1"/>
  <c r="B95" i="47" s="1"/>
  <c r="B95" i="48" s="1"/>
  <c r="A95" i="35"/>
  <c r="A95" i="36" s="1"/>
  <c r="A95" i="37" s="1"/>
  <c r="A95" i="38" s="1"/>
  <c r="A95" i="39" s="1"/>
  <c r="A95" i="40" s="1"/>
  <c r="A95" i="41" s="1"/>
  <c r="A95" i="42" s="1"/>
  <c r="A95" i="43" s="1"/>
  <c r="A95" i="44" s="1"/>
  <c r="A95" i="45" s="1"/>
  <c r="A95" i="46" s="1"/>
  <c r="A95" i="47" s="1"/>
  <c r="A95" i="48" s="1"/>
  <c r="B94" i="35"/>
  <c r="B94" i="36" s="1"/>
  <c r="B94" i="37" s="1"/>
  <c r="B94" i="38" s="1"/>
  <c r="B94" i="39" s="1"/>
  <c r="B94" i="40" s="1"/>
  <c r="B94" i="41" s="1"/>
  <c r="B94" i="42" s="1"/>
  <c r="B94" i="43" s="1"/>
  <c r="B94" i="44" s="1"/>
  <c r="B94" i="45" s="1"/>
  <c r="B94" i="46" s="1"/>
  <c r="B94" i="47" s="1"/>
  <c r="B94" i="48" s="1"/>
  <c r="B93" i="35"/>
  <c r="B93" i="36" s="1"/>
  <c r="B93" i="37" s="1"/>
  <c r="B93" i="38" s="1"/>
  <c r="B93" i="39" s="1"/>
  <c r="B93" i="40" s="1"/>
  <c r="B93" i="41" s="1"/>
  <c r="B93" i="42" s="1"/>
  <c r="B93" i="43" s="1"/>
  <c r="B93" i="44" s="1"/>
  <c r="B93" i="45" s="1"/>
  <c r="B93" i="46" s="1"/>
  <c r="B93" i="47" s="1"/>
  <c r="B93" i="48" s="1"/>
  <c r="A93" i="35"/>
  <c r="A93" i="36" s="1"/>
  <c r="A93" i="37" s="1"/>
  <c r="A93" i="38" s="1"/>
  <c r="A93" i="39" s="1"/>
  <c r="A93" i="40" s="1"/>
  <c r="A93" i="41" s="1"/>
  <c r="A93" i="42" s="1"/>
  <c r="A93" i="43" s="1"/>
  <c r="A93" i="44" s="1"/>
  <c r="A93" i="45" s="1"/>
  <c r="A93" i="46" s="1"/>
  <c r="A93" i="47" s="1"/>
  <c r="A93" i="48" s="1"/>
  <c r="B92" i="35"/>
  <c r="B92" i="36" s="1"/>
  <c r="B92" i="37" s="1"/>
  <c r="B92" i="38" s="1"/>
  <c r="B92" i="39" s="1"/>
  <c r="B92" i="40" s="1"/>
  <c r="B92" i="41" s="1"/>
  <c r="B92" i="42" s="1"/>
  <c r="B92" i="43" s="1"/>
  <c r="B92" i="44" s="1"/>
  <c r="B92" i="45" s="1"/>
  <c r="B92" i="46" s="1"/>
  <c r="B92" i="47" s="1"/>
  <c r="B92" i="48" s="1"/>
  <c r="B91" i="35"/>
  <c r="B91" i="36" s="1"/>
  <c r="B91" i="37" s="1"/>
  <c r="B91" i="38" s="1"/>
  <c r="B91" i="39" s="1"/>
  <c r="B91" i="40" s="1"/>
  <c r="B91" i="41" s="1"/>
  <c r="B91" i="42" s="1"/>
  <c r="B91" i="43" s="1"/>
  <c r="B91" i="44" s="1"/>
  <c r="B91" i="45" s="1"/>
  <c r="B91" i="46" s="1"/>
  <c r="B91" i="47" s="1"/>
  <c r="B91" i="48" s="1"/>
  <c r="A91" i="35"/>
  <c r="A91" i="36" s="1"/>
  <c r="A91" i="37" s="1"/>
  <c r="A91" i="38" s="1"/>
  <c r="A91" i="39" s="1"/>
  <c r="A91" i="40" s="1"/>
  <c r="A91" i="41" s="1"/>
  <c r="A91" i="42" s="1"/>
  <c r="A91" i="43" s="1"/>
  <c r="A91" i="44" s="1"/>
  <c r="A91" i="45" s="1"/>
  <c r="A91" i="46" s="1"/>
  <c r="A91" i="47" s="1"/>
  <c r="A91" i="48" s="1"/>
  <c r="B90" i="35"/>
  <c r="B90" i="36" s="1"/>
  <c r="B90" i="37" s="1"/>
  <c r="B90" i="38" s="1"/>
  <c r="B90" i="39" s="1"/>
  <c r="B90" i="40" s="1"/>
  <c r="B90" i="41" s="1"/>
  <c r="B90" i="42" s="1"/>
  <c r="B90" i="43" s="1"/>
  <c r="B90" i="44" s="1"/>
  <c r="B90" i="45" s="1"/>
  <c r="B90" i="46" s="1"/>
  <c r="B90" i="47" s="1"/>
  <c r="B90" i="48" s="1"/>
  <c r="B89" i="35"/>
  <c r="B89" i="36" s="1"/>
  <c r="B89" i="37" s="1"/>
  <c r="B89" i="38" s="1"/>
  <c r="B89" i="39" s="1"/>
  <c r="B89" i="40" s="1"/>
  <c r="B89" i="41" s="1"/>
  <c r="B89" i="42" s="1"/>
  <c r="B89" i="43" s="1"/>
  <c r="B89" i="44" s="1"/>
  <c r="B89" i="45" s="1"/>
  <c r="B89" i="46" s="1"/>
  <c r="B89" i="47" s="1"/>
  <c r="B89" i="48" s="1"/>
  <c r="A89" i="35"/>
  <c r="A89" i="36" s="1"/>
  <c r="A89" i="37" s="1"/>
  <c r="A89" i="38" s="1"/>
  <c r="A89" i="39" s="1"/>
  <c r="A89" i="40" s="1"/>
  <c r="A89" i="41" s="1"/>
  <c r="A89" i="42" s="1"/>
  <c r="A89" i="43" s="1"/>
  <c r="A89" i="44" s="1"/>
  <c r="A89" i="45" s="1"/>
  <c r="A89" i="46" s="1"/>
  <c r="A89" i="47" s="1"/>
  <c r="A89" i="48" s="1"/>
  <c r="B88" i="35"/>
  <c r="B88" i="36" s="1"/>
  <c r="B88" i="37" s="1"/>
  <c r="B88" i="38" s="1"/>
  <c r="B88" i="39" s="1"/>
  <c r="B88" i="40" s="1"/>
  <c r="B88" i="41" s="1"/>
  <c r="B88" i="42" s="1"/>
  <c r="B88" i="43" s="1"/>
  <c r="B88" i="44" s="1"/>
  <c r="B88" i="45" s="1"/>
  <c r="B88" i="46" s="1"/>
  <c r="B88" i="47" s="1"/>
  <c r="B88" i="48" s="1"/>
  <c r="B87" i="35"/>
  <c r="B87" i="36" s="1"/>
  <c r="B87" i="37" s="1"/>
  <c r="B87" i="38" s="1"/>
  <c r="B87" i="39" s="1"/>
  <c r="B87" i="40" s="1"/>
  <c r="B87" i="41" s="1"/>
  <c r="B87" i="42" s="1"/>
  <c r="B87" i="43" s="1"/>
  <c r="B87" i="44" s="1"/>
  <c r="B87" i="45" s="1"/>
  <c r="B87" i="46" s="1"/>
  <c r="B87" i="47" s="1"/>
  <c r="B87" i="48" s="1"/>
  <c r="A87" i="35"/>
  <c r="A87" i="36" s="1"/>
  <c r="A87" i="37" s="1"/>
  <c r="A87" i="38" s="1"/>
  <c r="A87" i="39" s="1"/>
  <c r="A87" i="40" s="1"/>
  <c r="A87" i="41" s="1"/>
  <c r="A87" i="42" s="1"/>
  <c r="A87" i="43" s="1"/>
  <c r="A87" i="44" s="1"/>
  <c r="A87" i="45" s="1"/>
  <c r="A87" i="46" s="1"/>
  <c r="A87" i="47" s="1"/>
  <c r="A87" i="48" s="1"/>
  <c r="B86" i="35"/>
  <c r="B86" i="36" s="1"/>
  <c r="B86" i="37" s="1"/>
  <c r="B86" i="38" s="1"/>
  <c r="B86" i="39" s="1"/>
  <c r="B86" i="40" s="1"/>
  <c r="B86" i="41" s="1"/>
  <c r="B86" i="42" s="1"/>
  <c r="B86" i="43" s="1"/>
  <c r="B86" i="44" s="1"/>
  <c r="B86" i="45" s="1"/>
  <c r="B86" i="46" s="1"/>
  <c r="B86" i="47" s="1"/>
  <c r="B86" i="48" s="1"/>
  <c r="B85" i="35"/>
  <c r="B85" i="36" s="1"/>
  <c r="B85" i="37" s="1"/>
  <c r="B85" i="38" s="1"/>
  <c r="B85" i="39" s="1"/>
  <c r="B85" i="40" s="1"/>
  <c r="B85" i="41" s="1"/>
  <c r="B85" i="42" s="1"/>
  <c r="B85" i="43" s="1"/>
  <c r="B85" i="44" s="1"/>
  <c r="B85" i="45" s="1"/>
  <c r="B85" i="46" s="1"/>
  <c r="B85" i="47" s="1"/>
  <c r="B85" i="48" s="1"/>
  <c r="A85" i="35"/>
  <c r="A85" i="36" s="1"/>
  <c r="A85" i="37" s="1"/>
  <c r="A85" i="38" s="1"/>
  <c r="A85" i="39" s="1"/>
  <c r="A85" i="40" s="1"/>
  <c r="A85" i="41" s="1"/>
  <c r="A85" i="42" s="1"/>
  <c r="A85" i="43" s="1"/>
  <c r="A85" i="44" s="1"/>
  <c r="A85" i="45" s="1"/>
  <c r="A85" i="46" s="1"/>
  <c r="A85" i="47" s="1"/>
  <c r="A85" i="48" s="1"/>
  <c r="B84" i="35"/>
  <c r="B84" i="36" s="1"/>
  <c r="B84" i="37" s="1"/>
  <c r="B84" i="38" s="1"/>
  <c r="B84" i="39" s="1"/>
  <c r="B84" i="40" s="1"/>
  <c r="B84" i="41" s="1"/>
  <c r="B84" i="42" s="1"/>
  <c r="B84" i="43" s="1"/>
  <c r="B84" i="44" s="1"/>
  <c r="B84" i="45" s="1"/>
  <c r="B84" i="46" s="1"/>
  <c r="B84" i="47" s="1"/>
  <c r="B84" i="48" s="1"/>
  <c r="B83" i="35"/>
  <c r="B83" i="36" s="1"/>
  <c r="B83" i="37" s="1"/>
  <c r="B83" i="38" s="1"/>
  <c r="B83" i="39" s="1"/>
  <c r="B83" i="40" s="1"/>
  <c r="B83" i="41" s="1"/>
  <c r="B83" i="42" s="1"/>
  <c r="B83" i="43" s="1"/>
  <c r="B83" i="44" s="1"/>
  <c r="B83" i="45" s="1"/>
  <c r="B83" i="46" s="1"/>
  <c r="B83" i="47" s="1"/>
  <c r="B83" i="48" s="1"/>
  <c r="A83" i="35"/>
  <c r="A83" i="36" s="1"/>
  <c r="A83" i="37" s="1"/>
  <c r="A83" i="38" s="1"/>
  <c r="A83" i="39" s="1"/>
  <c r="A83" i="40" s="1"/>
  <c r="A83" i="41" s="1"/>
  <c r="A83" i="42" s="1"/>
  <c r="A83" i="43" s="1"/>
  <c r="A83" i="44" s="1"/>
  <c r="A83" i="45" s="1"/>
  <c r="A83" i="46" s="1"/>
  <c r="A83" i="47" s="1"/>
  <c r="A83" i="48" s="1"/>
  <c r="B82" i="35"/>
  <c r="B82" i="36" s="1"/>
  <c r="B82" i="37" s="1"/>
  <c r="B82" i="38" s="1"/>
  <c r="B82" i="39" s="1"/>
  <c r="B82" i="40" s="1"/>
  <c r="B82" i="41" s="1"/>
  <c r="B82" i="42" s="1"/>
  <c r="B82" i="43" s="1"/>
  <c r="B82" i="44" s="1"/>
  <c r="B82" i="45" s="1"/>
  <c r="B82" i="46" s="1"/>
  <c r="B82" i="47" s="1"/>
  <c r="B82" i="48" s="1"/>
  <c r="B81" i="35"/>
  <c r="B81" i="36" s="1"/>
  <c r="B81" i="37" s="1"/>
  <c r="B81" i="38" s="1"/>
  <c r="B81" i="39" s="1"/>
  <c r="B81" i="40" s="1"/>
  <c r="B81" i="41" s="1"/>
  <c r="B81" i="42" s="1"/>
  <c r="B81" i="43" s="1"/>
  <c r="B81" i="44" s="1"/>
  <c r="B81" i="45" s="1"/>
  <c r="B81" i="46" s="1"/>
  <c r="B81" i="47" s="1"/>
  <c r="B81" i="48" s="1"/>
  <c r="A81" i="35"/>
  <c r="A81" i="36" s="1"/>
  <c r="A81" i="37" s="1"/>
  <c r="A81" i="38" s="1"/>
  <c r="A81" i="39" s="1"/>
  <c r="A81" i="40" s="1"/>
  <c r="A81" i="41" s="1"/>
  <c r="A81" i="42" s="1"/>
  <c r="A81" i="43" s="1"/>
  <c r="A81" i="44" s="1"/>
  <c r="A81" i="45" s="1"/>
  <c r="A81" i="46" s="1"/>
  <c r="A81" i="47" s="1"/>
  <c r="A81" i="48" s="1"/>
  <c r="B80" i="35"/>
  <c r="B80" i="36" s="1"/>
  <c r="B80" i="37" s="1"/>
  <c r="B80" i="38" s="1"/>
  <c r="B80" i="39" s="1"/>
  <c r="B80" i="40" s="1"/>
  <c r="B80" i="41" s="1"/>
  <c r="B80" i="42" s="1"/>
  <c r="B80" i="43" s="1"/>
  <c r="B80" i="44" s="1"/>
  <c r="B80" i="45" s="1"/>
  <c r="B80" i="46" s="1"/>
  <c r="B80" i="47" s="1"/>
  <c r="B80" i="48" s="1"/>
  <c r="B79" i="35"/>
  <c r="B79" i="36" s="1"/>
  <c r="B79" i="37" s="1"/>
  <c r="B79" i="38" s="1"/>
  <c r="B79" i="39" s="1"/>
  <c r="B79" i="40" s="1"/>
  <c r="B79" i="41" s="1"/>
  <c r="B79" i="42" s="1"/>
  <c r="B79" i="43" s="1"/>
  <c r="B79" i="44" s="1"/>
  <c r="B79" i="45" s="1"/>
  <c r="B79" i="46" s="1"/>
  <c r="B79" i="47" s="1"/>
  <c r="B79" i="48" s="1"/>
  <c r="B78" i="35"/>
  <c r="B78" i="36" s="1"/>
  <c r="B78" i="37" s="1"/>
  <c r="B78" i="38" s="1"/>
  <c r="B78" i="39" s="1"/>
  <c r="B78" i="40" s="1"/>
  <c r="B78" i="41" s="1"/>
  <c r="B78" i="42" s="1"/>
  <c r="B78" i="43" s="1"/>
  <c r="B78" i="44" s="1"/>
  <c r="B78" i="45" s="1"/>
  <c r="B78" i="46" s="1"/>
  <c r="B78" i="47" s="1"/>
  <c r="B78" i="48" s="1"/>
  <c r="B77" i="35"/>
  <c r="B77" i="36" s="1"/>
  <c r="B77" i="37" s="1"/>
  <c r="B77" i="38" s="1"/>
  <c r="B77" i="39" s="1"/>
  <c r="B77" i="40" s="1"/>
  <c r="B77" i="41" s="1"/>
  <c r="B77" i="42" s="1"/>
  <c r="B77" i="43" s="1"/>
  <c r="B77" i="44" s="1"/>
  <c r="B77" i="45" s="1"/>
  <c r="B77" i="46" s="1"/>
  <c r="B77" i="47" s="1"/>
  <c r="B77" i="48" s="1"/>
  <c r="B76" i="35"/>
  <c r="B76" i="36" s="1"/>
  <c r="B76" i="37" s="1"/>
  <c r="B76" i="38" s="1"/>
  <c r="B76" i="39" s="1"/>
  <c r="B76" i="40" s="1"/>
  <c r="B76" i="41" s="1"/>
  <c r="B76" i="42" s="1"/>
  <c r="B76" i="43" s="1"/>
  <c r="B76" i="44" s="1"/>
  <c r="B76" i="45" s="1"/>
  <c r="B76" i="46" s="1"/>
  <c r="B76" i="47" s="1"/>
  <c r="B76" i="48" s="1"/>
  <c r="B75" i="35"/>
  <c r="B75" i="36" s="1"/>
  <c r="B75" i="37" s="1"/>
  <c r="B75" i="38" s="1"/>
  <c r="B75" i="39" s="1"/>
  <c r="B75" i="40" s="1"/>
  <c r="B75" i="41" s="1"/>
  <c r="B75" i="42" s="1"/>
  <c r="B75" i="43" s="1"/>
  <c r="B75" i="44" s="1"/>
  <c r="B75" i="45" s="1"/>
  <c r="B75" i="46" s="1"/>
  <c r="B75" i="47" s="1"/>
  <c r="B75" i="48" s="1"/>
  <c r="A75" i="35"/>
  <c r="A75" i="36" s="1"/>
  <c r="A75" i="37" s="1"/>
  <c r="A75" i="38" s="1"/>
  <c r="A75" i="39" s="1"/>
  <c r="A75" i="40" s="1"/>
  <c r="A75" i="41" s="1"/>
  <c r="A75" i="42" s="1"/>
  <c r="A75" i="43" s="1"/>
  <c r="A75" i="44" s="1"/>
  <c r="A75" i="45" s="1"/>
  <c r="A75" i="46" s="1"/>
  <c r="A75" i="47" s="1"/>
  <c r="A75" i="48" s="1"/>
  <c r="B74" i="35"/>
  <c r="B74" i="36" s="1"/>
  <c r="B74" i="37" s="1"/>
  <c r="B74" i="38" s="1"/>
  <c r="B74" i="39" s="1"/>
  <c r="B74" i="40" s="1"/>
  <c r="B74" i="41" s="1"/>
  <c r="B74" i="42" s="1"/>
  <c r="B74" i="43" s="1"/>
  <c r="B74" i="44" s="1"/>
  <c r="B74" i="45" s="1"/>
  <c r="B74" i="46" s="1"/>
  <c r="B74" i="47" s="1"/>
  <c r="B74" i="48" s="1"/>
  <c r="B73" i="35"/>
  <c r="B73" i="36" s="1"/>
  <c r="B73" i="37" s="1"/>
  <c r="B73" i="38" s="1"/>
  <c r="B73" i="39" s="1"/>
  <c r="B73" i="40" s="1"/>
  <c r="B73" i="41" s="1"/>
  <c r="B73" i="42" s="1"/>
  <c r="B73" i="43" s="1"/>
  <c r="B73" i="44" s="1"/>
  <c r="B73" i="45" s="1"/>
  <c r="B73" i="46" s="1"/>
  <c r="B73" i="47" s="1"/>
  <c r="B73" i="48" s="1"/>
  <c r="A73" i="35"/>
  <c r="A73" i="36" s="1"/>
  <c r="A73" i="37" s="1"/>
  <c r="A73" i="38" s="1"/>
  <c r="A73" i="39" s="1"/>
  <c r="A73" i="40" s="1"/>
  <c r="A73" i="41" s="1"/>
  <c r="A73" i="42" s="1"/>
  <c r="A73" i="43" s="1"/>
  <c r="A73" i="44" s="1"/>
  <c r="A73" i="45" s="1"/>
  <c r="A73" i="46" s="1"/>
  <c r="A73" i="47" s="1"/>
  <c r="A73" i="48" s="1"/>
  <c r="B72" i="35"/>
  <c r="B72" i="36" s="1"/>
  <c r="B72" i="37" s="1"/>
  <c r="B72" i="38" s="1"/>
  <c r="B72" i="39" s="1"/>
  <c r="B72" i="40" s="1"/>
  <c r="B72" i="41" s="1"/>
  <c r="B72" i="42" s="1"/>
  <c r="B72" i="43" s="1"/>
  <c r="B72" i="44" s="1"/>
  <c r="B72" i="45" s="1"/>
  <c r="B72" i="46" s="1"/>
  <c r="B72" i="47" s="1"/>
  <c r="B72" i="48" s="1"/>
  <c r="B71" i="35"/>
  <c r="B71" i="36" s="1"/>
  <c r="B71" i="37" s="1"/>
  <c r="B71" i="38" s="1"/>
  <c r="B71" i="39" s="1"/>
  <c r="B71" i="40" s="1"/>
  <c r="B71" i="41" s="1"/>
  <c r="B71" i="42" s="1"/>
  <c r="B71" i="43" s="1"/>
  <c r="B71" i="44" s="1"/>
  <c r="B71" i="45" s="1"/>
  <c r="B71" i="46" s="1"/>
  <c r="B71" i="47" s="1"/>
  <c r="B71" i="48" s="1"/>
  <c r="B70" i="35"/>
  <c r="B70" i="36" s="1"/>
  <c r="B70" i="37" s="1"/>
  <c r="B70" i="38" s="1"/>
  <c r="B70" i="39" s="1"/>
  <c r="B70" i="40" s="1"/>
  <c r="B70" i="41" s="1"/>
  <c r="B70" i="42" s="1"/>
  <c r="B70" i="43" s="1"/>
  <c r="B70" i="44" s="1"/>
  <c r="B70" i="45" s="1"/>
  <c r="B70" i="46" s="1"/>
  <c r="B70" i="47" s="1"/>
  <c r="B70" i="48" s="1"/>
  <c r="B69" i="35"/>
  <c r="B69" i="36" s="1"/>
  <c r="B69" i="37" s="1"/>
  <c r="B69" i="38" s="1"/>
  <c r="B69" i="39" s="1"/>
  <c r="B69" i="40" s="1"/>
  <c r="B69" i="41" s="1"/>
  <c r="B69" i="42" s="1"/>
  <c r="B69" i="43" s="1"/>
  <c r="B69" i="44" s="1"/>
  <c r="B69" i="45" s="1"/>
  <c r="B69" i="46" s="1"/>
  <c r="B69" i="47" s="1"/>
  <c r="B69" i="48" s="1"/>
  <c r="B68" i="35"/>
  <c r="B68" i="36" s="1"/>
  <c r="B68" i="37" s="1"/>
  <c r="B68" i="38" s="1"/>
  <c r="B68" i="39" s="1"/>
  <c r="B68" i="40" s="1"/>
  <c r="B68" i="41" s="1"/>
  <c r="B68" i="42" s="1"/>
  <c r="B68" i="43" s="1"/>
  <c r="B68" i="44" s="1"/>
  <c r="B68" i="45" s="1"/>
  <c r="B68" i="46" s="1"/>
  <c r="B68" i="47" s="1"/>
  <c r="B68" i="48" s="1"/>
  <c r="B67" i="35"/>
  <c r="B67" i="36" s="1"/>
  <c r="B67" i="37" s="1"/>
  <c r="B67" i="38" s="1"/>
  <c r="B67" i="39" s="1"/>
  <c r="B67" i="40" s="1"/>
  <c r="B67" i="41" s="1"/>
  <c r="B67" i="42" s="1"/>
  <c r="B67" i="43" s="1"/>
  <c r="B67" i="44" s="1"/>
  <c r="B67" i="45" s="1"/>
  <c r="B67" i="46" s="1"/>
  <c r="B67" i="47" s="1"/>
  <c r="B67" i="48" s="1"/>
  <c r="A67" i="35"/>
  <c r="A67" i="36" s="1"/>
  <c r="A67" i="37" s="1"/>
  <c r="A67" i="38" s="1"/>
  <c r="A67" i="39" s="1"/>
  <c r="A67" i="40" s="1"/>
  <c r="A67" i="41" s="1"/>
  <c r="A67" i="42" s="1"/>
  <c r="A67" i="43" s="1"/>
  <c r="A67" i="44" s="1"/>
  <c r="A67" i="45" s="1"/>
  <c r="A67" i="46" s="1"/>
  <c r="A67" i="47" s="1"/>
  <c r="A67" i="48" s="1"/>
  <c r="B66" i="35"/>
  <c r="B66" i="36" s="1"/>
  <c r="B66" i="37" s="1"/>
  <c r="B66" i="38" s="1"/>
  <c r="B66" i="39" s="1"/>
  <c r="B66" i="40" s="1"/>
  <c r="B66" i="41" s="1"/>
  <c r="B66" i="42" s="1"/>
  <c r="B66" i="43" s="1"/>
  <c r="B66" i="44" s="1"/>
  <c r="B66" i="45" s="1"/>
  <c r="B66" i="46" s="1"/>
  <c r="B66" i="47" s="1"/>
  <c r="B66" i="48" s="1"/>
  <c r="B65" i="35"/>
  <c r="B65" i="36" s="1"/>
  <c r="B65" i="37" s="1"/>
  <c r="B65" i="38" s="1"/>
  <c r="B65" i="39" s="1"/>
  <c r="B65" i="40" s="1"/>
  <c r="B65" i="41" s="1"/>
  <c r="B65" i="42" s="1"/>
  <c r="B65" i="43" s="1"/>
  <c r="B65" i="44" s="1"/>
  <c r="B65" i="45" s="1"/>
  <c r="B65" i="46" s="1"/>
  <c r="B65" i="47" s="1"/>
  <c r="B65" i="48" s="1"/>
  <c r="A65" i="35"/>
  <c r="A65" i="36" s="1"/>
  <c r="A65" i="37" s="1"/>
  <c r="A65" i="38" s="1"/>
  <c r="A65" i="39" s="1"/>
  <c r="A65" i="40" s="1"/>
  <c r="A65" i="41" s="1"/>
  <c r="A65" i="42" s="1"/>
  <c r="A65" i="43" s="1"/>
  <c r="A65" i="44" s="1"/>
  <c r="A65" i="45" s="1"/>
  <c r="A65" i="46" s="1"/>
  <c r="A65" i="47" s="1"/>
  <c r="A65" i="48" s="1"/>
  <c r="B64" i="35"/>
  <c r="B64" i="36" s="1"/>
  <c r="B64" i="37" s="1"/>
  <c r="B64" i="38" s="1"/>
  <c r="B64" i="39" s="1"/>
  <c r="B64" i="40" s="1"/>
  <c r="B64" i="41" s="1"/>
  <c r="B64" i="42" s="1"/>
  <c r="B64" i="43" s="1"/>
  <c r="B64" i="44" s="1"/>
  <c r="B64" i="45" s="1"/>
  <c r="B64" i="46" s="1"/>
  <c r="B64" i="47" s="1"/>
  <c r="B64" i="48" s="1"/>
  <c r="B63" i="35"/>
  <c r="B63" i="36" s="1"/>
  <c r="B63" i="37" s="1"/>
  <c r="B63" i="38" s="1"/>
  <c r="B63" i="39" s="1"/>
  <c r="B63" i="40" s="1"/>
  <c r="B63" i="41" s="1"/>
  <c r="B63" i="42" s="1"/>
  <c r="B63" i="43" s="1"/>
  <c r="B63" i="44" s="1"/>
  <c r="B63" i="45" s="1"/>
  <c r="B63" i="46" s="1"/>
  <c r="B63" i="47" s="1"/>
  <c r="B63" i="48" s="1"/>
  <c r="B62" i="35"/>
  <c r="B62" i="36" s="1"/>
  <c r="B62" i="37" s="1"/>
  <c r="B62" i="38" s="1"/>
  <c r="B62" i="39" s="1"/>
  <c r="B62" i="40" s="1"/>
  <c r="B62" i="41" s="1"/>
  <c r="B62" i="42" s="1"/>
  <c r="B62" i="43" s="1"/>
  <c r="B62" i="44" s="1"/>
  <c r="B62" i="45" s="1"/>
  <c r="B62" i="46" s="1"/>
  <c r="B62" i="47" s="1"/>
  <c r="B62" i="48" s="1"/>
  <c r="B61" i="35"/>
  <c r="B61" i="36" s="1"/>
  <c r="B61" i="37" s="1"/>
  <c r="B61" i="38" s="1"/>
  <c r="B61" i="39" s="1"/>
  <c r="B61" i="40" s="1"/>
  <c r="B61" i="41" s="1"/>
  <c r="B61" i="42" s="1"/>
  <c r="B61" i="43" s="1"/>
  <c r="B61" i="44" s="1"/>
  <c r="B61" i="45" s="1"/>
  <c r="B61" i="46" s="1"/>
  <c r="B61" i="47" s="1"/>
  <c r="B61" i="48" s="1"/>
  <c r="B60" i="35"/>
  <c r="B60" i="36" s="1"/>
  <c r="B60" i="37" s="1"/>
  <c r="B60" i="38" s="1"/>
  <c r="B60" i="39" s="1"/>
  <c r="B60" i="40" s="1"/>
  <c r="B60" i="41" s="1"/>
  <c r="B60" i="42" s="1"/>
  <c r="B60" i="43" s="1"/>
  <c r="B60" i="44" s="1"/>
  <c r="B60" i="45" s="1"/>
  <c r="B60" i="46" s="1"/>
  <c r="B60" i="47" s="1"/>
  <c r="B60" i="48" s="1"/>
  <c r="B59" i="35"/>
  <c r="B59" i="36" s="1"/>
  <c r="B59" i="37" s="1"/>
  <c r="B59" i="38" s="1"/>
  <c r="B59" i="39" s="1"/>
  <c r="B59" i="40" s="1"/>
  <c r="B59" i="41" s="1"/>
  <c r="B59" i="42" s="1"/>
  <c r="B59" i="43" s="1"/>
  <c r="B59" i="44" s="1"/>
  <c r="B59" i="45" s="1"/>
  <c r="B59" i="46" s="1"/>
  <c r="B59" i="47" s="1"/>
  <c r="B59" i="48" s="1"/>
  <c r="A59" i="35"/>
  <c r="A59" i="36" s="1"/>
  <c r="A59" i="37" s="1"/>
  <c r="A59" i="38" s="1"/>
  <c r="A59" i="39" s="1"/>
  <c r="A59" i="40" s="1"/>
  <c r="A59" i="41" s="1"/>
  <c r="A59" i="42" s="1"/>
  <c r="A59" i="43" s="1"/>
  <c r="A59" i="44" s="1"/>
  <c r="A59" i="45" s="1"/>
  <c r="A59" i="46" s="1"/>
  <c r="A59" i="47" s="1"/>
  <c r="A59" i="48" s="1"/>
  <c r="B58" i="35"/>
  <c r="B58" i="36" s="1"/>
  <c r="B58" i="37" s="1"/>
  <c r="B58" i="38" s="1"/>
  <c r="B58" i="39" s="1"/>
  <c r="B58" i="40" s="1"/>
  <c r="B58" i="41" s="1"/>
  <c r="B58" i="42" s="1"/>
  <c r="B58" i="43" s="1"/>
  <c r="B58" i="44" s="1"/>
  <c r="B58" i="45" s="1"/>
  <c r="B58" i="46" s="1"/>
  <c r="B58" i="47" s="1"/>
  <c r="B58" i="48" s="1"/>
  <c r="B57" i="35"/>
  <c r="B57" i="36" s="1"/>
  <c r="B57" i="37" s="1"/>
  <c r="B57" i="38" s="1"/>
  <c r="B57" i="39" s="1"/>
  <c r="B57" i="40" s="1"/>
  <c r="B57" i="41" s="1"/>
  <c r="B57" i="42" s="1"/>
  <c r="B57" i="43" s="1"/>
  <c r="B57" i="44" s="1"/>
  <c r="B57" i="45" s="1"/>
  <c r="B57" i="46" s="1"/>
  <c r="B57" i="47" s="1"/>
  <c r="B57" i="48" s="1"/>
  <c r="A57" i="35"/>
  <c r="A57" i="36" s="1"/>
  <c r="A57" i="37" s="1"/>
  <c r="A57" i="38" s="1"/>
  <c r="A57" i="39" s="1"/>
  <c r="A57" i="40" s="1"/>
  <c r="A57" i="41" s="1"/>
  <c r="A57" i="42" s="1"/>
  <c r="A57" i="43" s="1"/>
  <c r="A57" i="44" s="1"/>
  <c r="A57" i="45" s="1"/>
  <c r="A57" i="46" s="1"/>
  <c r="A57" i="47" s="1"/>
  <c r="A57" i="48" s="1"/>
  <c r="B56" i="35"/>
  <c r="B56" i="36" s="1"/>
  <c r="B56" i="37" s="1"/>
  <c r="B56" i="38" s="1"/>
  <c r="B56" i="39" s="1"/>
  <c r="B56" i="40" s="1"/>
  <c r="B56" i="41" s="1"/>
  <c r="B56" i="42" s="1"/>
  <c r="B56" i="43" s="1"/>
  <c r="B56" i="44" s="1"/>
  <c r="B56" i="45" s="1"/>
  <c r="B56" i="46" s="1"/>
  <c r="B56" i="47" s="1"/>
  <c r="B56" i="48" s="1"/>
  <c r="B55" i="35"/>
  <c r="B55" i="36" s="1"/>
  <c r="B55" i="37" s="1"/>
  <c r="B55" i="38" s="1"/>
  <c r="B55" i="39" s="1"/>
  <c r="B55" i="40" s="1"/>
  <c r="B55" i="41" s="1"/>
  <c r="B55" i="42" s="1"/>
  <c r="B55" i="43" s="1"/>
  <c r="B55" i="44" s="1"/>
  <c r="B55" i="45" s="1"/>
  <c r="B55" i="46" s="1"/>
  <c r="B55" i="47" s="1"/>
  <c r="B55" i="48" s="1"/>
  <c r="B54" i="35"/>
  <c r="B54" i="36" s="1"/>
  <c r="B54" i="37" s="1"/>
  <c r="B54" i="38" s="1"/>
  <c r="B54" i="39" s="1"/>
  <c r="B54" i="40" s="1"/>
  <c r="B54" i="41" s="1"/>
  <c r="B54" i="42" s="1"/>
  <c r="B54" i="43" s="1"/>
  <c r="B54" i="44" s="1"/>
  <c r="B54" i="45" s="1"/>
  <c r="B54" i="46" s="1"/>
  <c r="B54" i="47" s="1"/>
  <c r="B54" i="48" s="1"/>
  <c r="B53" i="35"/>
  <c r="B53" i="36" s="1"/>
  <c r="B53" i="37" s="1"/>
  <c r="B53" i="38" s="1"/>
  <c r="B53" i="39" s="1"/>
  <c r="B53" i="40" s="1"/>
  <c r="B53" i="41" s="1"/>
  <c r="B53" i="42" s="1"/>
  <c r="B53" i="43" s="1"/>
  <c r="B53" i="44" s="1"/>
  <c r="B53" i="45" s="1"/>
  <c r="B53" i="46" s="1"/>
  <c r="B53" i="47" s="1"/>
  <c r="B53" i="48" s="1"/>
  <c r="B52" i="35"/>
  <c r="B52" i="36" s="1"/>
  <c r="B52" i="37" s="1"/>
  <c r="B52" i="38" s="1"/>
  <c r="B52" i="39" s="1"/>
  <c r="B52" i="40" s="1"/>
  <c r="B52" i="41" s="1"/>
  <c r="B52" i="42" s="1"/>
  <c r="B52" i="43" s="1"/>
  <c r="B52" i="44" s="1"/>
  <c r="B52" i="45" s="1"/>
  <c r="B52" i="46" s="1"/>
  <c r="B52" i="47" s="1"/>
  <c r="B52" i="48" s="1"/>
  <c r="B51" i="35"/>
  <c r="B51" i="36" s="1"/>
  <c r="B51" i="37" s="1"/>
  <c r="B51" i="38" s="1"/>
  <c r="B51" i="39" s="1"/>
  <c r="B51" i="40" s="1"/>
  <c r="B51" i="41" s="1"/>
  <c r="B51" i="42" s="1"/>
  <c r="B51" i="43" s="1"/>
  <c r="B51" i="44" s="1"/>
  <c r="B51" i="45" s="1"/>
  <c r="B51" i="46" s="1"/>
  <c r="B51" i="47" s="1"/>
  <c r="B51" i="48" s="1"/>
  <c r="A51" i="35"/>
  <c r="A51" i="36" s="1"/>
  <c r="A51" i="37" s="1"/>
  <c r="A51" i="38" s="1"/>
  <c r="A51" i="39" s="1"/>
  <c r="A51" i="40" s="1"/>
  <c r="A51" i="41" s="1"/>
  <c r="A51" i="42" s="1"/>
  <c r="A51" i="43" s="1"/>
  <c r="A51" i="44" s="1"/>
  <c r="A51" i="45" s="1"/>
  <c r="A51" i="46" s="1"/>
  <c r="A51" i="47" s="1"/>
  <c r="A51" i="48" s="1"/>
  <c r="B50" i="35"/>
  <c r="B50" i="36" s="1"/>
  <c r="B50" i="37" s="1"/>
  <c r="B50" i="38" s="1"/>
  <c r="B50" i="39" s="1"/>
  <c r="B50" i="40" s="1"/>
  <c r="B50" i="41" s="1"/>
  <c r="B50" i="42" s="1"/>
  <c r="B50" i="43" s="1"/>
  <c r="B50" i="44" s="1"/>
  <c r="B50" i="45" s="1"/>
  <c r="B50" i="46" s="1"/>
  <c r="B50" i="47" s="1"/>
  <c r="B50" i="48" s="1"/>
  <c r="B49" i="35"/>
  <c r="B49" i="36" s="1"/>
  <c r="B49" i="37" s="1"/>
  <c r="B49" i="38" s="1"/>
  <c r="B49" i="39" s="1"/>
  <c r="B49" i="40" s="1"/>
  <c r="B49" i="41" s="1"/>
  <c r="B49" i="42" s="1"/>
  <c r="B49" i="43" s="1"/>
  <c r="B49" i="44" s="1"/>
  <c r="B49" i="45" s="1"/>
  <c r="B49" i="46" s="1"/>
  <c r="B49" i="47" s="1"/>
  <c r="B49" i="48" s="1"/>
  <c r="A49" i="35"/>
  <c r="A49" i="36" s="1"/>
  <c r="A49" i="37" s="1"/>
  <c r="A49" i="38" s="1"/>
  <c r="A49" i="39" s="1"/>
  <c r="A49" i="40" s="1"/>
  <c r="A49" i="41" s="1"/>
  <c r="A49" i="42" s="1"/>
  <c r="A49" i="43" s="1"/>
  <c r="A49" i="44" s="1"/>
  <c r="A49" i="45" s="1"/>
  <c r="A49" i="46" s="1"/>
  <c r="A49" i="47" s="1"/>
  <c r="A49" i="48" s="1"/>
  <c r="B48" i="35"/>
  <c r="B48" i="36" s="1"/>
  <c r="B48" i="37" s="1"/>
  <c r="B48" i="38" s="1"/>
  <c r="B48" i="39" s="1"/>
  <c r="B48" i="40" s="1"/>
  <c r="B48" i="41" s="1"/>
  <c r="B48" i="42" s="1"/>
  <c r="B48" i="43" s="1"/>
  <c r="B48" i="44" s="1"/>
  <c r="B48" i="45" s="1"/>
  <c r="B48" i="46" s="1"/>
  <c r="B48" i="47" s="1"/>
  <c r="B48" i="48" s="1"/>
  <c r="B47" i="35"/>
  <c r="B47" i="36" s="1"/>
  <c r="B47" i="37" s="1"/>
  <c r="B47" i="38" s="1"/>
  <c r="B47" i="39" s="1"/>
  <c r="B47" i="40" s="1"/>
  <c r="B47" i="41" s="1"/>
  <c r="B47" i="42" s="1"/>
  <c r="B47" i="43" s="1"/>
  <c r="B47" i="44" s="1"/>
  <c r="B47" i="45" s="1"/>
  <c r="B47" i="46" s="1"/>
  <c r="B47" i="47" s="1"/>
  <c r="B47" i="48" s="1"/>
  <c r="B46" i="35"/>
  <c r="B46" i="36" s="1"/>
  <c r="B46" i="37" s="1"/>
  <c r="B46" i="38" s="1"/>
  <c r="B46" i="39" s="1"/>
  <c r="B46" i="40" s="1"/>
  <c r="B46" i="41" s="1"/>
  <c r="B46" i="42" s="1"/>
  <c r="B46" i="43" s="1"/>
  <c r="B46" i="44" s="1"/>
  <c r="B46" i="45" s="1"/>
  <c r="B46" i="46" s="1"/>
  <c r="B46" i="47" s="1"/>
  <c r="B46" i="48" s="1"/>
  <c r="B45" i="35"/>
  <c r="B45" i="36" s="1"/>
  <c r="B45" i="37" s="1"/>
  <c r="B45" i="38" s="1"/>
  <c r="B45" i="39" s="1"/>
  <c r="B45" i="40" s="1"/>
  <c r="B45" i="41" s="1"/>
  <c r="B45" i="42" s="1"/>
  <c r="B45" i="43" s="1"/>
  <c r="B45" i="44" s="1"/>
  <c r="B45" i="45" s="1"/>
  <c r="B45" i="46" s="1"/>
  <c r="B45" i="47" s="1"/>
  <c r="B45" i="48" s="1"/>
  <c r="B44" i="35"/>
  <c r="B44" i="36" s="1"/>
  <c r="B44" i="37" s="1"/>
  <c r="B44" i="38" s="1"/>
  <c r="B44" i="39" s="1"/>
  <c r="B44" i="40" s="1"/>
  <c r="B44" i="41" s="1"/>
  <c r="B44" i="42" s="1"/>
  <c r="B44" i="43" s="1"/>
  <c r="B44" i="44" s="1"/>
  <c r="B44" i="45" s="1"/>
  <c r="B44" i="46" s="1"/>
  <c r="B44" i="47" s="1"/>
  <c r="B44" i="48" s="1"/>
  <c r="B43" i="35"/>
  <c r="B43" i="36" s="1"/>
  <c r="B43" i="37" s="1"/>
  <c r="B43" i="38" s="1"/>
  <c r="B43" i="39" s="1"/>
  <c r="B43" i="40" s="1"/>
  <c r="B43" i="41" s="1"/>
  <c r="B43" i="42" s="1"/>
  <c r="B43" i="43" s="1"/>
  <c r="B43" i="44" s="1"/>
  <c r="B43" i="45" s="1"/>
  <c r="B43" i="46" s="1"/>
  <c r="B43" i="47" s="1"/>
  <c r="B43" i="48" s="1"/>
  <c r="A43" i="35"/>
  <c r="A43" i="36" s="1"/>
  <c r="A43" i="37" s="1"/>
  <c r="A43" i="38" s="1"/>
  <c r="A43" i="39" s="1"/>
  <c r="A43" i="40" s="1"/>
  <c r="A43" i="41" s="1"/>
  <c r="A43" i="42" s="1"/>
  <c r="A43" i="43" s="1"/>
  <c r="A43" i="44" s="1"/>
  <c r="A43" i="45" s="1"/>
  <c r="A43" i="46" s="1"/>
  <c r="A43" i="47" s="1"/>
  <c r="A43" i="48" s="1"/>
  <c r="B42" i="35"/>
  <c r="B42" i="36" s="1"/>
  <c r="B42" i="37" s="1"/>
  <c r="B42" i="38" s="1"/>
  <c r="B42" i="39" s="1"/>
  <c r="B42" i="40" s="1"/>
  <c r="B42" i="41" s="1"/>
  <c r="B42" i="42" s="1"/>
  <c r="B42" i="43" s="1"/>
  <c r="B42" i="44" s="1"/>
  <c r="B42" i="45" s="1"/>
  <c r="B42" i="46" s="1"/>
  <c r="B42" i="47" s="1"/>
  <c r="B42" i="48" s="1"/>
  <c r="B41" i="35"/>
  <c r="B41" i="36" s="1"/>
  <c r="B41" i="37" s="1"/>
  <c r="B41" i="38" s="1"/>
  <c r="B41" i="39" s="1"/>
  <c r="B41" i="40" s="1"/>
  <c r="B41" i="41" s="1"/>
  <c r="B41" i="42" s="1"/>
  <c r="B41" i="43" s="1"/>
  <c r="B41" i="44" s="1"/>
  <c r="B41" i="45" s="1"/>
  <c r="B41" i="46" s="1"/>
  <c r="B41" i="47" s="1"/>
  <c r="B41" i="48" s="1"/>
  <c r="B40" i="35"/>
  <c r="B40" i="36" s="1"/>
  <c r="B40" i="37" s="1"/>
  <c r="B40" i="38" s="1"/>
  <c r="B40" i="39" s="1"/>
  <c r="B40" i="40" s="1"/>
  <c r="B40" i="41" s="1"/>
  <c r="B40" i="42" s="1"/>
  <c r="B40" i="43" s="1"/>
  <c r="B40" i="44" s="1"/>
  <c r="B40" i="45" s="1"/>
  <c r="B40" i="46" s="1"/>
  <c r="B40" i="47" s="1"/>
  <c r="B40" i="48" s="1"/>
  <c r="B39" i="35"/>
  <c r="B39" i="36" s="1"/>
  <c r="B39" i="37" s="1"/>
  <c r="B39" i="38" s="1"/>
  <c r="B39" i="39" s="1"/>
  <c r="B39" i="40" s="1"/>
  <c r="B39" i="41" s="1"/>
  <c r="B39" i="42" s="1"/>
  <c r="B39" i="43" s="1"/>
  <c r="B39" i="44" s="1"/>
  <c r="B39" i="45" s="1"/>
  <c r="B39" i="46" s="1"/>
  <c r="B39" i="47" s="1"/>
  <c r="B39" i="48" s="1"/>
  <c r="B38" i="35"/>
  <c r="B38" i="36" s="1"/>
  <c r="B38" i="37" s="1"/>
  <c r="B38" i="38" s="1"/>
  <c r="B38" i="39" s="1"/>
  <c r="B38" i="40" s="1"/>
  <c r="B38" i="41" s="1"/>
  <c r="B38" i="42" s="1"/>
  <c r="B38" i="43" s="1"/>
  <c r="B38" i="44" s="1"/>
  <c r="B38" i="45" s="1"/>
  <c r="B38" i="46" s="1"/>
  <c r="B38" i="47" s="1"/>
  <c r="B38" i="48" s="1"/>
  <c r="B37" i="35"/>
  <c r="B37" i="36" s="1"/>
  <c r="B37" i="37" s="1"/>
  <c r="B37" i="38" s="1"/>
  <c r="B37" i="39" s="1"/>
  <c r="B37" i="40" s="1"/>
  <c r="B37" i="41" s="1"/>
  <c r="B37" i="42" s="1"/>
  <c r="B37" i="43" s="1"/>
  <c r="B37" i="44" s="1"/>
  <c r="B37" i="45" s="1"/>
  <c r="B37" i="46" s="1"/>
  <c r="B37" i="47" s="1"/>
  <c r="B37" i="48" s="1"/>
  <c r="B36" i="35"/>
  <c r="B36" i="36" s="1"/>
  <c r="B36" i="37" s="1"/>
  <c r="B36" i="38" s="1"/>
  <c r="B36" i="39" s="1"/>
  <c r="B36" i="40" s="1"/>
  <c r="B36" i="41" s="1"/>
  <c r="B36" i="42" s="1"/>
  <c r="B36" i="43" s="1"/>
  <c r="B36" i="44" s="1"/>
  <c r="B36" i="45" s="1"/>
  <c r="B36" i="46" s="1"/>
  <c r="B36" i="47" s="1"/>
  <c r="B36" i="48" s="1"/>
  <c r="A36" i="35"/>
  <c r="A36" i="36" s="1"/>
  <c r="A36" i="37" s="1"/>
  <c r="A36" i="38" s="1"/>
  <c r="A36" i="39" s="1"/>
  <c r="A36" i="40" s="1"/>
  <c r="A36" i="41" s="1"/>
  <c r="A36" i="42" s="1"/>
  <c r="A36" i="43" s="1"/>
  <c r="A36" i="44" s="1"/>
  <c r="A36" i="45" s="1"/>
  <c r="A36" i="46" s="1"/>
  <c r="A36" i="47" s="1"/>
  <c r="A36" i="48" s="1"/>
  <c r="B35" i="35"/>
  <c r="B35" i="36" s="1"/>
  <c r="B35" i="37" s="1"/>
  <c r="B35" i="38" s="1"/>
  <c r="B35" i="39" s="1"/>
  <c r="B35" i="40" s="1"/>
  <c r="B35" i="41" s="1"/>
  <c r="B35" i="42" s="1"/>
  <c r="B35" i="43" s="1"/>
  <c r="B35" i="44" s="1"/>
  <c r="B35" i="45" s="1"/>
  <c r="B35" i="46" s="1"/>
  <c r="B35" i="47" s="1"/>
  <c r="B35" i="48" s="1"/>
  <c r="B34" i="35"/>
  <c r="B34" i="36" s="1"/>
  <c r="B34" i="37" s="1"/>
  <c r="B34" i="38" s="1"/>
  <c r="B34" i="39" s="1"/>
  <c r="B34" i="40" s="1"/>
  <c r="B34" i="41" s="1"/>
  <c r="B34" i="42" s="1"/>
  <c r="B34" i="43" s="1"/>
  <c r="B34" i="44" s="1"/>
  <c r="B34" i="45" s="1"/>
  <c r="B34" i="46" s="1"/>
  <c r="B34" i="47" s="1"/>
  <c r="B34" i="48" s="1"/>
  <c r="A34" i="35"/>
  <c r="A34" i="36" s="1"/>
  <c r="A34" i="37" s="1"/>
  <c r="A34" i="38" s="1"/>
  <c r="A34" i="39" s="1"/>
  <c r="A34" i="40" s="1"/>
  <c r="A34" i="41" s="1"/>
  <c r="A34" i="42" s="1"/>
  <c r="A34" i="43" s="1"/>
  <c r="A34" i="44" s="1"/>
  <c r="A34" i="45" s="1"/>
  <c r="A34" i="46" s="1"/>
  <c r="A34" i="47" s="1"/>
  <c r="A34" i="48" s="1"/>
  <c r="B33" i="35"/>
  <c r="B33" i="36" s="1"/>
  <c r="B33" i="37" s="1"/>
  <c r="B33" i="38" s="1"/>
  <c r="B33" i="39" s="1"/>
  <c r="B33" i="40" s="1"/>
  <c r="B33" i="41" s="1"/>
  <c r="B33" i="42" s="1"/>
  <c r="B33" i="43" s="1"/>
  <c r="B33" i="44" s="1"/>
  <c r="B33" i="45" s="1"/>
  <c r="B33" i="46" s="1"/>
  <c r="B33" i="47" s="1"/>
  <c r="B33" i="48" s="1"/>
  <c r="B32" i="35"/>
  <c r="B32" i="36" s="1"/>
  <c r="B32" i="37" s="1"/>
  <c r="B32" i="38" s="1"/>
  <c r="B32" i="39" s="1"/>
  <c r="B32" i="40" s="1"/>
  <c r="B32" i="41" s="1"/>
  <c r="B32" i="42" s="1"/>
  <c r="B32" i="43" s="1"/>
  <c r="B32" i="44" s="1"/>
  <c r="B32" i="45" s="1"/>
  <c r="B32" i="46" s="1"/>
  <c r="B32" i="47" s="1"/>
  <c r="B32" i="48" s="1"/>
  <c r="B31" i="35"/>
  <c r="B31" i="36" s="1"/>
  <c r="B31" i="37" s="1"/>
  <c r="B31" i="38" s="1"/>
  <c r="B31" i="39" s="1"/>
  <c r="B31" i="40" s="1"/>
  <c r="B31" i="41" s="1"/>
  <c r="B31" i="42" s="1"/>
  <c r="B31" i="43" s="1"/>
  <c r="B31" i="44" s="1"/>
  <c r="B31" i="45" s="1"/>
  <c r="B31" i="46" s="1"/>
  <c r="B31" i="47" s="1"/>
  <c r="B31" i="48" s="1"/>
  <c r="B30" i="35"/>
  <c r="B30" i="36" s="1"/>
  <c r="B30" i="37" s="1"/>
  <c r="B30" i="38" s="1"/>
  <c r="B30" i="39" s="1"/>
  <c r="B30" i="40" s="1"/>
  <c r="B30" i="41" s="1"/>
  <c r="B30" i="42" s="1"/>
  <c r="B30" i="43" s="1"/>
  <c r="B30" i="44" s="1"/>
  <c r="B30" i="45" s="1"/>
  <c r="B30" i="46" s="1"/>
  <c r="B30" i="47" s="1"/>
  <c r="B30" i="48" s="1"/>
  <c r="B29" i="35"/>
  <c r="B29" i="36" s="1"/>
  <c r="B29" i="37" s="1"/>
  <c r="B29" i="38" s="1"/>
  <c r="B29" i="39" s="1"/>
  <c r="B29" i="40" s="1"/>
  <c r="B29" i="41" s="1"/>
  <c r="B29" i="42" s="1"/>
  <c r="B29" i="43" s="1"/>
  <c r="B29" i="44" s="1"/>
  <c r="B29" i="45" s="1"/>
  <c r="B29" i="46" s="1"/>
  <c r="B29" i="47" s="1"/>
  <c r="B29" i="48" s="1"/>
  <c r="B28" i="35"/>
  <c r="B28" i="36" s="1"/>
  <c r="B28" i="37" s="1"/>
  <c r="B28" i="38" s="1"/>
  <c r="B28" i="39" s="1"/>
  <c r="B28" i="40" s="1"/>
  <c r="B28" i="41" s="1"/>
  <c r="B28" i="42" s="1"/>
  <c r="B28" i="43" s="1"/>
  <c r="B28" i="44" s="1"/>
  <c r="B28" i="45" s="1"/>
  <c r="B28" i="46" s="1"/>
  <c r="B28" i="47" s="1"/>
  <c r="B28" i="48" s="1"/>
  <c r="A28" i="35"/>
  <c r="A28" i="36" s="1"/>
  <c r="A28" i="37" s="1"/>
  <c r="A28" i="38" s="1"/>
  <c r="A28" i="39" s="1"/>
  <c r="A28" i="40" s="1"/>
  <c r="A28" i="41" s="1"/>
  <c r="A28" i="42" s="1"/>
  <c r="A28" i="43" s="1"/>
  <c r="A28" i="44" s="1"/>
  <c r="A28" i="45" s="1"/>
  <c r="A28" i="46" s="1"/>
  <c r="A28" i="47" s="1"/>
  <c r="A28" i="48" s="1"/>
  <c r="B27" i="35"/>
  <c r="B27" i="36" s="1"/>
  <c r="B27" i="37" s="1"/>
  <c r="B27" i="38" s="1"/>
  <c r="B27" i="39" s="1"/>
  <c r="B27" i="40" s="1"/>
  <c r="B27" i="41" s="1"/>
  <c r="B27" i="42" s="1"/>
  <c r="B27" i="43" s="1"/>
  <c r="B27" i="44" s="1"/>
  <c r="B27" i="45" s="1"/>
  <c r="B27" i="46" s="1"/>
  <c r="B27" i="47" s="1"/>
  <c r="B27" i="48" s="1"/>
  <c r="B26" i="35"/>
  <c r="B26" i="36" s="1"/>
  <c r="B26" i="37" s="1"/>
  <c r="B26" i="38" s="1"/>
  <c r="B26" i="39" s="1"/>
  <c r="B26" i="40" s="1"/>
  <c r="B26" i="41" s="1"/>
  <c r="B26" i="42" s="1"/>
  <c r="B26" i="43" s="1"/>
  <c r="B26" i="44" s="1"/>
  <c r="B26" i="45" s="1"/>
  <c r="B26" i="46" s="1"/>
  <c r="B26" i="47" s="1"/>
  <c r="B26" i="48" s="1"/>
  <c r="A26" i="35"/>
  <c r="A26" i="36" s="1"/>
  <c r="A26" i="37" s="1"/>
  <c r="A26" i="38" s="1"/>
  <c r="A26" i="39" s="1"/>
  <c r="A26" i="40" s="1"/>
  <c r="A26" i="41" s="1"/>
  <c r="A26" i="42" s="1"/>
  <c r="A26" i="43" s="1"/>
  <c r="A26" i="44" s="1"/>
  <c r="A26" i="45" s="1"/>
  <c r="A26" i="46" s="1"/>
  <c r="A26" i="47" s="1"/>
  <c r="A26" i="48" s="1"/>
  <c r="B25" i="35"/>
  <c r="B25" i="36" s="1"/>
  <c r="B25" i="37" s="1"/>
  <c r="B25" i="38" s="1"/>
  <c r="B25" i="39" s="1"/>
  <c r="B25" i="40" s="1"/>
  <c r="B25" i="41" s="1"/>
  <c r="B25" i="42" s="1"/>
  <c r="B25" i="43" s="1"/>
  <c r="B25" i="44" s="1"/>
  <c r="B25" i="45" s="1"/>
  <c r="B25" i="46" s="1"/>
  <c r="B25" i="47" s="1"/>
  <c r="B25" i="48" s="1"/>
  <c r="B24" i="35"/>
  <c r="B24" i="36" s="1"/>
  <c r="B24" i="37" s="1"/>
  <c r="B24" i="38" s="1"/>
  <c r="B24" i="39" s="1"/>
  <c r="B24" i="40" s="1"/>
  <c r="B24" i="41" s="1"/>
  <c r="B24" i="42" s="1"/>
  <c r="B24" i="43" s="1"/>
  <c r="B24" i="44" s="1"/>
  <c r="B24" i="45" s="1"/>
  <c r="B24" i="46" s="1"/>
  <c r="B24" i="47" s="1"/>
  <c r="B24" i="48" s="1"/>
  <c r="B23" i="35"/>
  <c r="B23" i="36" s="1"/>
  <c r="B23" i="37" s="1"/>
  <c r="B23" i="38" s="1"/>
  <c r="B23" i="39" s="1"/>
  <c r="B23" i="40" s="1"/>
  <c r="B23" i="41" s="1"/>
  <c r="B23" i="42" s="1"/>
  <c r="B23" i="43" s="1"/>
  <c r="B23" i="44" s="1"/>
  <c r="B23" i="45" s="1"/>
  <c r="B23" i="46" s="1"/>
  <c r="B23" i="47" s="1"/>
  <c r="B23" i="48" s="1"/>
  <c r="B22" i="35"/>
  <c r="B22" i="36" s="1"/>
  <c r="B22" i="37" s="1"/>
  <c r="B22" i="38" s="1"/>
  <c r="B22" i="39" s="1"/>
  <c r="B22" i="40" s="1"/>
  <c r="B22" i="41" s="1"/>
  <c r="B22" i="42" s="1"/>
  <c r="B22" i="43" s="1"/>
  <c r="B22" i="44" s="1"/>
  <c r="B22" i="45" s="1"/>
  <c r="B22" i="46" s="1"/>
  <c r="B22" i="47" s="1"/>
  <c r="B22" i="48" s="1"/>
  <c r="B21" i="35"/>
  <c r="B21" i="36" s="1"/>
  <c r="B21" i="37" s="1"/>
  <c r="B21" i="38" s="1"/>
  <c r="B21" i="39" s="1"/>
  <c r="B21" i="40" s="1"/>
  <c r="B21" i="41" s="1"/>
  <c r="B21" i="42" s="1"/>
  <c r="B21" i="43" s="1"/>
  <c r="B21" i="44" s="1"/>
  <c r="B21" i="45" s="1"/>
  <c r="B21" i="46" s="1"/>
  <c r="B21" i="47" s="1"/>
  <c r="B21" i="48" s="1"/>
  <c r="B20" i="35"/>
  <c r="B20" i="36" s="1"/>
  <c r="B20" i="37" s="1"/>
  <c r="B20" i="38" s="1"/>
  <c r="B20" i="39" s="1"/>
  <c r="B20" i="40" s="1"/>
  <c r="B20" i="41" s="1"/>
  <c r="B20" i="42" s="1"/>
  <c r="B20" i="43" s="1"/>
  <c r="B20" i="44" s="1"/>
  <c r="B20" i="45" s="1"/>
  <c r="B20" i="46" s="1"/>
  <c r="B20" i="47" s="1"/>
  <c r="B20" i="48" s="1"/>
  <c r="A20" i="35"/>
  <c r="A20" i="36" s="1"/>
  <c r="A20" i="37" s="1"/>
  <c r="A20" i="38" s="1"/>
  <c r="A20" i="39" s="1"/>
  <c r="A20" i="40" s="1"/>
  <c r="A20" i="41" s="1"/>
  <c r="A20" i="42" s="1"/>
  <c r="A20" i="43" s="1"/>
  <c r="A20" i="44" s="1"/>
  <c r="A20" i="45" s="1"/>
  <c r="A20" i="46" s="1"/>
  <c r="A20" i="47" s="1"/>
  <c r="A20" i="48" s="1"/>
  <c r="B19" i="35"/>
  <c r="B19" i="36" s="1"/>
  <c r="B19" i="37" s="1"/>
  <c r="B19" i="38" s="1"/>
  <c r="B19" i="39" s="1"/>
  <c r="B19" i="40" s="1"/>
  <c r="B19" i="41" s="1"/>
  <c r="B19" i="42" s="1"/>
  <c r="B19" i="43" s="1"/>
  <c r="B19" i="44" s="1"/>
  <c r="B19" i="45" s="1"/>
  <c r="B19" i="46" s="1"/>
  <c r="B19" i="47" s="1"/>
  <c r="B19" i="48" s="1"/>
  <c r="B18" i="35"/>
  <c r="B18" i="36" s="1"/>
  <c r="B18" i="37" s="1"/>
  <c r="B18" i="38" s="1"/>
  <c r="B18" i="39" s="1"/>
  <c r="B18" i="40" s="1"/>
  <c r="B18" i="41" s="1"/>
  <c r="B18" i="42" s="1"/>
  <c r="B18" i="43" s="1"/>
  <c r="B18" i="44" s="1"/>
  <c r="B18" i="45" s="1"/>
  <c r="B18" i="46" s="1"/>
  <c r="B18" i="47" s="1"/>
  <c r="B18" i="48" s="1"/>
  <c r="A18" i="35"/>
  <c r="A18" i="36" s="1"/>
  <c r="A18" i="37" s="1"/>
  <c r="A18" i="38" s="1"/>
  <c r="A18" i="39" s="1"/>
  <c r="A18" i="40" s="1"/>
  <c r="A18" i="41" s="1"/>
  <c r="A18" i="42" s="1"/>
  <c r="A18" i="43" s="1"/>
  <c r="A18" i="44" s="1"/>
  <c r="A18" i="45" s="1"/>
  <c r="A18" i="46" s="1"/>
  <c r="A18" i="47" s="1"/>
  <c r="A18" i="48" s="1"/>
  <c r="B17" i="35"/>
  <c r="B17" i="36" s="1"/>
  <c r="B17" i="37" s="1"/>
  <c r="B17" i="38" s="1"/>
  <c r="B17" i="39" s="1"/>
  <c r="B17" i="40" s="1"/>
  <c r="B17" i="41" s="1"/>
  <c r="B17" i="42" s="1"/>
  <c r="B17" i="43" s="1"/>
  <c r="B17" i="44" s="1"/>
  <c r="B17" i="45" s="1"/>
  <c r="B17" i="46" s="1"/>
  <c r="B17" i="47" s="1"/>
  <c r="B17" i="48" s="1"/>
  <c r="B16" i="35"/>
  <c r="B16" i="36" s="1"/>
  <c r="B16" i="37" s="1"/>
  <c r="B16" i="38" s="1"/>
  <c r="B16" i="39" s="1"/>
  <c r="B16" i="40" s="1"/>
  <c r="B16" i="41" s="1"/>
  <c r="B16" i="42" s="1"/>
  <c r="B16" i="43" s="1"/>
  <c r="B16" i="44" s="1"/>
  <c r="B16" i="45" s="1"/>
  <c r="B16" i="46" s="1"/>
  <c r="B16" i="47" s="1"/>
  <c r="B16" i="48" s="1"/>
  <c r="B15" i="35"/>
  <c r="B15" i="36" s="1"/>
  <c r="B15" i="37" s="1"/>
  <c r="B15" i="38" s="1"/>
  <c r="B15" i="39" s="1"/>
  <c r="B15" i="40" s="1"/>
  <c r="B15" i="41" s="1"/>
  <c r="B15" i="42" s="1"/>
  <c r="B15" i="43" s="1"/>
  <c r="B15" i="44" s="1"/>
  <c r="B15" i="45" s="1"/>
  <c r="B15" i="46" s="1"/>
  <c r="B15" i="47" s="1"/>
  <c r="B15" i="48" s="1"/>
  <c r="B14" i="35"/>
  <c r="B14" i="36" s="1"/>
  <c r="B14" i="37" s="1"/>
  <c r="B14" i="38" s="1"/>
  <c r="B14" i="39" s="1"/>
  <c r="B14" i="40" s="1"/>
  <c r="B14" i="41" s="1"/>
  <c r="B14" i="42" s="1"/>
  <c r="B14" i="43" s="1"/>
  <c r="B14" i="44" s="1"/>
  <c r="B14" i="45" s="1"/>
  <c r="B14" i="46" s="1"/>
  <c r="B14" i="47" s="1"/>
  <c r="B14" i="48" s="1"/>
  <c r="A14" i="35"/>
  <c r="A14" i="36" s="1"/>
  <c r="A14" i="37" s="1"/>
  <c r="A14" i="38" s="1"/>
  <c r="A14" i="39" s="1"/>
  <c r="A14" i="40" s="1"/>
  <c r="A14" i="41" s="1"/>
  <c r="A14" i="42" s="1"/>
  <c r="A14" i="43" s="1"/>
  <c r="A14" i="44" s="1"/>
  <c r="A14" i="45" s="1"/>
  <c r="A14" i="46" s="1"/>
  <c r="A14" i="47" s="1"/>
  <c r="A14" i="48" s="1"/>
  <c r="B13" i="35"/>
  <c r="B13" i="36" s="1"/>
  <c r="B13" i="37" s="1"/>
  <c r="B13" i="38" s="1"/>
  <c r="B13" i="39" s="1"/>
  <c r="B13" i="40" s="1"/>
  <c r="B13" i="41" s="1"/>
  <c r="B13" i="42" s="1"/>
  <c r="B13" i="43" s="1"/>
  <c r="B13" i="44" s="1"/>
  <c r="B13" i="45" s="1"/>
  <c r="B13" i="46" s="1"/>
  <c r="B13" i="47" s="1"/>
  <c r="B13" i="48" s="1"/>
  <c r="B12" i="35"/>
  <c r="B12" i="36" s="1"/>
  <c r="B12" i="37" s="1"/>
  <c r="B12" i="38" s="1"/>
  <c r="B12" i="39" s="1"/>
  <c r="B12" i="40" s="1"/>
  <c r="B12" i="41" s="1"/>
  <c r="B12" i="42" s="1"/>
  <c r="B12" i="43" s="1"/>
  <c r="B12" i="44" s="1"/>
  <c r="B12" i="45" s="1"/>
  <c r="B12" i="46" s="1"/>
  <c r="B12" i="47" s="1"/>
  <c r="B12" i="48" s="1"/>
  <c r="A12" i="35"/>
  <c r="A12" i="36" s="1"/>
  <c r="A12" i="37" s="1"/>
  <c r="A12" i="38" s="1"/>
  <c r="A12" i="39" s="1"/>
  <c r="A12" i="40" s="1"/>
  <c r="A12" i="41" s="1"/>
  <c r="A12" i="42" s="1"/>
  <c r="A12" i="43" s="1"/>
  <c r="A12" i="44" s="1"/>
  <c r="A12" i="45" s="1"/>
  <c r="A12" i="46" s="1"/>
  <c r="A12" i="47" s="1"/>
  <c r="A12" i="48" s="1"/>
  <c r="B11" i="35"/>
  <c r="B11" i="36" s="1"/>
  <c r="B11" i="37" s="1"/>
  <c r="B11" i="38" s="1"/>
  <c r="B11" i="39" s="1"/>
  <c r="B11" i="40" s="1"/>
  <c r="B11" i="41" s="1"/>
  <c r="B11" i="42" s="1"/>
  <c r="B11" i="43" s="1"/>
  <c r="B11" i="44" s="1"/>
  <c r="B11" i="45" s="1"/>
  <c r="B11" i="46" s="1"/>
  <c r="B11" i="47" s="1"/>
  <c r="B11" i="48" s="1"/>
  <c r="B10" i="35"/>
  <c r="B10" i="36" s="1"/>
  <c r="B10" i="37" s="1"/>
  <c r="B10" i="38" s="1"/>
  <c r="B10" i="39" s="1"/>
  <c r="B10" i="40" s="1"/>
  <c r="B10" i="41" s="1"/>
  <c r="B10" i="42" s="1"/>
  <c r="B10" i="43" s="1"/>
  <c r="B10" i="44" s="1"/>
  <c r="B10" i="45" s="1"/>
  <c r="B10" i="46" s="1"/>
  <c r="B10" i="47" s="1"/>
  <c r="B10" i="48" s="1"/>
  <c r="B9" i="35"/>
  <c r="B9" i="36" s="1"/>
  <c r="B9" i="37" s="1"/>
  <c r="B9" i="38" s="1"/>
  <c r="B9" i="39" s="1"/>
  <c r="B9" i="40" s="1"/>
  <c r="B9" i="41" s="1"/>
  <c r="B9" i="42" s="1"/>
  <c r="B9" i="43" s="1"/>
  <c r="B9" i="44" s="1"/>
  <c r="B9" i="45" s="1"/>
  <c r="B9" i="46" s="1"/>
  <c r="B9" i="47" s="1"/>
  <c r="B9" i="48" s="1"/>
  <c r="B8" i="35"/>
  <c r="B8" i="36" s="1"/>
  <c r="B8" i="37" s="1"/>
  <c r="B8" i="38" s="1"/>
  <c r="B8" i="39" s="1"/>
  <c r="B8" i="40" s="1"/>
  <c r="B8" i="41" s="1"/>
  <c r="B8" i="42" s="1"/>
  <c r="B8" i="43" s="1"/>
  <c r="B8" i="44" s="1"/>
  <c r="B8" i="45" s="1"/>
  <c r="B8" i="46" s="1"/>
  <c r="B8" i="47" s="1"/>
  <c r="B8" i="48" s="1"/>
  <c r="A8" i="35"/>
  <c r="A8" i="36" s="1"/>
  <c r="A8" i="37" s="1"/>
  <c r="A8" i="38" s="1"/>
  <c r="A8" i="39" s="1"/>
  <c r="A8" i="40" s="1"/>
  <c r="A8" i="41" s="1"/>
  <c r="A8" i="42" s="1"/>
  <c r="A8" i="43" s="1"/>
  <c r="A8" i="44" s="1"/>
  <c r="A8" i="45" s="1"/>
  <c r="A8" i="46" s="1"/>
  <c r="A8" i="47" s="1"/>
  <c r="A8" i="48" s="1"/>
  <c r="A5" i="34"/>
  <c r="A2" i="34"/>
  <c r="J117" i="33"/>
  <c r="N117" i="33" s="1"/>
  <c r="E116" i="35"/>
  <c r="K116" i="35" s="1"/>
  <c r="J116" i="33"/>
  <c r="N116" i="33" s="1"/>
  <c r="A116" i="35"/>
  <c r="A116" i="36" s="1"/>
  <c r="A116" i="37" s="1"/>
  <c r="A116" i="38" s="1"/>
  <c r="A116" i="39" s="1"/>
  <c r="A116" i="40" s="1"/>
  <c r="A116" i="41" s="1"/>
  <c r="A116" i="42" s="1"/>
  <c r="A116" i="43" s="1"/>
  <c r="A116" i="44" s="1"/>
  <c r="A116" i="45" s="1"/>
  <c r="A116" i="46" s="1"/>
  <c r="A116" i="47" s="1"/>
  <c r="A116" i="48" s="1"/>
  <c r="J115" i="33"/>
  <c r="N115" i="33" s="1"/>
  <c r="E114" i="35"/>
  <c r="E114" i="36" s="1"/>
  <c r="J114" i="33"/>
  <c r="N114" i="33" s="1"/>
  <c r="I114" i="33"/>
  <c r="M114" i="33" s="1"/>
  <c r="A114" i="35"/>
  <c r="A114" i="36" s="1"/>
  <c r="A114" i="37" s="1"/>
  <c r="A114" i="38" s="1"/>
  <c r="A114" i="39" s="1"/>
  <c r="A114" i="40" s="1"/>
  <c r="A114" i="41" s="1"/>
  <c r="A114" i="42" s="1"/>
  <c r="A114" i="43" s="1"/>
  <c r="A114" i="44" s="1"/>
  <c r="A114" i="45" s="1"/>
  <c r="A114" i="46" s="1"/>
  <c r="A114" i="47" s="1"/>
  <c r="A114" i="48" s="1"/>
  <c r="J113" i="33"/>
  <c r="N113" i="33" s="1"/>
  <c r="E112" i="35"/>
  <c r="E112" i="36" s="1"/>
  <c r="J112" i="33"/>
  <c r="N112" i="33" s="1"/>
  <c r="A112" i="35"/>
  <c r="A112" i="36" s="1"/>
  <c r="A112" i="37" s="1"/>
  <c r="A112" i="38" s="1"/>
  <c r="A112" i="39" s="1"/>
  <c r="A112" i="40" s="1"/>
  <c r="A112" i="41" s="1"/>
  <c r="A112" i="42" s="1"/>
  <c r="A112" i="43" s="1"/>
  <c r="A112" i="44" s="1"/>
  <c r="A112" i="45" s="1"/>
  <c r="A112" i="46" s="1"/>
  <c r="A112" i="47" s="1"/>
  <c r="A112" i="48" s="1"/>
  <c r="J111" i="33"/>
  <c r="N111" i="33" s="1"/>
  <c r="E110" i="35"/>
  <c r="D110" i="35"/>
  <c r="A110" i="35"/>
  <c r="A110" i="36" s="1"/>
  <c r="A110" i="37" s="1"/>
  <c r="A110" i="38" s="1"/>
  <c r="A110" i="39" s="1"/>
  <c r="A110" i="40" s="1"/>
  <c r="A110" i="41" s="1"/>
  <c r="A110" i="42" s="1"/>
  <c r="A110" i="43" s="1"/>
  <c r="A110" i="44" s="1"/>
  <c r="A110" i="45" s="1"/>
  <c r="A110" i="46" s="1"/>
  <c r="A110" i="47" s="1"/>
  <c r="A110" i="48" s="1"/>
  <c r="J109" i="33"/>
  <c r="N109" i="33" s="1"/>
  <c r="E108" i="35"/>
  <c r="K108" i="35" s="1"/>
  <c r="J108" i="33"/>
  <c r="N108" i="33" s="1"/>
  <c r="A108" i="35"/>
  <c r="A108" i="36" s="1"/>
  <c r="A108" i="37" s="1"/>
  <c r="A108" i="38" s="1"/>
  <c r="A108" i="39" s="1"/>
  <c r="A108" i="40" s="1"/>
  <c r="A108" i="41" s="1"/>
  <c r="A108" i="42" s="1"/>
  <c r="A108" i="43" s="1"/>
  <c r="A108" i="44" s="1"/>
  <c r="A108" i="45" s="1"/>
  <c r="A108" i="46" s="1"/>
  <c r="A108" i="47" s="1"/>
  <c r="A108" i="48" s="1"/>
  <c r="J107" i="33"/>
  <c r="N107" i="33" s="1"/>
  <c r="E106" i="35"/>
  <c r="E106" i="36" s="1"/>
  <c r="J106" i="33"/>
  <c r="N106" i="33" s="1"/>
  <c r="I106" i="33"/>
  <c r="M106" i="33" s="1"/>
  <c r="A106" i="35"/>
  <c r="A106" i="36" s="1"/>
  <c r="A106" i="37" s="1"/>
  <c r="A106" i="38" s="1"/>
  <c r="A106" i="39" s="1"/>
  <c r="A106" i="40" s="1"/>
  <c r="A106" i="41" s="1"/>
  <c r="A106" i="42" s="1"/>
  <c r="A106" i="43" s="1"/>
  <c r="A106" i="44" s="1"/>
  <c r="A106" i="45" s="1"/>
  <c r="A106" i="46" s="1"/>
  <c r="A106" i="47" s="1"/>
  <c r="A106" i="48" s="1"/>
  <c r="J105" i="33"/>
  <c r="N105" i="33" s="1"/>
  <c r="J104" i="33"/>
  <c r="N104" i="33" s="1"/>
  <c r="A104" i="35"/>
  <c r="A104" i="36" s="1"/>
  <c r="A104" i="37" s="1"/>
  <c r="A104" i="38" s="1"/>
  <c r="A104" i="39" s="1"/>
  <c r="A104" i="40" s="1"/>
  <c r="A104" i="41" s="1"/>
  <c r="A104" i="42" s="1"/>
  <c r="A104" i="43" s="1"/>
  <c r="A104" i="44" s="1"/>
  <c r="A104" i="45" s="1"/>
  <c r="A104" i="46" s="1"/>
  <c r="A104" i="47" s="1"/>
  <c r="A104" i="48" s="1"/>
  <c r="J103" i="33"/>
  <c r="N103" i="33" s="1"/>
  <c r="D102" i="35"/>
  <c r="A102" i="35"/>
  <c r="A102" i="36" s="1"/>
  <c r="A102" i="37" s="1"/>
  <c r="A102" i="38" s="1"/>
  <c r="A102" i="39" s="1"/>
  <c r="A102" i="40" s="1"/>
  <c r="A102" i="41" s="1"/>
  <c r="A102" i="42" s="1"/>
  <c r="A102" i="43" s="1"/>
  <c r="A102" i="44" s="1"/>
  <c r="A102" i="45" s="1"/>
  <c r="A102" i="46" s="1"/>
  <c r="A102" i="47" s="1"/>
  <c r="A102" i="48" s="1"/>
  <c r="J101" i="33"/>
  <c r="N101" i="33" s="1"/>
  <c r="E100" i="35"/>
  <c r="K100" i="35" s="1"/>
  <c r="J100" i="33"/>
  <c r="N100" i="33" s="1"/>
  <c r="A100" i="35"/>
  <c r="A100" i="36" s="1"/>
  <c r="A100" i="37" s="1"/>
  <c r="A100" i="38" s="1"/>
  <c r="A100" i="39" s="1"/>
  <c r="A100" i="40" s="1"/>
  <c r="A100" i="41" s="1"/>
  <c r="A100" i="42" s="1"/>
  <c r="A100" i="43" s="1"/>
  <c r="A100" i="44" s="1"/>
  <c r="A100" i="45" s="1"/>
  <c r="A100" i="46" s="1"/>
  <c r="A100" i="47" s="1"/>
  <c r="A100" i="48" s="1"/>
  <c r="E98" i="35"/>
  <c r="E98" i="36" s="1"/>
  <c r="A98" i="35"/>
  <c r="A98" i="36" s="1"/>
  <c r="A98" i="37" s="1"/>
  <c r="A98" i="38" s="1"/>
  <c r="A98" i="39" s="1"/>
  <c r="A98" i="40" s="1"/>
  <c r="A98" i="41" s="1"/>
  <c r="A98" i="42" s="1"/>
  <c r="A98" i="43" s="1"/>
  <c r="A98" i="44" s="1"/>
  <c r="A98" i="45" s="1"/>
  <c r="A98" i="46" s="1"/>
  <c r="A98" i="47" s="1"/>
  <c r="A98" i="48" s="1"/>
  <c r="E96" i="35"/>
  <c r="E96" i="36" s="1"/>
  <c r="A96" i="35"/>
  <c r="A96" i="36" s="1"/>
  <c r="A96" i="37" s="1"/>
  <c r="A96" i="38" s="1"/>
  <c r="A96" i="39" s="1"/>
  <c r="A96" i="40" s="1"/>
  <c r="A96" i="41" s="1"/>
  <c r="A96" i="42" s="1"/>
  <c r="A96" i="43" s="1"/>
  <c r="A96" i="44" s="1"/>
  <c r="A96" i="45" s="1"/>
  <c r="A96" i="46" s="1"/>
  <c r="A96" i="47" s="1"/>
  <c r="A96" i="48" s="1"/>
  <c r="E94" i="35"/>
  <c r="A94" i="35"/>
  <c r="A94" i="36" s="1"/>
  <c r="A94" i="37" s="1"/>
  <c r="A94" i="38" s="1"/>
  <c r="A94" i="39" s="1"/>
  <c r="A94" i="40" s="1"/>
  <c r="A94" i="41" s="1"/>
  <c r="A94" i="42" s="1"/>
  <c r="A94" i="43" s="1"/>
  <c r="A94" i="44" s="1"/>
  <c r="A94" i="45" s="1"/>
  <c r="A94" i="46" s="1"/>
  <c r="A94" i="47" s="1"/>
  <c r="A94" i="48" s="1"/>
  <c r="E92" i="35"/>
  <c r="A92" i="35"/>
  <c r="A92" i="36" s="1"/>
  <c r="A92" i="37" s="1"/>
  <c r="A92" i="38" s="1"/>
  <c r="A92" i="39" s="1"/>
  <c r="A92" i="40" s="1"/>
  <c r="A92" i="41" s="1"/>
  <c r="A92" i="42" s="1"/>
  <c r="A92" i="43" s="1"/>
  <c r="A92" i="44" s="1"/>
  <c r="A92" i="45" s="1"/>
  <c r="A92" i="46" s="1"/>
  <c r="A92" i="47" s="1"/>
  <c r="A92" i="48" s="1"/>
  <c r="E90" i="35"/>
  <c r="E90" i="36" s="1"/>
  <c r="A90" i="35"/>
  <c r="A90" i="36" s="1"/>
  <c r="A90" i="37" s="1"/>
  <c r="A90" i="38" s="1"/>
  <c r="A90" i="39" s="1"/>
  <c r="A90" i="40" s="1"/>
  <c r="A90" i="41" s="1"/>
  <c r="A90" i="42" s="1"/>
  <c r="A90" i="43" s="1"/>
  <c r="A90" i="44" s="1"/>
  <c r="A90" i="45" s="1"/>
  <c r="A90" i="46" s="1"/>
  <c r="A90" i="47" s="1"/>
  <c r="A90" i="48" s="1"/>
  <c r="A88" i="35"/>
  <c r="A88" i="36" s="1"/>
  <c r="A88" i="37" s="1"/>
  <c r="A88" i="38" s="1"/>
  <c r="A88" i="39" s="1"/>
  <c r="A88" i="40" s="1"/>
  <c r="A88" i="41" s="1"/>
  <c r="A88" i="42" s="1"/>
  <c r="A88" i="43" s="1"/>
  <c r="A88" i="44" s="1"/>
  <c r="A88" i="45" s="1"/>
  <c r="A88" i="46" s="1"/>
  <c r="A88" i="47" s="1"/>
  <c r="A88" i="48" s="1"/>
  <c r="A86" i="35"/>
  <c r="A86" i="36" s="1"/>
  <c r="A86" i="37" s="1"/>
  <c r="A86" i="38" s="1"/>
  <c r="A86" i="39" s="1"/>
  <c r="A86" i="40" s="1"/>
  <c r="A86" i="41" s="1"/>
  <c r="A86" i="42" s="1"/>
  <c r="A86" i="43" s="1"/>
  <c r="A86" i="44" s="1"/>
  <c r="A86" i="45" s="1"/>
  <c r="A86" i="46" s="1"/>
  <c r="A86" i="47" s="1"/>
  <c r="A86" i="48" s="1"/>
  <c r="E84" i="35"/>
  <c r="E84" i="36" s="1"/>
  <c r="A84" i="35"/>
  <c r="A84" i="36" s="1"/>
  <c r="A84" i="37" s="1"/>
  <c r="A84" i="38" s="1"/>
  <c r="A84" i="39" s="1"/>
  <c r="A84" i="40" s="1"/>
  <c r="A84" i="41" s="1"/>
  <c r="A84" i="42" s="1"/>
  <c r="A84" i="43" s="1"/>
  <c r="A84" i="44" s="1"/>
  <c r="A84" i="45" s="1"/>
  <c r="A84" i="46" s="1"/>
  <c r="A84" i="47" s="1"/>
  <c r="A84" i="48" s="1"/>
  <c r="E82" i="35"/>
  <c r="E82" i="36" s="1"/>
  <c r="I82" i="33"/>
  <c r="M82" i="33" s="1"/>
  <c r="A82" i="35"/>
  <c r="A82" i="36" s="1"/>
  <c r="A82" i="37" s="1"/>
  <c r="A82" i="38" s="1"/>
  <c r="A82" i="39" s="1"/>
  <c r="A82" i="40" s="1"/>
  <c r="A82" i="41" s="1"/>
  <c r="A82" i="42" s="1"/>
  <c r="A82" i="43" s="1"/>
  <c r="A82" i="44" s="1"/>
  <c r="A82" i="45" s="1"/>
  <c r="A82" i="46" s="1"/>
  <c r="A82" i="47" s="1"/>
  <c r="A82" i="48" s="1"/>
  <c r="E80" i="35"/>
  <c r="E80" i="36" s="1"/>
  <c r="A80" i="35"/>
  <c r="A80" i="36" s="1"/>
  <c r="A80" i="37" s="1"/>
  <c r="A80" i="38" s="1"/>
  <c r="A80" i="39" s="1"/>
  <c r="A80" i="40" s="1"/>
  <c r="A80" i="41" s="1"/>
  <c r="A80" i="42" s="1"/>
  <c r="A80" i="43" s="1"/>
  <c r="A80" i="44" s="1"/>
  <c r="A80" i="45" s="1"/>
  <c r="A80" i="46" s="1"/>
  <c r="A80" i="47" s="1"/>
  <c r="A80" i="48" s="1"/>
  <c r="A79" i="35"/>
  <c r="A79" i="36" s="1"/>
  <c r="A79" i="37" s="1"/>
  <c r="A79" i="38" s="1"/>
  <c r="A79" i="39" s="1"/>
  <c r="A79" i="40" s="1"/>
  <c r="A79" i="41" s="1"/>
  <c r="A79" i="42" s="1"/>
  <c r="A79" i="43" s="1"/>
  <c r="A79" i="44" s="1"/>
  <c r="A79" i="45" s="1"/>
  <c r="A79" i="46" s="1"/>
  <c r="A79" i="47" s="1"/>
  <c r="A79" i="48" s="1"/>
  <c r="A78" i="35"/>
  <c r="A78" i="36" s="1"/>
  <c r="A78" i="37" s="1"/>
  <c r="A78" i="38" s="1"/>
  <c r="A78" i="39" s="1"/>
  <c r="A78" i="40" s="1"/>
  <c r="A78" i="41" s="1"/>
  <c r="A78" i="42" s="1"/>
  <c r="A78" i="43" s="1"/>
  <c r="A78" i="44" s="1"/>
  <c r="A78" i="45" s="1"/>
  <c r="A78" i="46" s="1"/>
  <c r="A78" i="47" s="1"/>
  <c r="A78" i="48" s="1"/>
  <c r="A77" i="35"/>
  <c r="A77" i="36" s="1"/>
  <c r="A77" i="37" s="1"/>
  <c r="A77" i="38" s="1"/>
  <c r="A77" i="39" s="1"/>
  <c r="A77" i="40" s="1"/>
  <c r="A77" i="41" s="1"/>
  <c r="A77" i="42" s="1"/>
  <c r="A77" i="43" s="1"/>
  <c r="A77" i="44" s="1"/>
  <c r="A77" i="45" s="1"/>
  <c r="A77" i="46" s="1"/>
  <c r="A77" i="47" s="1"/>
  <c r="A77" i="48" s="1"/>
  <c r="E76" i="35"/>
  <c r="K76" i="35" s="1"/>
  <c r="A76" i="35"/>
  <c r="A76" i="36" s="1"/>
  <c r="A76" i="37" s="1"/>
  <c r="A76" i="38" s="1"/>
  <c r="A76" i="39" s="1"/>
  <c r="A76" i="40" s="1"/>
  <c r="A76" i="41" s="1"/>
  <c r="A76" i="42" s="1"/>
  <c r="A76" i="43" s="1"/>
  <c r="A76" i="44" s="1"/>
  <c r="A76" i="45" s="1"/>
  <c r="A76" i="46" s="1"/>
  <c r="A76" i="47" s="1"/>
  <c r="A76" i="48" s="1"/>
  <c r="A74" i="35"/>
  <c r="A74" i="36" s="1"/>
  <c r="A74" i="37" s="1"/>
  <c r="A74" i="38" s="1"/>
  <c r="A74" i="39" s="1"/>
  <c r="A74" i="40" s="1"/>
  <c r="A74" i="41" s="1"/>
  <c r="A74" i="42" s="1"/>
  <c r="A74" i="43" s="1"/>
  <c r="A74" i="44" s="1"/>
  <c r="A74" i="45" s="1"/>
  <c r="A74" i="46" s="1"/>
  <c r="A74" i="47" s="1"/>
  <c r="A74" i="48" s="1"/>
  <c r="E72" i="35"/>
  <c r="E72" i="36" s="1"/>
  <c r="A72" i="35"/>
  <c r="A72" i="36" s="1"/>
  <c r="A72" i="37" s="1"/>
  <c r="A72" i="38" s="1"/>
  <c r="A72" i="39" s="1"/>
  <c r="A72" i="40" s="1"/>
  <c r="A72" i="41" s="1"/>
  <c r="A72" i="42" s="1"/>
  <c r="A72" i="43" s="1"/>
  <c r="A72" i="44" s="1"/>
  <c r="A72" i="45" s="1"/>
  <c r="A72" i="46" s="1"/>
  <c r="A72" i="47" s="1"/>
  <c r="A72" i="48" s="1"/>
  <c r="A71" i="35"/>
  <c r="A71" i="36" s="1"/>
  <c r="A71" i="37" s="1"/>
  <c r="A71" i="38" s="1"/>
  <c r="A71" i="39" s="1"/>
  <c r="A71" i="40" s="1"/>
  <c r="A71" i="41" s="1"/>
  <c r="A71" i="42" s="1"/>
  <c r="A71" i="43" s="1"/>
  <c r="A71" i="44" s="1"/>
  <c r="A71" i="45" s="1"/>
  <c r="A71" i="46" s="1"/>
  <c r="A71" i="47" s="1"/>
  <c r="A71" i="48" s="1"/>
  <c r="A70" i="35"/>
  <c r="A70" i="36" s="1"/>
  <c r="A70" i="37" s="1"/>
  <c r="A70" i="38" s="1"/>
  <c r="A70" i="39" s="1"/>
  <c r="A70" i="40" s="1"/>
  <c r="A70" i="41" s="1"/>
  <c r="A70" i="42" s="1"/>
  <c r="A70" i="43" s="1"/>
  <c r="A70" i="44" s="1"/>
  <c r="A70" i="45" s="1"/>
  <c r="A70" i="46" s="1"/>
  <c r="A70" i="47" s="1"/>
  <c r="A70" i="48" s="1"/>
  <c r="A69" i="35"/>
  <c r="A69" i="36" s="1"/>
  <c r="A69" i="37" s="1"/>
  <c r="A69" i="38" s="1"/>
  <c r="A69" i="39" s="1"/>
  <c r="A69" i="40" s="1"/>
  <c r="A69" i="41" s="1"/>
  <c r="A69" i="42" s="1"/>
  <c r="A69" i="43" s="1"/>
  <c r="A69" i="44" s="1"/>
  <c r="A69" i="45" s="1"/>
  <c r="A69" i="46" s="1"/>
  <c r="A69" i="47" s="1"/>
  <c r="A69" i="48" s="1"/>
  <c r="E68" i="35"/>
  <c r="K68" i="35" s="1"/>
  <c r="A68" i="35"/>
  <c r="A68" i="36" s="1"/>
  <c r="A68" i="37" s="1"/>
  <c r="A68" i="38" s="1"/>
  <c r="A68" i="39" s="1"/>
  <c r="A68" i="40" s="1"/>
  <c r="A68" i="41" s="1"/>
  <c r="A68" i="42" s="1"/>
  <c r="A68" i="43" s="1"/>
  <c r="A68" i="44" s="1"/>
  <c r="A68" i="45" s="1"/>
  <c r="A68" i="46" s="1"/>
  <c r="A68" i="47" s="1"/>
  <c r="A68" i="48" s="1"/>
  <c r="A66" i="35"/>
  <c r="A66" i="36" s="1"/>
  <c r="A66" i="37" s="1"/>
  <c r="A66" i="38" s="1"/>
  <c r="A66" i="39" s="1"/>
  <c r="A66" i="40" s="1"/>
  <c r="A66" i="41" s="1"/>
  <c r="A66" i="42" s="1"/>
  <c r="A66" i="43" s="1"/>
  <c r="A66" i="44" s="1"/>
  <c r="A66" i="45" s="1"/>
  <c r="A66" i="46" s="1"/>
  <c r="A66" i="47" s="1"/>
  <c r="A66" i="48" s="1"/>
  <c r="E64" i="35"/>
  <c r="E64" i="36" s="1"/>
  <c r="A64" i="35"/>
  <c r="A64" i="36" s="1"/>
  <c r="A64" i="37" s="1"/>
  <c r="A64" i="38" s="1"/>
  <c r="A64" i="39" s="1"/>
  <c r="A64" i="40" s="1"/>
  <c r="A64" i="41" s="1"/>
  <c r="A64" i="42" s="1"/>
  <c r="A64" i="43" s="1"/>
  <c r="A64" i="44" s="1"/>
  <c r="A64" i="45" s="1"/>
  <c r="A64" i="46" s="1"/>
  <c r="A64" i="47" s="1"/>
  <c r="A64" i="48" s="1"/>
  <c r="A63" i="35"/>
  <c r="A63" i="36" s="1"/>
  <c r="A63" i="37" s="1"/>
  <c r="A63" i="38" s="1"/>
  <c r="A63" i="39" s="1"/>
  <c r="A63" i="40" s="1"/>
  <c r="A63" i="41" s="1"/>
  <c r="A63" i="42" s="1"/>
  <c r="A63" i="43" s="1"/>
  <c r="A63" i="44" s="1"/>
  <c r="A63" i="45" s="1"/>
  <c r="A63" i="46" s="1"/>
  <c r="A63" i="47" s="1"/>
  <c r="A63" i="48" s="1"/>
  <c r="A62" i="35"/>
  <c r="A62" i="36" s="1"/>
  <c r="A62" i="37" s="1"/>
  <c r="A62" i="38" s="1"/>
  <c r="A62" i="39" s="1"/>
  <c r="A62" i="40" s="1"/>
  <c r="A62" i="41" s="1"/>
  <c r="A62" i="42" s="1"/>
  <c r="A62" i="43" s="1"/>
  <c r="A62" i="44" s="1"/>
  <c r="A62" i="45" s="1"/>
  <c r="A62" i="46" s="1"/>
  <c r="A62" i="47" s="1"/>
  <c r="A62" i="48" s="1"/>
  <c r="A61" i="35"/>
  <c r="A61" i="36" s="1"/>
  <c r="A61" i="37" s="1"/>
  <c r="A61" i="38" s="1"/>
  <c r="A61" i="39" s="1"/>
  <c r="A61" i="40" s="1"/>
  <c r="A61" i="41" s="1"/>
  <c r="A61" i="42" s="1"/>
  <c r="A61" i="43" s="1"/>
  <c r="A61" i="44" s="1"/>
  <c r="A61" i="45" s="1"/>
  <c r="A61" i="46" s="1"/>
  <c r="A61" i="47" s="1"/>
  <c r="A61" i="48" s="1"/>
  <c r="E60" i="35"/>
  <c r="K60" i="35" s="1"/>
  <c r="A60" i="35"/>
  <c r="A60" i="36" s="1"/>
  <c r="A60" i="37" s="1"/>
  <c r="A60" i="38" s="1"/>
  <c r="A60" i="39" s="1"/>
  <c r="A60" i="40" s="1"/>
  <c r="A60" i="41" s="1"/>
  <c r="A60" i="42" s="1"/>
  <c r="A60" i="43" s="1"/>
  <c r="A60" i="44" s="1"/>
  <c r="A60" i="45" s="1"/>
  <c r="A60" i="46" s="1"/>
  <c r="A60" i="47" s="1"/>
  <c r="A60" i="48" s="1"/>
  <c r="A58" i="35"/>
  <c r="A58" i="36" s="1"/>
  <c r="A58" i="37" s="1"/>
  <c r="A58" i="38" s="1"/>
  <c r="A58" i="39" s="1"/>
  <c r="A58" i="40" s="1"/>
  <c r="A58" i="41" s="1"/>
  <c r="A58" i="42" s="1"/>
  <c r="A58" i="43" s="1"/>
  <c r="A58" i="44" s="1"/>
  <c r="A58" i="45" s="1"/>
  <c r="A58" i="46" s="1"/>
  <c r="A58" i="47" s="1"/>
  <c r="A58" i="48" s="1"/>
  <c r="E56" i="35"/>
  <c r="E56" i="36" s="1"/>
  <c r="A56" i="35"/>
  <c r="A56" i="36" s="1"/>
  <c r="A56" i="37" s="1"/>
  <c r="A56" i="38" s="1"/>
  <c r="A56" i="39" s="1"/>
  <c r="A56" i="40" s="1"/>
  <c r="A56" i="41" s="1"/>
  <c r="A56" i="42" s="1"/>
  <c r="A56" i="43" s="1"/>
  <c r="A56" i="44" s="1"/>
  <c r="A56" i="45" s="1"/>
  <c r="A56" i="46" s="1"/>
  <c r="A56" i="47" s="1"/>
  <c r="A56" i="48" s="1"/>
  <c r="A55" i="35"/>
  <c r="A55" i="36" s="1"/>
  <c r="A55" i="37" s="1"/>
  <c r="A55" i="38" s="1"/>
  <c r="A55" i="39" s="1"/>
  <c r="A55" i="40" s="1"/>
  <c r="A55" i="41" s="1"/>
  <c r="A55" i="42" s="1"/>
  <c r="A55" i="43" s="1"/>
  <c r="A55" i="44" s="1"/>
  <c r="A55" i="45" s="1"/>
  <c r="A55" i="46" s="1"/>
  <c r="A55" i="47" s="1"/>
  <c r="A55" i="48" s="1"/>
  <c r="A54" i="35"/>
  <c r="A54" i="36" s="1"/>
  <c r="A54" i="37" s="1"/>
  <c r="A54" i="38" s="1"/>
  <c r="A54" i="39" s="1"/>
  <c r="A54" i="40" s="1"/>
  <c r="A54" i="41" s="1"/>
  <c r="A54" i="42" s="1"/>
  <c r="A54" i="43" s="1"/>
  <c r="A54" i="44" s="1"/>
  <c r="A54" i="45" s="1"/>
  <c r="A54" i="46" s="1"/>
  <c r="A54" i="47" s="1"/>
  <c r="A54" i="48" s="1"/>
  <c r="A53" i="35"/>
  <c r="A53" i="36" s="1"/>
  <c r="A53" i="37" s="1"/>
  <c r="A53" i="38" s="1"/>
  <c r="A53" i="39" s="1"/>
  <c r="A53" i="40" s="1"/>
  <c r="A53" i="41" s="1"/>
  <c r="A53" i="42" s="1"/>
  <c r="A53" i="43" s="1"/>
  <c r="A53" i="44" s="1"/>
  <c r="A53" i="45" s="1"/>
  <c r="A53" i="46" s="1"/>
  <c r="A53" i="47" s="1"/>
  <c r="A53" i="48" s="1"/>
  <c r="E52" i="35"/>
  <c r="E52" i="36" s="1"/>
  <c r="A52" i="35"/>
  <c r="A52" i="36" s="1"/>
  <c r="A52" i="37" s="1"/>
  <c r="A52" i="38" s="1"/>
  <c r="A52" i="39" s="1"/>
  <c r="A52" i="40" s="1"/>
  <c r="A52" i="41" s="1"/>
  <c r="A52" i="42" s="1"/>
  <c r="A52" i="43" s="1"/>
  <c r="A52" i="44" s="1"/>
  <c r="A52" i="45" s="1"/>
  <c r="A52" i="46" s="1"/>
  <c r="A52" i="47" s="1"/>
  <c r="A52" i="48" s="1"/>
  <c r="A50" i="35"/>
  <c r="A50" i="36" s="1"/>
  <c r="A50" i="37" s="1"/>
  <c r="A50" i="38" s="1"/>
  <c r="A50" i="39" s="1"/>
  <c r="A50" i="40" s="1"/>
  <c r="A50" i="41" s="1"/>
  <c r="A50" i="42" s="1"/>
  <c r="A50" i="43" s="1"/>
  <c r="A50" i="44" s="1"/>
  <c r="A50" i="45" s="1"/>
  <c r="A50" i="46" s="1"/>
  <c r="A50" i="47" s="1"/>
  <c r="A50" i="48" s="1"/>
  <c r="E48" i="35"/>
  <c r="E48" i="36" s="1"/>
  <c r="A48" i="35"/>
  <c r="A48" i="36" s="1"/>
  <c r="A48" i="37" s="1"/>
  <c r="A48" i="38" s="1"/>
  <c r="A48" i="39" s="1"/>
  <c r="A48" i="40" s="1"/>
  <c r="A48" i="41" s="1"/>
  <c r="A48" i="42" s="1"/>
  <c r="A48" i="43" s="1"/>
  <c r="A48" i="44" s="1"/>
  <c r="A48" i="45" s="1"/>
  <c r="A48" i="46" s="1"/>
  <c r="A48" i="47" s="1"/>
  <c r="A48" i="48" s="1"/>
  <c r="A47" i="35"/>
  <c r="A47" i="36" s="1"/>
  <c r="A47" i="37" s="1"/>
  <c r="A47" i="38" s="1"/>
  <c r="A47" i="39" s="1"/>
  <c r="A47" i="40" s="1"/>
  <c r="A47" i="41" s="1"/>
  <c r="A47" i="42" s="1"/>
  <c r="A47" i="43" s="1"/>
  <c r="A47" i="44" s="1"/>
  <c r="A47" i="45" s="1"/>
  <c r="A47" i="46" s="1"/>
  <c r="A47" i="47" s="1"/>
  <c r="A47" i="48" s="1"/>
  <c r="A46" i="35"/>
  <c r="A46" i="36" s="1"/>
  <c r="A46" i="37" s="1"/>
  <c r="A46" i="38" s="1"/>
  <c r="A46" i="39" s="1"/>
  <c r="A46" i="40" s="1"/>
  <c r="A46" i="41" s="1"/>
  <c r="A46" i="42" s="1"/>
  <c r="A46" i="43" s="1"/>
  <c r="A46" i="44" s="1"/>
  <c r="A46" i="45" s="1"/>
  <c r="A46" i="46" s="1"/>
  <c r="A46" i="47" s="1"/>
  <c r="A46" i="48" s="1"/>
  <c r="A45" i="35"/>
  <c r="A45" i="36" s="1"/>
  <c r="A45" i="37" s="1"/>
  <c r="A45" i="38" s="1"/>
  <c r="A45" i="39" s="1"/>
  <c r="A45" i="40" s="1"/>
  <c r="A45" i="41" s="1"/>
  <c r="A45" i="42" s="1"/>
  <c r="A45" i="43" s="1"/>
  <c r="A45" i="44" s="1"/>
  <c r="A45" i="45" s="1"/>
  <c r="A45" i="46" s="1"/>
  <c r="A45" i="47" s="1"/>
  <c r="A45" i="48" s="1"/>
  <c r="E44" i="35"/>
  <c r="K44" i="35" s="1"/>
  <c r="A44" i="35"/>
  <c r="A44" i="36" s="1"/>
  <c r="A44" i="37" s="1"/>
  <c r="A44" i="38" s="1"/>
  <c r="A44" i="39" s="1"/>
  <c r="A44" i="40" s="1"/>
  <c r="A44" i="41" s="1"/>
  <c r="A44" i="42" s="1"/>
  <c r="A44" i="43" s="1"/>
  <c r="A44" i="44" s="1"/>
  <c r="A44" i="45" s="1"/>
  <c r="A44" i="46" s="1"/>
  <c r="A44" i="47" s="1"/>
  <c r="A44" i="48" s="1"/>
  <c r="A42" i="35"/>
  <c r="A42" i="36" s="1"/>
  <c r="A42" i="37" s="1"/>
  <c r="A42" i="38" s="1"/>
  <c r="A42" i="39" s="1"/>
  <c r="A42" i="40" s="1"/>
  <c r="A42" i="41" s="1"/>
  <c r="A42" i="42" s="1"/>
  <c r="A42" i="43" s="1"/>
  <c r="A42" i="44" s="1"/>
  <c r="A42" i="45" s="1"/>
  <c r="A42" i="46" s="1"/>
  <c r="A42" i="47" s="1"/>
  <c r="A42" i="48" s="1"/>
  <c r="E41" i="35"/>
  <c r="E41" i="36" s="1"/>
  <c r="A41" i="35"/>
  <c r="A41" i="36" s="1"/>
  <c r="A41" i="37" s="1"/>
  <c r="A41" i="38" s="1"/>
  <c r="A41" i="39" s="1"/>
  <c r="A41" i="40" s="1"/>
  <c r="A41" i="41" s="1"/>
  <c r="A41" i="42" s="1"/>
  <c r="A41" i="43" s="1"/>
  <c r="A41" i="44" s="1"/>
  <c r="A41" i="45" s="1"/>
  <c r="A41" i="46" s="1"/>
  <c r="A41" i="47" s="1"/>
  <c r="A41" i="48" s="1"/>
  <c r="A40" i="35"/>
  <c r="A40" i="36" s="1"/>
  <c r="A40" i="37" s="1"/>
  <c r="A40" i="38" s="1"/>
  <c r="A40" i="39" s="1"/>
  <c r="A40" i="40" s="1"/>
  <c r="A40" i="41" s="1"/>
  <c r="A40" i="42" s="1"/>
  <c r="A40" i="43" s="1"/>
  <c r="A40" i="44" s="1"/>
  <c r="A40" i="45" s="1"/>
  <c r="A40" i="46" s="1"/>
  <c r="A40" i="47" s="1"/>
  <c r="A40" i="48" s="1"/>
  <c r="A39" i="35"/>
  <c r="A39" i="36" s="1"/>
  <c r="A39" i="37" s="1"/>
  <c r="A39" i="38" s="1"/>
  <c r="A39" i="39" s="1"/>
  <c r="A39" i="40" s="1"/>
  <c r="A39" i="41" s="1"/>
  <c r="A39" i="42" s="1"/>
  <c r="A39" i="43" s="1"/>
  <c r="A39" i="44" s="1"/>
  <c r="A39" i="45" s="1"/>
  <c r="A39" i="46" s="1"/>
  <c r="A39" i="47" s="1"/>
  <c r="A39" i="48" s="1"/>
  <c r="A38" i="35"/>
  <c r="A38" i="36" s="1"/>
  <c r="A38" i="37" s="1"/>
  <c r="A38" i="38" s="1"/>
  <c r="A38" i="39" s="1"/>
  <c r="A38" i="40" s="1"/>
  <c r="A38" i="41" s="1"/>
  <c r="A38" i="42" s="1"/>
  <c r="A38" i="43" s="1"/>
  <c r="A38" i="44" s="1"/>
  <c r="A38" i="45" s="1"/>
  <c r="A38" i="46" s="1"/>
  <c r="A38" i="47" s="1"/>
  <c r="A38" i="48" s="1"/>
  <c r="E37" i="35"/>
  <c r="K37" i="35" s="1"/>
  <c r="A37" i="35"/>
  <c r="A37" i="36" s="1"/>
  <c r="A37" i="37" s="1"/>
  <c r="A37" i="38" s="1"/>
  <c r="A37" i="39" s="1"/>
  <c r="A37" i="40" s="1"/>
  <c r="A37" i="41" s="1"/>
  <c r="A37" i="42" s="1"/>
  <c r="A37" i="43" s="1"/>
  <c r="A37" i="44" s="1"/>
  <c r="A37" i="45" s="1"/>
  <c r="A37" i="46" s="1"/>
  <c r="A37" i="47" s="1"/>
  <c r="A37" i="48" s="1"/>
  <c r="A35" i="35"/>
  <c r="A35" i="36" s="1"/>
  <c r="A35" i="37" s="1"/>
  <c r="A35" i="38" s="1"/>
  <c r="A35" i="39" s="1"/>
  <c r="A35" i="40" s="1"/>
  <c r="A35" i="41" s="1"/>
  <c r="A35" i="42" s="1"/>
  <c r="A35" i="43" s="1"/>
  <c r="A35" i="44" s="1"/>
  <c r="A35" i="45" s="1"/>
  <c r="A35" i="46" s="1"/>
  <c r="A35" i="47" s="1"/>
  <c r="A35" i="48" s="1"/>
  <c r="E33" i="35"/>
  <c r="E33" i="36" s="1"/>
  <c r="A33" i="35"/>
  <c r="A33" i="36" s="1"/>
  <c r="A33" i="37" s="1"/>
  <c r="A33" i="38" s="1"/>
  <c r="A33" i="39" s="1"/>
  <c r="A33" i="40" s="1"/>
  <c r="A33" i="41" s="1"/>
  <c r="A33" i="42" s="1"/>
  <c r="A33" i="43" s="1"/>
  <c r="A33" i="44" s="1"/>
  <c r="A33" i="45" s="1"/>
  <c r="A33" i="46" s="1"/>
  <c r="A33" i="47" s="1"/>
  <c r="A33" i="48" s="1"/>
  <c r="A32" i="35"/>
  <c r="A32" i="36" s="1"/>
  <c r="A32" i="37" s="1"/>
  <c r="A32" i="38" s="1"/>
  <c r="A32" i="39" s="1"/>
  <c r="A32" i="40" s="1"/>
  <c r="A32" i="41" s="1"/>
  <c r="A32" i="42" s="1"/>
  <c r="A32" i="43" s="1"/>
  <c r="A32" i="44" s="1"/>
  <c r="A32" i="45" s="1"/>
  <c r="A32" i="46" s="1"/>
  <c r="A32" i="47" s="1"/>
  <c r="A32" i="48" s="1"/>
  <c r="A31" i="35"/>
  <c r="A31" i="36" s="1"/>
  <c r="A31" i="37" s="1"/>
  <c r="A31" i="38" s="1"/>
  <c r="A31" i="39" s="1"/>
  <c r="A31" i="40" s="1"/>
  <c r="A31" i="41" s="1"/>
  <c r="A31" i="42" s="1"/>
  <c r="A31" i="43" s="1"/>
  <c r="A31" i="44" s="1"/>
  <c r="A31" i="45" s="1"/>
  <c r="A31" i="46" s="1"/>
  <c r="A31" i="47" s="1"/>
  <c r="A31" i="48" s="1"/>
  <c r="A30" i="35"/>
  <c r="A30" i="36" s="1"/>
  <c r="A30" i="37" s="1"/>
  <c r="A30" i="38" s="1"/>
  <c r="A30" i="39" s="1"/>
  <c r="A30" i="40" s="1"/>
  <c r="A30" i="41" s="1"/>
  <c r="A30" i="42" s="1"/>
  <c r="A30" i="43" s="1"/>
  <c r="A30" i="44" s="1"/>
  <c r="A30" i="45" s="1"/>
  <c r="A30" i="46" s="1"/>
  <c r="A30" i="47" s="1"/>
  <c r="A30" i="48" s="1"/>
  <c r="E29" i="35"/>
  <c r="K29" i="35" s="1"/>
  <c r="A29" i="35"/>
  <c r="A29" i="36" s="1"/>
  <c r="A29" i="37" s="1"/>
  <c r="A29" i="38" s="1"/>
  <c r="A29" i="39" s="1"/>
  <c r="A29" i="40" s="1"/>
  <c r="A29" i="41" s="1"/>
  <c r="A29" i="42" s="1"/>
  <c r="A29" i="43" s="1"/>
  <c r="A29" i="44" s="1"/>
  <c r="A29" i="45" s="1"/>
  <c r="A29" i="46" s="1"/>
  <c r="A29" i="47" s="1"/>
  <c r="A29" i="48" s="1"/>
  <c r="A27" i="35"/>
  <c r="A27" i="36" s="1"/>
  <c r="A27" i="37" s="1"/>
  <c r="A27" i="38" s="1"/>
  <c r="A27" i="39" s="1"/>
  <c r="A27" i="40" s="1"/>
  <c r="A27" i="41" s="1"/>
  <c r="A27" i="42" s="1"/>
  <c r="A27" i="43" s="1"/>
  <c r="A27" i="44" s="1"/>
  <c r="A27" i="45" s="1"/>
  <c r="A27" i="46" s="1"/>
  <c r="A27" i="47" s="1"/>
  <c r="A27" i="48" s="1"/>
  <c r="E25" i="35"/>
  <c r="E25" i="36" s="1"/>
  <c r="A25" i="35"/>
  <c r="A25" i="36" s="1"/>
  <c r="A25" i="37" s="1"/>
  <c r="A25" i="38" s="1"/>
  <c r="A25" i="39" s="1"/>
  <c r="A25" i="40" s="1"/>
  <c r="A25" i="41" s="1"/>
  <c r="A25" i="42" s="1"/>
  <c r="A25" i="43" s="1"/>
  <c r="A25" i="44" s="1"/>
  <c r="A25" i="45" s="1"/>
  <c r="A25" i="46" s="1"/>
  <c r="A25" i="47" s="1"/>
  <c r="A25" i="48" s="1"/>
  <c r="A24" i="35"/>
  <c r="A24" i="36" s="1"/>
  <c r="A24" i="37" s="1"/>
  <c r="A24" i="38" s="1"/>
  <c r="A24" i="39" s="1"/>
  <c r="A24" i="40" s="1"/>
  <c r="A24" i="41" s="1"/>
  <c r="A24" i="42" s="1"/>
  <c r="A24" i="43" s="1"/>
  <c r="A24" i="44" s="1"/>
  <c r="A24" i="45" s="1"/>
  <c r="A24" i="46" s="1"/>
  <c r="A24" i="47" s="1"/>
  <c r="A24" i="48" s="1"/>
  <c r="I23" i="33"/>
  <c r="M23" i="33" s="1"/>
  <c r="M23" i="34"/>
  <c r="A23" i="35"/>
  <c r="A23" i="36" s="1"/>
  <c r="A23" i="37" s="1"/>
  <c r="A23" i="38" s="1"/>
  <c r="A23" i="39" s="1"/>
  <c r="A23" i="40" s="1"/>
  <c r="A23" i="41" s="1"/>
  <c r="A23" i="42" s="1"/>
  <c r="A23" i="43" s="1"/>
  <c r="A23" i="44" s="1"/>
  <c r="A23" i="45" s="1"/>
  <c r="A23" i="46" s="1"/>
  <c r="A23" i="47" s="1"/>
  <c r="A23" i="48" s="1"/>
  <c r="C22" i="35"/>
  <c r="C22" i="36" s="1"/>
  <c r="A22" i="35"/>
  <c r="A22" i="36" s="1"/>
  <c r="A22" i="37" s="1"/>
  <c r="A22" i="38" s="1"/>
  <c r="A22" i="39" s="1"/>
  <c r="A22" i="40" s="1"/>
  <c r="A22" i="41" s="1"/>
  <c r="A22" i="42" s="1"/>
  <c r="A22" i="43" s="1"/>
  <c r="A22" i="44" s="1"/>
  <c r="A22" i="45" s="1"/>
  <c r="A22" i="46" s="1"/>
  <c r="A22" i="47" s="1"/>
  <c r="A22" i="48" s="1"/>
  <c r="E21" i="35"/>
  <c r="E21" i="36" s="1"/>
  <c r="A21" i="35"/>
  <c r="A21" i="36" s="1"/>
  <c r="A21" i="37" s="1"/>
  <c r="A21" i="38" s="1"/>
  <c r="A21" i="39" s="1"/>
  <c r="A21" i="40" s="1"/>
  <c r="A21" i="41" s="1"/>
  <c r="A21" i="42" s="1"/>
  <c r="A21" i="43" s="1"/>
  <c r="A21" i="44" s="1"/>
  <c r="A21" i="45" s="1"/>
  <c r="A21" i="46" s="1"/>
  <c r="A21" i="47" s="1"/>
  <c r="A21" i="48" s="1"/>
  <c r="A19" i="35"/>
  <c r="A19" i="36" s="1"/>
  <c r="A19" i="37" s="1"/>
  <c r="A19" i="38" s="1"/>
  <c r="A19" i="39" s="1"/>
  <c r="A19" i="40" s="1"/>
  <c r="A19" i="41" s="1"/>
  <c r="A19" i="42" s="1"/>
  <c r="A19" i="43" s="1"/>
  <c r="A19" i="44" s="1"/>
  <c r="A19" i="45" s="1"/>
  <c r="A19" i="46" s="1"/>
  <c r="A19" i="47" s="1"/>
  <c r="A19" i="48" s="1"/>
  <c r="E17" i="35"/>
  <c r="E17" i="36" s="1"/>
  <c r="A17" i="35"/>
  <c r="A17" i="36" s="1"/>
  <c r="A17" i="37" s="1"/>
  <c r="A17" i="38" s="1"/>
  <c r="A17" i="39" s="1"/>
  <c r="A17" i="40" s="1"/>
  <c r="A17" i="41" s="1"/>
  <c r="A17" i="42" s="1"/>
  <c r="A17" i="43" s="1"/>
  <c r="A17" i="44" s="1"/>
  <c r="A17" i="45" s="1"/>
  <c r="A17" i="46" s="1"/>
  <c r="A17" i="47" s="1"/>
  <c r="A17" i="48" s="1"/>
  <c r="E16" i="35"/>
  <c r="K16" i="35" s="1"/>
  <c r="A16" i="35"/>
  <c r="A16" i="36" s="1"/>
  <c r="A16" i="37" s="1"/>
  <c r="A16" i="38" s="1"/>
  <c r="A16" i="39" s="1"/>
  <c r="A16" i="40" s="1"/>
  <c r="A16" i="41" s="1"/>
  <c r="A16" i="42" s="1"/>
  <c r="A16" i="43" s="1"/>
  <c r="A16" i="44" s="1"/>
  <c r="A16" i="45" s="1"/>
  <c r="A16" i="46" s="1"/>
  <c r="A16" i="47" s="1"/>
  <c r="A16" i="48" s="1"/>
  <c r="E15" i="35"/>
  <c r="E15" i="36" s="1"/>
  <c r="A15" i="35"/>
  <c r="A15" i="36" s="1"/>
  <c r="A15" i="37" s="1"/>
  <c r="A15" i="38" s="1"/>
  <c r="A15" i="39" s="1"/>
  <c r="A15" i="40" s="1"/>
  <c r="A15" i="41" s="1"/>
  <c r="A15" i="42" s="1"/>
  <c r="A15" i="43" s="1"/>
  <c r="A15" i="44" s="1"/>
  <c r="A15" i="45" s="1"/>
  <c r="A15" i="46" s="1"/>
  <c r="A15" i="47" s="1"/>
  <c r="A15" i="48" s="1"/>
  <c r="I14" i="33"/>
  <c r="M14" i="33" s="1"/>
  <c r="C14" i="35"/>
  <c r="I14" i="35" s="1"/>
  <c r="M14" i="35" s="1"/>
  <c r="E13" i="35"/>
  <c r="K13" i="35" s="1"/>
  <c r="A13" i="35"/>
  <c r="A13" i="36" s="1"/>
  <c r="A13" i="37" s="1"/>
  <c r="A13" i="38" s="1"/>
  <c r="A13" i="39" s="1"/>
  <c r="A13" i="40" s="1"/>
  <c r="A13" i="41" s="1"/>
  <c r="A13" i="42" s="1"/>
  <c r="A13" i="43" s="1"/>
  <c r="A13" i="44" s="1"/>
  <c r="A13" i="45" s="1"/>
  <c r="A13" i="46" s="1"/>
  <c r="A13" i="47" s="1"/>
  <c r="A13" i="48" s="1"/>
  <c r="E11" i="35"/>
  <c r="K11" i="35" s="1"/>
  <c r="A11" i="35"/>
  <c r="A11" i="36" s="1"/>
  <c r="A11" i="37" s="1"/>
  <c r="A11" i="38" s="1"/>
  <c r="A11" i="39" s="1"/>
  <c r="A11" i="40" s="1"/>
  <c r="A11" i="41" s="1"/>
  <c r="A11" i="42" s="1"/>
  <c r="A11" i="43" s="1"/>
  <c r="A11" i="44" s="1"/>
  <c r="A11" i="45" s="1"/>
  <c r="A11" i="46" s="1"/>
  <c r="A11" i="47" s="1"/>
  <c r="A11" i="48" s="1"/>
  <c r="A10" i="35"/>
  <c r="A10" i="36" s="1"/>
  <c r="A10" i="37" s="1"/>
  <c r="A10" i="38" s="1"/>
  <c r="A10" i="39" s="1"/>
  <c r="A10" i="40" s="1"/>
  <c r="A10" i="41" s="1"/>
  <c r="A10" i="42" s="1"/>
  <c r="A10" i="43" s="1"/>
  <c r="A10" i="44" s="1"/>
  <c r="A10" i="45" s="1"/>
  <c r="A10" i="46" s="1"/>
  <c r="A10" i="47" s="1"/>
  <c r="A10" i="48" s="1"/>
  <c r="E9" i="35"/>
  <c r="K9" i="35" s="1"/>
  <c r="A9" i="35"/>
  <c r="A9" i="36" s="1"/>
  <c r="A9" i="37" s="1"/>
  <c r="A9" i="38" s="1"/>
  <c r="A9" i="39" s="1"/>
  <c r="A9" i="40" s="1"/>
  <c r="A9" i="41" s="1"/>
  <c r="A9" i="42" s="1"/>
  <c r="A9" i="43" s="1"/>
  <c r="A9" i="44" s="1"/>
  <c r="A9" i="45" s="1"/>
  <c r="A9" i="46" s="1"/>
  <c r="A9" i="47" s="1"/>
  <c r="A9" i="48" s="1"/>
  <c r="A5" i="33"/>
  <c r="A2" i="33"/>
  <c r="A5" i="31"/>
  <c r="A2" i="31"/>
  <c r="E290" i="38" l="1"/>
  <c r="C290" i="39"/>
  <c r="A292" i="37"/>
  <c r="B292" i="37"/>
  <c r="E107" i="35"/>
  <c r="E107" i="36" s="1"/>
  <c r="E57" i="35"/>
  <c r="K57" i="35" s="1"/>
  <c r="E49" i="35"/>
  <c r="E49" i="36" s="1"/>
  <c r="E73" i="35"/>
  <c r="E73" i="36" s="1"/>
  <c r="E89" i="35"/>
  <c r="E89" i="36" s="1"/>
  <c r="E34" i="35"/>
  <c r="E34" i="36" s="1"/>
  <c r="E18" i="35"/>
  <c r="E18" i="36" s="1"/>
  <c r="E81" i="35"/>
  <c r="K81" i="35" s="1"/>
  <c r="E99" i="35"/>
  <c r="E99" i="36" s="1"/>
  <c r="E105" i="35"/>
  <c r="E105" i="36" s="1"/>
  <c r="E115" i="35"/>
  <c r="E115" i="36" s="1"/>
  <c r="E26" i="35"/>
  <c r="E26" i="36" s="1"/>
  <c r="E65" i="35"/>
  <c r="K65" i="35" s="1"/>
  <c r="E97" i="35"/>
  <c r="E97" i="36" s="1"/>
  <c r="E104" i="35"/>
  <c r="E104" i="36" s="1"/>
  <c r="K104" i="36" s="1"/>
  <c r="E102" i="35"/>
  <c r="K102" i="35" s="1"/>
  <c r="E43" i="35"/>
  <c r="E43" i="36" s="1"/>
  <c r="E75" i="35"/>
  <c r="K75" i="35" s="1"/>
  <c r="E86" i="35"/>
  <c r="E86" i="36" s="1"/>
  <c r="E88" i="35"/>
  <c r="E88" i="36" s="1"/>
  <c r="E88" i="37" s="1"/>
  <c r="E92" i="36"/>
  <c r="K92" i="36" s="1"/>
  <c r="K92" i="35"/>
  <c r="E28" i="35"/>
  <c r="K28" i="35" s="1"/>
  <c r="E59" i="35"/>
  <c r="K59" i="35" s="1"/>
  <c r="E20" i="35"/>
  <c r="E20" i="36" s="1"/>
  <c r="E36" i="35"/>
  <c r="E36" i="36" s="1"/>
  <c r="E51" i="35"/>
  <c r="K51" i="35" s="1"/>
  <c r="E67" i="35"/>
  <c r="K67" i="35" s="1"/>
  <c r="E68" i="36"/>
  <c r="K68" i="36" s="1"/>
  <c r="E113" i="35"/>
  <c r="K113" i="35" s="1"/>
  <c r="E11" i="36"/>
  <c r="K11" i="36" s="1"/>
  <c r="E60" i="36"/>
  <c r="K60" i="36" s="1"/>
  <c r="E100" i="36"/>
  <c r="K100" i="36" s="1"/>
  <c r="I22" i="35"/>
  <c r="M22" i="35" s="1"/>
  <c r="E83" i="35"/>
  <c r="K83" i="35" s="1"/>
  <c r="E91" i="35"/>
  <c r="E91" i="36" s="1"/>
  <c r="K106" i="35"/>
  <c r="E13" i="36"/>
  <c r="E13" i="37" s="1"/>
  <c r="E37" i="36"/>
  <c r="K37" i="36" s="1"/>
  <c r="E116" i="36"/>
  <c r="E116" i="37" s="1"/>
  <c r="K15" i="35"/>
  <c r="K110" i="35"/>
  <c r="E110" i="36"/>
  <c r="E110" i="37" s="1"/>
  <c r="K21" i="35"/>
  <c r="K52" i="35"/>
  <c r="K82" i="35"/>
  <c r="K84" i="35"/>
  <c r="K98" i="35"/>
  <c r="K114" i="35"/>
  <c r="C14" i="36"/>
  <c r="I14" i="36" s="1"/>
  <c r="M14" i="36" s="1"/>
  <c r="E29" i="36"/>
  <c r="E29" i="37" s="1"/>
  <c r="E44" i="36"/>
  <c r="K44" i="36" s="1"/>
  <c r="E76" i="36"/>
  <c r="E76" i="37" s="1"/>
  <c r="E108" i="36"/>
  <c r="K108" i="36" s="1"/>
  <c r="K90" i="35"/>
  <c r="E16" i="36"/>
  <c r="K16" i="36" s="1"/>
  <c r="K94" i="35"/>
  <c r="E94" i="36"/>
  <c r="K94" i="36" s="1"/>
  <c r="E10" i="35"/>
  <c r="E78" i="35"/>
  <c r="D110" i="36"/>
  <c r="J110" i="35"/>
  <c r="N110" i="35" s="1"/>
  <c r="E47" i="35"/>
  <c r="N102" i="34"/>
  <c r="N110" i="34"/>
  <c r="M114" i="34"/>
  <c r="C114" i="35"/>
  <c r="E129" i="35"/>
  <c r="E137" i="35"/>
  <c r="E14" i="35"/>
  <c r="C154" i="36"/>
  <c r="C186" i="36"/>
  <c r="C218" i="36"/>
  <c r="C265" i="36"/>
  <c r="E35" i="35"/>
  <c r="K41" i="36"/>
  <c r="E41" i="37"/>
  <c r="K72" i="36"/>
  <c r="E72" i="37"/>
  <c r="K82" i="36"/>
  <c r="E82" i="37"/>
  <c r="K90" i="36"/>
  <c r="E90" i="37"/>
  <c r="K98" i="36"/>
  <c r="E98" i="37"/>
  <c r="K106" i="36"/>
  <c r="E106" i="37"/>
  <c r="I108" i="33"/>
  <c r="M108" i="33" s="1"/>
  <c r="I112" i="33"/>
  <c r="M112" i="33" s="1"/>
  <c r="I116" i="33"/>
  <c r="M116" i="33" s="1"/>
  <c r="E126" i="35"/>
  <c r="C148" i="36"/>
  <c r="E151" i="35"/>
  <c r="C156" i="36"/>
  <c r="E159" i="35"/>
  <c r="E161" i="35"/>
  <c r="E163" i="35"/>
  <c r="E165" i="35"/>
  <c r="E169" i="35"/>
  <c r="E175" i="35"/>
  <c r="E181" i="35"/>
  <c r="E183" i="35"/>
  <c r="E187" i="35"/>
  <c r="E189" i="35"/>
  <c r="E196" i="35"/>
  <c r="E198" i="35"/>
  <c r="E200" i="35"/>
  <c r="E202" i="35"/>
  <c r="E204" i="35"/>
  <c r="E206" i="35"/>
  <c r="E208" i="35"/>
  <c r="E210" i="35"/>
  <c r="E214" i="35"/>
  <c r="E216" i="35"/>
  <c r="E219" i="35"/>
  <c r="E223" i="35"/>
  <c r="E227" i="35"/>
  <c r="E229" i="35"/>
  <c r="E231" i="35"/>
  <c r="E233" i="35"/>
  <c r="E239" i="35"/>
  <c r="E241" i="35"/>
  <c r="E242" i="35"/>
  <c r="E244" i="35"/>
  <c r="E254" i="35"/>
  <c r="E258" i="35"/>
  <c r="E260" i="35"/>
  <c r="E262" i="35"/>
  <c r="E264" i="35"/>
  <c r="E266" i="35"/>
  <c r="E274" i="35"/>
  <c r="E276" i="35"/>
  <c r="E278" i="35"/>
  <c r="E284" i="35"/>
  <c r="E286" i="35"/>
  <c r="C134" i="36"/>
  <c r="C166" i="36"/>
  <c r="C182" i="36"/>
  <c r="C215" i="36"/>
  <c r="C245" i="36"/>
  <c r="E23" i="35"/>
  <c r="E54" i="35"/>
  <c r="E70" i="35"/>
  <c r="E8" i="35"/>
  <c r="E24" i="35"/>
  <c r="E40" i="35"/>
  <c r="E55" i="35"/>
  <c r="E71" i="35"/>
  <c r="N100" i="34"/>
  <c r="D100" i="35"/>
  <c r="N108" i="34"/>
  <c r="D108" i="35"/>
  <c r="N116" i="34"/>
  <c r="D116" i="35"/>
  <c r="E124" i="35"/>
  <c r="E133" i="35"/>
  <c r="E141" i="35"/>
  <c r="E149" i="35"/>
  <c r="E157" i="35"/>
  <c r="C23" i="35"/>
  <c r="C130" i="36"/>
  <c r="C146" i="36"/>
  <c r="C162" i="36"/>
  <c r="C195" i="36"/>
  <c r="C211" i="36"/>
  <c r="C226" i="36"/>
  <c r="C257" i="36"/>
  <c r="C273" i="36"/>
  <c r="C289" i="36"/>
  <c r="E31" i="35"/>
  <c r="E46" i="35"/>
  <c r="E62" i="35"/>
  <c r="D102" i="36"/>
  <c r="J102" i="35"/>
  <c r="N102" i="35" s="1"/>
  <c r="E32" i="35"/>
  <c r="E63" i="35"/>
  <c r="E79" i="35"/>
  <c r="M82" i="34"/>
  <c r="C82" i="35"/>
  <c r="E87" i="35"/>
  <c r="E95" i="35"/>
  <c r="E103" i="35"/>
  <c r="M106" i="34"/>
  <c r="C106" i="35"/>
  <c r="E111" i="35"/>
  <c r="E120" i="35"/>
  <c r="E145" i="35"/>
  <c r="E153" i="35"/>
  <c r="C121" i="36"/>
  <c r="C138" i="36"/>
  <c r="C170" i="36"/>
  <c r="C203" i="36"/>
  <c r="C234" i="36"/>
  <c r="C249" i="36"/>
  <c r="C281" i="36"/>
  <c r="K15" i="36"/>
  <c r="E15" i="37"/>
  <c r="E19" i="35"/>
  <c r="K25" i="36"/>
  <c r="E25" i="37"/>
  <c r="E50" i="35"/>
  <c r="K56" i="36"/>
  <c r="E56" i="37"/>
  <c r="E66" i="35"/>
  <c r="I100" i="33"/>
  <c r="M100" i="33" s="1"/>
  <c r="I104" i="33"/>
  <c r="M104" i="33" s="1"/>
  <c r="K114" i="36"/>
  <c r="E114" i="37"/>
  <c r="E118" i="35"/>
  <c r="C123" i="36"/>
  <c r="C132" i="36"/>
  <c r="E135" i="35"/>
  <c r="C140" i="36"/>
  <c r="E143" i="35"/>
  <c r="E167" i="35"/>
  <c r="E171" i="35"/>
  <c r="E173" i="35"/>
  <c r="E177" i="35"/>
  <c r="E179" i="35"/>
  <c r="E185" i="35"/>
  <c r="E191" i="35"/>
  <c r="E194" i="35"/>
  <c r="E212" i="35"/>
  <c r="E221" i="35"/>
  <c r="E225" i="35"/>
  <c r="E235" i="35"/>
  <c r="E237" i="35"/>
  <c r="E246" i="35"/>
  <c r="E248" i="35"/>
  <c r="E250" i="35"/>
  <c r="E252" i="35"/>
  <c r="E256" i="35"/>
  <c r="E268" i="35"/>
  <c r="E270" i="35"/>
  <c r="E272" i="35"/>
  <c r="E280" i="35"/>
  <c r="E282" i="35"/>
  <c r="E288" i="35"/>
  <c r="C150" i="36"/>
  <c r="C199" i="36"/>
  <c r="C230" i="36"/>
  <c r="C261" i="36"/>
  <c r="E39" i="35"/>
  <c r="E12" i="35"/>
  <c r="K17" i="36"/>
  <c r="E17" i="37"/>
  <c r="I22" i="36"/>
  <c r="M22" i="36" s="1"/>
  <c r="C22" i="37"/>
  <c r="E27" i="35"/>
  <c r="K33" i="36"/>
  <c r="E33" i="37"/>
  <c r="E42" i="35"/>
  <c r="K48" i="36"/>
  <c r="E48" i="37"/>
  <c r="E58" i="35"/>
  <c r="K64" i="36"/>
  <c r="E64" i="37"/>
  <c r="E74" i="35"/>
  <c r="K80" i="36"/>
  <c r="E80" i="37"/>
  <c r="K96" i="36"/>
  <c r="E96" i="37"/>
  <c r="I102" i="33"/>
  <c r="M102" i="33" s="1"/>
  <c r="I110" i="33"/>
  <c r="M110" i="33" s="1"/>
  <c r="K112" i="36"/>
  <c r="E112" i="37"/>
  <c r="C119" i="36"/>
  <c r="E122" i="35"/>
  <c r="C127" i="36"/>
  <c r="E131" i="35"/>
  <c r="C136" i="36"/>
  <c r="E139" i="35"/>
  <c r="C144" i="36"/>
  <c r="E147" i="35"/>
  <c r="C152" i="36"/>
  <c r="E155" i="35"/>
  <c r="C160" i="36"/>
  <c r="C164" i="36"/>
  <c r="C168" i="36"/>
  <c r="C172" i="36"/>
  <c r="C176" i="36"/>
  <c r="C180" i="36"/>
  <c r="C184" i="36"/>
  <c r="C188" i="36"/>
  <c r="C192" i="36"/>
  <c r="C197" i="36"/>
  <c r="C201" i="36"/>
  <c r="C205" i="36"/>
  <c r="C209" i="36"/>
  <c r="C213" i="36"/>
  <c r="C217" i="36"/>
  <c r="C220" i="36"/>
  <c r="C224" i="36"/>
  <c r="C228" i="36"/>
  <c r="C232" i="36"/>
  <c r="C236" i="36"/>
  <c r="C240" i="36"/>
  <c r="C243" i="36"/>
  <c r="C247" i="36"/>
  <c r="C251" i="36"/>
  <c r="C255" i="36"/>
  <c r="C259" i="36"/>
  <c r="C263" i="36"/>
  <c r="C267" i="36"/>
  <c r="C271" i="36"/>
  <c r="C275" i="36"/>
  <c r="C279" i="36"/>
  <c r="C283" i="36"/>
  <c r="C287" i="36"/>
  <c r="C292" i="36"/>
  <c r="C125" i="36"/>
  <c r="C142" i="36"/>
  <c r="C158" i="36"/>
  <c r="C174" i="36"/>
  <c r="C190" i="36"/>
  <c r="C207" i="36"/>
  <c r="C222" i="36"/>
  <c r="C238" i="36"/>
  <c r="C253" i="36"/>
  <c r="C269" i="36"/>
  <c r="C285" i="36"/>
  <c r="C120" i="36"/>
  <c r="C124" i="36"/>
  <c r="C129" i="36"/>
  <c r="C133" i="36"/>
  <c r="C141" i="36"/>
  <c r="C149" i="36"/>
  <c r="C153" i="36"/>
  <c r="C157" i="36"/>
  <c r="C161" i="36"/>
  <c r="C165" i="36"/>
  <c r="C173" i="36"/>
  <c r="C194" i="36"/>
  <c r="C198" i="36"/>
  <c r="C202" i="36"/>
  <c r="C214" i="36"/>
  <c r="C221" i="36"/>
  <c r="C225" i="36"/>
  <c r="C229" i="36"/>
  <c r="C237" i="36"/>
  <c r="I237" i="35"/>
  <c r="M237" i="35" s="1"/>
  <c r="C241" i="36"/>
  <c r="C252" i="36"/>
  <c r="C256" i="36"/>
  <c r="C268" i="36"/>
  <c r="C272" i="36"/>
  <c r="C280" i="36"/>
  <c r="C284" i="36"/>
  <c r="C288" i="36"/>
  <c r="C135" i="37"/>
  <c r="C151" i="37"/>
  <c r="C155" i="37"/>
  <c r="C171" i="37"/>
  <c r="C175" i="37"/>
  <c r="C183" i="37"/>
  <c r="C196" i="37"/>
  <c r="C200" i="37"/>
  <c r="C204" i="37"/>
  <c r="C219" i="37"/>
  <c r="C223" i="37"/>
  <c r="C227" i="37"/>
  <c r="C231" i="37"/>
  <c r="C235" i="37"/>
  <c r="C239" i="37"/>
  <c r="C242" i="37"/>
  <c r="C246" i="37"/>
  <c r="C254" i="37"/>
  <c r="C258" i="37"/>
  <c r="C274" i="37"/>
  <c r="C282" i="37"/>
  <c r="C286" i="37"/>
  <c r="I22" i="33"/>
  <c r="M22" i="33" s="1"/>
  <c r="I101" i="33"/>
  <c r="M101" i="33" s="1"/>
  <c r="I103" i="33"/>
  <c r="M103" i="33" s="1"/>
  <c r="I105" i="33"/>
  <c r="M105" i="33" s="1"/>
  <c r="I107" i="33"/>
  <c r="M107" i="33" s="1"/>
  <c r="I109" i="33"/>
  <c r="M109" i="33" s="1"/>
  <c r="I111" i="33"/>
  <c r="M111" i="33" s="1"/>
  <c r="I113" i="33"/>
  <c r="M113" i="33" s="1"/>
  <c r="I115" i="33"/>
  <c r="M115" i="33" s="1"/>
  <c r="I117" i="33"/>
  <c r="M117" i="33" s="1"/>
  <c r="M22" i="34"/>
  <c r="E121" i="35"/>
  <c r="E125" i="35"/>
  <c r="E130" i="35"/>
  <c r="E134" i="35"/>
  <c r="E138" i="35"/>
  <c r="E142" i="35"/>
  <c r="E146" i="35"/>
  <c r="E150" i="35"/>
  <c r="E154" i="35"/>
  <c r="E158" i="35"/>
  <c r="E162" i="35"/>
  <c r="E166" i="35"/>
  <c r="E170" i="35"/>
  <c r="E174" i="35"/>
  <c r="E178" i="35"/>
  <c r="E182" i="35"/>
  <c r="E186" i="35"/>
  <c r="E190" i="35"/>
  <c r="E195" i="35"/>
  <c r="E199" i="35"/>
  <c r="E203" i="35"/>
  <c r="E207" i="35"/>
  <c r="E211" i="35"/>
  <c r="E215" i="35"/>
  <c r="E218" i="35"/>
  <c r="E222" i="35"/>
  <c r="E226" i="35"/>
  <c r="E230" i="35"/>
  <c r="E234" i="35"/>
  <c r="E238" i="35"/>
  <c r="E245" i="35"/>
  <c r="E249" i="35"/>
  <c r="E253" i="35"/>
  <c r="E257" i="35"/>
  <c r="E261" i="35"/>
  <c r="E265" i="35"/>
  <c r="E269" i="35"/>
  <c r="E273" i="35"/>
  <c r="E277" i="35"/>
  <c r="E281" i="35"/>
  <c r="E285" i="35"/>
  <c r="E289" i="35"/>
  <c r="K17" i="35"/>
  <c r="K25" i="35"/>
  <c r="K33" i="35"/>
  <c r="K41" i="35"/>
  <c r="K48" i="35"/>
  <c r="K56" i="35"/>
  <c r="K64" i="35"/>
  <c r="K72" i="35"/>
  <c r="K80" i="35"/>
  <c r="K96" i="35"/>
  <c r="K112" i="35"/>
  <c r="E9" i="36"/>
  <c r="C137" i="36"/>
  <c r="C145" i="36"/>
  <c r="C181" i="36"/>
  <c r="C185" i="36"/>
  <c r="C189" i="36"/>
  <c r="C206" i="36"/>
  <c r="C210" i="36"/>
  <c r="C233" i="36"/>
  <c r="C244" i="36"/>
  <c r="C248" i="36"/>
  <c r="C260" i="36"/>
  <c r="C264" i="36"/>
  <c r="C276" i="36"/>
  <c r="K21" i="36"/>
  <c r="E21" i="37"/>
  <c r="K52" i="36"/>
  <c r="E52" i="37"/>
  <c r="K84" i="36"/>
  <c r="E84" i="37"/>
  <c r="C118" i="37"/>
  <c r="C122" i="37"/>
  <c r="C131" i="37"/>
  <c r="C139" i="37"/>
  <c r="C143" i="37"/>
  <c r="C147" i="37"/>
  <c r="C159" i="37"/>
  <c r="C163" i="37"/>
  <c r="C167" i="37"/>
  <c r="C187" i="37"/>
  <c r="C208" i="37"/>
  <c r="C216" i="37"/>
  <c r="C250" i="37"/>
  <c r="C262" i="37"/>
  <c r="C266" i="37"/>
  <c r="C270" i="37"/>
  <c r="D101" i="35"/>
  <c r="N101" i="34"/>
  <c r="J102" i="33"/>
  <c r="N102" i="33" s="1"/>
  <c r="D103" i="35"/>
  <c r="N103" i="34"/>
  <c r="D105" i="35"/>
  <c r="N105" i="34"/>
  <c r="D107" i="35"/>
  <c r="N107" i="34"/>
  <c r="D109" i="35"/>
  <c r="N109" i="34"/>
  <c r="J110" i="33"/>
  <c r="N110" i="33" s="1"/>
  <c r="D111" i="35"/>
  <c r="N111" i="34"/>
  <c r="D113" i="35"/>
  <c r="N113" i="34"/>
  <c r="D115" i="35"/>
  <c r="N115" i="34"/>
  <c r="D117" i="35"/>
  <c r="N117" i="34"/>
  <c r="M14" i="34"/>
  <c r="E22" i="35"/>
  <c r="E30" i="35"/>
  <c r="E38" i="35"/>
  <c r="E45" i="35"/>
  <c r="E53" i="35"/>
  <c r="E61" i="35"/>
  <c r="E69" i="35"/>
  <c r="E77" i="35"/>
  <c r="E85" i="35"/>
  <c r="E93" i="35"/>
  <c r="E101" i="35"/>
  <c r="E109" i="35"/>
  <c r="E117" i="35"/>
  <c r="E119" i="35"/>
  <c r="E123" i="35"/>
  <c r="E127" i="35"/>
  <c r="E132" i="35"/>
  <c r="E136" i="35"/>
  <c r="E140" i="35"/>
  <c r="E144" i="35"/>
  <c r="E148" i="35"/>
  <c r="E152" i="35"/>
  <c r="E156" i="35"/>
  <c r="E160" i="35"/>
  <c r="E164" i="35"/>
  <c r="E168" i="35"/>
  <c r="E172" i="35"/>
  <c r="E176" i="35"/>
  <c r="E180" i="35"/>
  <c r="E184" i="35"/>
  <c r="E188" i="35"/>
  <c r="E192" i="35"/>
  <c r="E197" i="35"/>
  <c r="E201" i="35"/>
  <c r="E205" i="35"/>
  <c r="E209" i="35"/>
  <c r="E213" i="35"/>
  <c r="E217" i="35"/>
  <c r="E220" i="35"/>
  <c r="E224" i="35"/>
  <c r="E228" i="35"/>
  <c r="E232" i="35"/>
  <c r="E236" i="35"/>
  <c r="E240" i="35"/>
  <c r="E243" i="35"/>
  <c r="E247" i="35"/>
  <c r="E251" i="35"/>
  <c r="E255" i="35"/>
  <c r="E259" i="35"/>
  <c r="E263" i="35"/>
  <c r="E267" i="35"/>
  <c r="E271" i="35"/>
  <c r="E275" i="35"/>
  <c r="E279" i="35"/>
  <c r="E283" i="35"/>
  <c r="E287" i="35"/>
  <c r="E292" i="35"/>
  <c r="K107" i="35" l="1"/>
  <c r="K18" i="35"/>
  <c r="K105" i="35"/>
  <c r="E92" i="37"/>
  <c r="E92" i="38" s="1"/>
  <c r="E65" i="36"/>
  <c r="E65" i="37" s="1"/>
  <c r="E113" i="36"/>
  <c r="K113" i="36" s="1"/>
  <c r="E83" i="36"/>
  <c r="E83" i="37" s="1"/>
  <c r="E59" i="36"/>
  <c r="E59" i="37" s="1"/>
  <c r="K34" i="35"/>
  <c r="E81" i="36"/>
  <c r="E81" i="37" s="1"/>
  <c r="K88" i="36"/>
  <c r="K110" i="36"/>
  <c r="C290" i="40"/>
  <c r="E290" i="39"/>
  <c r="K97" i="35"/>
  <c r="K73" i="35"/>
  <c r="K36" i="35"/>
  <c r="E57" i="36"/>
  <c r="E57" i="37" s="1"/>
  <c r="K104" i="35"/>
  <c r="E11" i="37"/>
  <c r="K11" i="37" s="1"/>
  <c r="B292" i="38"/>
  <c r="E60" i="37"/>
  <c r="E60" i="38" s="1"/>
  <c r="K76" i="36"/>
  <c r="K43" i="35"/>
  <c r="K89" i="35"/>
  <c r="C14" i="37"/>
  <c r="I14" i="37" s="1"/>
  <c r="M14" i="37" s="1"/>
  <c r="K115" i="35"/>
  <c r="E51" i="36"/>
  <c r="K51" i="36" s="1"/>
  <c r="K86" i="35"/>
  <c r="A292" i="38"/>
  <c r="K29" i="36"/>
  <c r="E100" i="37"/>
  <c r="E100" i="38" s="1"/>
  <c r="E37" i="37"/>
  <c r="K37" i="37" s="1"/>
  <c r="K99" i="35"/>
  <c r="E75" i="36"/>
  <c r="E75" i="37" s="1"/>
  <c r="E67" i="36"/>
  <c r="K67" i="36" s="1"/>
  <c r="K49" i="35"/>
  <c r="K88" i="35"/>
  <c r="E68" i="37"/>
  <c r="K68" i="37" s="1"/>
  <c r="K26" i="35"/>
  <c r="K13" i="36"/>
  <c r="K20" i="35"/>
  <c r="E102" i="36"/>
  <c r="K91" i="35"/>
  <c r="K86" i="36"/>
  <c r="E86" i="37"/>
  <c r="E86" i="38" s="1"/>
  <c r="K116" i="36"/>
  <c r="E44" i="37"/>
  <c r="E44" i="38" s="1"/>
  <c r="E104" i="37"/>
  <c r="E104" i="38" s="1"/>
  <c r="E28" i="36"/>
  <c r="K28" i="36" s="1"/>
  <c r="E16" i="37"/>
  <c r="K16" i="37" s="1"/>
  <c r="E108" i="37"/>
  <c r="K108" i="37" s="1"/>
  <c r="E94" i="37"/>
  <c r="K94" i="37" s="1"/>
  <c r="E267" i="36"/>
  <c r="E251" i="36"/>
  <c r="E220" i="36"/>
  <c r="E188" i="36"/>
  <c r="E156" i="36"/>
  <c r="E140" i="36"/>
  <c r="K101" i="35"/>
  <c r="E101" i="36"/>
  <c r="K69" i="35"/>
  <c r="E69" i="36"/>
  <c r="K38" i="35"/>
  <c r="E38" i="36"/>
  <c r="J103" i="35"/>
  <c r="N103" i="35" s="1"/>
  <c r="D103" i="36"/>
  <c r="C262" i="38"/>
  <c r="C208" i="38"/>
  <c r="C159" i="38"/>
  <c r="C143" i="38"/>
  <c r="C118" i="38"/>
  <c r="C233" i="37"/>
  <c r="C185" i="37"/>
  <c r="C137" i="37"/>
  <c r="E277" i="36"/>
  <c r="E245" i="36"/>
  <c r="E150" i="36"/>
  <c r="N112" i="34"/>
  <c r="D112" i="35"/>
  <c r="C113" i="35"/>
  <c r="M113" i="34"/>
  <c r="C105" i="35"/>
  <c r="M105" i="34"/>
  <c r="C283" i="37"/>
  <c r="C259" i="37"/>
  <c r="C243" i="37"/>
  <c r="C228" i="37"/>
  <c r="C197" i="37"/>
  <c r="C180" i="37"/>
  <c r="C164" i="37"/>
  <c r="E139" i="36"/>
  <c r="E122" i="36"/>
  <c r="E66" i="36"/>
  <c r="K66" i="35"/>
  <c r="C281" i="37"/>
  <c r="C234" i="37"/>
  <c r="C170" i="37"/>
  <c r="K31" i="35"/>
  <c r="E31" i="36"/>
  <c r="K54" i="35"/>
  <c r="E54" i="36"/>
  <c r="C245" i="37"/>
  <c r="C182" i="37"/>
  <c r="C134" i="37"/>
  <c r="E129" i="36"/>
  <c r="E263" i="36"/>
  <c r="E247" i="36"/>
  <c r="E217" i="36"/>
  <c r="E168" i="36"/>
  <c r="E136" i="36"/>
  <c r="K93" i="35"/>
  <c r="E93" i="36"/>
  <c r="J117" i="35"/>
  <c r="N117" i="35" s="1"/>
  <c r="D117" i="36"/>
  <c r="E116" i="38"/>
  <c r="K116" i="37"/>
  <c r="E89" i="37"/>
  <c r="K89" i="36"/>
  <c r="D106" i="35"/>
  <c r="N106" i="34"/>
  <c r="E265" i="36"/>
  <c r="E249" i="36"/>
  <c r="E218" i="36"/>
  <c r="E203" i="36"/>
  <c r="E186" i="36"/>
  <c r="E170" i="36"/>
  <c r="E138" i="36"/>
  <c r="C274" i="38"/>
  <c r="C242" i="38"/>
  <c r="C227" i="38"/>
  <c r="C200" i="38"/>
  <c r="C171" i="38"/>
  <c r="C284" i="37"/>
  <c r="C256" i="37"/>
  <c r="C229" i="37"/>
  <c r="C214" i="37"/>
  <c r="C165" i="37"/>
  <c r="C149" i="37"/>
  <c r="C133" i="37"/>
  <c r="C285" i="37"/>
  <c r="C253" i="37"/>
  <c r="C238" i="37"/>
  <c r="C207" i="37"/>
  <c r="C158" i="37"/>
  <c r="C125" i="37"/>
  <c r="C292" i="37"/>
  <c r="C205" i="37"/>
  <c r="C188" i="37"/>
  <c r="E112" i="38"/>
  <c r="K112" i="37"/>
  <c r="E96" i="38"/>
  <c r="K96" i="37"/>
  <c r="E80" i="38"/>
  <c r="K80" i="37"/>
  <c r="E48" i="38"/>
  <c r="K48" i="37"/>
  <c r="E17" i="38"/>
  <c r="K17" i="37"/>
  <c r="E288" i="36"/>
  <c r="E270" i="36"/>
  <c r="E246" i="36"/>
  <c r="E173" i="36"/>
  <c r="K111" i="35"/>
  <c r="E111" i="36"/>
  <c r="K103" i="35"/>
  <c r="E103" i="36"/>
  <c r="I82" i="35"/>
  <c r="M82" i="35" s="1"/>
  <c r="C82" i="36"/>
  <c r="E43" i="37"/>
  <c r="K43" i="36"/>
  <c r="E141" i="36"/>
  <c r="D108" i="36"/>
  <c r="J108" i="35"/>
  <c r="N108" i="35" s="1"/>
  <c r="E115" i="37"/>
  <c r="K115" i="36"/>
  <c r="E278" i="36"/>
  <c r="E274" i="36"/>
  <c r="E260" i="36"/>
  <c r="E242" i="36"/>
  <c r="E231" i="36"/>
  <c r="E219" i="36"/>
  <c r="E204" i="36"/>
  <c r="E196" i="36"/>
  <c r="E181" i="36"/>
  <c r="E159" i="36"/>
  <c r="E126" i="36"/>
  <c r="K106" i="37"/>
  <c r="E106" i="38"/>
  <c r="K14" i="35"/>
  <c r="E14" i="36"/>
  <c r="E292" i="36"/>
  <c r="E275" i="36"/>
  <c r="E259" i="36"/>
  <c r="E243" i="36"/>
  <c r="E228" i="36"/>
  <c r="E213" i="36"/>
  <c r="E197" i="36"/>
  <c r="E180" i="36"/>
  <c r="E164" i="36"/>
  <c r="E148" i="36"/>
  <c r="E132" i="36"/>
  <c r="K117" i="35"/>
  <c r="E117" i="36"/>
  <c r="K85" i="35"/>
  <c r="E85" i="36"/>
  <c r="K53" i="35"/>
  <c r="E53" i="36"/>
  <c r="K22" i="35"/>
  <c r="E22" i="36"/>
  <c r="J109" i="35"/>
  <c r="N109" i="35" s="1"/>
  <c r="D109" i="36"/>
  <c r="J105" i="35"/>
  <c r="N105" i="35" s="1"/>
  <c r="D105" i="36"/>
  <c r="C266" i="38"/>
  <c r="C250" i="38"/>
  <c r="C187" i="38"/>
  <c r="C163" i="38"/>
  <c r="C147" i="38"/>
  <c r="C139" i="38"/>
  <c r="C122" i="38"/>
  <c r="E29" i="38"/>
  <c r="K29" i="37"/>
  <c r="C276" i="37"/>
  <c r="C260" i="37"/>
  <c r="C244" i="37"/>
  <c r="C210" i="37"/>
  <c r="C189" i="37"/>
  <c r="C181" i="37"/>
  <c r="C145" i="37"/>
  <c r="E18" i="37"/>
  <c r="K18" i="36"/>
  <c r="E285" i="36"/>
  <c r="E269" i="36"/>
  <c r="E253" i="36"/>
  <c r="E238" i="36"/>
  <c r="E222" i="36"/>
  <c r="E207" i="36"/>
  <c r="E190" i="36"/>
  <c r="E174" i="36"/>
  <c r="E158" i="36"/>
  <c r="E142" i="36"/>
  <c r="E125" i="36"/>
  <c r="N104" i="34"/>
  <c r="D104" i="35"/>
  <c r="C115" i="35"/>
  <c r="M115" i="34"/>
  <c r="C111" i="35"/>
  <c r="M111" i="34"/>
  <c r="C107" i="35"/>
  <c r="M107" i="34"/>
  <c r="C103" i="35"/>
  <c r="M103" i="34"/>
  <c r="E76" i="38"/>
  <c r="K76" i="37"/>
  <c r="E34" i="37"/>
  <c r="K34" i="36"/>
  <c r="C279" i="37"/>
  <c r="C271" i="37"/>
  <c r="C240" i="37"/>
  <c r="C232" i="37"/>
  <c r="C224" i="37"/>
  <c r="C217" i="37"/>
  <c r="C209" i="37"/>
  <c r="C201" i="37"/>
  <c r="C192" i="37"/>
  <c r="C168" i="37"/>
  <c r="C152" i="37"/>
  <c r="C144" i="37"/>
  <c r="C136" i="37"/>
  <c r="C127" i="37"/>
  <c r="C119" i="37"/>
  <c r="E74" i="36"/>
  <c r="K74" i="35"/>
  <c r="E58" i="36"/>
  <c r="K58" i="35"/>
  <c r="K42" i="35"/>
  <c r="E42" i="36"/>
  <c r="K27" i="35"/>
  <c r="E27" i="36"/>
  <c r="C261" i="37"/>
  <c r="C230" i="37"/>
  <c r="C199" i="37"/>
  <c r="C150" i="37"/>
  <c r="E50" i="36"/>
  <c r="K50" i="35"/>
  <c r="E19" i="36"/>
  <c r="K19" i="35"/>
  <c r="C121" i="37"/>
  <c r="J102" i="36"/>
  <c r="N102" i="36" s="1"/>
  <c r="D102" i="37"/>
  <c r="K62" i="35"/>
  <c r="E62" i="36"/>
  <c r="K46" i="35"/>
  <c r="E46" i="36"/>
  <c r="C289" i="37"/>
  <c r="C273" i="37"/>
  <c r="C257" i="37"/>
  <c r="C226" i="37"/>
  <c r="C211" i="37"/>
  <c r="C195" i="37"/>
  <c r="C162" i="37"/>
  <c r="C146" i="37"/>
  <c r="C130" i="37"/>
  <c r="K70" i="35"/>
  <c r="E70" i="36"/>
  <c r="K35" i="35"/>
  <c r="E35" i="36"/>
  <c r="C265" i="37"/>
  <c r="C218" i="37"/>
  <c r="C186" i="37"/>
  <c r="C154" i="37"/>
  <c r="E137" i="36"/>
  <c r="I114" i="35"/>
  <c r="M114" i="35" s="1"/>
  <c r="C114" i="36"/>
  <c r="K10" i="35"/>
  <c r="E10" i="36"/>
  <c r="E283" i="36"/>
  <c r="E236" i="36"/>
  <c r="E205" i="36"/>
  <c r="E172" i="36"/>
  <c r="E123" i="36"/>
  <c r="J107" i="35"/>
  <c r="N107" i="35" s="1"/>
  <c r="D107" i="36"/>
  <c r="C270" i="38"/>
  <c r="C216" i="38"/>
  <c r="C167" i="38"/>
  <c r="C131" i="38"/>
  <c r="E52" i="38"/>
  <c r="K52" i="37"/>
  <c r="C264" i="37"/>
  <c r="C248" i="37"/>
  <c r="C206" i="37"/>
  <c r="D114" i="35"/>
  <c r="N114" i="34"/>
  <c r="E261" i="36"/>
  <c r="E230" i="36"/>
  <c r="E215" i="36"/>
  <c r="E199" i="36"/>
  <c r="E182" i="36"/>
  <c r="E166" i="36"/>
  <c r="E134" i="36"/>
  <c r="C117" i="35"/>
  <c r="M117" i="34"/>
  <c r="C109" i="35"/>
  <c r="M109" i="34"/>
  <c r="C101" i="35"/>
  <c r="M101" i="34"/>
  <c r="C267" i="37"/>
  <c r="C251" i="37"/>
  <c r="C236" i="37"/>
  <c r="C220" i="37"/>
  <c r="C213" i="37"/>
  <c r="C172" i="37"/>
  <c r="E155" i="36"/>
  <c r="E147" i="36"/>
  <c r="E131" i="36"/>
  <c r="K39" i="35"/>
  <c r="E39" i="36"/>
  <c r="C249" i="37"/>
  <c r="C203" i="37"/>
  <c r="C138" i="37"/>
  <c r="K23" i="35"/>
  <c r="E23" i="36"/>
  <c r="C215" i="37"/>
  <c r="C166" i="37"/>
  <c r="K47" i="35"/>
  <c r="E47" i="36"/>
  <c r="E279" i="36"/>
  <c r="E232" i="36"/>
  <c r="E201" i="36"/>
  <c r="E184" i="36"/>
  <c r="E152" i="36"/>
  <c r="E119" i="36"/>
  <c r="K61" i="35"/>
  <c r="E61" i="36"/>
  <c r="K30" i="35"/>
  <c r="E30" i="36"/>
  <c r="J113" i="35"/>
  <c r="N113" i="35" s="1"/>
  <c r="D113" i="36"/>
  <c r="E84" i="38"/>
  <c r="K84" i="37"/>
  <c r="E21" i="38"/>
  <c r="K21" i="37"/>
  <c r="E105" i="37"/>
  <c r="K105" i="36"/>
  <c r="E110" i="38"/>
  <c r="K110" i="37"/>
  <c r="E281" i="36"/>
  <c r="E234" i="36"/>
  <c r="E154" i="36"/>
  <c r="E121" i="36"/>
  <c r="C282" i="38"/>
  <c r="C254" i="38"/>
  <c r="C235" i="38"/>
  <c r="C219" i="38"/>
  <c r="C151" i="38"/>
  <c r="C272" i="37"/>
  <c r="C241" i="37"/>
  <c r="C221" i="37"/>
  <c r="C198" i="37"/>
  <c r="C173" i="37"/>
  <c r="C157" i="37"/>
  <c r="C124" i="37"/>
  <c r="E26" i="37"/>
  <c r="K26" i="36"/>
  <c r="C269" i="37"/>
  <c r="C222" i="37"/>
  <c r="C190" i="37"/>
  <c r="C174" i="37"/>
  <c r="C142" i="37"/>
  <c r="C275" i="37"/>
  <c r="K88" i="37"/>
  <c r="E88" i="38"/>
  <c r="E64" i="38"/>
  <c r="K64" i="37"/>
  <c r="E33" i="38"/>
  <c r="K33" i="37"/>
  <c r="C22" i="38"/>
  <c r="I22" i="37"/>
  <c r="M22" i="37" s="1"/>
  <c r="K13" i="37"/>
  <c r="E13" i="38"/>
  <c r="E99" i="37"/>
  <c r="K99" i="36"/>
  <c r="E280" i="36"/>
  <c r="E256" i="36"/>
  <c r="E250" i="36"/>
  <c r="E235" i="36"/>
  <c r="E221" i="36"/>
  <c r="E212" i="36"/>
  <c r="E191" i="36"/>
  <c r="E179" i="36"/>
  <c r="E167" i="36"/>
  <c r="C140" i="37"/>
  <c r="C132" i="37"/>
  <c r="E118" i="36"/>
  <c r="M104" i="34"/>
  <c r="C104" i="35"/>
  <c r="E145" i="36"/>
  <c r="E157" i="36"/>
  <c r="E124" i="36"/>
  <c r="E286" i="36"/>
  <c r="E264" i="36"/>
  <c r="E254" i="36"/>
  <c r="E239" i="36"/>
  <c r="E227" i="36"/>
  <c r="E214" i="36"/>
  <c r="E208" i="36"/>
  <c r="E200" i="36"/>
  <c r="E187" i="36"/>
  <c r="E169" i="36"/>
  <c r="E163" i="36"/>
  <c r="E151" i="36"/>
  <c r="M112" i="34"/>
  <c r="C112" i="35"/>
  <c r="K90" i="37"/>
  <c r="E90" i="38"/>
  <c r="E287" i="36"/>
  <c r="E271" i="36"/>
  <c r="E255" i="36"/>
  <c r="E240" i="36"/>
  <c r="E224" i="36"/>
  <c r="E209" i="36"/>
  <c r="E192" i="36"/>
  <c r="E176" i="36"/>
  <c r="E160" i="36"/>
  <c r="E144" i="36"/>
  <c r="E127" i="36"/>
  <c r="K109" i="35"/>
  <c r="E109" i="36"/>
  <c r="K77" i="35"/>
  <c r="E77" i="36"/>
  <c r="K45" i="35"/>
  <c r="E45" i="36"/>
  <c r="J115" i="35"/>
  <c r="N115" i="35" s="1"/>
  <c r="D115" i="36"/>
  <c r="J111" i="35"/>
  <c r="N111" i="35" s="1"/>
  <c r="D111" i="36"/>
  <c r="J101" i="35"/>
  <c r="N101" i="35" s="1"/>
  <c r="D101" i="36"/>
  <c r="E97" i="37"/>
  <c r="K97" i="36"/>
  <c r="E73" i="37"/>
  <c r="K73" i="36"/>
  <c r="E49" i="37"/>
  <c r="K49" i="36"/>
  <c r="K9" i="36"/>
  <c r="E9" i="37"/>
  <c r="E289" i="36"/>
  <c r="E273" i="36"/>
  <c r="E257" i="36"/>
  <c r="E226" i="36"/>
  <c r="E211" i="36"/>
  <c r="E195" i="36"/>
  <c r="E178" i="36"/>
  <c r="E162" i="36"/>
  <c r="E146" i="36"/>
  <c r="E130" i="36"/>
  <c r="C286" i="38"/>
  <c r="C258" i="38"/>
  <c r="C246" i="38"/>
  <c r="C239" i="38"/>
  <c r="C231" i="38"/>
  <c r="C223" i="38"/>
  <c r="C204" i="38"/>
  <c r="C196" i="38"/>
  <c r="C183" i="38"/>
  <c r="C175" i="38"/>
  <c r="C155" i="38"/>
  <c r="C135" i="38"/>
  <c r="C288" i="37"/>
  <c r="C280" i="37"/>
  <c r="C268" i="37"/>
  <c r="C252" i="37"/>
  <c r="C237" i="37"/>
  <c r="I237" i="36"/>
  <c r="M237" i="36" s="1"/>
  <c r="C225" i="37"/>
  <c r="C202" i="37"/>
  <c r="C194" i="37"/>
  <c r="C161" i="37"/>
  <c r="C153" i="37"/>
  <c r="C141" i="37"/>
  <c r="C129" i="37"/>
  <c r="C120" i="37"/>
  <c r="C287" i="37"/>
  <c r="C263" i="37"/>
  <c r="C255" i="37"/>
  <c r="C247" i="37"/>
  <c r="C184" i="37"/>
  <c r="C176" i="37"/>
  <c r="C160" i="37"/>
  <c r="M110" i="34"/>
  <c r="C110" i="35"/>
  <c r="M102" i="34"/>
  <c r="C102" i="35"/>
  <c r="K12" i="35"/>
  <c r="E12" i="36"/>
  <c r="E91" i="37"/>
  <c r="K91" i="36"/>
  <c r="E282" i="36"/>
  <c r="E272" i="36"/>
  <c r="E268" i="36"/>
  <c r="E252" i="36"/>
  <c r="E248" i="36"/>
  <c r="E237" i="36"/>
  <c r="E225" i="36"/>
  <c r="E194" i="36"/>
  <c r="E185" i="36"/>
  <c r="E177" i="36"/>
  <c r="E171" i="36"/>
  <c r="E143" i="36"/>
  <c r="E135" i="36"/>
  <c r="C123" i="37"/>
  <c r="K114" i="37"/>
  <c r="E114" i="38"/>
  <c r="M100" i="34"/>
  <c r="C100" i="35"/>
  <c r="K56" i="37"/>
  <c r="E56" i="38"/>
  <c r="E25" i="38"/>
  <c r="K25" i="37"/>
  <c r="K15" i="37"/>
  <c r="E15" i="38"/>
  <c r="E153" i="36"/>
  <c r="E120" i="36"/>
  <c r="I106" i="35"/>
  <c r="M106" i="35" s="1"/>
  <c r="C106" i="36"/>
  <c r="K95" i="35"/>
  <c r="E95" i="36"/>
  <c r="K87" i="35"/>
  <c r="E87" i="36"/>
  <c r="K79" i="35"/>
  <c r="E79" i="36"/>
  <c r="K63" i="35"/>
  <c r="E63" i="36"/>
  <c r="K32" i="35"/>
  <c r="E32" i="36"/>
  <c r="I23" i="35"/>
  <c r="M23" i="35" s="1"/>
  <c r="C23" i="36"/>
  <c r="E149" i="36"/>
  <c r="E133" i="36"/>
  <c r="D116" i="36"/>
  <c r="J116" i="35"/>
  <c r="N116" i="35" s="1"/>
  <c r="D100" i="36"/>
  <c r="J100" i="35"/>
  <c r="N100" i="35" s="1"/>
  <c r="K71" i="35"/>
  <c r="E71" i="36"/>
  <c r="K55" i="35"/>
  <c r="E55" i="36"/>
  <c r="K40" i="35"/>
  <c r="E40" i="36"/>
  <c r="K24" i="35"/>
  <c r="E24" i="36"/>
  <c r="E8" i="36"/>
  <c r="K8" i="35"/>
  <c r="E107" i="37"/>
  <c r="K107" i="36"/>
  <c r="E284" i="36"/>
  <c r="E276" i="36"/>
  <c r="E266" i="36"/>
  <c r="E262" i="36"/>
  <c r="E258" i="36"/>
  <c r="E244" i="36"/>
  <c r="E241" i="36"/>
  <c r="E233" i="36"/>
  <c r="E229" i="36"/>
  <c r="E223" i="36"/>
  <c r="E216" i="36"/>
  <c r="E210" i="36"/>
  <c r="E206" i="36"/>
  <c r="E202" i="36"/>
  <c r="E198" i="36"/>
  <c r="E189" i="36"/>
  <c r="E183" i="36"/>
  <c r="E175" i="36"/>
  <c r="E165" i="36"/>
  <c r="E161" i="36"/>
  <c r="C156" i="37"/>
  <c r="C148" i="37"/>
  <c r="M116" i="34"/>
  <c r="C116" i="35"/>
  <c r="M108" i="34"/>
  <c r="C108" i="35"/>
  <c r="K98" i="37"/>
  <c r="E98" i="38"/>
  <c r="K82" i="37"/>
  <c r="E82" i="38"/>
  <c r="E72" i="38"/>
  <c r="K72" i="37"/>
  <c r="E41" i="38"/>
  <c r="K41" i="37"/>
  <c r="E36" i="37"/>
  <c r="K36" i="36"/>
  <c r="E20" i="37"/>
  <c r="K20" i="36"/>
  <c r="J110" i="36"/>
  <c r="N110" i="36" s="1"/>
  <c r="D110" i="37"/>
  <c r="K78" i="35"/>
  <c r="E78" i="36"/>
  <c r="E113" i="37" l="1"/>
  <c r="K92" i="37"/>
  <c r="E11" i="38"/>
  <c r="K11" i="38" s="1"/>
  <c r="K65" i="36"/>
  <c r="E67" i="37"/>
  <c r="E67" i="38" s="1"/>
  <c r="K59" i="36"/>
  <c r="K83" i="36"/>
  <c r="K75" i="36"/>
  <c r="C14" i="38"/>
  <c r="I14" i="38" s="1"/>
  <c r="M14" i="38" s="1"/>
  <c r="K104" i="37"/>
  <c r="E37" i="38"/>
  <c r="E37" i="39" s="1"/>
  <c r="K81" i="36"/>
  <c r="E68" i="38"/>
  <c r="E68" i="39" s="1"/>
  <c r="E290" i="40"/>
  <c r="C290" i="41"/>
  <c r="K57" i="36"/>
  <c r="K60" i="37"/>
  <c r="E51" i="37"/>
  <c r="K51" i="37" s="1"/>
  <c r="E16" i="38"/>
  <c r="E16" i="39" s="1"/>
  <c r="K86" i="37"/>
  <c r="A292" i="39"/>
  <c r="E28" i="37"/>
  <c r="E28" i="38" s="1"/>
  <c r="B292" i="39"/>
  <c r="E102" i="37"/>
  <c r="K102" i="36"/>
  <c r="K100" i="37"/>
  <c r="E108" i="38"/>
  <c r="E108" i="39" s="1"/>
  <c r="K44" i="37"/>
  <c r="E94" i="38"/>
  <c r="E94" i="39" s="1"/>
  <c r="C148" i="38"/>
  <c r="E189" i="37"/>
  <c r="E233" i="37"/>
  <c r="E262" i="37"/>
  <c r="E276" i="37"/>
  <c r="E149" i="37"/>
  <c r="E120" i="37"/>
  <c r="K25" i="38"/>
  <c r="E25" i="39"/>
  <c r="C123" i="38"/>
  <c r="E194" i="37"/>
  <c r="E282" i="37"/>
  <c r="K91" i="37"/>
  <c r="E91" i="38"/>
  <c r="C160" i="38"/>
  <c r="C255" i="38"/>
  <c r="C141" i="38"/>
  <c r="C194" i="38"/>
  <c r="C237" i="38"/>
  <c r="I237" i="37"/>
  <c r="M237" i="37" s="1"/>
  <c r="C183" i="39"/>
  <c r="C231" i="39"/>
  <c r="C246" i="39"/>
  <c r="E178" i="37"/>
  <c r="E176" i="37"/>
  <c r="E240" i="37"/>
  <c r="E169" i="37"/>
  <c r="E214" i="37"/>
  <c r="E264" i="37"/>
  <c r="E157" i="37"/>
  <c r="C140" i="38"/>
  <c r="E212" i="37"/>
  <c r="K99" i="37"/>
  <c r="E99" i="38"/>
  <c r="K33" i="38"/>
  <c r="E33" i="39"/>
  <c r="K104" i="38"/>
  <c r="E104" i="39"/>
  <c r="K26" i="37"/>
  <c r="E26" i="38"/>
  <c r="C198" i="38"/>
  <c r="C235" i="39"/>
  <c r="C282" i="39"/>
  <c r="K84" i="38"/>
  <c r="E84" i="39"/>
  <c r="K61" i="36"/>
  <c r="E61" i="37"/>
  <c r="C203" i="38"/>
  <c r="C154" i="38"/>
  <c r="C218" i="38"/>
  <c r="C226" i="38"/>
  <c r="C289" i="38"/>
  <c r="C199" i="38"/>
  <c r="K27" i="36"/>
  <c r="E27" i="37"/>
  <c r="E22" i="37"/>
  <c r="K22" i="36"/>
  <c r="K111" i="36"/>
  <c r="E111" i="37"/>
  <c r="K48" i="38"/>
  <c r="E48" i="39"/>
  <c r="K112" i="38"/>
  <c r="E112" i="39"/>
  <c r="C205" i="38"/>
  <c r="C207" i="38"/>
  <c r="C133" i="38"/>
  <c r="C229" i="38"/>
  <c r="E203" i="37"/>
  <c r="K60" i="38"/>
  <c r="E60" i="39"/>
  <c r="D117" i="37"/>
  <c r="J117" i="36"/>
  <c r="N117" i="36" s="1"/>
  <c r="C182" i="38"/>
  <c r="E69" i="37"/>
  <c r="K69" i="36"/>
  <c r="D110" i="38"/>
  <c r="J110" i="37"/>
  <c r="N110" i="37" s="1"/>
  <c r="E71" i="37"/>
  <c r="K71" i="36"/>
  <c r="I106" i="36"/>
  <c r="M106" i="36" s="1"/>
  <c r="C106" i="37"/>
  <c r="K114" i="38"/>
  <c r="E114" i="39"/>
  <c r="D111" i="37"/>
  <c r="J111" i="36"/>
  <c r="N111" i="36" s="1"/>
  <c r="K77" i="36"/>
  <c r="E77" i="37"/>
  <c r="K90" i="38"/>
  <c r="E90" i="39"/>
  <c r="K88" i="38"/>
  <c r="E88" i="39"/>
  <c r="C190" i="38"/>
  <c r="E152" i="37"/>
  <c r="C215" i="38"/>
  <c r="E147" i="37"/>
  <c r="C251" i="38"/>
  <c r="E199" i="37"/>
  <c r="E230" i="37"/>
  <c r="D114" i="36"/>
  <c r="J114" i="35"/>
  <c r="N114" i="35" s="1"/>
  <c r="C264" i="38"/>
  <c r="C167" i="39"/>
  <c r="C270" i="39"/>
  <c r="E123" i="37"/>
  <c r="E205" i="37"/>
  <c r="C130" i="38"/>
  <c r="C121" i="38"/>
  <c r="C119" i="38"/>
  <c r="C152" i="38"/>
  <c r="C209" i="38"/>
  <c r="C240" i="38"/>
  <c r="C279" i="38"/>
  <c r="K86" i="38"/>
  <c r="E86" i="39"/>
  <c r="K81" i="37"/>
  <c r="E81" i="38"/>
  <c r="I103" i="35"/>
  <c r="M103" i="35" s="1"/>
  <c r="C103" i="36"/>
  <c r="E158" i="37"/>
  <c r="E222" i="37"/>
  <c r="E253" i="37"/>
  <c r="C145" i="38"/>
  <c r="C244" i="38"/>
  <c r="C276" i="38"/>
  <c r="C147" i="39"/>
  <c r="C250" i="39"/>
  <c r="E164" i="37"/>
  <c r="E228" i="37"/>
  <c r="E259" i="37"/>
  <c r="E196" i="37"/>
  <c r="E219" i="37"/>
  <c r="E242" i="37"/>
  <c r="K83" i="37"/>
  <c r="E83" i="38"/>
  <c r="C238" i="38"/>
  <c r="E217" i="37"/>
  <c r="K66" i="36"/>
  <c r="E66" i="37"/>
  <c r="C164" i="38"/>
  <c r="C105" i="36"/>
  <c r="I105" i="35"/>
  <c r="M105" i="35" s="1"/>
  <c r="E150" i="37"/>
  <c r="C208" i="39"/>
  <c r="E140" i="37"/>
  <c r="E188" i="37"/>
  <c r="C156" i="38"/>
  <c r="E198" i="37"/>
  <c r="E229" i="37"/>
  <c r="E266" i="37"/>
  <c r="E153" i="37"/>
  <c r="E171" i="37"/>
  <c r="E252" i="37"/>
  <c r="C263" i="38"/>
  <c r="C252" i="38"/>
  <c r="C135" i="39"/>
  <c r="C223" i="39"/>
  <c r="E162" i="37"/>
  <c r="E160" i="37"/>
  <c r="E224" i="37"/>
  <c r="E255" i="37"/>
  <c r="E163" i="37"/>
  <c r="E286" i="37"/>
  <c r="K59" i="37"/>
  <c r="E59" i="38"/>
  <c r="E191" i="37"/>
  <c r="E280" i="37"/>
  <c r="C173" i="38"/>
  <c r="C272" i="38"/>
  <c r="K110" i="38"/>
  <c r="E110" i="39"/>
  <c r="D107" i="37"/>
  <c r="J107" i="36"/>
  <c r="N107" i="36" s="1"/>
  <c r="K10" i="36"/>
  <c r="E10" i="37"/>
  <c r="K70" i="36"/>
  <c r="E70" i="37"/>
  <c r="C230" i="38"/>
  <c r="D104" i="36"/>
  <c r="J104" i="35"/>
  <c r="N104" i="35" s="1"/>
  <c r="D109" i="37"/>
  <c r="J109" i="36"/>
  <c r="N109" i="36" s="1"/>
  <c r="E53" i="37"/>
  <c r="K53" i="36"/>
  <c r="E117" i="37"/>
  <c r="K117" i="36"/>
  <c r="E14" i="37"/>
  <c r="K14" i="36"/>
  <c r="K106" i="38"/>
  <c r="E106" i="39"/>
  <c r="K103" i="36"/>
  <c r="E103" i="37"/>
  <c r="E246" i="37"/>
  <c r="E288" i="37"/>
  <c r="K96" i="38"/>
  <c r="E96" i="39"/>
  <c r="C188" i="38"/>
  <c r="C292" i="38"/>
  <c r="C158" i="38"/>
  <c r="C149" i="38"/>
  <c r="C214" i="38"/>
  <c r="C256" i="38"/>
  <c r="C171" i="39"/>
  <c r="C200" i="39"/>
  <c r="C242" i="39"/>
  <c r="E138" i="37"/>
  <c r="E186" i="37"/>
  <c r="E218" i="37"/>
  <c r="E265" i="37"/>
  <c r="D106" i="36"/>
  <c r="J106" i="35"/>
  <c r="N106" i="35" s="1"/>
  <c r="K89" i="37"/>
  <c r="E89" i="38"/>
  <c r="K116" i="38"/>
  <c r="E116" i="39"/>
  <c r="E93" i="37"/>
  <c r="K93" i="36"/>
  <c r="C134" i="38"/>
  <c r="C245" i="38"/>
  <c r="K54" i="36"/>
  <c r="E54" i="37"/>
  <c r="K31" i="36"/>
  <c r="E31" i="37"/>
  <c r="C170" i="38"/>
  <c r="C281" i="38"/>
  <c r="D112" i="36"/>
  <c r="J112" i="35"/>
  <c r="N112" i="35" s="1"/>
  <c r="E38" i="37"/>
  <c r="K38" i="36"/>
  <c r="K101" i="36"/>
  <c r="E101" i="37"/>
  <c r="K20" i="37"/>
  <c r="E20" i="38"/>
  <c r="K72" i="38"/>
  <c r="E72" i="39"/>
  <c r="E161" i="37"/>
  <c r="E175" i="37"/>
  <c r="E202" i="37"/>
  <c r="E210" i="37"/>
  <c r="E223" i="37"/>
  <c r="E244" i="37"/>
  <c r="K107" i="37"/>
  <c r="E107" i="38"/>
  <c r="J116" i="36"/>
  <c r="N116" i="36" s="1"/>
  <c r="D116" i="37"/>
  <c r="E143" i="37"/>
  <c r="E177" i="37"/>
  <c r="E225" i="37"/>
  <c r="E248" i="37"/>
  <c r="E268" i="37"/>
  <c r="C184" i="38"/>
  <c r="C287" i="38"/>
  <c r="C120" i="38"/>
  <c r="C161" i="38"/>
  <c r="C268" i="38"/>
  <c r="C288" i="38"/>
  <c r="C155" i="39"/>
  <c r="C204" i="39"/>
  <c r="E146" i="37"/>
  <c r="E211" i="37"/>
  <c r="E273" i="37"/>
  <c r="K49" i="37"/>
  <c r="E49" i="38"/>
  <c r="K97" i="37"/>
  <c r="E97" i="38"/>
  <c r="K92" i="38"/>
  <c r="E92" i="39"/>
  <c r="E144" i="37"/>
  <c r="E209" i="37"/>
  <c r="E271" i="37"/>
  <c r="E151" i="37"/>
  <c r="E200" i="37"/>
  <c r="E239" i="37"/>
  <c r="E118" i="37"/>
  <c r="E179" i="37"/>
  <c r="E235" i="37"/>
  <c r="E256" i="37"/>
  <c r="K64" i="38"/>
  <c r="E64" i="39"/>
  <c r="C157" i="38"/>
  <c r="C241" i="38"/>
  <c r="E121" i="37"/>
  <c r="E234" i="37"/>
  <c r="K105" i="37"/>
  <c r="E105" i="38"/>
  <c r="D113" i="37"/>
  <c r="J113" i="36"/>
  <c r="N113" i="36" s="1"/>
  <c r="I114" i="36"/>
  <c r="M114" i="36" s="1"/>
  <c r="C114" i="37"/>
  <c r="C195" i="38"/>
  <c r="C257" i="38"/>
  <c r="K46" i="36"/>
  <c r="E46" i="37"/>
  <c r="D105" i="37"/>
  <c r="J105" i="36"/>
  <c r="N105" i="36" s="1"/>
  <c r="E85" i="37"/>
  <c r="K85" i="36"/>
  <c r="I82" i="36"/>
  <c r="M82" i="36" s="1"/>
  <c r="C82" i="37"/>
  <c r="E173" i="37"/>
  <c r="E270" i="37"/>
  <c r="K17" i="38"/>
  <c r="E17" i="39"/>
  <c r="K80" i="38"/>
  <c r="E80" i="39"/>
  <c r="C165" i="38"/>
  <c r="C284" i="38"/>
  <c r="C227" i="39"/>
  <c r="C274" i="39"/>
  <c r="E170" i="37"/>
  <c r="E249" i="37"/>
  <c r="K57" i="37"/>
  <c r="E57" i="38"/>
  <c r="C234" i="38"/>
  <c r="D103" i="37"/>
  <c r="J103" i="36"/>
  <c r="N103" i="36" s="1"/>
  <c r="K98" i="38"/>
  <c r="E98" i="39"/>
  <c r="I116" i="35"/>
  <c r="M116" i="35" s="1"/>
  <c r="C116" i="36"/>
  <c r="E40" i="37"/>
  <c r="K40" i="36"/>
  <c r="I23" i="36"/>
  <c r="M23" i="36" s="1"/>
  <c r="C23" i="37"/>
  <c r="K63" i="36"/>
  <c r="E63" i="37"/>
  <c r="K87" i="36"/>
  <c r="E87" i="37"/>
  <c r="K56" i="38"/>
  <c r="E56" i="39"/>
  <c r="E12" i="37"/>
  <c r="K12" i="36"/>
  <c r="I110" i="35"/>
  <c r="M110" i="35" s="1"/>
  <c r="C110" i="36"/>
  <c r="K13" i="38"/>
  <c r="E13" i="39"/>
  <c r="E201" i="37"/>
  <c r="E279" i="37"/>
  <c r="C172" i="38"/>
  <c r="C220" i="38"/>
  <c r="K44" i="38"/>
  <c r="E44" i="39"/>
  <c r="C109" i="36"/>
  <c r="I109" i="35"/>
  <c r="M109" i="35" s="1"/>
  <c r="E166" i="37"/>
  <c r="C206" i="38"/>
  <c r="K52" i="38"/>
  <c r="E52" i="39"/>
  <c r="E283" i="37"/>
  <c r="C162" i="38"/>
  <c r="K50" i="36"/>
  <c r="E50" i="37"/>
  <c r="C261" i="38"/>
  <c r="K58" i="36"/>
  <c r="E58" i="37"/>
  <c r="C136" i="38"/>
  <c r="C192" i="38"/>
  <c r="C224" i="38"/>
  <c r="I111" i="35"/>
  <c r="M111" i="35" s="1"/>
  <c r="C111" i="36"/>
  <c r="E125" i="37"/>
  <c r="E190" i="37"/>
  <c r="E285" i="37"/>
  <c r="K18" i="37"/>
  <c r="E18" i="38"/>
  <c r="C189" i="38"/>
  <c r="C122" i="39"/>
  <c r="C187" i="39"/>
  <c r="E132" i="37"/>
  <c r="E197" i="37"/>
  <c r="E292" i="37"/>
  <c r="E159" i="37"/>
  <c r="E274" i="37"/>
  <c r="J108" i="36"/>
  <c r="N108" i="36" s="1"/>
  <c r="D108" i="37"/>
  <c r="K75" i="37"/>
  <c r="E75" i="38"/>
  <c r="C285" i="38"/>
  <c r="E136" i="37"/>
  <c r="E263" i="37"/>
  <c r="E129" i="37"/>
  <c r="E122" i="37"/>
  <c r="C197" i="38"/>
  <c r="C243" i="38"/>
  <c r="C283" i="38"/>
  <c r="E277" i="37"/>
  <c r="C185" i="38"/>
  <c r="C143" i="39"/>
  <c r="E251" i="37"/>
  <c r="K36" i="37"/>
  <c r="E36" i="38"/>
  <c r="K41" i="38"/>
  <c r="E41" i="39"/>
  <c r="E165" i="37"/>
  <c r="E183" i="37"/>
  <c r="E206" i="37"/>
  <c r="E216" i="37"/>
  <c r="E241" i="37"/>
  <c r="E258" i="37"/>
  <c r="E284" i="37"/>
  <c r="K8" i="36"/>
  <c r="E8" i="37"/>
  <c r="J100" i="36"/>
  <c r="N100" i="36" s="1"/>
  <c r="D100" i="37"/>
  <c r="E133" i="37"/>
  <c r="E135" i="37"/>
  <c r="E185" i="37"/>
  <c r="E237" i="37"/>
  <c r="E272" i="37"/>
  <c r="C176" i="38"/>
  <c r="C247" i="38"/>
  <c r="C129" i="38"/>
  <c r="C153" i="38"/>
  <c r="C202" i="38"/>
  <c r="C225" i="38"/>
  <c r="C280" i="38"/>
  <c r="C175" i="39"/>
  <c r="C196" i="39"/>
  <c r="C239" i="39"/>
  <c r="C258" i="39"/>
  <c r="C286" i="39"/>
  <c r="E130" i="37"/>
  <c r="E195" i="37"/>
  <c r="E226" i="37"/>
  <c r="E257" i="37"/>
  <c r="E289" i="37"/>
  <c r="K73" i="37"/>
  <c r="E73" i="38"/>
  <c r="E127" i="37"/>
  <c r="E192" i="37"/>
  <c r="E287" i="37"/>
  <c r="E187" i="37"/>
  <c r="E208" i="37"/>
  <c r="E227" i="37"/>
  <c r="E254" i="37"/>
  <c r="E124" i="37"/>
  <c r="E145" i="37"/>
  <c r="C132" i="38"/>
  <c r="E167" i="37"/>
  <c r="E221" i="37"/>
  <c r="E250" i="37"/>
  <c r="I22" i="38"/>
  <c r="M22" i="38" s="1"/>
  <c r="C22" i="39"/>
  <c r="C275" i="38"/>
  <c r="C142" i="38"/>
  <c r="C269" i="38"/>
  <c r="C124" i="38"/>
  <c r="C221" i="38"/>
  <c r="C151" i="39"/>
  <c r="C219" i="39"/>
  <c r="C254" i="39"/>
  <c r="E154" i="37"/>
  <c r="E281" i="37"/>
  <c r="K21" i="38"/>
  <c r="E21" i="39"/>
  <c r="E30" i="37"/>
  <c r="K30" i="36"/>
  <c r="E47" i="37"/>
  <c r="K47" i="36"/>
  <c r="K23" i="36"/>
  <c r="E23" i="37"/>
  <c r="K39" i="36"/>
  <c r="E39" i="37"/>
  <c r="K35" i="36"/>
  <c r="E35" i="37"/>
  <c r="C273" i="38"/>
  <c r="K62" i="36"/>
  <c r="E62" i="37"/>
  <c r="D102" i="38"/>
  <c r="J102" i="37"/>
  <c r="N102" i="37" s="1"/>
  <c r="C150" i="38"/>
  <c r="K42" i="36"/>
  <c r="E42" i="37"/>
  <c r="K78" i="36"/>
  <c r="E78" i="37"/>
  <c r="K82" i="38"/>
  <c r="E82" i="39"/>
  <c r="I108" i="35"/>
  <c r="M108" i="35" s="1"/>
  <c r="C108" i="36"/>
  <c r="E24" i="37"/>
  <c r="K24" i="36"/>
  <c r="E55" i="37"/>
  <c r="K55" i="36"/>
  <c r="K32" i="36"/>
  <c r="E32" i="37"/>
  <c r="E79" i="37"/>
  <c r="K79" i="36"/>
  <c r="E95" i="37"/>
  <c r="K95" i="36"/>
  <c r="K15" i="38"/>
  <c r="E15" i="39"/>
  <c r="I100" i="35"/>
  <c r="M100" i="35" s="1"/>
  <c r="C100" i="36"/>
  <c r="I102" i="35"/>
  <c r="M102" i="35" s="1"/>
  <c r="C102" i="36"/>
  <c r="K9" i="37"/>
  <c r="E9" i="38"/>
  <c r="D101" i="37"/>
  <c r="J101" i="36"/>
  <c r="N101" i="36" s="1"/>
  <c r="D115" i="37"/>
  <c r="J115" i="36"/>
  <c r="N115" i="36" s="1"/>
  <c r="E45" i="37"/>
  <c r="K45" i="36"/>
  <c r="E109" i="37"/>
  <c r="K109" i="36"/>
  <c r="I112" i="35"/>
  <c r="M112" i="35" s="1"/>
  <c r="C112" i="36"/>
  <c r="I104" i="35"/>
  <c r="M104" i="35" s="1"/>
  <c r="C104" i="36"/>
  <c r="C174" i="38"/>
  <c r="C222" i="38"/>
  <c r="E119" i="37"/>
  <c r="E184" i="37"/>
  <c r="E232" i="37"/>
  <c r="C166" i="38"/>
  <c r="C138" i="38"/>
  <c r="C249" i="38"/>
  <c r="E131" i="37"/>
  <c r="E155" i="37"/>
  <c r="C213" i="38"/>
  <c r="C236" i="38"/>
  <c r="C267" i="38"/>
  <c r="K113" i="37"/>
  <c r="E113" i="38"/>
  <c r="K100" i="38"/>
  <c r="E100" i="39"/>
  <c r="C101" i="36"/>
  <c r="I101" i="35"/>
  <c r="M101" i="35" s="1"/>
  <c r="C117" i="36"/>
  <c r="I117" i="35"/>
  <c r="M117" i="35" s="1"/>
  <c r="E134" i="37"/>
  <c r="E182" i="37"/>
  <c r="E215" i="37"/>
  <c r="E261" i="37"/>
  <c r="C248" i="38"/>
  <c r="C131" i="39"/>
  <c r="C216" i="39"/>
  <c r="E172" i="37"/>
  <c r="E236" i="37"/>
  <c r="E137" i="37"/>
  <c r="C186" i="38"/>
  <c r="C265" i="38"/>
  <c r="C146" i="38"/>
  <c r="C211" i="38"/>
  <c r="K19" i="36"/>
  <c r="E19" i="37"/>
  <c r="K74" i="36"/>
  <c r="E74" i="37"/>
  <c r="C127" i="38"/>
  <c r="C144" i="38"/>
  <c r="C168" i="38"/>
  <c r="C201" i="38"/>
  <c r="C217" i="38"/>
  <c r="C232" i="38"/>
  <c r="C271" i="38"/>
  <c r="K34" i="37"/>
  <c r="E34" i="38"/>
  <c r="K76" i="38"/>
  <c r="E76" i="39"/>
  <c r="C107" i="36"/>
  <c r="I107" i="35"/>
  <c r="M107" i="35" s="1"/>
  <c r="C115" i="36"/>
  <c r="I115" i="35"/>
  <c r="M115" i="35" s="1"/>
  <c r="E142" i="37"/>
  <c r="E174" i="37"/>
  <c r="E207" i="37"/>
  <c r="E238" i="37"/>
  <c r="E269" i="37"/>
  <c r="K65" i="37"/>
  <c r="E65" i="38"/>
  <c r="C181" i="38"/>
  <c r="C210" i="38"/>
  <c r="C260" i="38"/>
  <c r="K29" i="38"/>
  <c r="E29" i="39"/>
  <c r="C139" i="39"/>
  <c r="C163" i="39"/>
  <c r="C266" i="39"/>
  <c r="E148" i="37"/>
  <c r="E180" i="37"/>
  <c r="E213" i="37"/>
  <c r="E243" i="37"/>
  <c r="E275" i="37"/>
  <c r="E126" i="37"/>
  <c r="E181" i="37"/>
  <c r="E204" i="37"/>
  <c r="E231" i="37"/>
  <c r="E260" i="37"/>
  <c r="E278" i="37"/>
  <c r="K115" i="37"/>
  <c r="E115" i="38"/>
  <c r="E141" i="37"/>
  <c r="K43" i="37"/>
  <c r="E43" i="38"/>
  <c r="C125" i="38"/>
  <c r="C253" i="38"/>
  <c r="E168" i="37"/>
  <c r="E247" i="37"/>
  <c r="E139" i="37"/>
  <c r="C180" i="38"/>
  <c r="C228" i="38"/>
  <c r="C259" i="38"/>
  <c r="C113" i="36"/>
  <c r="I113" i="35"/>
  <c r="M113" i="35" s="1"/>
  <c r="E245" i="37"/>
  <c r="C137" i="38"/>
  <c r="C233" i="38"/>
  <c r="C118" i="39"/>
  <c r="C159" i="39"/>
  <c r="C262" i="39"/>
  <c r="E156" i="37"/>
  <c r="E220" i="37"/>
  <c r="E267" i="37"/>
  <c r="K28" i="37" l="1"/>
  <c r="K67" i="37"/>
  <c r="C14" i="39"/>
  <c r="C14" i="40" s="1"/>
  <c r="E11" i="39"/>
  <c r="K11" i="39" s="1"/>
  <c r="K37" i="38"/>
  <c r="K16" i="38"/>
  <c r="K68" i="38"/>
  <c r="E290" i="41"/>
  <c r="E51" i="38"/>
  <c r="K51" i="38" s="1"/>
  <c r="C290" i="42"/>
  <c r="K108" i="38"/>
  <c r="K94" i="38"/>
  <c r="B292" i="40"/>
  <c r="A292" i="40"/>
  <c r="K102" i="37"/>
  <c r="E102" i="38"/>
  <c r="E156" i="38"/>
  <c r="C159" i="40"/>
  <c r="E245" i="38"/>
  <c r="E139" i="38"/>
  <c r="E168" i="38"/>
  <c r="C253" i="39"/>
  <c r="E278" i="38"/>
  <c r="E181" i="38"/>
  <c r="E213" i="38"/>
  <c r="C260" i="39"/>
  <c r="E238" i="38"/>
  <c r="I115" i="36"/>
  <c r="M115" i="36" s="1"/>
  <c r="C115" i="37"/>
  <c r="E236" i="38"/>
  <c r="C248" i="39"/>
  <c r="E215" i="38"/>
  <c r="I101" i="36"/>
  <c r="M101" i="36" s="1"/>
  <c r="C101" i="37"/>
  <c r="C138" i="39"/>
  <c r="C222" i="39"/>
  <c r="K45" i="37"/>
  <c r="E45" i="38"/>
  <c r="K95" i="37"/>
  <c r="E95" i="38"/>
  <c r="K55" i="37"/>
  <c r="E55" i="38"/>
  <c r="K30" i="37"/>
  <c r="E30" i="38"/>
  <c r="E154" i="38"/>
  <c r="C221" i="39"/>
  <c r="C269" i="39"/>
  <c r="E167" i="38"/>
  <c r="E208" i="38"/>
  <c r="E192" i="38"/>
  <c r="E257" i="38"/>
  <c r="C286" i="40"/>
  <c r="C280" i="39"/>
  <c r="E183" i="38"/>
  <c r="E251" i="38"/>
  <c r="E263" i="38"/>
  <c r="E292" i="38"/>
  <c r="C122" i="40"/>
  <c r="E190" i="38"/>
  <c r="C261" i="39"/>
  <c r="E201" i="38"/>
  <c r="K12" i="37"/>
  <c r="E12" i="38"/>
  <c r="C227" i="40"/>
  <c r="E270" i="38"/>
  <c r="K85" i="37"/>
  <c r="E85" i="38"/>
  <c r="C257" i="39"/>
  <c r="E121" i="38"/>
  <c r="E235" i="38"/>
  <c r="E200" i="38"/>
  <c r="E146" i="38"/>
  <c r="C288" i="39"/>
  <c r="E248" i="38"/>
  <c r="E177" i="38"/>
  <c r="E244" i="38"/>
  <c r="E175" i="38"/>
  <c r="C281" i="39"/>
  <c r="J106" i="36"/>
  <c r="N106" i="36" s="1"/>
  <c r="D106" i="37"/>
  <c r="E138" i="38"/>
  <c r="C256" i="39"/>
  <c r="C292" i="39"/>
  <c r="E288" i="38"/>
  <c r="K53" i="37"/>
  <c r="E53" i="38"/>
  <c r="C230" i="39"/>
  <c r="E70" i="38"/>
  <c r="K70" i="37"/>
  <c r="E110" i="40"/>
  <c r="K110" i="39"/>
  <c r="C156" i="39"/>
  <c r="C164" i="39"/>
  <c r="E217" i="38"/>
  <c r="K83" i="38"/>
  <c r="E83" i="39"/>
  <c r="I103" i="36"/>
  <c r="M103" i="36" s="1"/>
  <c r="C103" i="37"/>
  <c r="E86" i="40"/>
  <c r="K86" i="39"/>
  <c r="E123" i="38"/>
  <c r="E152" i="38"/>
  <c r="E90" i="40"/>
  <c r="K90" i="39"/>
  <c r="E60" i="40"/>
  <c r="K60" i="39"/>
  <c r="K111" i="37"/>
  <c r="E111" i="38"/>
  <c r="K61" i="37"/>
  <c r="E61" i="38"/>
  <c r="E68" i="40"/>
  <c r="K68" i="39"/>
  <c r="E33" i="40"/>
  <c r="K33" i="39"/>
  <c r="C255" i="39"/>
  <c r="E91" i="39"/>
  <c r="K91" i="38"/>
  <c r="C259" i="39"/>
  <c r="E126" i="38"/>
  <c r="E29" i="40"/>
  <c r="K29" i="39"/>
  <c r="E65" i="39"/>
  <c r="K65" i="38"/>
  <c r="E34" i="39"/>
  <c r="K34" i="38"/>
  <c r="C232" i="39"/>
  <c r="C144" i="39"/>
  <c r="C267" i="39"/>
  <c r="K78" i="37"/>
  <c r="E78" i="38"/>
  <c r="K42" i="37"/>
  <c r="E42" i="38"/>
  <c r="K39" i="37"/>
  <c r="E39" i="38"/>
  <c r="E73" i="39"/>
  <c r="K73" i="38"/>
  <c r="E37" i="40"/>
  <c r="K37" i="39"/>
  <c r="C176" i="39"/>
  <c r="E36" i="39"/>
  <c r="K36" i="38"/>
  <c r="E274" i="38"/>
  <c r="K50" i="37"/>
  <c r="E50" i="38"/>
  <c r="C172" i="39"/>
  <c r="K87" i="37"/>
  <c r="E87" i="38"/>
  <c r="E98" i="40"/>
  <c r="K98" i="39"/>
  <c r="E17" i="40"/>
  <c r="K17" i="39"/>
  <c r="E64" i="40"/>
  <c r="K64" i="39"/>
  <c r="E179" i="38"/>
  <c r="E239" i="38"/>
  <c r="E209" i="38"/>
  <c r="E49" i="39"/>
  <c r="K49" i="38"/>
  <c r="C287" i="39"/>
  <c r="E107" i="39"/>
  <c r="K107" i="38"/>
  <c r="C188" i="39"/>
  <c r="K103" i="37"/>
  <c r="E103" i="38"/>
  <c r="J107" i="37"/>
  <c r="N107" i="37" s="1"/>
  <c r="D107" i="38"/>
  <c r="C173" i="39"/>
  <c r="E280" i="38"/>
  <c r="E286" i="38"/>
  <c r="E255" i="38"/>
  <c r="E160" i="38"/>
  <c r="C223" i="40"/>
  <c r="C252" i="39"/>
  <c r="E252" i="38"/>
  <c r="E153" i="38"/>
  <c r="E229" i="38"/>
  <c r="C208" i="40"/>
  <c r="I105" i="36"/>
  <c r="M105" i="36" s="1"/>
  <c r="C105" i="37"/>
  <c r="C238" i="39"/>
  <c r="E228" i="38"/>
  <c r="C250" i="40"/>
  <c r="C276" i="39"/>
  <c r="C145" i="39"/>
  <c r="E222" i="38"/>
  <c r="C130" i="39"/>
  <c r="C167" i="40"/>
  <c r="J114" i="36"/>
  <c r="N114" i="36" s="1"/>
  <c r="D114" i="37"/>
  <c r="E199" i="38"/>
  <c r="E147" i="38"/>
  <c r="C190" i="39"/>
  <c r="J111" i="37"/>
  <c r="N111" i="37" s="1"/>
  <c r="D111" i="38"/>
  <c r="K71" i="37"/>
  <c r="E71" i="38"/>
  <c r="J110" i="38"/>
  <c r="N110" i="38" s="1"/>
  <c r="D110" i="39"/>
  <c r="C182" i="39"/>
  <c r="E203" i="38"/>
  <c r="C229" i="39"/>
  <c r="C207" i="39"/>
  <c r="K22" i="37"/>
  <c r="E22" i="38"/>
  <c r="C226" i="39"/>
  <c r="C154" i="39"/>
  <c r="C282" i="40"/>
  <c r="E212" i="38"/>
  <c r="E157" i="38"/>
  <c r="E214" i="38"/>
  <c r="E176" i="38"/>
  <c r="E178" i="38"/>
  <c r="C231" i="40"/>
  <c r="C237" i="39"/>
  <c r="I237" i="38"/>
  <c r="M237" i="38" s="1"/>
  <c r="C141" i="39"/>
  <c r="E194" i="38"/>
  <c r="E120" i="38"/>
  <c r="E262" i="38"/>
  <c r="E189" i="38"/>
  <c r="E220" i="38"/>
  <c r="C262" i="40"/>
  <c r="C118" i="40"/>
  <c r="C137" i="39"/>
  <c r="I113" i="36"/>
  <c r="M113" i="36" s="1"/>
  <c r="C113" i="37"/>
  <c r="E247" i="38"/>
  <c r="C125" i="39"/>
  <c r="E141" i="38"/>
  <c r="E260" i="38"/>
  <c r="E204" i="38"/>
  <c r="E243" i="38"/>
  <c r="E180" i="38"/>
  <c r="C266" i="40"/>
  <c r="C163" i="40"/>
  <c r="C210" i="39"/>
  <c r="E269" i="38"/>
  <c r="E207" i="38"/>
  <c r="E142" i="38"/>
  <c r="I107" i="36"/>
  <c r="M107" i="36" s="1"/>
  <c r="C107" i="37"/>
  <c r="C146" i="39"/>
  <c r="C265" i="39"/>
  <c r="E137" i="38"/>
  <c r="E172" i="38"/>
  <c r="C131" i="40"/>
  <c r="E261" i="38"/>
  <c r="E182" i="38"/>
  <c r="I117" i="36"/>
  <c r="M117" i="36" s="1"/>
  <c r="C117" i="37"/>
  <c r="E131" i="38"/>
  <c r="C249" i="39"/>
  <c r="C166" i="39"/>
  <c r="E232" i="38"/>
  <c r="E119" i="38"/>
  <c r="C174" i="39"/>
  <c r="K109" i="37"/>
  <c r="E109" i="38"/>
  <c r="J115" i="37"/>
  <c r="N115" i="37" s="1"/>
  <c r="D115" i="38"/>
  <c r="K79" i="37"/>
  <c r="E79" i="38"/>
  <c r="K24" i="37"/>
  <c r="E24" i="38"/>
  <c r="J102" i="38"/>
  <c r="N102" i="38" s="1"/>
  <c r="D102" i="39"/>
  <c r="K47" i="37"/>
  <c r="E47" i="38"/>
  <c r="E281" i="38"/>
  <c r="C254" i="40"/>
  <c r="C151" i="40"/>
  <c r="C124" i="39"/>
  <c r="C142" i="39"/>
  <c r="E221" i="38"/>
  <c r="E124" i="38"/>
  <c r="E227" i="38"/>
  <c r="E287" i="38"/>
  <c r="E289" i="38"/>
  <c r="E226" i="38"/>
  <c r="E130" i="38"/>
  <c r="C258" i="40"/>
  <c r="C196" i="40"/>
  <c r="C225" i="39"/>
  <c r="C153" i="39"/>
  <c r="E237" i="38"/>
  <c r="E185" i="38"/>
  <c r="E284" i="38"/>
  <c r="E241" i="38"/>
  <c r="E206" i="38"/>
  <c r="E165" i="38"/>
  <c r="C143" i="40"/>
  <c r="E277" i="38"/>
  <c r="E122" i="38"/>
  <c r="E129" i="38"/>
  <c r="E136" i="38"/>
  <c r="E197" i="38"/>
  <c r="C187" i="40"/>
  <c r="C189" i="39"/>
  <c r="E285" i="38"/>
  <c r="E125" i="38"/>
  <c r="E283" i="38"/>
  <c r="C206" i="39"/>
  <c r="E166" i="38"/>
  <c r="E279" i="38"/>
  <c r="K40" i="37"/>
  <c r="E40" i="38"/>
  <c r="J103" i="37"/>
  <c r="N103" i="37" s="1"/>
  <c r="D103" i="38"/>
  <c r="C234" i="39"/>
  <c r="E249" i="38"/>
  <c r="C274" i="40"/>
  <c r="C165" i="39"/>
  <c r="E173" i="38"/>
  <c r="J105" i="37"/>
  <c r="N105" i="37" s="1"/>
  <c r="D105" i="38"/>
  <c r="C195" i="39"/>
  <c r="J113" i="37"/>
  <c r="N113" i="37" s="1"/>
  <c r="D113" i="38"/>
  <c r="E234" i="38"/>
  <c r="C157" i="39"/>
  <c r="E256" i="38"/>
  <c r="E211" i="38"/>
  <c r="C155" i="40"/>
  <c r="C268" i="39"/>
  <c r="C161" i="39"/>
  <c r="E268" i="38"/>
  <c r="E225" i="38"/>
  <c r="E223" i="38"/>
  <c r="E202" i="38"/>
  <c r="E161" i="38"/>
  <c r="J112" i="36"/>
  <c r="N112" i="36" s="1"/>
  <c r="D112" i="37"/>
  <c r="C170" i="39"/>
  <c r="C134" i="39"/>
  <c r="K93" i="37"/>
  <c r="E93" i="38"/>
  <c r="E265" i="38"/>
  <c r="E186" i="38"/>
  <c r="C242" i="40"/>
  <c r="C171" i="40"/>
  <c r="C214" i="39"/>
  <c r="C158" i="39"/>
  <c r="E246" i="38"/>
  <c r="K14" i="37"/>
  <c r="E14" i="38"/>
  <c r="K117" i="37"/>
  <c r="E117" i="38"/>
  <c r="J109" i="37"/>
  <c r="N109" i="37" s="1"/>
  <c r="D109" i="38"/>
  <c r="K10" i="37"/>
  <c r="E10" i="38"/>
  <c r="E59" i="39"/>
  <c r="K59" i="38"/>
  <c r="E224" i="38"/>
  <c r="C263" i="39"/>
  <c r="E266" i="38"/>
  <c r="K67" i="38"/>
  <c r="E67" i="39"/>
  <c r="K66" i="37"/>
  <c r="E66" i="38"/>
  <c r="E28" i="39"/>
  <c r="K28" i="38"/>
  <c r="E242" i="38"/>
  <c r="E196" i="38"/>
  <c r="E259" i="38"/>
  <c r="E81" i="39"/>
  <c r="K81" i="38"/>
  <c r="C279" i="39"/>
  <c r="C209" i="39"/>
  <c r="C119" i="39"/>
  <c r="C251" i="39"/>
  <c r="E88" i="40"/>
  <c r="K88" i="39"/>
  <c r="K77" i="37"/>
  <c r="E77" i="38"/>
  <c r="E114" i="40"/>
  <c r="K114" i="39"/>
  <c r="I106" i="37"/>
  <c r="M106" i="37" s="1"/>
  <c r="C106" i="38"/>
  <c r="C205" i="39"/>
  <c r="E48" i="40"/>
  <c r="K48" i="39"/>
  <c r="E84" i="40"/>
  <c r="K84" i="39"/>
  <c r="E104" i="40"/>
  <c r="K104" i="39"/>
  <c r="E99" i="39"/>
  <c r="K99" i="38"/>
  <c r="C140" i="39"/>
  <c r="C160" i="39"/>
  <c r="C123" i="39"/>
  <c r="E25" i="40"/>
  <c r="K25" i="39"/>
  <c r="C148" i="39"/>
  <c r="E267" i="38"/>
  <c r="C233" i="39"/>
  <c r="E231" i="38"/>
  <c r="E275" i="38"/>
  <c r="E148" i="38"/>
  <c r="C139" i="40"/>
  <c r="C181" i="39"/>
  <c r="E174" i="38"/>
  <c r="C211" i="39"/>
  <c r="C186" i="39"/>
  <c r="C216" i="40"/>
  <c r="E134" i="38"/>
  <c r="E155" i="38"/>
  <c r="E184" i="38"/>
  <c r="J101" i="37"/>
  <c r="N101" i="37" s="1"/>
  <c r="D101" i="38"/>
  <c r="C150" i="39"/>
  <c r="C273" i="39"/>
  <c r="C219" i="40"/>
  <c r="E250" i="38"/>
  <c r="E145" i="38"/>
  <c r="E195" i="38"/>
  <c r="C239" i="40"/>
  <c r="C175" i="40"/>
  <c r="C202" i="39"/>
  <c r="C129" i="39"/>
  <c r="E272" i="38"/>
  <c r="E135" i="38"/>
  <c r="E133" i="38"/>
  <c r="C185" i="39"/>
  <c r="C285" i="39"/>
  <c r="E159" i="38"/>
  <c r="E132" i="38"/>
  <c r="C162" i="39"/>
  <c r="I109" i="36"/>
  <c r="M109" i="36" s="1"/>
  <c r="C109" i="37"/>
  <c r="E170" i="38"/>
  <c r="C284" i="39"/>
  <c r="C241" i="39"/>
  <c r="E118" i="38"/>
  <c r="E271" i="38"/>
  <c r="E144" i="38"/>
  <c r="E273" i="38"/>
  <c r="C204" i="40"/>
  <c r="C120" i="39"/>
  <c r="E210" i="38"/>
  <c r="K38" i="37"/>
  <c r="E38" i="38"/>
  <c r="C245" i="39"/>
  <c r="E218" i="38"/>
  <c r="C200" i="40"/>
  <c r="C149" i="39"/>
  <c r="J104" i="36"/>
  <c r="N104" i="36" s="1"/>
  <c r="D104" i="37"/>
  <c r="E188" i="38"/>
  <c r="E108" i="40"/>
  <c r="K108" i="39"/>
  <c r="C240" i="39"/>
  <c r="C152" i="39"/>
  <c r="E112" i="40"/>
  <c r="K112" i="39"/>
  <c r="K27" i="37"/>
  <c r="E27" i="38"/>
  <c r="E26" i="39"/>
  <c r="K26" i="38"/>
  <c r="C180" i="39"/>
  <c r="K115" i="38"/>
  <c r="E115" i="39"/>
  <c r="E76" i="40"/>
  <c r="K76" i="39"/>
  <c r="C201" i="39"/>
  <c r="K74" i="37"/>
  <c r="E74" i="38"/>
  <c r="E100" i="40"/>
  <c r="K100" i="39"/>
  <c r="C213" i="39"/>
  <c r="I112" i="36"/>
  <c r="M112" i="36" s="1"/>
  <c r="C112" i="37"/>
  <c r="I102" i="36"/>
  <c r="M102" i="36" s="1"/>
  <c r="C102" i="37"/>
  <c r="E15" i="40"/>
  <c r="K15" i="39"/>
  <c r="E82" i="40"/>
  <c r="K82" i="39"/>
  <c r="K35" i="37"/>
  <c r="E35" i="38"/>
  <c r="C22" i="40"/>
  <c r="I22" i="39"/>
  <c r="M22" i="39" s="1"/>
  <c r="C132" i="39"/>
  <c r="E187" i="38"/>
  <c r="E127" i="38"/>
  <c r="D100" i="38"/>
  <c r="J100" i="37"/>
  <c r="N100" i="37" s="1"/>
  <c r="C243" i="39"/>
  <c r="E75" i="39"/>
  <c r="K75" i="38"/>
  <c r="C192" i="39"/>
  <c r="E46" i="38"/>
  <c r="K46" i="37"/>
  <c r="I114" i="37"/>
  <c r="M114" i="37" s="1"/>
  <c r="C114" i="38"/>
  <c r="E151" i="38"/>
  <c r="E92" i="40"/>
  <c r="K92" i="39"/>
  <c r="E143" i="38"/>
  <c r="K101" i="37"/>
  <c r="E101" i="38"/>
  <c r="E54" i="38"/>
  <c r="K54" i="37"/>
  <c r="E89" i="39"/>
  <c r="K89" i="38"/>
  <c r="E106" i="40"/>
  <c r="K106" i="39"/>
  <c r="E219" i="38"/>
  <c r="C228" i="39"/>
  <c r="E43" i="39"/>
  <c r="K43" i="38"/>
  <c r="K16" i="39"/>
  <c r="E16" i="40"/>
  <c r="C271" i="39"/>
  <c r="C217" i="39"/>
  <c r="C168" i="39"/>
  <c r="C127" i="39"/>
  <c r="K19" i="37"/>
  <c r="E19" i="38"/>
  <c r="E113" i="39"/>
  <c r="K113" i="38"/>
  <c r="C236" i="39"/>
  <c r="C104" i="37"/>
  <c r="I104" i="36"/>
  <c r="M104" i="36" s="1"/>
  <c r="K9" i="38"/>
  <c r="E9" i="39"/>
  <c r="C100" i="37"/>
  <c r="I100" i="36"/>
  <c r="M100" i="36" s="1"/>
  <c r="K32" i="37"/>
  <c r="E32" i="38"/>
  <c r="C108" i="37"/>
  <c r="I108" i="36"/>
  <c r="M108" i="36" s="1"/>
  <c r="K62" i="37"/>
  <c r="E62" i="38"/>
  <c r="K23" i="37"/>
  <c r="E23" i="38"/>
  <c r="E21" i="40"/>
  <c r="K21" i="39"/>
  <c r="C275" i="39"/>
  <c r="E254" i="38"/>
  <c r="C247" i="39"/>
  <c r="E8" i="38"/>
  <c r="K8" i="37"/>
  <c r="E258" i="38"/>
  <c r="E216" i="38"/>
  <c r="E41" i="40"/>
  <c r="K41" i="39"/>
  <c r="C283" i="39"/>
  <c r="C197" i="39"/>
  <c r="D108" i="38"/>
  <c r="J108" i="37"/>
  <c r="N108" i="37" s="1"/>
  <c r="E18" i="39"/>
  <c r="K18" i="38"/>
  <c r="I111" i="36"/>
  <c r="M111" i="36" s="1"/>
  <c r="C111" i="37"/>
  <c r="C224" i="39"/>
  <c r="C136" i="39"/>
  <c r="K58" i="37"/>
  <c r="E58" i="38"/>
  <c r="E52" i="40"/>
  <c r="K52" i="39"/>
  <c r="E44" i="40"/>
  <c r="K44" i="39"/>
  <c r="C220" i="39"/>
  <c r="E13" i="40"/>
  <c r="K13" i="39"/>
  <c r="C110" i="37"/>
  <c r="I110" i="36"/>
  <c r="M110" i="36" s="1"/>
  <c r="E56" i="40"/>
  <c r="K56" i="39"/>
  <c r="K63" i="37"/>
  <c r="E63" i="38"/>
  <c r="I23" i="37"/>
  <c r="M23" i="37" s="1"/>
  <c r="C23" i="38"/>
  <c r="C116" i="37"/>
  <c r="I116" i="36"/>
  <c r="M116" i="36" s="1"/>
  <c r="K57" i="38"/>
  <c r="E57" i="39"/>
  <c r="E80" i="40"/>
  <c r="K80" i="39"/>
  <c r="I82" i="37"/>
  <c r="M82" i="37" s="1"/>
  <c r="C82" i="38"/>
  <c r="E105" i="39"/>
  <c r="K105" i="38"/>
  <c r="E97" i="39"/>
  <c r="K97" i="38"/>
  <c r="C184" i="39"/>
  <c r="D116" i="38"/>
  <c r="J116" i="37"/>
  <c r="N116" i="37" s="1"/>
  <c r="E72" i="40"/>
  <c r="K72" i="39"/>
  <c r="K20" i="38"/>
  <c r="E20" i="39"/>
  <c r="E94" i="40"/>
  <c r="K94" i="39"/>
  <c r="E31" i="38"/>
  <c r="K31" i="37"/>
  <c r="E116" i="40"/>
  <c r="K116" i="39"/>
  <c r="E96" i="40"/>
  <c r="K96" i="39"/>
  <c r="C272" i="39"/>
  <c r="E191" i="38"/>
  <c r="E163" i="38"/>
  <c r="E162" i="38"/>
  <c r="C135" i="40"/>
  <c r="E171" i="38"/>
  <c r="E198" i="38"/>
  <c r="E140" i="38"/>
  <c r="E150" i="38"/>
  <c r="E164" i="38"/>
  <c r="C147" i="40"/>
  <c r="C244" i="39"/>
  <c r="E253" i="38"/>
  <c r="E158" i="38"/>
  <c r="C121" i="39"/>
  <c r="E205" i="38"/>
  <c r="C270" i="40"/>
  <c r="C264" i="39"/>
  <c r="E230" i="38"/>
  <c r="C215" i="39"/>
  <c r="K69" i="37"/>
  <c r="E69" i="38"/>
  <c r="J117" i="37"/>
  <c r="N117" i="37" s="1"/>
  <c r="D117" i="38"/>
  <c r="C133" i="39"/>
  <c r="C199" i="39"/>
  <c r="C289" i="39"/>
  <c r="C218" i="39"/>
  <c r="C203" i="39"/>
  <c r="C235" i="40"/>
  <c r="C198" i="39"/>
  <c r="E264" i="38"/>
  <c r="E169" i="38"/>
  <c r="E240" i="38"/>
  <c r="C246" i="40"/>
  <c r="C183" i="40"/>
  <c r="C194" i="39"/>
  <c r="E282" i="38"/>
  <c r="E149" i="38"/>
  <c r="E276" i="38"/>
  <c r="E233" i="38"/>
  <c r="E11" i="40" l="1"/>
  <c r="K11" i="40" s="1"/>
  <c r="I14" i="39"/>
  <c r="M14" i="39" s="1"/>
  <c r="E51" i="39"/>
  <c r="K51" i="39" s="1"/>
  <c r="C290" i="43"/>
  <c r="E290" i="42"/>
  <c r="A292" i="41"/>
  <c r="B292" i="41"/>
  <c r="K102" i="38"/>
  <c r="E102" i="39"/>
  <c r="C198" i="40"/>
  <c r="C218" i="40"/>
  <c r="C199" i="40"/>
  <c r="C264" i="40"/>
  <c r="E158" i="39"/>
  <c r="E164" i="39"/>
  <c r="E162" i="39"/>
  <c r="E116" i="41"/>
  <c r="K116" i="40"/>
  <c r="K31" i="38"/>
  <c r="E31" i="39"/>
  <c r="J116" i="38"/>
  <c r="N116" i="38" s="1"/>
  <c r="D116" i="39"/>
  <c r="K56" i="40"/>
  <c r="E56" i="41"/>
  <c r="K52" i="40"/>
  <c r="E52" i="41"/>
  <c r="C136" i="40"/>
  <c r="J108" i="38"/>
  <c r="N108" i="38" s="1"/>
  <c r="D108" i="39"/>
  <c r="C283" i="40"/>
  <c r="K8" i="38"/>
  <c r="E8" i="39"/>
  <c r="E254" i="39"/>
  <c r="I104" i="37"/>
  <c r="M104" i="37" s="1"/>
  <c r="C104" i="38"/>
  <c r="C217" i="40"/>
  <c r="E43" i="40"/>
  <c r="K43" i="39"/>
  <c r="C228" i="40"/>
  <c r="E106" i="41"/>
  <c r="K106" i="40"/>
  <c r="K54" i="38"/>
  <c r="E54" i="39"/>
  <c r="E151" i="39"/>
  <c r="K46" i="38"/>
  <c r="E46" i="39"/>
  <c r="E75" i="40"/>
  <c r="K75" i="39"/>
  <c r="J100" i="38"/>
  <c r="N100" i="38" s="1"/>
  <c r="D100" i="39"/>
  <c r="E187" i="39"/>
  <c r="K82" i="40"/>
  <c r="E82" i="41"/>
  <c r="C213" i="40"/>
  <c r="C180" i="40"/>
  <c r="E26" i="40"/>
  <c r="K26" i="39"/>
  <c r="C240" i="40"/>
  <c r="C245" i="40"/>
  <c r="C241" i="40"/>
  <c r="C239" i="41"/>
  <c r="C219" i="41"/>
  <c r="E275" i="39"/>
  <c r="C148" i="40"/>
  <c r="K84" i="40"/>
  <c r="E84" i="41"/>
  <c r="E114" i="41"/>
  <c r="K114" i="40"/>
  <c r="C119" i="40"/>
  <c r="C279" i="40"/>
  <c r="C263" i="40"/>
  <c r="C171" i="41"/>
  <c r="C161" i="40"/>
  <c r="E211" i="39"/>
  <c r="C274" i="41"/>
  <c r="E283" i="39"/>
  <c r="E136" i="39"/>
  <c r="E122" i="39"/>
  <c r="C258" i="41"/>
  <c r="C142" i="40"/>
  <c r="E119" i="39"/>
  <c r="E131" i="39"/>
  <c r="C265" i="40"/>
  <c r="E269" i="39"/>
  <c r="C125" i="40"/>
  <c r="E120" i="39"/>
  <c r="C130" i="40"/>
  <c r="E153" i="39"/>
  <c r="E83" i="40"/>
  <c r="K83" i="39"/>
  <c r="E288" i="39"/>
  <c r="E121" i="39"/>
  <c r="E30" i="39"/>
  <c r="K30" i="38"/>
  <c r="E45" i="39"/>
  <c r="K45" i="38"/>
  <c r="E233" i="39"/>
  <c r="E149" i="39"/>
  <c r="C246" i="41"/>
  <c r="C133" i="40"/>
  <c r="C121" i="40"/>
  <c r="K23" i="38"/>
  <c r="E23" i="39"/>
  <c r="K16" i="40"/>
  <c r="E16" i="41"/>
  <c r="E101" i="39"/>
  <c r="K101" i="38"/>
  <c r="I102" i="37"/>
  <c r="M102" i="37" s="1"/>
  <c r="C102" i="38"/>
  <c r="D104" i="38"/>
  <c r="J104" i="37"/>
  <c r="N104" i="37" s="1"/>
  <c r="C129" i="40"/>
  <c r="E195" i="39"/>
  <c r="D101" i="39"/>
  <c r="J101" i="38"/>
  <c r="N101" i="38" s="1"/>
  <c r="E174" i="39"/>
  <c r="E117" i="39"/>
  <c r="K117" i="38"/>
  <c r="E93" i="39"/>
  <c r="K93" i="38"/>
  <c r="E256" i="39"/>
  <c r="E249" i="39"/>
  <c r="E40" i="39"/>
  <c r="K40" i="38"/>
  <c r="E241" i="39"/>
  <c r="C124" i="40"/>
  <c r="E109" i="39"/>
  <c r="K109" i="38"/>
  <c r="E142" i="39"/>
  <c r="E204" i="39"/>
  <c r="C262" i="41"/>
  <c r="C231" i="41"/>
  <c r="C154" i="40"/>
  <c r="C226" i="40"/>
  <c r="C207" i="40"/>
  <c r="C145" i="40"/>
  <c r="C250" i="41"/>
  <c r="C208" i="41"/>
  <c r="C252" i="40"/>
  <c r="E160" i="39"/>
  <c r="C173" i="40"/>
  <c r="E107" i="40"/>
  <c r="K107" i="39"/>
  <c r="E239" i="39"/>
  <c r="K17" i="40"/>
  <c r="E17" i="41"/>
  <c r="E274" i="39"/>
  <c r="E73" i="40"/>
  <c r="K73" i="39"/>
  <c r="C267" i="40"/>
  <c r="C232" i="40"/>
  <c r="E126" i="39"/>
  <c r="C259" i="40"/>
  <c r="K68" i="40"/>
  <c r="E68" i="41"/>
  <c r="K60" i="40"/>
  <c r="E60" i="41"/>
  <c r="E110" i="41"/>
  <c r="K110" i="40"/>
  <c r="E200" i="39"/>
  <c r="C227" i="41"/>
  <c r="E201" i="39"/>
  <c r="E190" i="39"/>
  <c r="E192" i="39"/>
  <c r="C221" i="40"/>
  <c r="E215" i="39"/>
  <c r="E236" i="39"/>
  <c r="C253" i="40"/>
  <c r="E139" i="39"/>
  <c r="C194" i="40"/>
  <c r="E230" i="39"/>
  <c r="E253" i="39"/>
  <c r="C147" i="41"/>
  <c r="E140" i="39"/>
  <c r="E171" i="39"/>
  <c r="C135" i="41"/>
  <c r="E163" i="39"/>
  <c r="C272" i="40"/>
  <c r="E96" i="41"/>
  <c r="K96" i="40"/>
  <c r="K94" i="40"/>
  <c r="E94" i="41"/>
  <c r="K72" i="40"/>
  <c r="E72" i="41"/>
  <c r="C184" i="40"/>
  <c r="E105" i="40"/>
  <c r="K105" i="39"/>
  <c r="I116" i="37"/>
  <c r="M116" i="37" s="1"/>
  <c r="C116" i="38"/>
  <c r="I110" i="37"/>
  <c r="M110" i="37" s="1"/>
  <c r="C110" i="38"/>
  <c r="C220" i="40"/>
  <c r="C224" i="40"/>
  <c r="E18" i="40"/>
  <c r="K18" i="39"/>
  <c r="C197" i="40"/>
  <c r="K41" i="40"/>
  <c r="E41" i="41"/>
  <c r="E258" i="39"/>
  <c r="C247" i="40"/>
  <c r="C275" i="40"/>
  <c r="I108" i="37"/>
  <c r="M108" i="37" s="1"/>
  <c r="C108" i="38"/>
  <c r="C236" i="40"/>
  <c r="C168" i="40"/>
  <c r="C271" i="40"/>
  <c r="E219" i="39"/>
  <c r="E89" i="40"/>
  <c r="K89" i="39"/>
  <c r="K92" i="40"/>
  <c r="E92" i="41"/>
  <c r="C192" i="40"/>
  <c r="E127" i="39"/>
  <c r="C132" i="40"/>
  <c r="K15" i="40"/>
  <c r="E15" i="41"/>
  <c r="E100" i="41"/>
  <c r="K100" i="40"/>
  <c r="C201" i="40"/>
  <c r="K76" i="40"/>
  <c r="E76" i="41"/>
  <c r="E112" i="41"/>
  <c r="K112" i="40"/>
  <c r="C152" i="40"/>
  <c r="E108" i="41"/>
  <c r="K108" i="40"/>
  <c r="E188" i="39"/>
  <c r="C149" i="40"/>
  <c r="E218" i="39"/>
  <c r="C204" i="41"/>
  <c r="E144" i="39"/>
  <c r="E118" i="39"/>
  <c r="E170" i="39"/>
  <c r="E132" i="39"/>
  <c r="C285" i="40"/>
  <c r="C185" i="40"/>
  <c r="E135" i="39"/>
  <c r="E250" i="39"/>
  <c r="C273" i="40"/>
  <c r="E155" i="39"/>
  <c r="C186" i="40"/>
  <c r="C181" i="40"/>
  <c r="E148" i="39"/>
  <c r="E231" i="39"/>
  <c r="E267" i="39"/>
  <c r="K25" i="40"/>
  <c r="E25" i="41"/>
  <c r="C160" i="40"/>
  <c r="C140" i="40"/>
  <c r="E104" i="41"/>
  <c r="K104" i="40"/>
  <c r="K48" i="40"/>
  <c r="E48" i="41"/>
  <c r="K88" i="40"/>
  <c r="E88" i="41"/>
  <c r="C209" i="40"/>
  <c r="E81" i="40"/>
  <c r="K81" i="39"/>
  <c r="E259" i="39"/>
  <c r="E196" i="39"/>
  <c r="E28" i="40"/>
  <c r="K28" i="39"/>
  <c r="E266" i="39"/>
  <c r="E59" i="40"/>
  <c r="K59" i="39"/>
  <c r="E246" i="39"/>
  <c r="C214" i="40"/>
  <c r="C242" i="41"/>
  <c r="E265" i="39"/>
  <c r="C170" i="40"/>
  <c r="E223" i="39"/>
  <c r="C268" i="40"/>
  <c r="C195" i="40"/>
  <c r="C234" i="40"/>
  <c r="E279" i="39"/>
  <c r="C206" i="40"/>
  <c r="E125" i="39"/>
  <c r="C189" i="40"/>
  <c r="E197" i="39"/>
  <c r="E277" i="39"/>
  <c r="C153" i="40"/>
  <c r="C196" i="41"/>
  <c r="E130" i="39"/>
  <c r="E289" i="39"/>
  <c r="E227" i="39"/>
  <c r="E232" i="39"/>
  <c r="C249" i="40"/>
  <c r="E261" i="39"/>
  <c r="C131" i="41"/>
  <c r="C146" i="40"/>
  <c r="I107" i="37"/>
  <c r="M107" i="37" s="1"/>
  <c r="C107" i="38"/>
  <c r="E207" i="39"/>
  <c r="E260" i="39"/>
  <c r="C113" i="38"/>
  <c r="I113" i="37"/>
  <c r="M113" i="37" s="1"/>
  <c r="E194" i="39"/>
  <c r="E178" i="39"/>
  <c r="E214" i="39"/>
  <c r="E22" i="39"/>
  <c r="K22" i="38"/>
  <c r="D110" i="40"/>
  <c r="J110" i="39"/>
  <c r="N110" i="39" s="1"/>
  <c r="E199" i="39"/>
  <c r="C105" i="38"/>
  <c r="I105" i="37"/>
  <c r="M105" i="37" s="1"/>
  <c r="E229" i="39"/>
  <c r="E252" i="39"/>
  <c r="C223" i="41"/>
  <c r="E280" i="39"/>
  <c r="D107" i="39"/>
  <c r="J107" i="38"/>
  <c r="N107" i="38" s="1"/>
  <c r="E87" i="39"/>
  <c r="K87" i="38"/>
  <c r="K50" i="38"/>
  <c r="E50" i="39"/>
  <c r="K39" i="38"/>
  <c r="E39" i="39"/>
  <c r="K42" i="38"/>
  <c r="E42" i="39"/>
  <c r="E61" i="39"/>
  <c r="K61" i="38"/>
  <c r="E111" i="39"/>
  <c r="K111" i="38"/>
  <c r="E53" i="39"/>
  <c r="K53" i="38"/>
  <c r="E244" i="39"/>
  <c r="E248" i="39"/>
  <c r="K12" i="38"/>
  <c r="E12" i="39"/>
  <c r="C122" i="41"/>
  <c r="E154" i="39"/>
  <c r="E55" i="39"/>
  <c r="K55" i="38"/>
  <c r="E95" i="39"/>
  <c r="K95" i="38"/>
  <c r="I101" i="37"/>
  <c r="M101" i="37" s="1"/>
  <c r="C101" i="38"/>
  <c r="I115" i="37"/>
  <c r="M115" i="37" s="1"/>
  <c r="C115" i="38"/>
  <c r="E282" i="39"/>
  <c r="C215" i="40"/>
  <c r="E205" i="39"/>
  <c r="C244" i="40"/>
  <c r="E150" i="39"/>
  <c r="E191" i="39"/>
  <c r="E97" i="40"/>
  <c r="K97" i="39"/>
  <c r="K80" i="40"/>
  <c r="E80" i="41"/>
  <c r="K13" i="40"/>
  <c r="E13" i="41"/>
  <c r="K44" i="40"/>
  <c r="E44" i="41"/>
  <c r="E216" i="39"/>
  <c r="K21" i="40"/>
  <c r="E21" i="41"/>
  <c r="I100" i="37"/>
  <c r="M100" i="37" s="1"/>
  <c r="C100" i="38"/>
  <c r="E113" i="40"/>
  <c r="K113" i="39"/>
  <c r="C127" i="40"/>
  <c r="E143" i="39"/>
  <c r="C243" i="40"/>
  <c r="I22" i="40"/>
  <c r="M22" i="40" s="1"/>
  <c r="C22" i="41"/>
  <c r="C200" i="41"/>
  <c r="E271" i="39"/>
  <c r="C284" i="40"/>
  <c r="C162" i="40"/>
  <c r="E159" i="39"/>
  <c r="C202" i="40"/>
  <c r="C150" i="40"/>
  <c r="E184" i="39"/>
  <c r="C211" i="40"/>
  <c r="C139" i="41"/>
  <c r="C233" i="40"/>
  <c r="C123" i="40"/>
  <c r="E99" i="40"/>
  <c r="K99" i="39"/>
  <c r="C205" i="40"/>
  <c r="C251" i="40"/>
  <c r="E242" i="39"/>
  <c r="E224" i="39"/>
  <c r="C158" i="40"/>
  <c r="E186" i="39"/>
  <c r="C155" i="41"/>
  <c r="C157" i="40"/>
  <c r="C165" i="40"/>
  <c r="C225" i="40"/>
  <c r="E287" i="39"/>
  <c r="E281" i="39"/>
  <c r="C174" i="40"/>
  <c r="C166" i="40"/>
  <c r="E182" i="39"/>
  <c r="E172" i="39"/>
  <c r="C163" i="41"/>
  <c r="E141" i="39"/>
  <c r="C137" i="40"/>
  <c r="E189" i="39"/>
  <c r="C141" i="40"/>
  <c r="E157" i="39"/>
  <c r="E71" i="39"/>
  <c r="K71" i="38"/>
  <c r="D111" i="39"/>
  <c r="J111" i="38"/>
  <c r="N111" i="38" s="1"/>
  <c r="D114" i="38"/>
  <c r="J114" i="37"/>
  <c r="N114" i="37" s="1"/>
  <c r="E103" i="39"/>
  <c r="K103" i="38"/>
  <c r="K78" i="38"/>
  <c r="E78" i="39"/>
  <c r="C103" i="38"/>
  <c r="I103" i="37"/>
  <c r="M103" i="37" s="1"/>
  <c r="D106" i="38"/>
  <c r="J106" i="37"/>
  <c r="N106" i="37" s="1"/>
  <c r="E177" i="39"/>
  <c r="E85" i="39"/>
  <c r="K85" i="38"/>
  <c r="E257" i="39"/>
  <c r="C138" i="40"/>
  <c r="E238" i="39"/>
  <c r="E181" i="39"/>
  <c r="E264" i="39"/>
  <c r="D117" i="39"/>
  <c r="J117" i="38"/>
  <c r="N117" i="38" s="1"/>
  <c r="E69" i="39"/>
  <c r="K69" i="38"/>
  <c r="I82" i="38"/>
  <c r="M82" i="38" s="1"/>
  <c r="C82" i="39"/>
  <c r="E57" i="40"/>
  <c r="K57" i="39"/>
  <c r="E63" i="39"/>
  <c r="K63" i="38"/>
  <c r="K58" i="38"/>
  <c r="E58" i="39"/>
  <c r="K62" i="38"/>
  <c r="E62" i="39"/>
  <c r="K9" i="39"/>
  <c r="E9" i="40"/>
  <c r="I114" i="38"/>
  <c r="M114" i="38" s="1"/>
  <c r="C114" i="39"/>
  <c r="I14" i="40"/>
  <c r="M14" i="40" s="1"/>
  <c r="C14" i="41"/>
  <c r="K35" i="38"/>
  <c r="E35" i="39"/>
  <c r="E115" i="40"/>
  <c r="K115" i="39"/>
  <c r="K27" i="38"/>
  <c r="E27" i="39"/>
  <c r="E38" i="39"/>
  <c r="K38" i="38"/>
  <c r="C120" i="40"/>
  <c r="I109" i="37"/>
  <c r="M109" i="37" s="1"/>
  <c r="C109" i="38"/>
  <c r="C175" i="41"/>
  <c r="K66" i="38"/>
  <c r="E66" i="39"/>
  <c r="K10" i="38"/>
  <c r="E10" i="39"/>
  <c r="E161" i="39"/>
  <c r="E268" i="39"/>
  <c r="D113" i="39"/>
  <c r="J113" i="38"/>
  <c r="N113" i="38" s="1"/>
  <c r="E173" i="39"/>
  <c r="E129" i="39"/>
  <c r="E165" i="39"/>
  <c r="E185" i="39"/>
  <c r="E221" i="39"/>
  <c r="C254" i="41"/>
  <c r="D102" i="40"/>
  <c r="J102" i="39"/>
  <c r="N102" i="39" s="1"/>
  <c r="C117" i="38"/>
  <c r="I117" i="37"/>
  <c r="M117" i="37" s="1"/>
  <c r="E137" i="39"/>
  <c r="E180" i="39"/>
  <c r="E176" i="39"/>
  <c r="C282" i="41"/>
  <c r="E203" i="39"/>
  <c r="E147" i="39"/>
  <c r="C238" i="40"/>
  <c r="E286" i="39"/>
  <c r="C188" i="40"/>
  <c r="E49" i="40"/>
  <c r="K49" i="39"/>
  <c r="K64" i="40"/>
  <c r="E64" i="41"/>
  <c r="E98" i="41"/>
  <c r="K98" i="40"/>
  <c r="C176" i="40"/>
  <c r="E65" i="40"/>
  <c r="K65" i="39"/>
  <c r="C255" i="40"/>
  <c r="C164" i="40"/>
  <c r="C230" i="40"/>
  <c r="C256" i="40"/>
  <c r="C281" i="40"/>
  <c r="E175" i="39"/>
  <c r="C288" i="40"/>
  <c r="E292" i="39"/>
  <c r="E183" i="39"/>
  <c r="C280" i="40"/>
  <c r="E167" i="39"/>
  <c r="C159" i="41"/>
  <c r="E240" i="39"/>
  <c r="C235" i="41"/>
  <c r="C203" i="40"/>
  <c r="C289" i="40"/>
  <c r="C270" i="41"/>
  <c r="E276" i="39"/>
  <c r="C183" i="41"/>
  <c r="E169" i="39"/>
  <c r="E198" i="39"/>
  <c r="E20" i="40"/>
  <c r="K20" i="39"/>
  <c r="I23" i="38"/>
  <c r="M23" i="38" s="1"/>
  <c r="C23" i="39"/>
  <c r="C111" i="38"/>
  <c r="I111" i="37"/>
  <c r="M111" i="37" s="1"/>
  <c r="E32" i="39"/>
  <c r="K32" i="38"/>
  <c r="K19" i="38"/>
  <c r="E19" i="39"/>
  <c r="I112" i="37"/>
  <c r="M112" i="37" s="1"/>
  <c r="C112" i="38"/>
  <c r="K74" i="38"/>
  <c r="E74" i="39"/>
  <c r="E210" i="39"/>
  <c r="E273" i="39"/>
  <c r="E133" i="39"/>
  <c r="E272" i="39"/>
  <c r="E145" i="39"/>
  <c r="E134" i="39"/>
  <c r="C216" i="41"/>
  <c r="I106" i="38"/>
  <c r="M106" i="38" s="1"/>
  <c r="C106" i="39"/>
  <c r="E77" i="39"/>
  <c r="K77" i="38"/>
  <c r="E67" i="40"/>
  <c r="K67" i="39"/>
  <c r="D109" i="39"/>
  <c r="J109" i="38"/>
  <c r="N109" i="38" s="1"/>
  <c r="K14" i="38"/>
  <c r="E14" i="39"/>
  <c r="C134" i="40"/>
  <c r="D112" i="38"/>
  <c r="J112" i="37"/>
  <c r="N112" i="37" s="1"/>
  <c r="E202" i="39"/>
  <c r="E225" i="39"/>
  <c r="E234" i="39"/>
  <c r="D105" i="39"/>
  <c r="J105" i="38"/>
  <c r="N105" i="38" s="1"/>
  <c r="D103" i="39"/>
  <c r="J103" i="38"/>
  <c r="N103" i="38" s="1"/>
  <c r="E166" i="39"/>
  <c r="E285" i="39"/>
  <c r="C187" i="41"/>
  <c r="C143" i="41"/>
  <c r="E206" i="39"/>
  <c r="E284" i="39"/>
  <c r="E237" i="39"/>
  <c r="E226" i="39"/>
  <c r="E124" i="39"/>
  <c r="C151" i="41"/>
  <c r="E47" i="39"/>
  <c r="K47" i="38"/>
  <c r="E24" i="39"/>
  <c r="K24" i="38"/>
  <c r="E79" i="39"/>
  <c r="K79" i="38"/>
  <c r="D115" i="39"/>
  <c r="J115" i="38"/>
  <c r="N115" i="38" s="1"/>
  <c r="C210" i="40"/>
  <c r="C266" i="41"/>
  <c r="E243" i="39"/>
  <c r="E247" i="39"/>
  <c r="C118" i="41"/>
  <c r="E220" i="39"/>
  <c r="E262" i="39"/>
  <c r="C237" i="40"/>
  <c r="I237" i="39"/>
  <c r="M237" i="39" s="1"/>
  <c r="E212" i="39"/>
  <c r="C229" i="40"/>
  <c r="C182" i="40"/>
  <c r="C190" i="40"/>
  <c r="C167" i="41"/>
  <c r="E222" i="39"/>
  <c r="C276" i="40"/>
  <c r="E228" i="39"/>
  <c r="E255" i="39"/>
  <c r="C287" i="40"/>
  <c r="E209" i="39"/>
  <c r="E179" i="39"/>
  <c r="C172" i="40"/>
  <c r="E36" i="40"/>
  <c r="K36" i="39"/>
  <c r="K37" i="40"/>
  <c r="E37" i="41"/>
  <c r="C144" i="40"/>
  <c r="E34" i="40"/>
  <c r="K34" i="39"/>
  <c r="K29" i="40"/>
  <c r="E29" i="41"/>
  <c r="E91" i="40"/>
  <c r="K91" i="39"/>
  <c r="K33" i="40"/>
  <c r="E33" i="41"/>
  <c r="K90" i="40"/>
  <c r="E90" i="41"/>
  <c r="E152" i="39"/>
  <c r="E123" i="39"/>
  <c r="K86" i="40"/>
  <c r="E86" i="41"/>
  <c r="E217" i="39"/>
  <c r="C156" i="40"/>
  <c r="K70" i="38"/>
  <c r="E70" i="39"/>
  <c r="C292" i="40"/>
  <c r="E138" i="39"/>
  <c r="E146" i="39"/>
  <c r="E235" i="39"/>
  <c r="C257" i="40"/>
  <c r="E270" i="39"/>
  <c r="C261" i="40"/>
  <c r="E263" i="39"/>
  <c r="E251" i="39"/>
  <c r="C286" i="41"/>
  <c r="E208" i="39"/>
  <c r="C269" i="40"/>
  <c r="C222" i="40"/>
  <c r="C248" i="40"/>
  <c r="C260" i="40"/>
  <c r="E213" i="39"/>
  <c r="E278" i="39"/>
  <c r="E168" i="39"/>
  <c r="E245" i="39"/>
  <c r="E156" i="39"/>
  <c r="E11" i="41" l="1"/>
  <c r="E11" i="42" s="1"/>
  <c r="E51" i="40"/>
  <c r="K51" i="40" s="1"/>
  <c r="E290" i="43"/>
  <c r="C290" i="44"/>
  <c r="B292" i="42"/>
  <c r="A292" i="42"/>
  <c r="E102" i="40"/>
  <c r="K102" i="39"/>
  <c r="C152" i="41"/>
  <c r="E100" i="42"/>
  <c r="K100" i="41"/>
  <c r="C192" i="41"/>
  <c r="E89" i="41"/>
  <c r="K89" i="40"/>
  <c r="C236" i="41"/>
  <c r="C197" i="41"/>
  <c r="C184" i="41"/>
  <c r="E96" i="42"/>
  <c r="K96" i="41"/>
  <c r="E171" i="40"/>
  <c r="E230" i="40"/>
  <c r="E139" i="40"/>
  <c r="E215" i="40"/>
  <c r="E201" i="40"/>
  <c r="C259" i="41"/>
  <c r="C173" i="41"/>
  <c r="C250" i="42"/>
  <c r="C154" i="41"/>
  <c r="E142" i="40"/>
  <c r="E249" i="40"/>
  <c r="E117" i="40"/>
  <c r="K117" i="39"/>
  <c r="E195" i="40"/>
  <c r="E101" i="40"/>
  <c r="K101" i="39"/>
  <c r="C133" i="41"/>
  <c r="E45" i="40"/>
  <c r="K45" i="39"/>
  <c r="E288" i="40"/>
  <c r="C130" i="41"/>
  <c r="C125" i="41"/>
  <c r="E119" i="40"/>
  <c r="E122" i="40"/>
  <c r="E283" i="40"/>
  <c r="C171" i="42"/>
  <c r="C263" i="41"/>
  <c r="C119" i="41"/>
  <c r="C148" i="41"/>
  <c r="C219" i="42"/>
  <c r="C241" i="41"/>
  <c r="C245" i="41"/>
  <c r="C180" i="41"/>
  <c r="C213" i="41"/>
  <c r="E187" i="40"/>
  <c r="E75" i="41"/>
  <c r="K75" i="40"/>
  <c r="C228" i="41"/>
  <c r="K43" i="40"/>
  <c r="E43" i="41"/>
  <c r="C217" i="41"/>
  <c r="E162" i="40"/>
  <c r="E158" i="40"/>
  <c r="C218" i="41"/>
  <c r="E70" i="40"/>
  <c r="K70" i="39"/>
  <c r="E86" i="42"/>
  <c r="K86" i="41"/>
  <c r="E14" i="40"/>
  <c r="K14" i="39"/>
  <c r="C106" i="40"/>
  <c r="I106" i="39"/>
  <c r="M106" i="39" s="1"/>
  <c r="E74" i="40"/>
  <c r="K74" i="39"/>
  <c r="C23" i="40"/>
  <c r="I23" i="39"/>
  <c r="M23" i="39" s="1"/>
  <c r="K64" i="41"/>
  <c r="E64" i="42"/>
  <c r="E66" i="40"/>
  <c r="K66" i="39"/>
  <c r="C14" i="42"/>
  <c r="I14" i="41"/>
  <c r="M14" i="41" s="1"/>
  <c r="K9" i="40"/>
  <c r="E9" i="41"/>
  <c r="E62" i="40"/>
  <c r="K62" i="39"/>
  <c r="C82" i="40"/>
  <c r="I82" i="39"/>
  <c r="M82" i="39" s="1"/>
  <c r="E78" i="40"/>
  <c r="K78" i="39"/>
  <c r="C22" i="42"/>
  <c r="I22" i="41"/>
  <c r="M22" i="41" s="1"/>
  <c r="C100" i="39"/>
  <c r="I100" i="38"/>
  <c r="M100" i="38" s="1"/>
  <c r="E21" i="42"/>
  <c r="K21" i="41"/>
  <c r="E13" i="42"/>
  <c r="K13" i="41"/>
  <c r="K80" i="41"/>
  <c r="E80" i="42"/>
  <c r="I115" i="38"/>
  <c r="M115" i="38" s="1"/>
  <c r="C115" i="39"/>
  <c r="D107" i="40"/>
  <c r="J107" i="39"/>
  <c r="N107" i="39" s="1"/>
  <c r="C223" i="42"/>
  <c r="E229" i="40"/>
  <c r="E199" i="40"/>
  <c r="D110" i="41"/>
  <c r="J110" i="40"/>
  <c r="N110" i="40" s="1"/>
  <c r="E22" i="40"/>
  <c r="K22" i="39"/>
  <c r="E214" i="40"/>
  <c r="E194" i="40"/>
  <c r="E207" i="40"/>
  <c r="C146" i="41"/>
  <c r="E261" i="40"/>
  <c r="E232" i="40"/>
  <c r="E289" i="40"/>
  <c r="C196" i="42"/>
  <c r="E277" i="40"/>
  <c r="C189" i="41"/>
  <c r="C206" i="41"/>
  <c r="C234" i="41"/>
  <c r="C195" i="41"/>
  <c r="E223" i="40"/>
  <c r="E265" i="40"/>
  <c r="C214" i="41"/>
  <c r="E59" i="41"/>
  <c r="K59" i="40"/>
  <c r="E266" i="40"/>
  <c r="E196" i="40"/>
  <c r="E81" i="41"/>
  <c r="K81" i="40"/>
  <c r="E104" i="42"/>
  <c r="K104" i="41"/>
  <c r="C160" i="41"/>
  <c r="E267" i="40"/>
  <c r="E148" i="40"/>
  <c r="C186" i="41"/>
  <c r="C273" i="41"/>
  <c r="E135" i="40"/>
  <c r="C285" i="41"/>
  <c r="E170" i="40"/>
  <c r="E144" i="40"/>
  <c r="E218" i="40"/>
  <c r="E92" i="42"/>
  <c r="K92" i="41"/>
  <c r="I108" i="38"/>
  <c r="M108" i="38" s="1"/>
  <c r="C108" i="39"/>
  <c r="K41" i="41"/>
  <c r="E41" i="42"/>
  <c r="I110" i="38"/>
  <c r="M110" i="38" s="1"/>
  <c r="C110" i="39"/>
  <c r="K72" i="41"/>
  <c r="E72" i="42"/>
  <c r="E68" i="42"/>
  <c r="K68" i="41"/>
  <c r="K17" i="41"/>
  <c r="E17" i="42"/>
  <c r="E16" i="42"/>
  <c r="K16" i="41"/>
  <c r="E23" i="40"/>
  <c r="K23" i="39"/>
  <c r="K82" i="41"/>
  <c r="E82" i="42"/>
  <c r="D100" i="40"/>
  <c r="J100" i="39"/>
  <c r="N100" i="39" s="1"/>
  <c r="D116" i="40"/>
  <c r="J116" i="39"/>
  <c r="N116" i="39" s="1"/>
  <c r="E90" i="42"/>
  <c r="K90" i="41"/>
  <c r="K33" i="41"/>
  <c r="E33" i="42"/>
  <c r="E29" i="42"/>
  <c r="K29" i="41"/>
  <c r="E37" i="42"/>
  <c r="K37" i="41"/>
  <c r="C112" i="39"/>
  <c r="I112" i="38"/>
  <c r="M112" i="38" s="1"/>
  <c r="E19" i="40"/>
  <c r="K19" i="39"/>
  <c r="E10" i="40"/>
  <c r="K10" i="39"/>
  <c r="I109" i="38"/>
  <c r="M109" i="38" s="1"/>
  <c r="C109" i="39"/>
  <c r="E27" i="40"/>
  <c r="K27" i="39"/>
  <c r="E35" i="40"/>
  <c r="K35" i="39"/>
  <c r="C114" i="40"/>
  <c r="I114" i="39"/>
  <c r="M114" i="39" s="1"/>
  <c r="E58" i="40"/>
  <c r="K58" i="39"/>
  <c r="E44" i="42"/>
  <c r="K44" i="41"/>
  <c r="I101" i="38"/>
  <c r="M101" i="38" s="1"/>
  <c r="C101" i="39"/>
  <c r="E12" i="40"/>
  <c r="K12" i="39"/>
  <c r="E87" i="40"/>
  <c r="K87" i="39"/>
  <c r="E280" i="40"/>
  <c r="E252" i="40"/>
  <c r="I105" i="38"/>
  <c r="M105" i="38" s="1"/>
  <c r="C105" i="39"/>
  <c r="E178" i="40"/>
  <c r="I113" i="38"/>
  <c r="M113" i="38" s="1"/>
  <c r="C113" i="39"/>
  <c r="E260" i="40"/>
  <c r="C131" i="42"/>
  <c r="C249" i="41"/>
  <c r="E227" i="40"/>
  <c r="E130" i="40"/>
  <c r="C153" i="41"/>
  <c r="E197" i="40"/>
  <c r="E125" i="40"/>
  <c r="E279" i="40"/>
  <c r="C268" i="41"/>
  <c r="C170" i="41"/>
  <c r="C242" i="42"/>
  <c r="E246" i="40"/>
  <c r="E28" i="41"/>
  <c r="K28" i="40"/>
  <c r="E259" i="40"/>
  <c r="C209" i="41"/>
  <c r="C140" i="41"/>
  <c r="E231" i="40"/>
  <c r="C181" i="41"/>
  <c r="E155" i="40"/>
  <c r="E250" i="40"/>
  <c r="C185" i="41"/>
  <c r="E132" i="40"/>
  <c r="E118" i="40"/>
  <c r="C204" i="42"/>
  <c r="C149" i="41"/>
  <c r="E76" i="42"/>
  <c r="K76" i="41"/>
  <c r="E15" i="42"/>
  <c r="K15" i="41"/>
  <c r="C116" i="39"/>
  <c r="I116" i="38"/>
  <c r="M116" i="38" s="1"/>
  <c r="K94" i="41"/>
  <c r="E94" i="42"/>
  <c r="E60" i="42"/>
  <c r="K60" i="41"/>
  <c r="I102" i="38"/>
  <c r="M102" i="38" s="1"/>
  <c r="C102" i="39"/>
  <c r="E84" i="42"/>
  <c r="K84" i="41"/>
  <c r="E46" i="40"/>
  <c r="K46" i="39"/>
  <c r="E54" i="40"/>
  <c r="K54" i="39"/>
  <c r="C104" i="39"/>
  <c r="I104" i="38"/>
  <c r="M104" i="38" s="1"/>
  <c r="E8" i="40"/>
  <c r="K8" i="39"/>
  <c r="D108" i="40"/>
  <c r="J108" i="39"/>
  <c r="N108" i="39" s="1"/>
  <c r="E52" i="42"/>
  <c r="K52" i="41"/>
  <c r="K56" i="41"/>
  <c r="E56" i="42"/>
  <c r="E31" i="40"/>
  <c r="K31" i="39"/>
  <c r="E245" i="40"/>
  <c r="E278" i="40"/>
  <c r="C260" i="41"/>
  <c r="C222" i="41"/>
  <c r="E208" i="40"/>
  <c r="E251" i="40"/>
  <c r="C261" i="41"/>
  <c r="C257" i="41"/>
  <c r="E146" i="40"/>
  <c r="C292" i="41"/>
  <c r="C156" i="41"/>
  <c r="E123" i="40"/>
  <c r="C144" i="41"/>
  <c r="C172" i="41"/>
  <c r="E179" i="40"/>
  <c r="C287" i="41"/>
  <c r="E255" i="40"/>
  <c r="C276" i="41"/>
  <c r="C167" i="42"/>
  <c r="C182" i="41"/>
  <c r="E212" i="40"/>
  <c r="E262" i="40"/>
  <c r="C118" i="42"/>
  <c r="E243" i="40"/>
  <c r="C210" i="41"/>
  <c r="D115" i="40"/>
  <c r="J115" i="39"/>
  <c r="N115" i="39" s="1"/>
  <c r="E79" i="40"/>
  <c r="K79" i="39"/>
  <c r="C151" i="42"/>
  <c r="E226" i="40"/>
  <c r="E284" i="40"/>
  <c r="C143" i="42"/>
  <c r="C187" i="42"/>
  <c r="E166" i="40"/>
  <c r="E234" i="40"/>
  <c r="E202" i="40"/>
  <c r="D109" i="40"/>
  <c r="J109" i="39"/>
  <c r="N109" i="39" s="1"/>
  <c r="E67" i="41"/>
  <c r="K67" i="40"/>
  <c r="E77" i="40"/>
  <c r="K77" i="39"/>
  <c r="C216" i="42"/>
  <c r="E272" i="40"/>
  <c r="E273" i="40"/>
  <c r="I111" i="38"/>
  <c r="M111" i="38" s="1"/>
  <c r="C111" i="39"/>
  <c r="E20" i="41"/>
  <c r="K20" i="40"/>
  <c r="E169" i="40"/>
  <c r="E276" i="40"/>
  <c r="C289" i="41"/>
  <c r="C235" i="42"/>
  <c r="C159" i="42"/>
  <c r="C280" i="41"/>
  <c r="E292" i="40"/>
  <c r="E175" i="40"/>
  <c r="C256" i="41"/>
  <c r="C164" i="41"/>
  <c r="C255" i="41"/>
  <c r="E65" i="41"/>
  <c r="K65" i="40"/>
  <c r="C176" i="41"/>
  <c r="K98" i="41"/>
  <c r="E98" i="42"/>
  <c r="E49" i="41"/>
  <c r="K49" i="40"/>
  <c r="E286" i="40"/>
  <c r="E147" i="40"/>
  <c r="C282" i="42"/>
  <c r="E180" i="40"/>
  <c r="I117" i="38"/>
  <c r="M117" i="38" s="1"/>
  <c r="C117" i="39"/>
  <c r="D102" i="41"/>
  <c r="J102" i="40"/>
  <c r="N102" i="40" s="1"/>
  <c r="C254" i="42"/>
  <c r="E185" i="40"/>
  <c r="E129" i="40"/>
  <c r="E268" i="40"/>
  <c r="C120" i="41"/>
  <c r="E57" i="41"/>
  <c r="K57" i="40"/>
  <c r="D117" i="40"/>
  <c r="J117" i="39"/>
  <c r="N117" i="39" s="1"/>
  <c r="E264" i="40"/>
  <c r="E238" i="40"/>
  <c r="E257" i="40"/>
  <c r="E85" i="40"/>
  <c r="K85" i="39"/>
  <c r="E177" i="40"/>
  <c r="I103" i="38"/>
  <c r="M103" i="38" s="1"/>
  <c r="C103" i="39"/>
  <c r="J114" i="38"/>
  <c r="N114" i="38" s="1"/>
  <c r="D114" i="39"/>
  <c r="E71" i="40"/>
  <c r="K71" i="39"/>
  <c r="E157" i="40"/>
  <c r="E189" i="40"/>
  <c r="C163" i="42"/>
  <c r="E182" i="40"/>
  <c r="C174" i="41"/>
  <c r="E287" i="40"/>
  <c r="C165" i="41"/>
  <c r="C155" i="42"/>
  <c r="C158" i="41"/>
  <c r="E242" i="40"/>
  <c r="C205" i="41"/>
  <c r="E99" i="41"/>
  <c r="K99" i="40"/>
  <c r="C233" i="41"/>
  <c r="C211" i="41"/>
  <c r="C150" i="41"/>
  <c r="C202" i="41"/>
  <c r="C162" i="41"/>
  <c r="E271" i="40"/>
  <c r="C127" i="41"/>
  <c r="E216" i="40"/>
  <c r="E191" i="40"/>
  <c r="E150" i="40"/>
  <c r="E205" i="40"/>
  <c r="E282" i="40"/>
  <c r="E95" i="40"/>
  <c r="K95" i="39"/>
  <c r="C122" i="42"/>
  <c r="E244" i="40"/>
  <c r="E111" i="40"/>
  <c r="K111" i="39"/>
  <c r="E39" i="40"/>
  <c r="K39" i="39"/>
  <c r="E50" i="40"/>
  <c r="K50" i="39"/>
  <c r="K88" i="41"/>
  <c r="E88" i="42"/>
  <c r="E188" i="40"/>
  <c r="C132" i="41"/>
  <c r="C271" i="41"/>
  <c r="E258" i="40"/>
  <c r="E18" i="41"/>
  <c r="K18" i="40"/>
  <c r="E105" i="41"/>
  <c r="K105" i="40"/>
  <c r="E163" i="40"/>
  <c r="C147" i="42"/>
  <c r="E192" i="40"/>
  <c r="E200" i="40"/>
  <c r="C232" i="41"/>
  <c r="E73" i="41"/>
  <c r="K73" i="40"/>
  <c r="E239" i="40"/>
  <c r="C252" i="41"/>
  <c r="C207" i="41"/>
  <c r="C262" i="42"/>
  <c r="E241" i="40"/>
  <c r="J104" i="38"/>
  <c r="N104" i="38" s="1"/>
  <c r="D104" i="39"/>
  <c r="C121" i="41"/>
  <c r="E149" i="40"/>
  <c r="E30" i="40"/>
  <c r="K30" i="39"/>
  <c r="C142" i="41"/>
  <c r="E211" i="40"/>
  <c r="E156" i="40"/>
  <c r="E168" i="40"/>
  <c r="E213" i="40"/>
  <c r="C248" i="41"/>
  <c r="C269" i="41"/>
  <c r="C286" i="42"/>
  <c r="E263" i="40"/>
  <c r="E270" i="40"/>
  <c r="E235" i="40"/>
  <c r="E138" i="40"/>
  <c r="E217" i="40"/>
  <c r="E152" i="40"/>
  <c r="E91" i="41"/>
  <c r="K91" i="40"/>
  <c r="E34" i="41"/>
  <c r="K34" i="40"/>
  <c r="E36" i="41"/>
  <c r="K36" i="40"/>
  <c r="E209" i="40"/>
  <c r="E51" i="41"/>
  <c r="E228" i="40"/>
  <c r="E222" i="40"/>
  <c r="C190" i="41"/>
  <c r="C229" i="41"/>
  <c r="C237" i="41"/>
  <c r="I237" i="40"/>
  <c r="M237" i="40" s="1"/>
  <c r="E220" i="40"/>
  <c r="E247" i="40"/>
  <c r="C266" i="42"/>
  <c r="E24" i="40"/>
  <c r="K24" i="39"/>
  <c r="E47" i="40"/>
  <c r="K47" i="39"/>
  <c r="E124" i="40"/>
  <c r="E237" i="40"/>
  <c r="E206" i="40"/>
  <c r="E285" i="40"/>
  <c r="J103" i="39"/>
  <c r="N103" i="39" s="1"/>
  <c r="D103" i="40"/>
  <c r="J105" i="39"/>
  <c r="N105" i="39" s="1"/>
  <c r="D105" i="40"/>
  <c r="E225" i="40"/>
  <c r="J112" i="38"/>
  <c r="N112" i="38" s="1"/>
  <c r="D112" i="39"/>
  <c r="C134" i="41"/>
  <c r="E134" i="40"/>
  <c r="E145" i="40"/>
  <c r="E133" i="40"/>
  <c r="E210" i="40"/>
  <c r="E32" i="40"/>
  <c r="K32" i="39"/>
  <c r="E198" i="40"/>
  <c r="C183" i="42"/>
  <c r="C270" i="42"/>
  <c r="C203" i="41"/>
  <c r="E240" i="40"/>
  <c r="E167" i="40"/>
  <c r="E183" i="40"/>
  <c r="C288" i="41"/>
  <c r="C281" i="41"/>
  <c r="C230" i="41"/>
  <c r="C188" i="41"/>
  <c r="C238" i="41"/>
  <c r="E203" i="40"/>
  <c r="E176" i="40"/>
  <c r="E137" i="40"/>
  <c r="E221" i="40"/>
  <c r="E165" i="40"/>
  <c r="E173" i="40"/>
  <c r="J113" i="39"/>
  <c r="N113" i="39" s="1"/>
  <c r="D113" i="40"/>
  <c r="E161" i="40"/>
  <c r="C175" i="42"/>
  <c r="E38" i="40"/>
  <c r="K38" i="39"/>
  <c r="E115" i="41"/>
  <c r="K115" i="40"/>
  <c r="E63" i="40"/>
  <c r="K63" i="39"/>
  <c r="E69" i="40"/>
  <c r="K69" i="39"/>
  <c r="E181" i="40"/>
  <c r="C138" i="41"/>
  <c r="J106" i="38"/>
  <c r="N106" i="38" s="1"/>
  <c r="D106" i="39"/>
  <c r="E103" i="40"/>
  <c r="K103" i="39"/>
  <c r="J111" i="39"/>
  <c r="N111" i="39" s="1"/>
  <c r="D111" i="40"/>
  <c r="C141" i="41"/>
  <c r="C137" i="41"/>
  <c r="E141" i="40"/>
  <c r="E172" i="40"/>
  <c r="C166" i="41"/>
  <c r="E281" i="40"/>
  <c r="C225" i="41"/>
  <c r="C157" i="41"/>
  <c r="E186" i="40"/>
  <c r="E224" i="40"/>
  <c r="C251" i="41"/>
  <c r="C123" i="41"/>
  <c r="C139" i="42"/>
  <c r="E184" i="40"/>
  <c r="E159" i="40"/>
  <c r="C284" i="41"/>
  <c r="C200" i="42"/>
  <c r="C243" i="41"/>
  <c r="E143" i="40"/>
  <c r="E113" i="41"/>
  <c r="K113" i="40"/>
  <c r="E97" i="41"/>
  <c r="K97" i="40"/>
  <c r="C244" i="41"/>
  <c r="C215" i="41"/>
  <c r="E55" i="40"/>
  <c r="K55" i="39"/>
  <c r="E154" i="40"/>
  <c r="E248" i="40"/>
  <c r="E53" i="40"/>
  <c r="K53" i="39"/>
  <c r="E61" i="40"/>
  <c r="K61" i="39"/>
  <c r="K42" i="39"/>
  <c r="E42" i="40"/>
  <c r="I107" i="38"/>
  <c r="M107" i="38" s="1"/>
  <c r="C107" i="39"/>
  <c r="K48" i="41"/>
  <c r="E48" i="42"/>
  <c r="K25" i="41"/>
  <c r="E25" i="42"/>
  <c r="E108" i="42"/>
  <c r="K108" i="41"/>
  <c r="E112" i="42"/>
  <c r="K112" i="41"/>
  <c r="C201" i="41"/>
  <c r="E127" i="40"/>
  <c r="E219" i="40"/>
  <c r="C168" i="41"/>
  <c r="C275" i="41"/>
  <c r="C247" i="41"/>
  <c r="C224" i="41"/>
  <c r="C220" i="41"/>
  <c r="C272" i="41"/>
  <c r="C135" i="42"/>
  <c r="E140" i="40"/>
  <c r="E253" i="40"/>
  <c r="C194" i="41"/>
  <c r="C253" i="41"/>
  <c r="E236" i="40"/>
  <c r="C221" i="41"/>
  <c r="E190" i="40"/>
  <c r="C227" i="42"/>
  <c r="E110" i="42"/>
  <c r="K110" i="41"/>
  <c r="E126" i="40"/>
  <c r="C267" i="41"/>
  <c r="E274" i="40"/>
  <c r="E107" i="41"/>
  <c r="K107" i="40"/>
  <c r="E160" i="40"/>
  <c r="C208" i="42"/>
  <c r="C145" i="41"/>
  <c r="C226" i="41"/>
  <c r="C231" i="42"/>
  <c r="E204" i="40"/>
  <c r="E109" i="40"/>
  <c r="K109" i="39"/>
  <c r="C124" i="41"/>
  <c r="E40" i="40"/>
  <c r="K40" i="39"/>
  <c r="E256" i="40"/>
  <c r="E93" i="40"/>
  <c r="K93" i="39"/>
  <c r="E174" i="40"/>
  <c r="D101" i="40"/>
  <c r="J101" i="39"/>
  <c r="N101" i="39" s="1"/>
  <c r="C129" i="41"/>
  <c r="C246" i="42"/>
  <c r="E233" i="40"/>
  <c r="E121" i="40"/>
  <c r="E83" i="41"/>
  <c r="K83" i="40"/>
  <c r="E153" i="40"/>
  <c r="E120" i="40"/>
  <c r="E269" i="40"/>
  <c r="C265" i="41"/>
  <c r="E131" i="40"/>
  <c r="C258" i="42"/>
  <c r="E136" i="40"/>
  <c r="C274" i="42"/>
  <c r="C161" i="41"/>
  <c r="C279" i="41"/>
  <c r="K114" i="41"/>
  <c r="E114" i="42"/>
  <c r="E275" i="40"/>
  <c r="C239" i="42"/>
  <c r="C240" i="41"/>
  <c r="E26" i="41"/>
  <c r="K26" i="40"/>
  <c r="E151" i="40"/>
  <c r="K106" i="41"/>
  <c r="E106" i="42"/>
  <c r="E254" i="40"/>
  <c r="C283" i="41"/>
  <c r="C136" i="41"/>
  <c r="E116" i="42"/>
  <c r="K116" i="41"/>
  <c r="E164" i="40"/>
  <c r="C264" i="41"/>
  <c r="C199" i="41"/>
  <c r="C198" i="41"/>
  <c r="K11" i="41" l="1"/>
  <c r="C290" i="45"/>
  <c r="E290" i="44"/>
  <c r="B292" i="43"/>
  <c r="A292" i="43"/>
  <c r="E102" i="41"/>
  <c r="K102" i="40"/>
  <c r="C199" i="42"/>
  <c r="C136" i="42"/>
  <c r="E151" i="41"/>
  <c r="C239" i="43"/>
  <c r="C279" i="42"/>
  <c r="C258" i="43"/>
  <c r="E153" i="41"/>
  <c r="C246" i="43"/>
  <c r="D101" i="41"/>
  <c r="J101" i="40"/>
  <c r="N101" i="40" s="1"/>
  <c r="C124" i="42"/>
  <c r="K109" i="40"/>
  <c r="E109" i="41"/>
  <c r="C145" i="42"/>
  <c r="E274" i="41"/>
  <c r="C227" i="43"/>
  <c r="C253" i="42"/>
  <c r="C135" i="43"/>
  <c r="C247" i="42"/>
  <c r="E127" i="41"/>
  <c r="E248" i="41"/>
  <c r="C243" i="42"/>
  <c r="C139" i="43"/>
  <c r="C166" i="42"/>
  <c r="C141" i="42"/>
  <c r="E69" i="41"/>
  <c r="K69" i="40"/>
  <c r="E165" i="41"/>
  <c r="C281" i="42"/>
  <c r="E183" i="41"/>
  <c r="C270" i="43"/>
  <c r="E198" i="41"/>
  <c r="E145" i="41"/>
  <c r="E124" i="41"/>
  <c r="C237" i="42"/>
  <c r="I237" i="41"/>
  <c r="M237" i="41" s="1"/>
  <c r="E228" i="41"/>
  <c r="E150" i="41"/>
  <c r="D114" i="40"/>
  <c r="J114" i="39"/>
  <c r="N114" i="39" s="1"/>
  <c r="C103" i="40"/>
  <c r="I103" i="39"/>
  <c r="M103" i="39" s="1"/>
  <c r="E257" i="41"/>
  <c r="E243" i="41"/>
  <c r="E262" i="41"/>
  <c r="C276" i="42"/>
  <c r="C172" i="42"/>
  <c r="C292" i="42"/>
  <c r="C257" i="42"/>
  <c r="C222" i="42"/>
  <c r="E278" i="41"/>
  <c r="K31" i="40"/>
  <c r="E31" i="41"/>
  <c r="J108" i="40"/>
  <c r="N108" i="40" s="1"/>
  <c r="D108" i="41"/>
  <c r="K54" i="40"/>
  <c r="E54" i="41"/>
  <c r="K76" i="42"/>
  <c r="E76" i="43"/>
  <c r="E132" i="41"/>
  <c r="C181" i="42"/>
  <c r="E259" i="41"/>
  <c r="C170" i="42"/>
  <c r="E279" i="41"/>
  <c r="E130" i="41"/>
  <c r="E260" i="41"/>
  <c r="E12" i="41"/>
  <c r="K12" i="40"/>
  <c r="K44" i="42"/>
  <c r="E44" i="43"/>
  <c r="I114" i="40"/>
  <c r="M114" i="40" s="1"/>
  <c r="C114" i="41"/>
  <c r="K27" i="40"/>
  <c r="E27" i="41"/>
  <c r="K19" i="40"/>
  <c r="E19" i="41"/>
  <c r="J116" i="40"/>
  <c r="N116" i="40" s="1"/>
  <c r="D116" i="41"/>
  <c r="K92" i="42"/>
  <c r="E92" i="43"/>
  <c r="E267" i="41"/>
  <c r="E196" i="41"/>
  <c r="C234" i="42"/>
  <c r="C189" i="42"/>
  <c r="E232" i="41"/>
  <c r="C146" i="42"/>
  <c r="E214" i="41"/>
  <c r="K78" i="40"/>
  <c r="E78" i="41"/>
  <c r="I14" i="42"/>
  <c r="M14" i="42" s="1"/>
  <c r="C14" i="43"/>
  <c r="K74" i="40"/>
  <c r="E74" i="41"/>
  <c r="C217" i="42"/>
  <c r="E187" i="41"/>
  <c r="C245" i="42"/>
  <c r="C119" i="42"/>
  <c r="E45" i="41"/>
  <c r="K45" i="40"/>
  <c r="E117" i="41"/>
  <c r="K117" i="40"/>
  <c r="C154" i="42"/>
  <c r="E139" i="41"/>
  <c r="C184" i="42"/>
  <c r="C192" i="42"/>
  <c r="K114" i="42"/>
  <c r="E114" i="43"/>
  <c r="E174" i="41"/>
  <c r="E190" i="41"/>
  <c r="K48" i="42"/>
  <c r="E48" i="43"/>
  <c r="E281" i="41"/>
  <c r="E222" i="41"/>
  <c r="E152" i="41"/>
  <c r="C286" i="43"/>
  <c r="E30" i="41"/>
  <c r="K30" i="40"/>
  <c r="C262" i="43"/>
  <c r="E73" i="42"/>
  <c r="K73" i="41"/>
  <c r="E200" i="41"/>
  <c r="E163" i="41"/>
  <c r="C271" i="42"/>
  <c r="E188" i="41"/>
  <c r="K50" i="40"/>
  <c r="E50" i="41"/>
  <c r="K95" i="40"/>
  <c r="E95" i="41"/>
  <c r="C202" i="42"/>
  <c r="C211" i="42"/>
  <c r="E242" i="41"/>
  <c r="C155" i="43"/>
  <c r="E157" i="41"/>
  <c r="E85" i="41"/>
  <c r="K85" i="40"/>
  <c r="E264" i="41"/>
  <c r="C120" i="42"/>
  <c r="C254" i="43"/>
  <c r="E180" i="41"/>
  <c r="E49" i="42"/>
  <c r="K49" i="41"/>
  <c r="E65" i="42"/>
  <c r="K65" i="41"/>
  <c r="E175" i="41"/>
  <c r="C235" i="43"/>
  <c r="E20" i="42"/>
  <c r="K20" i="41"/>
  <c r="E202" i="41"/>
  <c r="E284" i="41"/>
  <c r="E79" i="41"/>
  <c r="K79" i="40"/>
  <c r="E245" i="41"/>
  <c r="C101" i="40"/>
  <c r="I101" i="39"/>
  <c r="M101" i="39" s="1"/>
  <c r="I109" i="39"/>
  <c r="M109" i="39" s="1"/>
  <c r="C109" i="40"/>
  <c r="K33" i="42"/>
  <c r="E33" i="43"/>
  <c r="K41" i="42"/>
  <c r="E41" i="43"/>
  <c r="E277" i="41"/>
  <c r="E261" i="41"/>
  <c r="E207" i="41"/>
  <c r="E9" i="42"/>
  <c r="K9" i="41"/>
  <c r="K64" i="42"/>
  <c r="E64" i="43"/>
  <c r="E43" i="42"/>
  <c r="K43" i="41"/>
  <c r="C198" i="42"/>
  <c r="C264" i="42"/>
  <c r="C283" i="42"/>
  <c r="E26" i="42"/>
  <c r="K26" i="41"/>
  <c r="C161" i="42"/>
  <c r="E120" i="41"/>
  <c r="E269" i="41"/>
  <c r="E253" i="41"/>
  <c r="K25" i="42"/>
  <c r="E25" i="43"/>
  <c r="K42" i="40"/>
  <c r="E42" i="41"/>
  <c r="E154" i="41"/>
  <c r="E186" i="41"/>
  <c r="D111" i="41"/>
  <c r="J111" i="40"/>
  <c r="N111" i="40" s="1"/>
  <c r="D106" i="40"/>
  <c r="J106" i="39"/>
  <c r="N106" i="39" s="1"/>
  <c r="D113" i="41"/>
  <c r="J113" i="40"/>
  <c r="N113" i="40" s="1"/>
  <c r="E203" i="41"/>
  <c r="D112" i="40"/>
  <c r="J112" i="39"/>
  <c r="N112" i="39" s="1"/>
  <c r="D103" i="41"/>
  <c r="J103" i="40"/>
  <c r="N103" i="40" s="1"/>
  <c r="E285" i="41"/>
  <c r="E91" i="42"/>
  <c r="K91" i="41"/>
  <c r="E217" i="41"/>
  <c r="E235" i="41"/>
  <c r="E263" i="41"/>
  <c r="C269" i="42"/>
  <c r="E213" i="41"/>
  <c r="E156" i="41"/>
  <c r="E149" i="41"/>
  <c r="C207" i="42"/>
  <c r="E239" i="41"/>
  <c r="C232" i="42"/>
  <c r="E192" i="41"/>
  <c r="C147" i="43"/>
  <c r="K105" i="41"/>
  <c r="E105" i="42"/>
  <c r="E258" i="41"/>
  <c r="C132" i="42"/>
  <c r="K39" i="40"/>
  <c r="E39" i="41"/>
  <c r="K111" i="40"/>
  <c r="E111" i="41"/>
  <c r="E244" i="41"/>
  <c r="C122" i="43"/>
  <c r="E282" i="41"/>
  <c r="E205" i="41"/>
  <c r="E191" i="41"/>
  <c r="C127" i="42"/>
  <c r="C162" i="42"/>
  <c r="C150" i="42"/>
  <c r="C233" i="42"/>
  <c r="C205" i="42"/>
  <c r="C158" i="42"/>
  <c r="C165" i="42"/>
  <c r="C174" i="42"/>
  <c r="C163" i="43"/>
  <c r="E189" i="41"/>
  <c r="E71" i="41"/>
  <c r="K71" i="40"/>
  <c r="E177" i="41"/>
  <c r="D117" i="41"/>
  <c r="J117" i="40"/>
  <c r="N117" i="40" s="1"/>
  <c r="E57" i="42"/>
  <c r="K57" i="41"/>
  <c r="E268" i="41"/>
  <c r="E185" i="41"/>
  <c r="D102" i="42"/>
  <c r="J102" i="41"/>
  <c r="N102" i="41" s="1"/>
  <c r="C282" i="43"/>
  <c r="E286" i="41"/>
  <c r="C255" i="42"/>
  <c r="C256" i="42"/>
  <c r="E292" i="41"/>
  <c r="C159" i="43"/>
  <c r="C289" i="42"/>
  <c r="E169" i="41"/>
  <c r="E272" i="41"/>
  <c r="C216" i="43"/>
  <c r="E77" i="41"/>
  <c r="K77" i="40"/>
  <c r="D109" i="41"/>
  <c r="J109" i="40"/>
  <c r="N109" i="40" s="1"/>
  <c r="C143" i="43"/>
  <c r="D115" i="41"/>
  <c r="J115" i="40"/>
  <c r="N115" i="40" s="1"/>
  <c r="K56" i="42"/>
  <c r="E56" i="43"/>
  <c r="K94" i="42"/>
  <c r="E94" i="43"/>
  <c r="E178" i="41"/>
  <c r="C105" i="40"/>
  <c r="I105" i="39"/>
  <c r="M105" i="39" s="1"/>
  <c r="K17" i="42"/>
  <c r="E17" i="43"/>
  <c r="K72" i="42"/>
  <c r="E72" i="43"/>
  <c r="C108" i="40"/>
  <c r="I108" i="39"/>
  <c r="M108" i="39" s="1"/>
  <c r="E218" i="41"/>
  <c r="E170" i="41"/>
  <c r="E265" i="41"/>
  <c r="E199" i="41"/>
  <c r="K80" i="42"/>
  <c r="E80" i="43"/>
  <c r="E158" i="41"/>
  <c r="E195" i="41"/>
  <c r="E164" i="41"/>
  <c r="E254" i="41"/>
  <c r="C240" i="42"/>
  <c r="C274" i="43"/>
  <c r="E131" i="41"/>
  <c r="E121" i="41"/>
  <c r="E256" i="41"/>
  <c r="C231" i="43"/>
  <c r="E160" i="41"/>
  <c r="E126" i="41"/>
  <c r="C221" i="42"/>
  <c r="C220" i="42"/>
  <c r="C168" i="42"/>
  <c r="K112" i="42"/>
  <c r="E112" i="43"/>
  <c r="E53" i="41"/>
  <c r="K53" i="40"/>
  <c r="C215" i="42"/>
  <c r="K113" i="41"/>
  <c r="E113" i="42"/>
  <c r="C284" i="42"/>
  <c r="C251" i="42"/>
  <c r="C225" i="42"/>
  <c r="E141" i="41"/>
  <c r="E181" i="41"/>
  <c r="K115" i="41"/>
  <c r="E115" i="42"/>
  <c r="E137" i="41"/>
  <c r="C188" i="42"/>
  <c r="E240" i="41"/>
  <c r="E32" i="41"/>
  <c r="K32" i="40"/>
  <c r="E206" i="41"/>
  <c r="E24" i="41"/>
  <c r="K24" i="40"/>
  <c r="E247" i="41"/>
  <c r="C190" i="42"/>
  <c r="E209" i="41"/>
  <c r="K88" i="42"/>
  <c r="E88" i="43"/>
  <c r="E182" i="41"/>
  <c r="C182" i="42"/>
  <c r="C287" i="42"/>
  <c r="E123" i="41"/>
  <c r="E251" i="41"/>
  <c r="K60" i="42"/>
  <c r="E60" i="43"/>
  <c r="C204" i="43"/>
  <c r="E250" i="41"/>
  <c r="C140" i="42"/>
  <c r="E246" i="41"/>
  <c r="E197" i="41"/>
  <c r="C249" i="42"/>
  <c r="E280" i="41"/>
  <c r="K58" i="40"/>
  <c r="E58" i="41"/>
  <c r="C112" i="40"/>
  <c r="I112" i="39"/>
  <c r="M112" i="39" s="1"/>
  <c r="K90" i="42"/>
  <c r="E90" i="43"/>
  <c r="J100" i="40"/>
  <c r="N100" i="40" s="1"/>
  <c r="D100" i="41"/>
  <c r="K16" i="42"/>
  <c r="E16" i="43"/>
  <c r="E135" i="41"/>
  <c r="C186" i="42"/>
  <c r="K104" i="42"/>
  <c r="E104" i="43"/>
  <c r="E59" i="42"/>
  <c r="K59" i="41"/>
  <c r="C196" i="43"/>
  <c r="E22" i="41"/>
  <c r="K22" i="40"/>
  <c r="C223" i="43"/>
  <c r="C100" i="40"/>
  <c r="I100" i="39"/>
  <c r="M100" i="39" s="1"/>
  <c r="K62" i="40"/>
  <c r="E62" i="41"/>
  <c r="K66" i="40"/>
  <c r="E66" i="41"/>
  <c r="C23" i="41"/>
  <c r="I23" i="40"/>
  <c r="M23" i="40" s="1"/>
  <c r="C106" i="41"/>
  <c r="I106" i="40"/>
  <c r="M106" i="40" s="1"/>
  <c r="K70" i="40"/>
  <c r="E70" i="41"/>
  <c r="C228" i="42"/>
  <c r="C180" i="42"/>
  <c r="C219" i="43"/>
  <c r="C171" i="43"/>
  <c r="E122" i="41"/>
  <c r="C130" i="42"/>
  <c r="C173" i="42"/>
  <c r="E201" i="41"/>
  <c r="E171" i="41"/>
  <c r="C236" i="42"/>
  <c r="C152" i="42"/>
  <c r="K106" i="42"/>
  <c r="E106" i="43"/>
  <c r="C107" i="40"/>
  <c r="I107" i="39"/>
  <c r="M107" i="39" s="1"/>
  <c r="D105" i="41"/>
  <c r="J105" i="40"/>
  <c r="N105" i="40" s="1"/>
  <c r="E34" i="42"/>
  <c r="K34" i="41"/>
  <c r="E138" i="41"/>
  <c r="E270" i="41"/>
  <c r="C248" i="42"/>
  <c r="E168" i="41"/>
  <c r="C142" i="42"/>
  <c r="C121" i="42"/>
  <c r="E241" i="41"/>
  <c r="C252" i="42"/>
  <c r="E18" i="42"/>
  <c r="K18" i="41"/>
  <c r="E216" i="41"/>
  <c r="E271" i="41"/>
  <c r="K99" i="41"/>
  <c r="E99" i="42"/>
  <c r="E287" i="41"/>
  <c r="E129" i="41"/>
  <c r="E147" i="41"/>
  <c r="C176" i="42"/>
  <c r="C164" i="42"/>
  <c r="C280" i="42"/>
  <c r="E276" i="41"/>
  <c r="E67" i="42"/>
  <c r="K67" i="41"/>
  <c r="C187" i="43"/>
  <c r="C151" i="43"/>
  <c r="E146" i="41"/>
  <c r="C102" i="40"/>
  <c r="I102" i="39"/>
  <c r="M102" i="39" s="1"/>
  <c r="C113" i="40"/>
  <c r="I113" i="39"/>
  <c r="M113" i="39" s="1"/>
  <c r="K82" i="42"/>
  <c r="E82" i="43"/>
  <c r="C110" i="40"/>
  <c r="I110" i="39"/>
  <c r="M110" i="39" s="1"/>
  <c r="E289" i="41"/>
  <c r="C115" i="40"/>
  <c r="I115" i="39"/>
  <c r="M115" i="39" s="1"/>
  <c r="E162" i="41"/>
  <c r="E249" i="41"/>
  <c r="E142" i="41"/>
  <c r="E215" i="41"/>
  <c r="E230" i="41"/>
  <c r="K116" i="42"/>
  <c r="E116" i="43"/>
  <c r="E275" i="41"/>
  <c r="E136" i="41"/>
  <c r="C265" i="42"/>
  <c r="E83" i="42"/>
  <c r="K83" i="41"/>
  <c r="E233" i="41"/>
  <c r="C129" i="42"/>
  <c r="E93" i="41"/>
  <c r="K93" i="40"/>
  <c r="E40" i="41"/>
  <c r="K40" i="40"/>
  <c r="E204" i="41"/>
  <c r="C226" i="42"/>
  <c r="C208" i="43"/>
  <c r="K107" i="41"/>
  <c r="E107" i="42"/>
  <c r="C267" i="42"/>
  <c r="K110" i="42"/>
  <c r="E110" i="43"/>
  <c r="E236" i="41"/>
  <c r="C194" i="42"/>
  <c r="E140" i="41"/>
  <c r="C272" i="42"/>
  <c r="C224" i="42"/>
  <c r="C275" i="42"/>
  <c r="E219" i="41"/>
  <c r="C201" i="42"/>
  <c r="K108" i="42"/>
  <c r="E108" i="43"/>
  <c r="E61" i="41"/>
  <c r="K61" i="40"/>
  <c r="E55" i="41"/>
  <c r="K55" i="40"/>
  <c r="C244" i="42"/>
  <c r="K97" i="41"/>
  <c r="E97" i="42"/>
  <c r="E143" i="41"/>
  <c r="C200" i="43"/>
  <c r="E159" i="41"/>
  <c r="E184" i="41"/>
  <c r="C123" i="42"/>
  <c r="E224" i="41"/>
  <c r="C157" i="42"/>
  <c r="E172" i="41"/>
  <c r="C137" i="42"/>
  <c r="K103" i="40"/>
  <c r="E103" i="41"/>
  <c r="C138" i="42"/>
  <c r="E63" i="41"/>
  <c r="K63" i="40"/>
  <c r="K38" i="40"/>
  <c r="E38" i="41"/>
  <c r="C175" i="43"/>
  <c r="E161" i="41"/>
  <c r="E173" i="41"/>
  <c r="E221" i="41"/>
  <c r="E176" i="41"/>
  <c r="C238" i="42"/>
  <c r="C230" i="42"/>
  <c r="C288" i="42"/>
  <c r="E167" i="41"/>
  <c r="C203" i="42"/>
  <c r="C183" i="43"/>
  <c r="E210" i="41"/>
  <c r="E133" i="41"/>
  <c r="E134" i="41"/>
  <c r="C134" i="42"/>
  <c r="E225" i="41"/>
  <c r="E237" i="41"/>
  <c r="E47" i="41"/>
  <c r="K47" i="40"/>
  <c r="C266" i="43"/>
  <c r="E220" i="41"/>
  <c r="C229" i="42"/>
  <c r="E51" i="42"/>
  <c r="K51" i="41"/>
  <c r="E36" i="42"/>
  <c r="K36" i="41"/>
  <c r="E211" i="41"/>
  <c r="D104" i="40"/>
  <c r="J104" i="39"/>
  <c r="N104" i="39" s="1"/>
  <c r="E238" i="41"/>
  <c r="C117" i="40"/>
  <c r="I117" i="39"/>
  <c r="M117" i="39" s="1"/>
  <c r="K98" i="42"/>
  <c r="E98" i="43"/>
  <c r="I111" i="39"/>
  <c r="M111" i="39" s="1"/>
  <c r="C111" i="40"/>
  <c r="E273" i="41"/>
  <c r="E234" i="41"/>
  <c r="E166" i="41"/>
  <c r="E226" i="41"/>
  <c r="C210" i="42"/>
  <c r="C118" i="43"/>
  <c r="E212" i="41"/>
  <c r="C167" i="43"/>
  <c r="E255" i="41"/>
  <c r="E179" i="41"/>
  <c r="C144" i="42"/>
  <c r="C156" i="42"/>
  <c r="C261" i="42"/>
  <c r="E208" i="41"/>
  <c r="C260" i="42"/>
  <c r="K52" i="42"/>
  <c r="E52" i="43"/>
  <c r="K8" i="40"/>
  <c r="E8" i="41"/>
  <c r="C104" i="40"/>
  <c r="I104" i="39"/>
  <c r="M104" i="39" s="1"/>
  <c r="K46" i="40"/>
  <c r="E46" i="41"/>
  <c r="K84" i="42"/>
  <c r="E84" i="43"/>
  <c r="C116" i="40"/>
  <c r="I116" i="39"/>
  <c r="M116" i="39" s="1"/>
  <c r="K15" i="42"/>
  <c r="E15" i="43"/>
  <c r="C149" i="42"/>
  <c r="E118" i="41"/>
  <c r="C185" i="42"/>
  <c r="E155" i="41"/>
  <c r="E231" i="41"/>
  <c r="C209" i="42"/>
  <c r="E28" i="42"/>
  <c r="K28" i="41"/>
  <c r="C242" i="43"/>
  <c r="C268" i="42"/>
  <c r="E125" i="41"/>
  <c r="C153" i="42"/>
  <c r="E227" i="41"/>
  <c r="C131" i="43"/>
  <c r="E252" i="41"/>
  <c r="E87" i="41"/>
  <c r="K87" i="40"/>
  <c r="K35" i="40"/>
  <c r="E35" i="41"/>
  <c r="E10" i="41"/>
  <c r="K10" i="40"/>
  <c r="K37" i="42"/>
  <c r="E37" i="43"/>
  <c r="K29" i="42"/>
  <c r="E29" i="43"/>
  <c r="K23" i="40"/>
  <c r="E23" i="41"/>
  <c r="K68" i="42"/>
  <c r="E68" i="43"/>
  <c r="E144" i="41"/>
  <c r="C285" i="42"/>
  <c r="C273" i="42"/>
  <c r="E148" i="41"/>
  <c r="C160" i="42"/>
  <c r="E81" i="42"/>
  <c r="K81" i="41"/>
  <c r="E266" i="41"/>
  <c r="C214" i="42"/>
  <c r="E223" i="41"/>
  <c r="C195" i="42"/>
  <c r="C206" i="42"/>
  <c r="E194" i="41"/>
  <c r="D110" i="42"/>
  <c r="J110" i="41"/>
  <c r="N110" i="41" s="1"/>
  <c r="E229" i="41"/>
  <c r="D107" i="41"/>
  <c r="J107" i="40"/>
  <c r="N107" i="40" s="1"/>
  <c r="K13" i="42"/>
  <c r="E13" i="43"/>
  <c r="K21" i="42"/>
  <c r="E21" i="43"/>
  <c r="I22" i="42"/>
  <c r="M22" i="42" s="1"/>
  <c r="C22" i="43"/>
  <c r="C82" i="41"/>
  <c r="I82" i="40"/>
  <c r="M82" i="40" s="1"/>
  <c r="K11" i="42"/>
  <c r="E11" i="43"/>
  <c r="K14" i="40"/>
  <c r="E14" i="41"/>
  <c r="K86" i="42"/>
  <c r="E86" i="43"/>
  <c r="C218" i="42"/>
  <c r="E75" i="42"/>
  <c r="K75" i="41"/>
  <c r="C213" i="42"/>
  <c r="C241" i="42"/>
  <c r="C148" i="42"/>
  <c r="C263" i="42"/>
  <c r="E283" i="41"/>
  <c r="E119" i="41"/>
  <c r="C125" i="42"/>
  <c r="E288" i="41"/>
  <c r="C133" i="42"/>
  <c r="E101" i="41"/>
  <c r="K101" i="40"/>
  <c r="C250" i="43"/>
  <c r="C259" i="42"/>
  <c r="K96" i="42"/>
  <c r="E96" i="43"/>
  <c r="C197" i="42"/>
  <c r="E89" i="42"/>
  <c r="K89" i="41"/>
  <c r="K100" i="42"/>
  <c r="E100" i="43"/>
  <c r="E290" i="45" l="1"/>
  <c r="C290" i="46"/>
  <c r="A292" i="44"/>
  <c r="B292" i="44"/>
  <c r="E102" i="42"/>
  <c r="K102" i="41"/>
  <c r="C197" i="43"/>
  <c r="E283" i="42"/>
  <c r="E86" i="44"/>
  <c r="K86" i="43"/>
  <c r="E11" i="44"/>
  <c r="K11" i="43"/>
  <c r="C22" i="44"/>
  <c r="I22" i="43"/>
  <c r="M22" i="43" s="1"/>
  <c r="E68" i="44"/>
  <c r="K68" i="43"/>
  <c r="C144" i="43"/>
  <c r="E98" i="44"/>
  <c r="K98" i="43"/>
  <c r="K103" i="41"/>
  <c r="E103" i="42"/>
  <c r="E172" i="42"/>
  <c r="E184" i="42"/>
  <c r="E97" i="43"/>
  <c r="K97" i="42"/>
  <c r="C201" i="43"/>
  <c r="E110" i="44"/>
  <c r="K110" i="43"/>
  <c r="E275" i="42"/>
  <c r="E82" i="44"/>
  <c r="K82" i="43"/>
  <c r="C176" i="43"/>
  <c r="E287" i="42"/>
  <c r="E168" i="42"/>
  <c r="K66" i="41"/>
  <c r="E66" i="42"/>
  <c r="E58" i="42"/>
  <c r="K58" i="41"/>
  <c r="E60" i="44"/>
  <c r="K60" i="43"/>
  <c r="E251" i="42"/>
  <c r="E88" i="44"/>
  <c r="K88" i="43"/>
  <c r="E240" i="42"/>
  <c r="E113" i="43"/>
  <c r="K113" i="42"/>
  <c r="C168" i="43"/>
  <c r="E160" i="42"/>
  <c r="C240" i="43"/>
  <c r="E164" i="42"/>
  <c r="E170" i="42"/>
  <c r="C143" i="44"/>
  <c r="C289" i="43"/>
  <c r="E292" i="42"/>
  <c r="E286" i="42"/>
  <c r="J102" i="42"/>
  <c r="N102" i="42" s="1"/>
  <c r="D102" i="43"/>
  <c r="J117" i="41"/>
  <c r="N117" i="41" s="1"/>
  <c r="D117" i="42"/>
  <c r="E71" i="42"/>
  <c r="K71" i="41"/>
  <c r="C165" i="43"/>
  <c r="C122" i="44"/>
  <c r="E239" i="42"/>
  <c r="E235" i="42"/>
  <c r="E285" i="42"/>
  <c r="E203" i="42"/>
  <c r="E186" i="42"/>
  <c r="C198" i="43"/>
  <c r="C101" i="41"/>
  <c r="I101" i="40"/>
  <c r="M101" i="40" s="1"/>
  <c r="E79" i="42"/>
  <c r="K79" i="41"/>
  <c r="E85" i="42"/>
  <c r="K85" i="41"/>
  <c r="C211" i="43"/>
  <c r="E163" i="42"/>
  <c r="E73" i="43"/>
  <c r="K73" i="42"/>
  <c r="E45" i="42"/>
  <c r="K45" i="41"/>
  <c r="E69" i="42"/>
  <c r="K69" i="41"/>
  <c r="C166" i="43"/>
  <c r="C253" i="43"/>
  <c r="C258" i="44"/>
  <c r="C125" i="43"/>
  <c r="E75" i="43"/>
  <c r="K75" i="42"/>
  <c r="E229" i="42"/>
  <c r="C195" i="43"/>
  <c r="C214" i="43"/>
  <c r="C285" i="43"/>
  <c r="E125" i="42"/>
  <c r="E28" i="43"/>
  <c r="K28" i="42"/>
  <c r="C185" i="43"/>
  <c r="C104" i="41"/>
  <c r="I104" i="40"/>
  <c r="M104" i="40" s="1"/>
  <c r="C260" i="43"/>
  <c r="E212" i="42"/>
  <c r="E226" i="42"/>
  <c r="E238" i="42"/>
  <c r="E36" i="43"/>
  <c r="K36" i="42"/>
  <c r="C229" i="43"/>
  <c r="C134" i="43"/>
  <c r="C288" i="43"/>
  <c r="E173" i="42"/>
  <c r="E63" i="42"/>
  <c r="K63" i="41"/>
  <c r="C200" i="44"/>
  <c r="E55" i="42"/>
  <c r="K55" i="41"/>
  <c r="E61" i="42"/>
  <c r="K61" i="41"/>
  <c r="C194" i="43"/>
  <c r="E233" i="42"/>
  <c r="E230" i="42"/>
  <c r="E162" i="42"/>
  <c r="C113" i="41"/>
  <c r="I113" i="40"/>
  <c r="M113" i="40" s="1"/>
  <c r="C187" i="44"/>
  <c r="E18" i="43"/>
  <c r="K18" i="42"/>
  <c r="C252" i="43"/>
  <c r="E34" i="43"/>
  <c r="K34" i="42"/>
  <c r="C23" i="42"/>
  <c r="I23" i="41"/>
  <c r="M23" i="41" s="1"/>
  <c r="C204" i="44"/>
  <c r="E24" i="42"/>
  <c r="K24" i="41"/>
  <c r="C225" i="43"/>
  <c r="E195" i="42"/>
  <c r="E72" i="44"/>
  <c r="K72" i="43"/>
  <c r="E94" i="44"/>
  <c r="K94" i="43"/>
  <c r="C232" i="43"/>
  <c r="E263" i="42"/>
  <c r="E217" i="42"/>
  <c r="E42" i="42"/>
  <c r="K42" i="41"/>
  <c r="E41" i="44"/>
  <c r="K41" i="43"/>
  <c r="C109" i="41"/>
  <c r="I109" i="40"/>
  <c r="M109" i="40" s="1"/>
  <c r="K50" i="41"/>
  <c r="E50" i="42"/>
  <c r="C192" i="43"/>
  <c r="D116" i="42"/>
  <c r="J116" i="41"/>
  <c r="N116" i="41" s="1"/>
  <c r="E44" i="44"/>
  <c r="K44" i="43"/>
  <c r="E259" i="42"/>
  <c r="E54" i="42"/>
  <c r="K54" i="41"/>
  <c r="E228" i="42"/>
  <c r="K89" i="42"/>
  <c r="E89" i="43"/>
  <c r="K101" i="41"/>
  <c r="E101" i="42"/>
  <c r="E288" i="42"/>
  <c r="C241" i="43"/>
  <c r="C218" i="43"/>
  <c r="C82" i="42"/>
  <c r="I82" i="41"/>
  <c r="M82" i="41" s="1"/>
  <c r="J107" i="41"/>
  <c r="N107" i="41" s="1"/>
  <c r="D107" i="42"/>
  <c r="J110" i="42"/>
  <c r="N110" i="42" s="1"/>
  <c r="D110" i="43"/>
  <c r="C206" i="43"/>
  <c r="E223" i="42"/>
  <c r="E266" i="42"/>
  <c r="C273" i="43"/>
  <c r="E87" i="42"/>
  <c r="K87" i="41"/>
  <c r="C131" i="44"/>
  <c r="C153" i="43"/>
  <c r="E155" i="42"/>
  <c r="E118" i="42"/>
  <c r="C116" i="41"/>
  <c r="I116" i="40"/>
  <c r="M116" i="40" s="1"/>
  <c r="E208" i="42"/>
  <c r="E179" i="42"/>
  <c r="C167" i="44"/>
  <c r="C118" i="44"/>
  <c r="E166" i="42"/>
  <c r="E234" i="42"/>
  <c r="E273" i="42"/>
  <c r="C117" i="41"/>
  <c r="I117" i="40"/>
  <c r="M117" i="40" s="1"/>
  <c r="D104" i="41"/>
  <c r="J104" i="40"/>
  <c r="N104" i="40" s="1"/>
  <c r="E211" i="42"/>
  <c r="K51" i="42"/>
  <c r="E51" i="43"/>
  <c r="E47" i="42"/>
  <c r="K47" i="41"/>
  <c r="E225" i="42"/>
  <c r="E134" i="42"/>
  <c r="E210" i="42"/>
  <c r="C183" i="44"/>
  <c r="E167" i="42"/>
  <c r="C230" i="43"/>
  <c r="E221" i="42"/>
  <c r="E161" i="42"/>
  <c r="C138" i="43"/>
  <c r="C137" i="43"/>
  <c r="C157" i="43"/>
  <c r="E159" i="42"/>
  <c r="E143" i="42"/>
  <c r="C244" i="43"/>
  <c r="E219" i="42"/>
  <c r="C208" i="44"/>
  <c r="E204" i="42"/>
  <c r="E40" i="42"/>
  <c r="K40" i="41"/>
  <c r="C129" i="43"/>
  <c r="K83" i="42"/>
  <c r="E83" i="43"/>
  <c r="E215" i="42"/>
  <c r="E249" i="42"/>
  <c r="C115" i="41"/>
  <c r="I115" i="40"/>
  <c r="M115" i="40" s="1"/>
  <c r="C110" i="41"/>
  <c r="I110" i="40"/>
  <c r="M110" i="40" s="1"/>
  <c r="C102" i="41"/>
  <c r="I102" i="40"/>
  <c r="M102" i="40" s="1"/>
  <c r="C151" i="44"/>
  <c r="E67" i="43"/>
  <c r="K67" i="42"/>
  <c r="E276" i="42"/>
  <c r="E147" i="42"/>
  <c r="E129" i="42"/>
  <c r="E216" i="42"/>
  <c r="E241" i="42"/>
  <c r="C142" i="43"/>
  <c r="C248" i="43"/>
  <c r="E138" i="42"/>
  <c r="C107" i="41"/>
  <c r="I107" i="40"/>
  <c r="M107" i="40" s="1"/>
  <c r="E171" i="42"/>
  <c r="C173" i="43"/>
  <c r="C130" i="43"/>
  <c r="C171" i="44"/>
  <c r="I106" i="41"/>
  <c r="M106" i="41" s="1"/>
  <c r="C106" i="42"/>
  <c r="C100" i="41"/>
  <c r="I100" i="40"/>
  <c r="M100" i="40" s="1"/>
  <c r="C223" i="44"/>
  <c r="C196" i="44"/>
  <c r="E59" i="43"/>
  <c r="K59" i="42"/>
  <c r="C186" i="43"/>
  <c r="I112" i="40"/>
  <c r="M112" i="40" s="1"/>
  <c r="C112" i="41"/>
  <c r="E280" i="42"/>
  <c r="E246" i="42"/>
  <c r="E250" i="42"/>
  <c r="C182" i="43"/>
  <c r="E182" i="42"/>
  <c r="E206" i="42"/>
  <c r="E32" i="42"/>
  <c r="K32" i="41"/>
  <c r="E141" i="42"/>
  <c r="C284" i="43"/>
  <c r="C215" i="43"/>
  <c r="E126" i="42"/>
  <c r="E121" i="42"/>
  <c r="C274" i="44"/>
  <c r="E254" i="42"/>
  <c r="E158" i="42"/>
  <c r="E80" i="44"/>
  <c r="K80" i="43"/>
  <c r="E17" i="44"/>
  <c r="K17" i="43"/>
  <c r="E56" i="44"/>
  <c r="K56" i="43"/>
  <c r="C255" i="43"/>
  <c r="C205" i="43"/>
  <c r="C127" i="43"/>
  <c r="E205" i="42"/>
  <c r="K111" i="41"/>
  <c r="E111" i="42"/>
  <c r="C132" i="43"/>
  <c r="K105" i="42"/>
  <c r="E105" i="43"/>
  <c r="E192" i="42"/>
  <c r="E156" i="42"/>
  <c r="E25" i="44"/>
  <c r="K25" i="43"/>
  <c r="C283" i="43"/>
  <c r="E64" i="44"/>
  <c r="K64" i="43"/>
  <c r="C235" i="44"/>
  <c r="E180" i="42"/>
  <c r="K95" i="41"/>
  <c r="E95" i="42"/>
  <c r="E188" i="42"/>
  <c r="E152" i="42"/>
  <c r="E48" i="44"/>
  <c r="K48" i="43"/>
  <c r="E114" i="44"/>
  <c r="K114" i="43"/>
  <c r="C184" i="43"/>
  <c r="C119" i="43"/>
  <c r="E74" i="42"/>
  <c r="K74" i="41"/>
  <c r="C14" i="44"/>
  <c r="I14" i="43"/>
  <c r="M14" i="43" s="1"/>
  <c r="E92" i="44"/>
  <c r="K92" i="43"/>
  <c r="I114" i="41"/>
  <c r="M114" i="41" s="1"/>
  <c r="C114" i="42"/>
  <c r="E76" i="44"/>
  <c r="K76" i="43"/>
  <c r="D108" i="42"/>
  <c r="J108" i="41"/>
  <c r="N108" i="41" s="1"/>
  <c r="C172" i="43"/>
  <c r="C243" i="43"/>
  <c r="C247" i="43"/>
  <c r="K109" i="41"/>
  <c r="E109" i="42"/>
  <c r="C246" i="44"/>
  <c r="C239" i="44"/>
  <c r="C136" i="43"/>
  <c r="E100" i="44"/>
  <c r="K100" i="43"/>
  <c r="C259" i="43"/>
  <c r="C148" i="43"/>
  <c r="E13" i="44"/>
  <c r="K13" i="43"/>
  <c r="E148" i="42"/>
  <c r="E37" i="44"/>
  <c r="K37" i="43"/>
  <c r="E15" i="44"/>
  <c r="K15" i="43"/>
  <c r="E84" i="44"/>
  <c r="K84" i="43"/>
  <c r="E52" i="44"/>
  <c r="K52" i="43"/>
  <c r="E255" i="42"/>
  <c r="C111" i="41"/>
  <c r="I111" i="40"/>
  <c r="M111" i="40" s="1"/>
  <c r="E224" i="42"/>
  <c r="C275" i="43"/>
  <c r="E107" i="43"/>
  <c r="K107" i="42"/>
  <c r="E271" i="42"/>
  <c r="E106" i="44"/>
  <c r="K106" i="43"/>
  <c r="C236" i="43"/>
  <c r="E201" i="42"/>
  <c r="C228" i="43"/>
  <c r="E104" i="44"/>
  <c r="K104" i="43"/>
  <c r="C140" i="43"/>
  <c r="C287" i="43"/>
  <c r="C108" i="41"/>
  <c r="I108" i="40"/>
  <c r="M108" i="40" s="1"/>
  <c r="E77" i="42"/>
  <c r="K77" i="41"/>
  <c r="E272" i="42"/>
  <c r="E268" i="42"/>
  <c r="C163" i="44"/>
  <c r="C150" i="43"/>
  <c r="C269" i="43"/>
  <c r="E91" i="43"/>
  <c r="K91" i="42"/>
  <c r="D112" i="41"/>
  <c r="J112" i="40"/>
  <c r="N112" i="40" s="1"/>
  <c r="J113" i="41"/>
  <c r="N113" i="41" s="1"/>
  <c r="D113" i="42"/>
  <c r="J106" i="40"/>
  <c r="N106" i="40" s="1"/>
  <c r="D106" i="41"/>
  <c r="E154" i="42"/>
  <c r="E261" i="42"/>
  <c r="E202" i="42"/>
  <c r="E65" i="43"/>
  <c r="K65" i="42"/>
  <c r="C120" i="43"/>
  <c r="C155" i="44"/>
  <c r="E174" i="42"/>
  <c r="C154" i="43"/>
  <c r="E187" i="42"/>
  <c r="C146" i="43"/>
  <c r="C189" i="43"/>
  <c r="E196" i="42"/>
  <c r="E12" i="42"/>
  <c r="K12" i="41"/>
  <c r="E130" i="42"/>
  <c r="C170" i="43"/>
  <c r="C181" i="43"/>
  <c r="E278" i="42"/>
  <c r="C257" i="43"/>
  <c r="E262" i="42"/>
  <c r="C103" i="41"/>
  <c r="I103" i="40"/>
  <c r="M103" i="40" s="1"/>
  <c r="I237" i="42"/>
  <c r="M237" i="42" s="1"/>
  <c r="C237" i="43"/>
  <c r="E198" i="42"/>
  <c r="E183" i="42"/>
  <c r="E165" i="42"/>
  <c r="E274" i="42"/>
  <c r="C133" i="43"/>
  <c r="E194" i="42"/>
  <c r="E81" i="43"/>
  <c r="K81" i="42"/>
  <c r="E10" i="42"/>
  <c r="K10" i="41"/>
  <c r="E252" i="42"/>
  <c r="E227" i="42"/>
  <c r="C268" i="43"/>
  <c r="E231" i="42"/>
  <c r="C149" i="43"/>
  <c r="C261" i="43"/>
  <c r="C210" i="43"/>
  <c r="C266" i="44"/>
  <c r="E237" i="42"/>
  <c r="E133" i="42"/>
  <c r="C203" i="43"/>
  <c r="C238" i="43"/>
  <c r="C175" i="44"/>
  <c r="C272" i="43"/>
  <c r="C226" i="43"/>
  <c r="K93" i="41"/>
  <c r="E93" i="42"/>
  <c r="C265" i="43"/>
  <c r="E142" i="42"/>
  <c r="E289" i="42"/>
  <c r="E146" i="42"/>
  <c r="C280" i="43"/>
  <c r="C121" i="43"/>
  <c r="E270" i="42"/>
  <c r="J105" i="41"/>
  <c r="N105" i="41" s="1"/>
  <c r="D105" i="42"/>
  <c r="E122" i="42"/>
  <c r="C219" i="44"/>
  <c r="E22" i="42"/>
  <c r="K22" i="41"/>
  <c r="E135" i="42"/>
  <c r="C249" i="43"/>
  <c r="C190" i="43"/>
  <c r="E137" i="42"/>
  <c r="E181" i="42"/>
  <c r="E53" i="42"/>
  <c r="K53" i="41"/>
  <c r="C221" i="43"/>
  <c r="E256" i="42"/>
  <c r="E131" i="42"/>
  <c r="E39" i="42"/>
  <c r="K39" i="41"/>
  <c r="E213" i="42"/>
  <c r="E33" i="44"/>
  <c r="K33" i="43"/>
  <c r="C254" i="44"/>
  <c r="C271" i="43"/>
  <c r="C217" i="43"/>
  <c r="E78" i="42"/>
  <c r="K78" i="41"/>
  <c r="E232" i="42"/>
  <c r="E267" i="42"/>
  <c r="K19" i="41"/>
  <c r="E19" i="42"/>
  <c r="E27" i="42"/>
  <c r="K27" i="41"/>
  <c r="E279" i="42"/>
  <c r="E132" i="42"/>
  <c r="E31" i="42"/>
  <c r="K31" i="41"/>
  <c r="E243" i="42"/>
  <c r="E127" i="42"/>
  <c r="C227" i="44"/>
  <c r="C279" i="43"/>
  <c r="E96" i="44"/>
  <c r="K96" i="43"/>
  <c r="C250" i="44"/>
  <c r="E119" i="42"/>
  <c r="C263" i="43"/>
  <c r="C213" i="43"/>
  <c r="E14" i="42"/>
  <c r="K14" i="41"/>
  <c r="E21" i="44"/>
  <c r="K21" i="43"/>
  <c r="C160" i="43"/>
  <c r="E144" i="42"/>
  <c r="E23" i="42"/>
  <c r="K23" i="41"/>
  <c r="E29" i="44"/>
  <c r="K29" i="43"/>
  <c r="K35" i="41"/>
  <c r="E35" i="42"/>
  <c r="C242" i="44"/>
  <c r="C209" i="43"/>
  <c r="E46" i="42"/>
  <c r="K46" i="41"/>
  <c r="E8" i="42"/>
  <c r="K8" i="41"/>
  <c r="C156" i="43"/>
  <c r="E220" i="42"/>
  <c r="E176" i="42"/>
  <c r="E38" i="42"/>
  <c r="K38" i="41"/>
  <c r="C123" i="43"/>
  <c r="E108" i="44"/>
  <c r="K108" i="43"/>
  <c r="C224" i="43"/>
  <c r="E140" i="42"/>
  <c r="E236" i="42"/>
  <c r="C267" i="43"/>
  <c r="E136" i="42"/>
  <c r="E116" i="44"/>
  <c r="K116" i="43"/>
  <c r="C164" i="43"/>
  <c r="E99" i="43"/>
  <c r="K99" i="42"/>
  <c r="C152" i="43"/>
  <c r="C180" i="43"/>
  <c r="E70" i="42"/>
  <c r="K70" i="41"/>
  <c r="E62" i="42"/>
  <c r="K62" i="41"/>
  <c r="E16" i="44"/>
  <c r="K16" i="43"/>
  <c r="D100" i="42"/>
  <c r="J100" i="41"/>
  <c r="N100" i="41" s="1"/>
  <c r="E90" i="44"/>
  <c r="K90" i="43"/>
  <c r="E197" i="42"/>
  <c r="E123" i="42"/>
  <c r="E209" i="42"/>
  <c r="E247" i="42"/>
  <c r="C188" i="43"/>
  <c r="K115" i="42"/>
  <c r="E115" i="43"/>
  <c r="C251" i="43"/>
  <c r="E112" i="44"/>
  <c r="K112" i="43"/>
  <c r="C220" i="43"/>
  <c r="C231" i="44"/>
  <c r="E199" i="42"/>
  <c r="E265" i="42"/>
  <c r="E218" i="42"/>
  <c r="C105" i="41"/>
  <c r="I105" i="40"/>
  <c r="M105" i="40" s="1"/>
  <c r="E178" i="42"/>
  <c r="J115" i="41"/>
  <c r="N115" i="41" s="1"/>
  <c r="D115" i="42"/>
  <c r="J109" i="41"/>
  <c r="N109" i="41" s="1"/>
  <c r="D109" i="42"/>
  <c r="C216" i="44"/>
  <c r="E169" i="42"/>
  <c r="C159" i="44"/>
  <c r="C256" i="43"/>
  <c r="C282" i="44"/>
  <c r="E185" i="42"/>
  <c r="E57" i="43"/>
  <c r="K57" i="42"/>
  <c r="E177" i="42"/>
  <c r="E189" i="42"/>
  <c r="C174" i="43"/>
  <c r="C158" i="43"/>
  <c r="C233" i="43"/>
  <c r="C162" i="43"/>
  <c r="E191" i="42"/>
  <c r="E282" i="42"/>
  <c r="E244" i="42"/>
  <c r="E258" i="42"/>
  <c r="C147" i="44"/>
  <c r="C207" i="43"/>
  <c r="E149" i="42"/>
  <c r="J103" i="41"/>
  <c r="N103" i="41" s="1"/>
  <c r="D103" i="42"/>
  <c r="J111" i="41"/>
  <c r="N111" i="41" s="1"/>
  <c r="D111" i="42"/>
  <c r="E253" i="42"/>
  <c r="E269" i="42"/>
  <c r="E120" i="42"/>
  <c r="C161" i="43"/>
  <c r="K26" i="42"/>
  <c r="E26" i="43"/>
  <c r="C264" i="43"/>
  <c r="E43" i="43"/>
  <c r="K43" i="42"/>
  <c r="K9" i="42"/>
  <c r="E9" i="43"/>
  <c r="E207" i="42"/>
  <c r="E277" i="42"/>
  <c r="E245" i="42"/>
  <c r="E284" i="42"/>
  <c r="K20" i="42"/>
  <c r="E20" i="43"/>
  <c r="E175" i="42"/>
  <c r="E49" i="43"/>
  <c r="K49" i="42"/>
  <c r="E264" i="42"/>
  <c r="E157" i="42"/>
  <c r="E242" i="42"/>
  <c r="C202" i="43"/>
  <c r="E200" i="42"/>
  <c r="C262" i="44"/>
  <c r="E30" i="42"/>
  <c r="K30" i="41"/>
  <c r="C286" i="44"/>
  <c r="E222" i="42"/>
  <c r="E281" i="42"/>
  <c r="E190" i="42"/>
  <c r="E139" i="42"/>
  <c r="K117" i="41"/>
  <c r="E117" i="42"/>
  <c r="C245" i="43"/>
  <c r="E214" i="42"/>
  <c r="C234" i="43"/>
  <c r="E260" i="42"/>
  <c r="C222" i="43"/>
  <c r="C292" i="43"/>
  <c r="C276" i="43"/>
  <c r="E257" i="42"/>
  <c r="J114" i="40"/>
  <c r="N114" i="40" s="1"/>
  <c r="D114" i="41"/>
  <c r="E150" i="42"/>
  <c r="E124" i="42"/>
  <c r="E145" i="42"/>
  <c r="C270" i="44"/>
  <c r="C281" i="43"/>
  <c r="C141" i="43"/>
  <c r="C139" i="44"/>
  <c r="E248" i="42"/>
  <c r="C135" i="44"/>
  <c r="C145" i="43"/>
  <c r="C124" i="43"/>
  <c r="J101" i="41"/>
  <c r="N101" i="41" s="1"/>
  <c r="D101" i="42"/>
  <c r="E153" i="42"/>
  <c r="E151" i="42"/>
  <c r="C199" i="43"/>
  <c r="C290" i="47" l="1"/>
  <c r="E290" i="46"/>
  <c r="A292" i="45"/>
  <c r="B292" i="45"/>
  <c r="K102" i="42"/>
  <c r="E102" i="43"/>
  <c r="E151" i="43"/>
  <c r="C139" i="45"/>
  <c r="C270" i="45"/>
  <c r="C292" i="44"/>
  <c r="C245" i="44"/>
  <c r="C262" i="45"/>
  <c r="E242" i="43"/>
  <c r="C264" i="44"/>
  <c r="E258" i="43"/>
  <c r="C282" i="45"/>
  <c r="C220" i="44"/>
  <c r="C188" i="44"/>
  <c r="E90" i="45"/>
  <c r="K90" i="44"/>
  <c r="K62" i="42"/>
  <c r="E62" i="43"/>
  <c r="K70" i="42"/>
  <c r="E70" i="43"/>
  <c r="C164" i="44"/>
  <c r="E236" i="43"/>
  <c r="C224" i="44"/>
  <c r="E38" i="43"/>
  <c r="K38" i="42"/>
  <c r="E220" i="43"/>
  <c r="K46" i="42"/>
  <c r="E46" i="43"/>
  <c r="K29" i="44"/>
  <c r="E29" i="45"/>
  <c r="K23" i="42"/>
  <c r="E23" i="43"/>
  <c r="K21" i="44"/>
  <c r="E21" i="45"/>
  <c r="C213" i="44"/>
  <c r="E96" i="45"/>
  <c r="K96" i="44"/>
  <c r="E267" i="43"/>
  <c r="C271" i="44"/>
  <c r="E33" i="45"/>
  <c r="K33" i="44"/>
  <c r="C226" i="44"/>
  <c r="E231" i="43"/>
  <c r="K12" i="42"/>
  <c r="E12" i="43"/>
  <c r="E196" i="43"/>
  <c r="E187" i="43"/>
  <c r="C155" i="45"/>
  <c r="I108" i="41"/>
  <c r="M108" i="41" s="1"/>
  <c r="C108" i="42"/>
  <c r="E104" i="45"/>
  <c r="K104" i="44"/>
  <c r="E106" i="45"/>
  <c r="K106" i="44"/>
  <c r="K52" i="44"/>
  <c r="E52" i="45"/>
  <c r="C259" i="44"/>
  <c r="C246" i="45"/>
  <c r="C247" i="44"/>
  <c r="J108" i="42"/>
  <c r="N108" i="42" s="1"/>
  <c r="D108" i="43"/>
  <c r="K76" i="44"/>
  <c r="E76" i="45"/>
  <c r="E48" i="45"/>
  <c r="K48" i="44"/>
  <c r="E180" i="43"/>
  <c r="E156" i="43"/>
  <c r="C205" i="44"/>
  <c r="E17" i="45"/>
  <c r="K17" i="44"/>
  <c r="E254" i="43"/>
  <c r="C223" i="45"/>
  <c r="E216" i="43"/>
  <c r="E147" i="43"/>
  <c r="I102" i="41"/>
  <c r="M102" i="41" s="1"/>
  <c r="C102" i="42"/>
  <c r="I110" i="41"/>
  <c r="M110" i="41" s="1"/>
  <c r="C110" i="42"/>
  <c r="E204" i="43"/>
  <c r="E219" i="43"/>
  <c r="C230" i="44"/>
  <c r="D104" i="42"/>
  <c r="J104" i="41"/>
  <c r="N104" i="41" s="1"/>
  <c r="C118" i="45"/>
  <c r="E179" i="43"/>
  <c r="E118" i="43"/>
  <c r="K54" i="42"/>
  <c r="E54" i="43"/>
  <c r="J116" i="42"/>
  <c r="N116" i="42" s="1"/>
  <c r="D116" i="43"/>
  <c r="I109" i="41"/>
  <c r="M109" i="41" s="1"/>
  <c r="C109" i="42"/>
  <c r="E263" i="43"/>
  <c r="K94" i="44"/>
  <c r="E94" i="45"/>
  <c r="C225" i="44"/>
  <c r="C204" i="45"/>
  <c r="I23" i="42"/>
  <c r="M23" i="42" s="1"/>
  <c r="C23" i="43"/>
  <c r="K34" i="43"/>
  <c r="E34" i="44"/>
  <c r="C187" i="45"/>
  <c r="E55" i="43"/>
  <c r="K55" i="42"/>
  <c r="C260" i="44"/>
  <c r="K28" i="43"/>
  <c r="E28" i="44"/>
  <c r="E235" i="43"/>
  <c r="E71" i="43"/>
  <c r="K71" i="42"/>
  <c r="E292" i="43"/>
  <c r="C240" i="44"/>
  <c r="E240" i="43"/>
  <c r="K58" i="42"/>
  <c r="E58" i="43"/>
  <c r="E103" i="43"/>
  <c r="K103" i="42"/>
  <c r="C141" i="44"/>
  <c r="E124" i="43"/>
  <c r="E281" i="43"/>
  <c r="E222" i="43"/>
  <c r="E157" i="43"/>
  <c r="K20" i="43"/>
  <c r="E20" i="44"/>
  <c r="E207" i="43"/>
  <c r="K26" i="43"/>
  <c r="E26" i="44"/>
  <c r="E253" i="43"/>
  <c r="C174" i="44"/>
  <c r="E185" i="43"/>
  <c r="E169" i="43"/>
  <c r="K115" i="43"/>
  <c r="E115" i="44"/>
  <c r="K35" i="42"/>
  <c r="E35" i="43"/>
  <c r="E181" i="43"/>
  <c r="C265" i="44"/>
  <c r="E198" i="43"/>
  <c r="C181" i="44"/>
  <c r="E130" i="43"/>
  <c r="C189" i="44"/>
  <c r="C154" i="44"/>
  <c r="E154" i="43"/>
  <c r="E272" i="43"/>
  <c r="E111" i="43"/>
  <c r="K111" i="42"/>
  <c r="C215" i="44"/>
  <c r="E206" i="43"/>
  <c r="C173" i="44"/>
  <c r="E241" i="43"/>
  <c r="E129" i="43"/>
  <c r="E249" i="43"/>
  <c r="C157" i="44"/>
  <c r="E221" i="43"/>
  <c r="E211" i="43"/>
  <c r="C273" i="44"/>
  <c r="D110" i="44"/>
  <c r="J110" i="43"/>
  <c r="N110" i="43" s="1"/>
  <c r="E101" i="43"/>
  <c r="K101" i="42"/>
  <c r="K50" i="42"/>
  <c r="E50" i="43"/>
  <c r="C252" i="44"/>
  <c r="E162" i="43"/>
  <c r="E233" i="43"/>
  <c r="E173" i="43"/>
  <c r="C229" i="44"/>
  <c r="C185" i="44"/>
  <c r="E125" i="43"/>
  <c r="C285" i="44"/>
  <c r="C195" i="44"/>
  <c r="C125" i="44"/>
  <c r="C211" i="44"/>
  <c r="E186" i="43"/>
  <c r="E203" i="43"/>
  <c r="E285" i="43"/>
  <c r="C165" i="44"/>
  <c r="D117" i="43"/>
  <c r="J117" i="42"/>
  <c r="N117" i="42" s="1"/>
  <c r="C289" i="44"/>
  <c r="K66" i="42"/>
  <c r="E66" i="43"/>
  <c r="E168" i="43"/>
  <c r="C176" i="44"/>
  <c r="E275" i="43"/>
  <c r="C201" i="44"/>
  <c r="E184" i="43"/>
  <c r="C144" i="44"/>
  <c r="K11" i="44"/>
  <c r="E11" i="45"/>
  <c r="E283" i="43"/>
  <c r="C135" i="45"/>
  <c r="C276" i="44"/>
  <c r="C234" i="44"/>
  <c r="E139" i="43"/>
  <c r="E30" i="43"/>
  <c r="K30" i="42"/>
  <c r="E200" i="43"/>
  <c r="K49" i="43"/>
  <c r="E49" i="44"/>
  <c r="K43" i="43"/>
  <c r="E43" i="44"/>
  <c r="C147" i="45"/>
  <c r="E191" i="43"/>
  <c r="C233" i="44"/>
  <c r="C256" i="44"/>
  <c r="C105" i="42"/>
  <c r="I105" i="41"/>
  <c r="M105" i="41" s="1"/>
  <c r="C231" i="45"/>
  <c r="E112" i="45"/>
  <c r="K112" i="44"/>
  <c r="E247" i="43"/>
  <c r="E123" i="43"/>
  <c r="J100" i="42"/>
  <c r="N100" i="42" s="1"/>
  <c r="D100" i="43"/>
  <c r="C180" i="44"/>
  <c r="K99" i="43"/>
  <c r="E99" i="44"/>
  <c r="K116" i="44"/>
  <c r="E116" i="45"/>
  <c r="C267" i="44"/>
  <c r="E140" i="43"/>
  <c r="K108" i="44"/>
  <c r="E108" i="45"/>
  <c r="C123" i="44"/>
  <c r="E176" i="43"/>
  <c r="C156" i="44"/>
  <c r="K8" i="42"/>
  <c r="E8" i="43"/>
  <c r="C209" i="44"/>
  <c r="C160" i="44"/>
  <c r="C263" i="44"/>
  <c r="C250" i="45"/>
  <c r="C279" i="44"/>
  <c r="E127" i="43"/>
  <c r="K31" i="42"/>
  <c r="E31" i="43"/>
  <c r="E132" i="43"/>
  <c r="K27" i="42"/>
  <c r="E27" i="43"/>
  <c r="E232" i="43"/>
  <c r="C217" i="44"/>
  <c r="C254" i="45"/>
  <c r="E213" i="43"/>
  <c r="E53" i="43"/>
  <c r="K53" i="42"/>
  <c r="C249" i="44"/>
  <c r="E135" i="43"/>
  <c r="E22" i="43"/>
  <c r="K22" i="42"/>
  <c r="C219" i="45"/>
  <c r="E270" i="43"/>
  <c r="C272" i="44"/>
  <c r="C238" i="44"/>
  <c r="C266" i="45"/>
  <c r="C268" i="44"/>
  <c r="E10" i="43"/>
  <c r="K10" i="42"/>
  <c r="E274" i="43"/>
  <c r="C103" i="42"/>
  <c r="I103" i="41"/>
  <c r="M103" i="41" s="1"/>
  <c r="E262" i="43"/>
  <c r="E278" i="43"/>
  <c r="K91" i="43"/>
  <c r="E91" i="44"/>
  <c r="C163" i="45"/>
  <c r="C287" i="44"/>
  <c r="C228" i="44"/>
  <c r="C236" i="44"/>
  <c r="E271" i="43"/>
  <c r="C275" i="44"/>
  <c r="E224" i="43"/>
  <c r="E255" i="43"/>
  <c r="K84" i="44"/>
  <c r="E84" i="45"/>
  <c r="E15" i="45"/>
  <c r="K15" i="44"/>
  <c r="E148" i="43"/>
  <c r="C148" i="44"/>
  <c r="K100" i="44"/>
  <c r="E100" i="45"/>
  <c r="C239" i="45"/>
  <c r="C172" i="44"/>
  <c r="I14" i="44"/>
  <c r="M14" i="44" s="1"/>
  <c r="C14" i="45"/>
  <c r="K74" i="42"/>
  <c r="E74" i="43"/>
  <c r="C119" i="44"/>
  <c r="E114" i="45"/>
  <c r="K114" i="44"/>
  <c r="E152" i="43"/>
  <c r="C235" i="45"/>
  <c r="C283" i="44"/>
  <c r="E25" i="45"/>
  <c r="K25" i="44"/>
  <c r="E192" i="43"/>
  <c r="C132" i="44"/>
  <c r="C127" i="44"/>
  <c r="C255" i="44"/>
  <c r="E80" i="45"/>
  <c r="K80" i="44"/>
  <c r="C274" i="45"/>
  <c r="E126" i="43"/>
  <c r="E250" i="43"/>
  <c r="C196" i="45"/>
  <c r="I100" i="41"/>
  <c r="M100" i="41" s="1"/>
  <c r="C100" i="42"/>
  <c r="C171" i="45"/>
  <c r="I107" i="41"/>
  <c r="M107" i="41" s="1"/>
  <c r="C107" i="42"/>
  <c r="C248" i="44"/>
  <c r="C151" i="45"/>
  <c r="I115" i="41"/>
  <c r="M115" i="41" s="1"/>
  <c r="C115" i="42"/>
  <c r="E40" i="43"/>
  <c r="K40" i="42"/>
  <c r="C208" i="45"/>
  <c r="E143" i="43"/>
  <c r="E167" i="43"/>
  <c r="E47" i="43"/>
  <c r="K47" i="42"/>
  <c r="C167" i="45"/>
  <c r="E208" i="43"/>
  <c r="I116" i="41"/>
  <c r="M116" i="41" s="1"/>
  <c r="C116" i="42"/>
  <c r="E155" i="43"/>
  <c r="E87" i="43"/>
  <c r="K87" i="42"/>
  <c r="E223" i="43"/>
  <c r="C241" i="44"/>
  <c r="E228" i="43"/>
  <c r="K44" i="44"/>
  <c r="E44" i="45"/>
  <c r="E41" i="45"/>
  <c r="K41" i="44"/>
  <c r="E217" i="43"/>
  <c r="C232" i="44"/>
  <c r="E72" i="45"/>
  <c r="K72" i="44"/>
  <c r="E24" i="43"/>
  <c r="K24" i="42"/>
  <c r="C113" i="42"/>
  <c r="I113" i="41"/>
  <c r="M113" i="41" s="1"/>
  <c r="E61" i="43"/>
  <c r="K61" i="42"/>
  <c r="C200" i="45"/>
  <c r="C288" i="44"/>
  <c r="E212" i="43"/>
  <c r="I104" i="41"/>
  <c r="M104" i="41" s="1"/>
  <c r="C104" i="42"/>
  <c r="C258" i="45"/>
  <c r="C253" i="44"/>
  <c r="E69" i="43"/>
  <c r="K69" i="42"/>
  <c r="E45" i="43"/>
  <c r="K45" i="42"/>
  <c r="E163" i="43"/>
  <c r="E79" i="43"/>
  <c r="K79" i="42"/>
  <c r="E239" i="43"/>
  <c r="E286" i="43"/>
  <c r="E164" i="43"/>
  <c r="E160" i="43"/>
  <c r="K113" i="43"/>
  <c r="E113" i="44"/>
  <c r="E88" i="45"/>
  <c r="K88" i="44"/>
  <c r="K60" i="44"/>
  <c r="E60" i="45"/>
  <c r="C286" i="45"/>
  <c r="E175" i="43"/>
  <c r="E282" i="43"/>
  <c r="K57" i="43"/>
  <c r="E57" i="44"/>
  <c r="C159" i="45"/>
  <c r="C216" i="45"/>
  <c r="C251" i="44"/>
  <c r="E209" i="43"/>
  <c r="E197" i="43"/>
  <c r="K16" i="44"/>
  <c r="E16" i="45"/>
  <c r="C152" i="44"/>
  <c r="E136" i="43"/>
  <c r="C242" i="45"/>
  <c r="E144" i="43"/>
  <c r="K14" i="42"/>
  <c r="E14" i="43"/>
  <c r="E119" i="43"/>
  <c r="C227" i="45"/>
  <c r="E243" i="43"/>
  <c r="E279" i="43"/>
  <c r="K78" i="42"/>
  <c r="E78" i="43"/>
  <c r="K39" i="42"/>
  <c r="E39" i="43"/>
  <c r="E131" i="43"/>
  <c r="E122" i="43"/>
  <c r="C280" i="44"/>
  <c r="C175" i="45"/>
  <c r="E227" i="43"/>
  <c r="K81" i="43"/>
  <c r="E81" i="44"/>
  <c r="E183" i="43"/>
  <c r="C257" i="44"/>
  <c r="K65" i="43"/>
  <c r="E65" i="44"/>
  <c r="D112" i="42"/>
  <c r="J112" i="41"/>
  <c r="N112" i="41" s="1"/>
  <c r="E77" i="43"/>
  <c r="K77" i="42"/>
  <c r="C140" i="44"/>
  <c r="E201" i="43"/>
  <c r="K107" i="43"/>
  <c r="E107" i="44"/>
  <c r="C111" i="42"/>
  <c r="I111" i="41"/>
  <c r="M111" i="41" s="1"/>
  <c r="K37" i="44"/>
  <c r="E37" i="45"/>
  <c r="K13" i="44"/>
  <c r="E13" i="45"/>
  <c r="C136" i="44"/>
  <c r="C243" i="44"/>
  <c r="K92" i="44"/>
  <c r="E92" i="45"/>
  <c r="C184" i="44"/>
  <c r="E188" i="43"/>
  <c r="E64" i="45"/>
  <c r="K64" i="44"/>
  <c r="E205" i="43"/>
  <c r="E56" i="45"/>
  <c r="K56" i="44"/>
  <c r="C284" i="44"/>
  <c r="E32" i="43"/>
  <c r="K32" i="42"/>
  <c r="E246" i="43"/>
  <c r="K59" i="43"/>
  <c r="E59" i="44"/>
  <c r="E171" i="43"/>
  <c r="K67" i="43"/>
  <c r="E67" i="44"/>
  <c r="E159" i="43"/>
  <c r="C183" i="45"/>
  <c r="I117" i="41"/>
  <c r="M117" i="41" s="1"/>
  <c r="C117" i="42"/>
  <c r="C131" i="45"/>
  <c r="E266" i="43"/>
  <c r="C82" i="43"/>
  <c r="I82" i="42"/>
  <c r="M82" i="42" s="1"/>
  <c r="E259" i="43"/>
  <c r="C192" i="44"/>
  <c r="K42" i="42"/>
  <c r="E42" i="43"/>
  <c r="K18" i="43"/>
  <c r="E18" i="44"/>
  <c r="E63" i="43"/>
  <c r="K63" i="42"/>
  <c r="K36" i="43"/>
  <c r="E36" i="44"/>
  <c r="K75" i="43"/>
  <c r="E75" i="44"/>
  <c r="K73" i="43"/>
  <c r="E73" i="44"/>
  <c r="E85" i="43"/>
  <c r="K85" i="42"/>
  <c r="I101" i="41"/>
  <c r="M101" i="41" s="1"/>
  <c r="C101" i="42"/>
  <c r="C122" i="45"/>
  <c r="C143" i="45"/>
  <c r="C168" i="44"/>
  <c r="E251" i="43"/>
  <c r="C199" i="44"/>
  <c r="E153" i="43"/>
  <c r="C124" i="44"/>
  <c r="C281" i="44"/>
  <c r="D114" i="42"/>
  <c r="J114" i="41"/>
  <c r="N114" i="41" s="1"/>
  <c r="C222" i="44"/>
  <c r="E190" i="43"/>
  <c r="C202" i="44"/>
  <c r="E284" i="43"/>
  <c r="E120" i="43"/>
  <c r="D111" i="43"/>
  <c r="J111" i="42"/>
  <c r="N111" i="42" s="1"/>
  <c r="E149" i="43"/>
  <c r="E244" i="43"/>
  <c r="E177" i="43"/>
  <c r="D109" i="43"/>
  <c r="J109" i="42"/>
  <c r="N109" i="42" s="1"/>
  <c r="E265" i="43"/>
  <c r="E256" i="43"/>
  <c r="E133" i="43"/>
  <c r="C261" i="44"/>
  <c r="C149" i="44"/>
  <c r="E252" i="43"/>
  <c r="E194" i="43"/>
  <c r="E165" i="43"/>
  <c r="C120" i="44"/>
  <c r="D113" i="43"/>
  <c r="J113" i="42"/>
  <c r="N113" i="42" s="1"/>
  <c r="E109" i="43"/>
  <c r="K109" i="42"/>
  <c r="E95" i="43"/>
  <c r="K95" i="42"/>
  <c r="E141" i="43"/>
  <c r="E280" i="43"/>
  <c r="C186" i="44"/>
  <c r="E276" i="43"/>
  <c r="K83" i="43"/>
  <c r="E83" i="44"/>
  <c r="C138" i="44"/>
  <c r="E134" i="43"/>
  <c r="E234" i="43"/>
  <c r="C153" i="44"/>
  <c r="D101" i="43"/>
  <c r="J101" i="42"/>
  <c r="N101" i="42" s="1"/>
  <c r="C145" i="44"/>
  <c r="E248" i="43"/>
  <c r="E145" i="43"/>
  <c r="E150" i="43"/>
  <c r="E257" i="43"/>
  <c r="E260" i="43"/>
  <c r="E214" i="43"/>
  <c r="E117" i="43"/>
  <c r="K117" i="42"/>
  <c r="E264" i="43"/>
  <c r="E245" i="43"/>
  <c r="E277" i="43"/>
  <c r="E9" i="44"/>
  <c r="K9" i="43"/>
  <c r="C161" i="44"/>
  <c r="E269" i="43"/>
  <c r="D103" i="43"/>
  <c r="J103" i="42"/>
  <c r="N103" i="42" s="1"/>
  <c r="C207" i="44"/>
  <c r="C162" i="44"/>
  <c r="C158" i="44"/>
  <c r="E189" i="43"/>
  <c r="D115" i="43"/>
  <c r="J115" i="42"/>
  <c r="N115" i="42" s="1"/>
  <c r="E178" i="43"/>
  <c r="E218" i="43"/>
  <c r="E199" i="43"/>
  <c r="K19" i="42"/>
  <c r="E19" i="43"/>
  <c r="C221" i="44"/>
  <c r="E137" i="43"/>
  <c r="C190" i="44"/>
  <c r="D105" i="43"/>
  <c r="J105" i="42"/>
  <c r="N105" i="42" s="1"/>
  <c r="C121" i="44"/>
  <c r="E146" i="43"/>
  <c r="E289" i="43"/>
  <c r="E142" i="43"/>
  <c r="E93" i="43"/>
  <c r="K93" i="42"/>
  <c r="C203" i="44"/>
  <c r="E237" i="43"/>
  <c r="C210" i="44"/>
  <c r="C133" i="44"/>
  <c r="C237" i="44"/>
  <c r="I237" i="43"/>
  <c r="M237" i="43" s="1"/>
  <c r="C170" i="44"/>
  <c r="C146" i="44"/>
  <c r="E174" i="43"/>
  <c r="E202" i="43"/>
  <c r="E261" i="43"/>
  <c r="D106" i="42"/>
  <c r="J106" i="41"/>
  <c r="N106" i="41" s="1"/>
  <c r="C269" i="44"/>
  <c r="C150" i="44"/>
  <c r="E268" i="43"/>
  <c r="C114" i="43"/>
  <c r="I114" i="42"/>
  <c r="M114" i="42" s="1"/>
  <c r="K105" i="43"/>
  <c r="E105" i="44"/>
  <c r="E158" i="43"/>
  <c r="E121" i="43"/>
  <c r="E182" i="43"/>
  <c r="C182" i="44"/>
  <c r="I112" i="41"/>
  <c r="M112" i="41" s="1"/>
  <c r="C112" i="42"/>
  <c r="C106" i="43"/>
  <c r="I106" i="42"/>
  <c r="M106" i="42" s="1"/>
  <c r="C130" i="44"/>
  <c r="E138" i="43"/>
  <c r="C142" i="44"/>
  <c r="E215" i="43"/>
  <c r="C129" i="44"/>
  <c r="C244" i="44"/>
  <c r="C137" i="44"/>
  <c r="E161" i="43"/>
  <c r="E210" i="43"/>
  <c r="E225" i="43"/>
  <c r="K51" i="43"/>
  <c r="E51" i="44"/>
  <c r="E273" i="43"/>
  <c r="E166" i="43"/>
  <c r="C206" i="44"/>
  <c r="D107" i="43"/>
  <c r="J107" i="42"/>
  <c r="N107" i="42" s="1"/>
  <c r="C218" i="44"/>
  <c r="E288" i="43"/>
  <c r="K89" i="43"/>
  <c r="E89" i="44"/>
  <c r="E195" i="43"/>
  <c r="E230" i="43"/>
  <c r="C194" i="44"/>
  <c r="C134" i="44"/>
  <c r="E238" i="43"/>
  <c r="E226" i="43"/>
  <c r="C214" i="44"/>
  <c r="E229" i="43"/>
  <c r="C166" i="44"/>
  <c r="C198" i="44"/>
  <c r="D102" i="44"/>
  <c r="J102" i="43"/>
  <c r="N102" i="43" s="1"/>
  <c r="E170" i="43"/>
  <c r="E287" i="43"/>
  <c r="E82" i="45"/>
  <c r="K82" i="44"/>
  <c r="K110" i="44"/>
  <c r="E110" i="45"/>
  <c r="K97" i="43"/>
  <c r="E97" i="44"/>
  <c r="E172" i="43"/>
  <c r="E98" i="45"/>
  <c r="K98" i="44"/>
  <c r="K68" i="44"/>
  <c r="E68" i="45"/>
  <c r="C22" i="45"/>
  <c r="I22" i="44"/>
  <c r="M22" i="44" s="1"/>
  <c r="K86" i="44"/>
  <c r="E86" i="45"/>
  <c r="C197" i="44"/>
  <c r="E290" i="47" l="1"/>
  <c r="C290" i="48"/>
  <c r="B292" i="46"/>
  <c r="A292" i="46"/>
  <c r="E102" i="44"/>
  <c r="K102" i="43"/>
  <c r="E172" i="44"/>
  <c r="D102" i="45"/>
  <c r="J102" i="44"/>
  <c r="N102" i="44" s="1"/>
  <c r="C134" i="45"/>
  <c r="E195" i="44"/>
  <c r="J107" i="43"/>
  <c r="N107" i="43" s="1"/>
  <c r="D107" i="44"/>
  <c r="E182" i="44"/>
  <c r="E268" i="44"/>
  <c r="E202" i="44"/>
  <c r="E174" i="44"/>
  <c r="K93" i="43"/>
  <c r="E93" i="44"/>
  <c r="E289" i="44"/>
  <c r="E19" i="44"/>
  <c r="K19" i="43"/>
  <c r="C120" i="45"/>
  <c r="C202" i="45"/>
  <c r="C122" i="46"/>
  <c r="E73" i="45"/>
  <c r="K73" i="44"/>
  <c r="C131" i="46"/>
  <c r="I117" i="42"/>
  <c r="M117" i="42" s="1"/>
  <c r="C117" i="43"/>
  <c r="E67" i="45"/>
  <c r="K67" i="44"/>
  <c r="E81" i="45"/>
  <c r="K81" i="44"/>
  <c r="E243" i="44"/>
  <c r="C242" i="46"/>
  <c r="C159" i="46"/>
  <c r="E113" i="45"/>
  <c r="K113" i="44"/>
  <c r="C104" i="43"/>
  <c r="I104" i="42"/>
  <c r="M104" i="42" s="1"/>
  <c r="C200" i="46"/>
  <c r="C167" i="46"/>
  <c r="C208" i="46"/>
  <c r="I107" i="42"/>
  <c r="M107" i="42" s="1"/>
  <c r="C107" i="43"/>
  <c r="C100" i="43"/>
  <c r="I100" i="42"/>
  <c r="M100" i="42" s="1"/>
  <c r="I14" i="45"/>
  <c r="M14" i="45" s="1"/>
  <c r="C14" i="46"/>
  <c r="K100" i="45"/>
  <c r="E100" i="46"/>
  <c r="C249" i="45"/>
  <c r="C254" i="46"/>
  <c r="C250" i="46"/>
  <c r="E8" i="44"/>
  <c r="K8" i="43"/>
  <c r="K108" i="45"/>
  <c r="E108" i="46"/>
  <c r="E99" i="45"/>
  <c r="K99" i="44"/>
  <c r="D100" i="44"/>
  <c r="J100" i="43"/>
  <c r="N100" i="43" s="1"/>
  <c r="C231" i="46"/>
  <c r="E43" i="45"/>
  <c r="K43" i="44"/>
  <c r="C135" i="46"/>
  <c r="E66" i="44"/>
  <c r="K66" i="43"/>
  <c r="C273" i="45"/>
  <c r="C157" i="45"/>
  <c r="E35" i="44"/>
  <c r="K35" i="43"/>
  <c r="C187" i="46"/>
  <c r="I23" i="43"/>
  <c r="M23" i="43" s="1"/>
  <c r="C23" i="44"/>
  <c r="E54" i="44"/>
  <c r="K54" i="43"/>
  <c r="D108" i="44"/>
  <c r="J108" i="43"/>
  <c r="N108" i="43" s="1"/>
  <c r="C246" i="46"/>
  <c r="C226" i="45"/>
  <c r="E46" i="44"/>
  <c r="K46" i="43"/>
  <c r="E236" i="44"/>
  <c r="C245" i="45"/>
  <c r="C139" i="46"/>
  <c r="E97" i="45"/>
  <c r="K97" i="44"/>
  <c r="C210" i="45"/>
  <c r="J115" i="43"/>
  <c r="N115" i="43" s="1"/>
  <c r="D115" i="44"/>
  <c r="C207" i="45"/>
  <c r="E269" i="44"/>
  <c r="E245" i="44"/>
  <c r="E260" i="44"/>
  <c r="E257" i="44"/>
  <c r="E145" i="44"/>
  <c r="E234" i="44"/>
  <c r="E95" i="44"/>
  <c r="K95" i="43"/>
  <c r="E149" i="44"/>
  <c r="E259" i="44"/>
  <c r="E159" i="44"/>
  <c r="K56" i="45"/>
  <c r="E56" i="46"/>
  <c r="E188" i="44"/>
  <c r="C243" i="45"/>
  <c r="I111" i="42"/>
  <c r="M111" i="42" s="1"/>
  <c r="C111" i="43"/>
  <c r="E119" i="44"/>
  <c r="C152" i="45"/>
  <c r="C251" i="45"/>
  <c r="E282" i="44"/>
  <c r="E164" i="44"/>
  <c r="K69" i="43"/>
  <c r="E69" i="44"/>
  <c r="E24" i="44"/>
  <c r="K24" i="43"/>
  <c r="E217" i="44"/>
  <c r="E155" i="44"/>
  <c r="E47" i="44"/>
  <c r="K47" i="43"/>
  <c r="E167" i="44"/>
  <c r="E126" i="44"/>
  <c r="K80" i="45"/>
  <c r="E80" i="46"/>
  <c r="C132" i="45"/>
  <c r="C119" i="45"/>
  <c r="E271" i="44"/>
  <c r="C287" i="45"/>
  <c r="E274" i="44"/>
  <c r="C266" i="46"/>
  <c r="E132" i="44"/>
  <c r="E127" i="44"/>
  <c r="E176" i="44"/>
  <c r="C267" i="45"/>
  <c r="E191" i="44"/>
  <c r="E200" i="44"/>
  <c r="C144" i="45"/>
  <c r="C201" i="45"/>
  <c r="D117" i="44"/>
  <c r="J117" i="43"/>
  <c r="N117" i="43" s="1"/>
  <c r="E186" i="44"/>
  <c r="C125" i="45"/>
  <c r="E125" i="44"/>
  <c r="E173" i="44"/>
  <c r="K101" i="43"/>
  <c r="E101" i="44"/>
  <c r="E241" i="44"/>
  <c r="E111" i="44"/>
  <c r="K111" i="43"/>
  <c r="C154" i="45"/>
  <c r="E198" i="44"/>
  <c r="E169" i="44"/>
  <c r="C174" i="45"/>
  <c r="E253" i="44"/>
  <c r="E207" i="44"/>
  <c r="E157" i="44"/>
  <c r="E281" i="44"/>
  <c r="E124" i="44"/>
  <c r="E103" i="44"/>
  <c r="K103" i="43"/>
  <c r="C240" i="45"/>
  <c r="E71" i="44"/>
  <c r="K71" i="43"/>
  <c r="C260" i="45"/>
  <c r="C225" i="45"/>
  <c r="E263" i="44"/>
  <c r="E179" i="44"/>
  <c r="J104" i="42"/>
  <c r="N104" i="42" s="1"/>
  <c r="D104" i="43"/>
  <c r="E219" i="44"/>
  <c r="E147" i="44"/>
  <c r="E254" i="44"/>
  <c r="C205" i="45"/>
  <c r="E156" i="44"/>
  <c r="K48" i="45"/>
  <c r="E48" i="46"/>
  <c r="K104" i="45"/>
  <c r="E104" i="46"/>
  <c r="E196" i="44"/>
  <c r="C271" i="45"/>
  <c r="E267" i="44"/>
  <c r="K96" i="45"/>
  <c r="E96" i="46"/>
  <c r="K38" i="43"/>
  <c r="E38" i="44"/>
  <c r="K90" i="45"/>
  <c r="E90" i="46"/>
  <c r="C188" i="45"/>
  <c r="C282" i="46"/>
  <c r="E242" i="44"/>
  <c r="C292" i="45"/>
  <c r="C197" i="45"/>
  <c r="C22" i="46"/>
  <c r="I22" i="45"/>
  <c r="M22" i="45" s="1"/>
  <c r="E98" i="46"/>
  <c r="K98" i="45"/>
  <c r="K82" i="45"/>
  <c r="E82" i="46"/>
  <c r="C166" i="45"/>
  <c r="E229" i="44"/>
  <c r="E238" i="44"/>
  <c r="C218" i="45"/>
  <c r="E166" i="44"/>
  <c r="E225" i="44"/>
  <c r="E161" i="44"/>
  <c r="C244" i="45"/>
  <c r="E215" i="44"/>
  <c r="C142" i="45"/>
  <c r="C130" i="45"/>
  <c r="C182" i="45"/>
  <c r="E121" i="44"/>
  <c r="I114" i="43"/>
  <c r="M114" i="43" s="1"/>
  <c r="C114" i="44"/>
  <c r="C150" i="45"/>
  <c r="J106" i="42"/>
  <c r="N106" i="42" s="1"/>
  <c r="D106" i="43"/>
  <c r="E261" i="44"/>
  <c r="C146" i="45"/>
  <c r="C237" i="45"/>
  <c r="I237" i="44"/>
  <c r="M237" i="44" s="1"/>
  <c r="C203" i="45"/>
  <c r="E142" i="44"/>
  <c r="E146" i="44"/>
  <c r="J105" i="43"/>
  <c r="N105" i="43" s="1"/>
  <c r="D105" i="44"/>
  <c r="C161" i="45"/>
  <c r="C261" i="45"/>
  <c r="C222" i="45"/>
  <c r="C281" i="45"/>
  <c r="C124" i="45"/>
  <c r="E251" i="44"/>
  <c r="C143" i="46"/>
  <c r="E18" i="45"/>
  <c r="K18" i="44"/>
  <c r="C183" i="46"/>
  <c r="E59" i="45"/>
  <c r="K59" i="44"/>
  <c r="K92" i="45"/>
  <c r="E92" i="46"/>
  <c r="K37" i="45"/>
  <c r="E37" i="46"/>
  <c r="E107" i="45"/>
  <c r="K107" i="44"/>
  <c r="C175" i="46"/>
  <c r="E39" i="44"/>
  <c r="K39" i="43"/>
  <c r="E14" i="44"/>
  <c r="K14" i="43"/>
  <c r="E16" i="46"/>
  <c r="K16" i="45"/>
  <c r="C216" i="46"/>
  <c r="E57" i="45"/>
  <c r="K57" i="44"/>
  <c r="C253" i="45"/>
  <c r="C151" i="46"/>
  <c r="C171" i="46"/>
  <c r="C196" i="46"/>
  <c r="C235" i="46"/>
  <c r="E74" i="44"/>
  <c r="K74" i="43"/>
  <c r="C239" i="46"/>
  <c r="C163" i="46"/>
  <c r="E91" i="45"/>
  <c r="K91" i="44"/>
  <c r="C238" i="45"/>
  <c r="C219" i="46"/>
  <c r="E27" i="44"/>
  <c r="K27" i="43"/>
  <c r="E31" i="44"/>
  <c r="K31" i="43"/>
  <c r="K116" i="45"/>
  <c r="E116" i="46"/>
  <c r="C147" i="46"/>
  <c r="E49" i="45"/>
  <c r="K49" i="44"/>
  <c r="C289" i="45"/>
  <c r="C165" i="45"/>
  <c r="C185" i="45"/>
  <c r="E50" i="44"/>
  <c r="K50" i="43"/>
  <c r="C173" i="45"/>
  <c r="C189" i="45"/>
  <c r="C181" i="45"/>
  <c r="E115" i="45"/>
  <c r="K115" i="44"/>
  <c r="E26" i="45"/>
  <c r="K26" i="44"/>
  <c r="E20" i="45"/>
  <c r="K20" i="44"/>
  <c r="C141" i="45"/>
  <c r="E58" i="44"/>
  <c r="K58" i="43"/>
  <c r="E28" i="45"/>
  <c r="K28" i="44"/>
  <c r="E34" i="45"/>
  <c r="K34" i="44"/>
  <c r="C204" i="46"/>
  <c r="K94" i="45"/>
  <c r="E94" i="46"/>
  <c r="I109" i="42"/>
  <c r="M109" i="42" s="1"/>
  <c r="C109" i="43"/>
  <c r="D116" i="44"/>
  <c r="J116" i="43"/>
  <c r="N116" i="43" s="1"/>
  <c r="C118" i="46"/>
  <c r="C230" i="45"/>
  <c r="I102" i="42"/>
  <c r="M102" i="42" s="1"/>
  <c r="C102" i="43"/>
  <c r="K76" i="45"/>
  <c r="E76" i="46"/>
  <c r="K52" i="45"/>
  <c r="E52" i="46"/>
  <c r="I108" i="42"/>
  <c r="M108" i="42" s="1"/>
  <c r="C108" i="43"/>
  <c r="K12" i="43"/>
  <c r="E12" i="44"/>
  <c r="E23" i="44"/>
  <c r="K23" i="43"/>
  <c r="E62" i="44"/>
  <c r="K62" i="43"/>
  <c r="C262" i="46"/>
  <c r="E287" i="44"/>
  <c r="E170" i="44"/>
  <c r="E226" i="44"/>
  <c r="E230" i="44"/>
  <c r="E288" i="44"/>
  <c r="E273" i="44"/>
  <c r="E210" i="44"/>
  <c r="E138" i="44"/>
  <c r="I106" i="43"/>
  <c r="M106" i="43" s="1"/>
  <c r="C106" i="44"/>
  <c r="E158" i="44"/>
  <c r="C170" i="45"/>
  <c r="E237" i="44"/>
  <c r="C121" i="45"/>
  <c r="C145" i="45"/>
  <c r="C153" i="45"/>
  <c r="E83" i="45"/>
  <c r="K83" i="44"/>
  <c r="C149" i="45"/>
  <c r="I101" i="42"/>
  <c r="M101" i="42" s="1"/>
  <c r="C101" i="43"/>
  <c r="E75" i="45"/>
  <c r="K75" i="44"/>
  <c r="E36" i="45"/>
  <c r="K36" i="44"/>
  <c r="E42" i="44"/>
  <c r="K42" i="43"/>
  <c r="K13" i="45"/>
  <c r="E13" i="46"/>
  <c r="E65" i="45"/>
  <c r="K65" i="44"/>
  <c r="C257" i="45"/>
  <c r="E78" i="44"/>
  <c r="K78" i="43"/>
  <c r="K60" i="45"/>
  <c r="E60" i="46"/>
  <c r="K44" i="45"/>
  <c r="E44" i="46"/>
  <c r="E228" i="44"/>
  <c r="C116" i="43"/>
  <c r="I116" i="42"/>
  <c r="M116" i="42" s="1"/>
  <c r="I115" i="42"/>
  <c r="M115" i="42" s="1"/>
  <c r="C115" i="43"/>
  <c r="K84" i="45"/>
  <c r="E84" i="46"/>
  <c r="C234" i="45"/>
  <c r="K11" i="45"/>
  <c r="E11" i="46"/>
  <c r="C285" i="45"/>
  <c r="C265" i="45"/>
  <c r="I110" i="42"/>
  <c r="M110" i="42" s="1"/>
  <c r="C110" i="43"/>
  <c r="C223" i="46"/>
  <c r="C155" i="46"/>
  <c r="K21" i="45"/>
  <c r="E21" i="46"/>
  <c r="K29" i="45"/>
  <c r="E29" i="46"/>
  <c r="E70" i="44"/>
  <c r="K70" i="43"/>
  <c r="C198" i="45"/>
  <c r="C194" i="45"/>
  <c r="E89" i="45"/>
  <c r="K89" i="44"/>
  <c r="C206" i="45"/>
  <c r="C112" i="43"/>
  <c r="I112" i="42"/>
  <c r="M112" i="42" s="1"/>
  <c r="E105" i="45"/>
  <c r="K105" i="44"/>
  <c r="C190" i="45"/>
  <c r="E218" i="44"/>
  <c r="C158" i="45"/>
  <c r="E9" i="45"/>
  <c r="K9" i="44"/>
  <c r="E264" i="44"/>
  <c r="K117" i="43"/>
  <c r="E117" i="44"/>
  <c r="E134" i="44"/>
  <c r="C186" i="45"/>
  <c r="E141" i="44"/>
  <c r="J113" i="43"/>
  <c r="N113" i="43" s="1"/>
  <c r="D113" i="44"/>
  <c r="E165" i="44"/>
  <c r="E194" i="44"/>
  <c r="E256" i="44"/>
  <c r="E177" i="44"/>
  <c r="D111" i="44"/>
  <c r="J111" i="43"/>
  <c r="N111" i="43" s="1"/>
  <c r="E153" i="44"/>
  <c r="C168" i="45"/>
  <c r="E266" i="44"/>
  <c r="E171" i="44"/>
  <c r="E32" i="44"/>
  <c r="K32" i="43"/>
  <c r="K64" i="45"/>
  <c r="E64" i="46"/>
  <c r="E201" i="44"/>
  <c r="K77" i="43"/>
  <c r="E77" i="44"/>
  <c r="C280" i="45"/>
  <c r="E131" i="44"/>
  <c r="E144" i="44"/>
  <c r="E197" i="44"/>
  <c r="E286" i="44"/>
  <c r="E79" i="44"/>
  <c r="K79" i="43"/>
  <c r="C258" i="46"/>
  <c r="I113" i="42"/>
  <c r="M113" i="42" s="1"/>
  <c r="C113" i="43"/>
  <c r="E223" i="44"/>
  <c r="C255" i="45"/>
  <c r="K25" i="45"/>
  <c r="E25" i="46"/>
  <c r="E152" i="44"/>
  <c r="E224" i="44"/>
  <c r="C228" i="45"/>
  <c r="E262" i="44"/>
  <c r="K10" i="43"/>
  <c r="E10" i="44"/>
  <c r="C272" i="45"/>
  <c r="E270" i="44"/>
  <c r="K22" i="43"/>
  <c r="E22" i="44"/>
  <c r="K53" i="43"/>
  <c r="E53" i="44"/>
  <c r="C160" i="45"/>
  <c r="C209" i="45"/>
  <c r="E247" i="44"/>
  <c r="C256" i="45"/>
  <c r="E139" i="44"/>
  <c r="C176" i="45"/>
  <c r="E285" i="44"/>
  <c r="E162" i="44"/>
  <c r="E211" i="44"/>
  <c r="E249" i="44"/>
  <c r="E206" i="44"/>
  <c r="E272" i="44"/>
  <c r="E130" i="44"/>
  <c r="E181" i="44"/>
  <c r="K86" i="45"/>
  <c r="E86" i="46"/>
  <c r="K68" i="45"/>
  <c r="E68" i="46"/>
  <c r="E110" i="46"/>
  <c r="K110" i="45"/>
  <c r="C214" i="45"/>
  <c r="E51" i="45"/>
  <c r="K51" i="44"/>
  <c r="C137" i="45"/>
  <c r="C129" i="45"/>
  <c r="C269" i="45"/>
  <c r="C133" i="45"/>
  <c r="E137" i="44"/>
  <c r="C221" i="45"/>
  <c r="E199" i="44"/>
  <c r="E178" i="44"/>
  <c r="E189" i="44"/>
  <c r="C162" i="45"/>
  <c r="D103" i="44"/>
  <c r="J103" i="43"/>
  <c r="N103" i="43" s="1"/>
  <c r="E277" i="44"/>
  <c r="E214" i="44"/>
  <c r="E150" i="44"/>
  <c r="E248" i="44"/>
  <c r="D101" i="44"/>
  <c r="J101" i="43"/>
  <c r="N101" i="43" s="1"/>
  <c r="C138" i="45"/>
  <c r="E276" i="44"/>
  <c r="E280" i="44"/>
  <c r="K109" i="43"/>
  <c r="E109" i="44"/>
  <c r="E252" i="44"/>
  <c r="E133" i="44"/>
  <c r="E265" i="44"/>
  <c r="D109" i="44"/>
  <c r="J109" i="43"/>
  <c r="N109" i="43" s="1"/>
  <c r="E244" i="44"/>
  <c r="E120" i="44"/>
  <c r="E284" i="44"/>
  <c r="E190" i="44"/>
  <c r="J114" i="42"/>
  <c r="N114" i="42" s="1"/>
  <c r="D114" i="43"/>
  <c r="C199" i="45"/>
  <c r="K85" i="43"/>
  <c r="E85" i="44"/>
  <c r="E63" i="44"/>
  <c r="K63" i="43"/>
  <c r="C192" i="45"/>
  <c r="I82" i="43"/>
  <c r="M82" i="43" s="1"/>
  <c r="C82" i="44"/>
  <c r="E246" i="44"/>
  <c r="C284" i="45"/>
  <c r="E205" i="44"/>
  <c r="C184" i="45"/>
  <c r="C136" i="45"/>
  <c r="C140" i="45"/>
  <c r="J112" i="42"/>
  <c r="N112" i="42" s="1"/>
  <c r="D112" i="43"/>
  <c r="E183" i="44"/>
  <c r="E227" i="44"/>
  <c r="E122" i="44"/>
  <c r="E279" i="44"/>
  <c r="C227" i="46"/>
  <c r="E136" i="44"/>
  <c r="E209" i="44"/>
  <c r="E175" i="44"/>
  <c r="C286" i="46"/>
  <c r="K88" i="45"/>
  <c r="E88" i="46"/>
  <c r="E160" i="44"/>
  <c r="E239" i="44"/>
  <c r="E163" i="44"/>
  <c r="K45" i="43"/>
  <c r="E45" i="44"/>
  <c r="E212" i="44"/>
  <c r="C288" i="45"/>
  <c r="K61" i="43"/>
  <c r="E61" i="44"/>
  <c r="K72" i="45"/>
  <c r="E72" i="46"/>
  <c r="C232" i="45"/>
  <c r="K41" i="45"/>
  <c r="E41" i="46"/>
  <c r="C241" i="45"/>
  <c r="E87" i="44"/>
  <c r="K87" i="43"/>
  <c r="E208" i="44"/>
  <c r="E143" i="44"/>
  <c r="E40" i="44"/>
  <c r="K40" i="43"/>
  <c r="C248" i="45"/>
  <c r="E250" i="44"/>
  <c r="C274" i="46"/>
  <c r="C127" i="45"/>
  <c r="E192" i="44"/>
  <c r="C283" i="45"/>
  <c r="E114" i="46"/>
  <c r="K114" i="45"/>
  <c r="C172" i="45"/>
  <c r="C148" i="45"/>
  <c r="E148" i="44"/>
  <c r="K15" i="45"/>
  <c r="E15" i="46"/>
  <c r="E255" i="44"/>
  <c r="C275" i="45"/>
  <c r="C236" i="45"/>
  <c r="E278" i="44"/>
  <c r="I103" i="42"/>
  <c r="M103" i="42" s="1"/>
  <c r="C103" i="43"/>
  <c r="C268" i="45"/>
  <c r="E135" i="44"/>
  <c r="E213" i="44"/>
  <c r="C217" i="45"/>
  <c r="E232" i="44"/>
  <c r="C279" i="45"/>
  <c r="C263" i="45"/>
  <c r="C156" i="45"/>
  <c r="C123" i="45"/>
  <c r="E140" i="44"/>
  <c r="C180" i="45"/>
  <c r="E123" i="44"/>
  <c r="K112" i="45"/>
  <c r="E112" i="46"/>
  <c r="I105" i="42"/>
  <c r="M105" i="42" s="1"/>
  <c r="C105" i="43"/>
  <c r="C233" i="45"/>
  <c r="K30" i="43"/>
  <c r="E30" i="44"/>
  <c r="C276" i="45"/>
  <c r="E283" i="44"/>
  <c r="E184" i="44"/>
  <c r="E275" i="44"/>
  <c r="E168" i="44"/>
  <c r="E203" i="44"/>
  <c r="C211" i="45"/>
  <c r="C195" i="45"/>
  <c r="C229" i="45"/>
  <c r="E233" i="44"/>
  <c r="C252" i="45"/>
  <c r="D110" i="45"/>
  <c r="J110" i="44"/>
  <c r="N110" i="44" s="1"/>
  <c r="E221" i="44"/>
  <c r="E129" i="44"/>
  <c r="C215" i="45"/>
  <c r="E154" i="44"/>
  <c r="E185" i="44"/>
  <c r="E222" i="44"/>
  <c r="E240" i="44"/>
  <c r="E292" i="44"/>
  <c r="E235" i="44"/>
  <c r="E55" i="44"/>
  <c r="K55" i="43"/>
  <c r="E118" i="44"/>
  <c r="E204" i="44"/>
  <c r="E216" i="44"/>
  <c r="K17" i="45"/>
  <c r="E17" i="46"/>
  <c r="E180" i="44"/>
  <c r="C247" i="45"/>
  <c r="C259" i="45"/>
  <c r="E106" i="46"/>
  <c r="K106" i="45"/>
  <c r="E187" i="44"/>
  <c r="E231" i="44"/>
  <c r="K33" i="45"/>
  <c r="E33" i="46"/>
  <c r="C213" i="45"/>
  <c r="E220" i="44"/>
  <c r="C224" i="45"/>
  <c r="C164" i="45"/>
  <c r="C220" i="45"/>
  <c r="E258" i="44"/>
  <c r="C264" i="45"/>
  <c r="C270" i="46"/>
  <c r="E151" i="44"/>
  <c r="E290" i="48" l="1"/>
  <c r="A292" i="47"/>
  <c r="B292" i="47"/>
  <c r="K102" i="44"/>
  <c r="E102" i="45"/>
  <c r="C270" i="47"/>
  <c r="E220" i="45"/>
  <c r="C259" i="46"/>
  <c r="E118" i="45"/>
  <c r="E154" i="45"/>
  <c r="E112" i="47"/>
  <c r="K112" i="46"/>
  <c r="C180" i="46"/>
  <c r="C123" i="46"/>
  <c r="C217" i="46"/>
  <c r="E135" i="45"/>
  <c r="K15" i="46"/>
  <c r="E15" i="47"/>
  <c r="C127" i="46"/>
  <c r="E208" i="45"/>
  <c r="E41" i="47"/>
  <c r="K41" i="46"/>
  <c r="E61" i="45"/>
  <c r="K61" i="44"/>
  <c r="E45" i="45"/>
  <c r="K45" i="44"/>
  <c r="C227" i="47"/>
  <c r="E183" i="45"/>
  <c r="C140" i="46"/>
  <c r="C82" i="45"/>
  <c r="I82" i="44"/>
  <c r="M82" i="44" s="1"/>
  <c r="E150" i="45"/>
  <c r="E199" i="45"/>
  <c r="C269" i="46"/>
  <c r="E211" i="45"/>
  <c r="C160" i="46"/>
  <c r="C228" i="46"/>
  <c r="J113" i="44"/>
  <c r="N113" i="44" s="1"/>
  <c r="D113" i="45"/>
  <c r="E117" i="45"/>
  <c r="K117" i="44"/>
  <c r="C155" i="47"/>
  <c r="E11" i="47"/>
  <c r="K11" i="46"/>
  <c r="C115" i="44"/>
  <c r="I115" i="43"/>
  <c r="M115" i="43" s="1"/>
  <c r="E60" i="47"/>
  <c r="K60" i="46"/>
  <c r="E170" i="45"/>
  <c r="E76" i="47"/>
  <c r="K76" i="46"/>
  <c r="C204" i="47"/>
  <c r="C289" i="46"/>
  <c r="C219" i="47"/>
  <c r="C196" i="47"/>
  <c r="E37" i="47"/>
  <c r="K37" i="46"/>
  <c r="J105" i="44"/>
  <c r="N105" i="44" s="1"/>
  <c r="D105" i="45"/>
  <c r="E121" i="45"/>
  <c r="E166" i="45"/>
  <c r="C188" i="46"/>
  <c r="K104" i="46"/>
  <c r="E104" i="47"/>
  <c r="K48" i="46"/>
  <c r="E48" i="47"/>
  <c r="E147" i="45"/>
  <c r="E207" i="45"/>
  <c r="E69" i="45"/>
  <c r="K69" i="44"/>
  <c r="C251" i="46"/>
  <c r="C111" i="44"/>
  <c r="I111" i="43"/>
  <c r="M111" i="43" s="1"/>
  <c r="E159" i="45"/>
  <c r="C139" i="47"/>
  <c r="C107" i="44"/>
  <c r="I107" i="43"/>
  <c r="M107" i="43" s="1"/>
  <c r="E55" i="45"/>
  <c r="K55" i="44"/>
  <c r="E240" i="45"/>
  <c r="E222" i="45"/>
  <c r="E129" i="45"/>
  <c r="E221" i="45"/>
  <c r="D110" i="46"/>
  <c r="J110" i="45"/>
  <c r="N110" i="45" s="1"/>
  <c r="E283" i="45"/>
  <c r="C233" i="46"/>
  <c r="C279" i="46"/>
  <c r="E278" i="45"/>
  <c r="C275" i="46"/>
  <c r="C283" i="46"/>
  <c r="C274" i="47"/>
  <c r="E40" i="45"/>
  <c r="K40" i="44"/>
  <c r="E160" i="45"/>
  <c r="E244" i="45"/>
  <c r="E133" i="45"/>
  <c r="E280" i="45"/>
  <c r="J103" i="44"/>
  <c r="N103" i="44" s="1"/>
  <c r="D103" i="45"/>
  <c r="E137" i="45"/>
  <c r="C137" i="46"/>
  <c r="E110" i="47"/>
  <c r="K110" i="46"/>
  <c r="E152" i="45"/>
  <c r="E266" i="45"/>
  <c r="J111" i="44"/>
  <c r="N111" i="44" s="1"/>
  <c r="D111" i="45"/>
  <c r="C186" i="46"/>
  <c r="K9" i="45"/>
  <c r="E9" i="46"/>
  <c r="C158" i="46"/>
  <c r="C112" i="44"/>
  <c r="I112" i="43"/>
  <c r="M112" i="43" s="1"/>
  <c r="E89" i="46"/>
  <c r="K89" i="45"/>
  <c r="C198" i="46"/>
  <c r="K70" i="44"/>
  <c r="E70" i="45"/>
  <c r="C265" i="46"/>
  <c r="E228" i="45"/>
  <c r="K75" i="45"/>
  <c r="E75" i="46"/>
  <c r="C121" i="46"/>
  <c r="E210" i="45"/>
  <c r="E226" i="45"/>
  <c r="C262" i="47"/>
  <c r="C118" i="47"/>
  <c r="K28" i="45"/>
  <c r="E28" i="46"/>
  <c r="C181" i="46"/>
  <c r="C239" i="47"/>
  <c r="E74" i="45"/>
  <c r="K74" i="44"/>
  <c r="C151" i="47"/>
  <c r="C216" i="47"/>
  <c r="E14" i="45"/>
  <c r="K14" i="44"/>
  <c r="K59" i="45"/>
  <c r="E59" i="46"/>
  <c r="E18" i="46"/>
  <c r="K18" i="45"/>
  <c r="E251" i="45"/>
  <c r="C261" i="46"/>
  <c r="C146" i="46"/>
  <c r="C150" i="46"/>
  <c r="C130" i="46"/>
  <c r="C244" i="46"/>
  <c r="E225" i="45"/>
  <c r="C166" i="46"/>
  <c r="I22" i="46"/>
  <c r="M22" i="46" s="1"/>
  <c r="C22" i="47"/>
  <c r="C260" i="46"/>
  <c r="E103" i="45"/>
  <c r="K103" i="44"/>
  <c r="E111" i="45"/>
  <c r="K111" i="44"/>
  <c r="C125" i="46"/>
  <c r="D117" i="45"/>
  <c r="J117" i="44"/>
  <c r="N117" i="44" s="1"/>
  <c r="E176" i="45"/>
  <c r="E127" i="45"/>
  <c r="E274" i="45"/>
  <c r="E47" i="45"/>
  <c r="K47" i="44"/>
  <c r="E149" i="45"/>
  <c r="E95" i="45"/>
  <c r="K95" i="44"/>
  <c r="E145" i="45"/>
  <c r="E260" i="45"/>
  <c r="E245" i="45"/>
  <c r="C207" i="46"/>
  <c r="C210" i="46"/>
  <c r="E236" i="45"/>
  <c r="C226" i="46"/>
  <c r="C246" i="47"/>
  <c r="K54" i="44"/>
  <c r="E54" i="45"/>
  <c r="E35" i="45"/>
  <c r="K35" i="44"/>
  <c r="C135" i="47"/>
  <c r="C231" i="47"/>
  <c r="C250" i="47"/>
  <c r="C254" i="47"/>
  <c r="C167" i="47"/>
  <c r="C104" i="44"/>
  <c r="I104" i="43"/>
  <c r="M104" i="43" s="1"/>
  <c r="K113" i="45"/>
  <c r="E113" i="46"/>
  <c r="E81" i="46"/>
  <c r="K81" i="45"/>
  <c r="K67" i="45"/>
  <c r="E67" i="46"/>
  <c r="E73" i="46"/>
  <c r="K73" i="45"/>
  <c r="E19" i="45"/>
  <c r="K19" i="44"/>
  <c r="C134" i="46"/>
  <c r="D102" i="46"/>
  <c r="J102" i="45"/>
  <c r="N102" i="45" s="1"/>
  <c r="E258" i="45"/>
  <c r="C224" i="46"/>
  <c r="K17" i="46"/>
  <c r="E17" i="47"/>
  <c r="E204" i="45"/>
  <c r="E203" i="45"/>
  <c r="E30" i="45"/>
  <c r="K30" i="44"/>
  <c r="C105" i="44"/>
  <c r="I105" i="43"/>
  <c r="M105" i="43" s="1"/>
  <c r="C156" i="46"/>
  <c r="C103" i="44"/>
  <c r="I103" i="43"/>
  <c r="M103" i="43" s="1"/>
  <c r="C236" i="46"/>
  <c r="C172" i="46"/>
  <c r="E143" i="45"/>
  <c r="E163" i="45"/>
  <c r="E88" i="47"/>
  <c r="K88" i="46"/>
  <c r="E175" i="45"/>
  <c r="D112" i="44"/>
  <c r="J112" i="43"/>
  <c r="N112" i="43" s="1"/>
  <c r="C136" i="46"/>
  <c r="C192" i="46"/>
  <c r="E85" i="45"/>
  <c r="K85" i="44"/>
  <c r="D114" i="44"/>
  <c r="J114" i="43"/>
  <c r="N114" i="43" s="1"/>
  <c r="E109" i="45"/>
  <c r="K109" i="44"/>
  <c r="E178" i="45"/>
  <c r="E86" i="47"/>
  <c r="K86" i="46"/>
  <c r="E162" i="45"/>
  <c r="C176" i="46"/>
  <c r="E139" i="45"/>
  <c r="E22" i="45"/>
  <c r="K22" i="44"/>
  <c r="E25" i="47"/>
  <c r="K25" i="46"/>
  <c r="C258" i="47"/>
  <c r="K64" i="46"/>
  <c r="E64" i="47"/>
  <c r="E171" i="45"/>
  <c r="C168" i="46"/>
  <c r="E134" i="45"/>
  <c r="E29" i="47"/>
  <c r="K29" i="46"/>
  <c r="C285" i="46"/>
  <c r="E44" i="47"/>
  <c r="K44" i="46"/>
  <c r="E13" i="47"/>
  <c r="K13" i="46"/>
  <c r="C101" i="44"/>
  <c r="I101" i="43"/>
  <c r="M101" i="43" s="1"/>
  <c r="E158" i="45"/>
  <c r="E138" i="45"/>
  <c r="I108" i="43"/>
  <c r="M108" i="43" s="1"/>
  <c r="C108" i="44"/>
  <c r="K94" i="46"/>
  <c r="E94" i="47"/>
  <c r="E116" i="47"/>
  <c r="K116" i="46"/>
  <c r="C163" i="47"/>
  <c r="C171" i="47"/>
  <c r="E92" i="47"/>
  <c r="K92" i="46"/>
  <c r="E146" i="45"/>
  <c r="D106" i="44"/>
  <c r="J106" i="43"/>
  <c r="N106" i="43" s="1"/>
  <c r="C114" i="45"/>
  <c r="I114" i="44"/>
  <c r="M114" i="44" s="1"/>
  <c r="E215" i="45"/>
  <c r="E82" i="47"/>
  <c r="K82" i="46"/>
  <c r="C197" i="46"/>
  <c r="E90" i="47"/>
  <c r="K90" i="46"/>
  <c r="E196" i="45"/>
  <c r="E219" i="45"/>
  <c r="E179" i="45"/>
  <c r="E101" i="45"/>
  <c r="K101" i="44"/>
  <c r="E125" i="45"/>
  <c r="E186" i="45"/>
  <c r="C144" i="46"/>
  <c r="E191" i="45"/>
  <c r="C119" i="46"/>
  <c r="C132" i="46"/>
  <c r="E126" i="45"/>
  <c r="E167" i="45"/>
  <c r="E155" i="45"/>
  <c r="C152" i="46"/>
  <c r="C243" i="46"/>
  <c r="E56" i="47"/>
  <c r="K56" i="46"/>
  <c r="J115" i="44"/>
  <c r="N115" i="44" s="1"/>
  <c r="D115" i="45"/>
  <c r="C187" i="47"/>
  <c r="K100" i="46"/>
  <c r="E100" i="47"/>
  <c r="C117" i="44"/>
  <c r="I117" i="43"/>
  <c r="M117" i="43" s="1"/>
  <c r="C122" i="47"/>
  <c r="E182" i="45"/>
  <c r="E195" i="45"/>
  <c r="C264" i="46"/>
  <c r="E187" i="45"/>
  <c r="E216" i="45"/>
  <c r="C148" i="46"/>
  <c r="E72" i="47"/>
  <c r="K72" i="46"/>
  <c r="E212" i="45"/>
  <c r="E122" i="45"/>
  <c r="C184" i="46"/>
  <c r="E190" i="45"/>
  <c r="E68" i="47"/>
  <c r="K68" i="46"/>
  <c r="E130" i="45"/>
  <c r="C209" i="46"/>
  <c r="E53" i="45"/>
  <c r="K53" i="44"/>
  <c r="E10" i="45"/>
  <c r="K10" i="44"/>
  <c r="C113" i="44"/>
  <c r="I113" i="43"/>
  <c r="M113" i="43" s="1"/>
  <c r="E131" i="45"/>
  <c r="E77" i="45"/>
  <c r="K77" i="44"/>
  <c r="E21" i="47"/>
  <c r="K21" i="46"/>
  <c r="I110" i="43"/>
  <c r="M110" i="43" s="1"/>
  <c r="C110" i="44"/>
  <c r="E84" i="47"/>
  <c r="K84" i="46"/>
  <c r="C106" i="45"/>
  <c r="I106" i="44"/>
  <c r="M106" i="44" s="1"/>
  <c r="E12" i="45"/>
  <c r="K12" i="44"/>
  <c r="E52" i="47"/>
  <c r="K52" i="46"/>
  <c r="I102" i="43"/>
  <c r="M102" i="43" s="1"/>
  <c r="C102" i="44"/>
  <c r="C109" i="44"/>
  <c r="I109" i="43"/>
  <c r="M109" i="43" s="1"/>
  <c r="C147" i="47"/>
  <c r="C281" i="46"/>
  <c r="E142" i="45"/>
  <c r="E38" i="45"/>
  <c r="K38" i="44"/>
  <c r="E96" i="47"/>
  <c r="K96" i="46"/>
  <c r="C205" i="46"/>
  <c r="D104" i="44"/>
  <c r="J104" i="43"/>
  <c r="N104" i="43" s="1"/>
  <c r="C201" i="46"/>
  <c r="E200" i="45"/>
  <c r="E80" i="47"/>
  <c r="K80" i="46"/>
  <c r="C23" i="45"/>
  <c r="I23" i="44"/>
  <c r="M23" i="44" s="1"/>
  <c r="C273" i="46"/>
  <c r="E108" i="47"/>
  <c r="K108" i="46"/>
  <c r="C14" i="47"/>
  <c r="I14" i="46"/>
  <c r="M14" i="46" s="1"/>
  <c r="C242" i="47"/>
  <c r="C131" i="47"/>
  <c r="E93" i="45"/>
  <c r="K93" i="44"/>
  <c r="E174" i="45"/>
  <c r="J107" i="44"/>
  <c r="N107" i="44" s="1"/>
  <c r="D107" i="45"/>
  <c r="E151" i="45"/>
  <c r="C213" i="46"/>
  <c r="E180" i="45"/>
  <c r="E235" i="45"/>
  <c r="E185" i="45"/>
  <c r="C215" i="46"/>
  <c r="E233" i="45"/>
  <c r="C211" i="46"/>
  <c r="E275" i="45"/>
  <c r="C248" i="46"/>
  <c r="C241" i="46"/>
  <c r="E239" i="45"/>
  <c r="C286" i="47"/>
  <c r="E209" i="45"/>
  <c r="E205" i="45"/>
  <c r="E246" i="45"/>
  <c r="E63" i="45"/>
  <c r="K63" i="44"/>
  <c r="C199" i="46"/>
  <c r="E120" i="45"/>
  <c r="E265" i="45"/>
  <c r="C138" i="46"/>
  <c r="D101" i="45"/>
  <c r="J101" i="44"/>
  <c r="N101" i="44" s="1"/>
  <c r="E214" i="45"/>
  <c r="E277" i="45"/>
  <c r="E189" i="45"/>
  <c r="C214" i="46"/>
  <c r="E206" i="45"/>
  <c r="E285" i="45"/>
  <c r="C256" i="46"/>
  <c r="E270" i="45"/>
  <c r="C255" i="46"/>
  <c r="E223" i="45"/>
  <c r="E79" i="45"/>
  <c r="K79" i="44"/>
  <c r="E32" i="45"/>
  <c r="K32" i="44"/>
  <c r="E153" i="45"/>
  <c r="E256" i="45"/>
  <c r="E165" i="45"/>
  <c r="C190" i="46"/>
  <c r="E65" i="46"/>
  <c r="K65" i="45"/>
  <c r="E42" i="45"/>
  <c r="K42" i="44"/>
  <c r="C149" i="46"/>
  <c r="C153" i="46"/>
  <c r="C170" i="46"/>
  <c r="E288" i="45"/>
  <c r="C141" i="46"/>
  <c r="E26" i="46"/>
  <c r="K26" i="45"/>
  <c r="C173" i="46"/>
  <c r="K31" i="44"/>
  <c r="E31" i="45"/>
  <c r="K91" i="45"/>
  <c r="E91" i="46"/>
  <c r="E261" i="45"/>
  <c r="C142" i="46"/>
  <c r="E98" i="47"/>
  <c r="K98" i="46"/>
  <c r="C292" i="46"/>
  <c r="C271" i="46"/>
  <c r="E263" i="45"/>
  <c r="E71" i="45"/>
  <c r="K71" i="44"/>
  <c r="E281" i="45"/>
  <c r="C174" i="46"/>
  <c r="C154" i="46"/>
  <c r="E241" i="45"/>
  <c r="E173" i="45"/>
  <c r="C287" i="46"/>
  <c r="E24" i="45"/>
  <c r="K24" i="44"/>
  <c r="E119" i="45"/>
  <c r="E188" i="45"/>
  <c r="E234" i="45"/>
  <c r="C220" i="46"/>
  <c r="C164" i="46"/>
  <c r="K33" i="46"/>
  <c r="E33" i="47"/>
  <c r="E231" i="45"/>
  <c r="E106" i="47"/>
  <c r="K106" i="46"/>
  <c r="C247" i="46"/>
  <c r="E292" i="45"/>
  <c r="C252" i="46"/>
  <c r="C229" i="46"/>
  <c r="C195" i="46"/>
  <c r="E168" i="45"/>
  <c r="E184" i="45"/>
  <c r="C276" i="46"/>
  <c r="E123" i="45"/>
  <c r="E140" i="45"/>
  <c r="C263" i="46"/>
  <c r="E232" i="45"/>
  <c r="E213" i="45"/>
  <c r="C268" i="46"/>
  <c r="E255" i="45"/>
  <c r="E148" i="45"/>
  <c r="E114" i="47"/>
  <c r="K114" i="46"/>
  <c r="E192" i="45"/>
  <c r="E250" i="45"/>
  <c r="E87" i="45"/>
  <c r="K87" i="44"/>
  <c r="C232" i="46"/>
  <c r="C288" i="46"/>
  <c r="E136" i="45"/>
  <c r="E279" i="45"/>
  <c r="E227" i="45"/>
  <c r="C284" i="46"/>
  <c r="E284" i="45"/>
  <c r="D109" i="45"/>
  <c r="J109" i="44"/>
  <c r="N109" i="44" s="1"/>
  <c r="E252" i="45"/>
  <c r="E276" i="45"/>
  <c r="E248" i="45"/>
  <c r="C162" i="46"/>
  <c r="C221" i="46"/>
  <c r="C133" i="46"/>
  <c r="C129" i="46"/>
  <c r="K51" i="45"/>
  <c r="E51" i="46"/>
  <c r="E181" i="45"/>
  <c r="E272" i="45"/>
  <c r="E249" i="45"/>
  <c r="E247" i="45"/>
  <c r="C272" i="46"/>
  <c r="E262" i="45"/>
  <c r="E224" i="45"/>
  <c r="E286" i="45"/>
  <c r="E197" i="45"/>
  <c r="E144" i="45"/>
  <c r="C280" i="46"/>
  <c r="E201" i="45"/>
  <c r="E177" i="45"/>
  <c r="E194" i="45"/>
  <c r="E141" i="45"/>
  <c r="E264" i="45"/>
  <c r="E218" i="45"/>
  <c r="K105" i="45"/>
  <c r="E105" i="46"/>
  <c r="C206" i="46"/>
  <c r="C194" i="46"/>
  <c r="C223" i="47"/>
  <c r="C234" i="46"/>
  <c r="I116" i="43"/>
  <c r="M116" i="43" s="1"/>
  <c r="C116" i="44"/>
  <c r="K78" i="44"/>
  <c r="E78" i="45"/>
  <c r="C257" i="46"/>
  <c r="K36" i="45"/>
  <c r="E36" i="46"/>
  <c r="K83" i="45"/>
  <c r="E83" i="46"/>
  <c r="C145" i="46"/>
  <c r="E237" i="45"/>
  <c r="E273" i="45"/>
  <c r="E230" i="45"/>
  <c r="E287" i="45"/>
  <c r="K62" i="44"/>
  <c r="E62" i="45"/>
  <c r="K23" i="44"/>
  <c r="E23" i="45"/>
  <c r="C230" i="46"/>
  <c r="D116" i="45"/>
  <c r="J116" i="44"/>
  <c r="N116" i="44" s="1"/>
  <c r="E34" i="46"/>
  <c r="K34" i="45"/>
  <c r="E58" i="45"/>
  <c r="K58" i="44"/>
  <c r="K20" i="45"/>
  <c r="E20" i="46"/>
  <c r="E115" i="46"/>
  <c r="K115" i="45"/>
  <c r="C189" i="46"/>
  <c r="E50" i="45"/>
  <c r="K50" i="44"/>
  <c r="C185" i="46"/>
  <c r="C165" i="46"/>
  <c r="E49" i="46"/>
  <c r="K49" i="45"/>
  <c r="E27" i="45"/>
  <c r="K27" i="44"/>
  <c r="C238" i="46"/>
  <c r="C235" i="47"/>
  <c r="C253" i="46"/>
  <c r="E57" i="46"/>
  <c r="K57" i="45"/>
  <c r="E16" i="47"/>
  <c r="K16" i="46"/>
  <c r="K39" i="44"/>
  <c r="E39" i="45"/>
  <c r="C175" i="47"/>
  <c r="E107" i="46"/>
  <c r="K107" i="45"/>
  <c r="C183" i="47"/>
  <c r="C143" i="47"/>
  <c r="C124" i="46"/>
  <c r="C222" i="46"/>
  <c r="C161" i="46"/>
  <c r="C203" i="46"/>
  <c r="C237" i="46"/>
  <c r="I237" i="45"/>
  <c r="M237" i="45" s="1"/>
  <c r="C182" i="46"/>
  <c r="E161" i="45"/>
  <c r="C218" i="46"/>
  <c r="E238" i="45"/>
  <c r="E229" i="45"/>
  <c r="E242" i="45"/>
  <c r="C282" i="47"/>
  <c r="E267" i="45"/>
  <c r="E156" i="45"/>
  <c r="E254" i="45"/>
  <c r="C225" i="46"/>
  <c r="C240" i="46"/>
  <c r="E124" i="45"/>
  <c r="E157" i="45"/>
  <c r="E253" i="45"/>
  <c r="E169" i="45"/>
  <c r="E198" i="45"/>
  <c r="C267" i="46"/>
  <c r="E132" i="45"/>
  <c r="C266" i="47"/>
  <c r="E271" i="45"/>
  <c r="E217" i="45"/>
  <c r="E164" i="45"/>
  <c r="E282" i="45"/>
  <c r="E259" i="45"/>
  <c r="E257" i="45"/>
  <c r="E269" i="45"/>
  <c r="K97" i="45"/>
  <c r="E97" i="46"/>
  <c r="C245" i="46"/>
  <c r="K46" i="44"/>
  <c r="E46" i="45"/>
  <c r="D108" i="45"/>
  <c r="J108" i="44"/>
  <c r="N108" i="44" s="1"/>
  <c r="C157" i="46"/>
  <c r="E66" i="45"/>
  <c r="K66" i="44"/>
  <c r="K43" i="45"/>
  <c r="E43" i="46"/>
  <c r="D100" i="45"/>
  <c r="J100" i="44"/>
  <c r="N100" i="44" s="1"/>
  <c r="E99" i="46"/>
  <c r="K99" i="45"/>
  <c r="E8" i="45"/>
  <c r="K8" i="44"/>
  <c r="C249" i="46"/>
  <c r="I100" i="43"/>
  <c r="M100" i="43" s="1"/>
  <c r="C100" i="44"/>
  <c r="C208" i="47"/>
  <c r="C200" i="47"/>
  <c r="C159" i="47"/>
  <c r="E243" i="45"/>
  <c r="C202" i="46"/>
  <c r="C120" i="46"/>
  <c r="E289" i="45"/>
  <c r="E202" i="45"/>
  <c r="E268" i="45"/>
  <c r="E172" i="45"/>
  <c r="A292" i="48" l="1"/>
  <c r="B292" i="48"/>
  <c r="K102" i="45"/>
  <c r="E102" i="46"/>
  <c r="E271" i="46"/>
  <c r="K39" i="45"/>
  <c r="E39" i="46"/>
  <c r="E20" i="47"/>
  <c r="K20" i="46"/>
  <c r="K62" i="45"/>
  <c r="E62" i="46"/>
  <c r="C116" i="45"/>
  <c r="I116" i="44"/>
  <c r="M116" i="44" s="1"/>
  <c r="E272" i="46"/>
  <c r="C284" i="47"/>
  <c r="C241" i="47"/>
  <c r="E275" i="46"/>
  <c r="D107" i="46"/>
  <c r="J107" i="45"/>
  <c r="N107" i="45" s="1"/>
  <c r="D115" i="46"/>
  <c r="J115" i="45"/>
  <c r="N115" i="45" s="1"/>
  <c r="E158" i="46"/>
  <c r="C101" i="45"/>
  <c r="I101" i="44"/>
  <c r="M101" i="44" s="1"/>
  <c r="C176" i="47"/>
  <c r="D114" i="45"/>
  <c r="J114" i="44"/>
  <c r="N114" i="44" s="1"/>
  <c r="D112" i="45"/>
  <c r="J112" i="44"/>
  <c r="N112" i="44" s="1"/>
  <c r="E163" i="46"/>
  <c r="I103" i="44"/>
  <c r="M103" i="44" s="1"/>
  <c r="C103" i="45"/>
  <c r="I105" i="44"/>
  <c r="M105" i="44" s="1"/>
  <c r="C105" i="45"/>
  <c r="E204" i="46"/>
  <c r="D102" i="47"/>
  <c r="J102" i="46"/>
  <c r="N102" i="46" s="1"/>
  <c r="C254" i="48"/>
  <c r="C210" i="47"/>
  <c r="E260" i="46"/>
  <c r="E127" i="46"/>
  <c r="E225" i="46"/>
  <c r="C146" i="47"/>
  <c r="E18" i="47"/>
  <c r="K18" i="46"/>
  <c r="C216" i="48"/>
  <c r="C239" i="48"/>
  <c r="C118" i="48"/>
  <c r="E226" i="46"/>
  <c r="C112" i="45"/>
  <c r="I112" i="44"/>
  <c r="M112" i="44" s="1"/>
  <c r="C137" i="47"/>
  <c r="E160" i="46"/>
  <c r="C275" i="47"/>
  <c r="C279" i="47"/>
  <c r="E221" i="46"/>
  <c r="E240" i="46"/>
  <c r="C139" i="48"/>
  <c r="E147" i="46"/>
  <c r="C196" i="48"/>
  <c r="E76" i="48"/>
  <c r="K76" i="48" s="1"/>
  <c r="K76" i="47"/>
  <c r="E11" i="48"/>
  <c r="K11" i="48" s="1"/>
  <c r="K11" i="47"/>
  <c r="C228" i="47"/>
  <c r="C160" i="47"/>
  <c r="E150" i="46"/>
  <c r="E183" i="46"/>
  <c r="E45" i="46"/>
  <c r="K45" i="45"/>
  <c r="C127" i="47"/>
  <c r="C123" i="47"/>
  <c r="E112" i="48"/>
  <c r="K112" i="48" s="1"/>
  <c r="K112" i="47"/>
  <c r="E220" i="46"/>
  <c r="E172" i="46"/>
  <c r="E202" i="46"/>
  <c r="C202" i="47"/>
  <c r="C159" i="48"/>
  <c r="C200" i="48"/>
  <c r="C249" i="47"/>
  <c r="J100" i="45"/>
  <c r="N100" i="45" s="1"/>
  <c r="D100" i="46"/>
  <c r="C245" i="47"/>
  <c r="E132" i="46"/>
  <c r="E169" i="46"/>
  <c r="C240" i="47"/>
  <c r="E156" i="46"/>
  <c r="C282" i="48"/>
  <c r="C237" i="47"/>
  <c r="I237" i="46"/>
  <c r="M237" i="46" s="1"/>
  <c r="C222" i="47"/>
  <c r="C143" i="48"/>
  <c r="E107" i="47"/>
  <c r="K107" i="46"/>
  <c r="E16" i="48"/>
  <c r="K16" i="48" s="1"/>
  <c r="K16" i="47"/>
  <c r="K27" i="45"/>
  <c r="E27" i="46"/>
  <c r="C185" i="47"/>
  <c r="E34" i="47"/>
  <c r="K34" i="46"/>
  <c r="C145" i="47"/>
  <c r="E218" i="46"/>
  <c r="E264" i="46"/>
  <c r="E194" i="46"/>
  <c r="C280" i="47"/>
  <c r="E197" i="46"/>
  <c r="E224" i="46"/>
  <c r="E247" i="46"/>
  <c r="C133" i="47"/>
  <c r="C162" i="47"/>
  <c r="E248" i="46"/>
  <c r="E227" i="46"/>
  <c r="C232" i="47"/>
  <c r="E192" i="46"/>
  <c r="E148" i="46"/>
  <c r="E184" i="46"/>
  <c r="C252" i="47"/>
  <c r="E292" i="46"/>
  <c r="C164" i="47"/>
  <c r="C287" i="47"/>
  <c r="C154" i="47"/>
  <c r="E263" i="46"/>
  <c r="C173" i="47"/>
  <c r="C149" i="47"/>
  <c r="E165" i="46"/>
  <c r="E153" i="46"/>
  <c r="E223" i="46"/>
  <c r="E285" i="46"/>
  <c r="E189" i="46"/>
  <c r="E214" i="46"/>
  <c r="E120" i="46"/>
  <c r="E205" i="46"/>
  <c r="E233" i="46"/>
  <c r="E108" i="48"/>
  <c r="K108" i="48" s="1"/>
  <c r="K108" i="47"/>
  <c r="E80" i="48"/>
  <c r="K80" i="48" s="1"/>
  <c r="K80" i="47"/>
  <c r="C205" i="47"/>
  <c r="E52" i="48"/>
  <c r="K52" i="48" s="1"/>
  <c r="K52" i="47"/>
  <c r="E84" i="48"/>
  <c r="K84" i="48" s="1"/>
  <c r="K84" i="47"/>
  <c r="E77" i="46"/>
  <c r="K77" i="45"/>
  <c r="E53" i="46"/>
  <c r="K53" i="45"/>
  <c r="E68" i="48"/>
  <c r="K68" i="48" s="1"/>
  <c r="K68" i="47"/>
  <c r="E72" i="48"/>
  <c r="K72" i="48" s="1"/>
  <c r="K72" i="47"/>
  <c r="C122" i="48"/>
  <c r="C152" i="47"/>
  <c r="E126" i="46"/>
  <c r="E191" i="46"/>
  <c r="E125" i="46"/>
  <c r="E219" i="46"/>
  <c r="E82" i="48"/>
  <c r="K82" i="48" s="1"/>
  <c r="K82" i="47"/>
  <c r="C114" i="46"/>
  <c r="I114" i="45"/>
  <c r="M114" i="45" s="1"/>
  <c r="C171" i="48"/>
  <c r="E17" i="48"/>
  <c r="K17" i="48" s="1"/>
  <c r="K17" i="47"/>
  <c r="E28" i="47"/>
  <c r="K28" i="46"/>
  <c r="E75" i="47"/>
  <c r="K75" i="46"/>
  <c r="K70" i="45"/>
  <c r="E70" i="46"/>
  <c r="E283" i="46"/>
  <c r="D113" i="46"/>
  <c r="J113" i="45"/>
  <c r="N113" i="45" s="1"/>
  <c r="C100" i="45"/>
  <c r="I100" i="44"/>
  <c r="M100" i="44" s="1"/>
  <c r="E43" i="47"/>
  <c r="K43" i="46"/>
  <c r="E97" i="47"/>
  <c r="K97" i="46"/>
  <c r="E287" i="46"/>
  <c r="E83" i="47"/>
  <c r="K83" i="46"/>
  <c r="E36" i="47"/>
  <c r="K36" i="46"/>
  <c r="K78" i="45"/>
  <c r="E78" i="46"/>
  <c r="E268" i="46"/>
  <c r="C120" i="47"/>
  <c r="E243" i="46"/>
  <c r="E99" i="47"/>
  <c r="K99" i="46"/>
  <c r="J108" i="45"/>
  <c r="N108" i="45" s="1"/>
  <c r="D108" i="46"/>
  <c r="E269" i="46"/>
  <c r="E257" i="46"/>
  <c r="E259" i="46"/>
  <c r="E282" i="46"/>
  <c r="E217" i="46"/>
  <c r="C266" i="48"/>
  <c r="E198" i="46"/>
  <c r="E253" i="46"/>
  <c r="E124" i="46"/>
  <c r="E254" i="46"/>
  <c r="E242" i="46"/>
  <c r="E229" i="46"/>
  <c r="C218" i="47"/>
  <c r="E161" i="46"/>
  <c r="C203" i="47"/>
  <c r="C183" i="48"/>
  <c r="C175" i="48"/>
  <c r="E57" i="47"/>
  <c r="K57" i="46"/>
  <c r="C235" i="48"/>
  <c r="C238" i="47"/>
  <c r="C165" i="47"/>
  <c r="K50" i="45"/>
  <c r="E50" i="46"/>
  <c r="E115" i="47"/>
  <c r="K115" i="46"/>
  <c r="K58" i="45"/>
  <c r="E58" i="46"/>
  <c r="J116" i="45"/>
  <c r="N116" i="45" s="1"/>
  <c r="D116" i="46"/>
  <c r="E230" i="46"/>
  <c r="E237" i="46"/>
  <c r="C223" i="48"/>
  <c r="C194" i="47"/>
  <c r="E141" i="46"/>
  <c r="E177" i="46"/>
  <c r="E201" i="46"/>
  <c r="E144" i="46"/>
  <c r="E286" i="46"/>
  <c r="E262" i="46"/>
  <c r="E249" i="46"/>
  <c r="E181" i="46"/>
  <c r="C129" i="47"/>
  <c r="E252" i="46"/>
  <c r="D109" i="46"/>
  <c r="J109" i="45"/>
  <c r="N109" i="45" s="1"/>
  <c r="E284" i="46"/>
  <c r="C288" i="47"/>
  <c r="E250" i="46"/>
  <c r="E114" i="48"/>
  <c r="K114" i="48" s="1"/>
  <c r="K114" i="47"/>
  <c r="E255" i="46"/>
  <c r="E213" i="46"/>
  <c r="C263" i="47"/>
  <c r="E140" i="46"/>
  <c r="E123" i="46"/>
  <c r="E168" i="46"/>
  <c r="C229" i="47"/>
  <c r="E106" i="48"/>
  <c r="K106" i="48" s="1"/>
  <c r="K106" i="47"/>
  <c r="C220" i="47"/>
  <c r="E188" i="46"/>
  <c r="E24" i="46"/>
  <c r="K24" i="45"/>
  <c r="E241" i="46"/>
  <c r="C174" i="47"/>
  <c r="E71" i="46"/>
  <c r="K71" i="45"/>
  <c r="C271" i="47"/>
  <c r="E98" i="48"/>
  <c r="K98" i="48" s="1"/>
  <c r="K98" i="47"/>
  <c r="C142" i="47"/>
  <c r="E26" i="47"/>
  <c r="K26" i="46"/>
  <c r="C153" i="47"/>
  <c r="E65" i="47"/>
  <c r="K65" i="46"/>
  <c r="C190" i="47"/>
  <c r="E256" i="46"/>
  <c r="E32" i="46"/>
  <c r="K32" i="45"/>
  <c r="E79" i="46"/>
  <c r="K79" i="45"/>
  <c r="C255" i="47"/>
  <c r="C256" i="47"/>
  <c r="E206" i="46"/>
  <c r="C214" i="47"/>
  <c r="E277" i="46"/>
  <c r="D101" i="46"/>
  <c r="J101" i="45"/>
  <c r="N101" i="45" s="1"/>
  <c r="E265" i="46"/>
  <c r="C199" i="47"/>
  <c r="E246" i="46"/>
  <c r="E209" i="46"/>
  <c r="E239" i="46"/>
  <c r="C248" i="47"/>
  <c r="C211" i="47"/>
  <c r="C215" i="47"/>
  <c r="E185" i="46"/>
  <c r="E180" i="46"/>
  <c r="C213" i="47"/>
  <c r="E151" i="46"/>
  <c r="E174" i="46"/>
  <c r="E93" i="46"/>
  <c r="K93" i="45"/>
  <c r="C242" i="48"/>
  <c r="C273" i="47"/>
  <c r="E200" i="46"/>
  <c r="D104" i="45"/>
  <c r="J104" i="44"/>
  <c r="N104" i="44" s="1"/>
  <c r="E38" i="46"/>
  <c r="K38" i="45"/>
  <c r="E142" i="46"/>
  <c r="C147" i="48"/>
  <c r="E12" i="46"/>
  <c r="K12" i="45"/>
  <c r="E131" i="46"/>
  <c r="I113" i="44"/>
  <c r="M113" i="44" s="1"/>
  <c r="C113" i="45"/>
  <c r="E10" i="46"/>
  <c r="K10" i="45"/>
  <c r="C209" i="47"/>
  <c r="E130" i="46"/>
  <c r="E190" i="46"/>
  <c r="C184" i="47"/>
  <c r="E212" i="46"/>
  <c r="E216" i="46"/>
  <c r="C264" i="47"/>
  <c r="E195" i="46"/>
  <c r="C117" i="45"/>
  <c r="I117" i="44"/>
  <c r="M117" i="44" s="1"/>
  <c r="C187" i="48"/>
  <c r="C243" i="47"/>
  <c r="E167" i="46"/>
  <c r="C132" i="47"/>
  <c r="C144" i="47"/>
  <c r="E186" i="46"/>
  <c r="E179" i="46"/>
  <c r="E196" i="46"/>
  <c r="C197" i="47"/>
  <c r="D106" i="45"/>
  <c r="J106" i="44"/>
  <c r="N106" i="44" s="1"/>
  <c r="E146" i="46"/>
  <c r="E92" i="48"/>
  <c r="K92" i="48" s="1"/>
  <c r="K92" i="47"/>
  <c r="C163" i="48"/>
  <c r="E64" i="48"/>
  <c r="K64" i="48" s="1"/>
  <c r="K64" i="47"/>
  <c r="E67" i="47"/>
  <c r="K67" i="46"/>
  <c r="E113" i="47"/>
  <c r="K113" i="46"/>
  <c r="K54" i="45"/>
  <c r="E54" i="46"/>
  <c r="C22" i="48"/>
  <c r="I22" i="48" s="1"/>
  <c r="I22" i="47"/>
  <c r="M22" i="47" s="1"/>
  <c r="K9" i="46"/>
  <c r="E9" i="47"/>
  <c r="D111" i="46"/>
  <c r="J111" i="45"/>
  <c r="N111" i="45" s="1"/>
  <c r="D103" i="46"/>
  <c r="J103" i="45"/>
  <c r="N103" i="45" s="1"/>
  <c r="E104" i="48"/>
  <c r="K104" i="48" s="1"/>
  <c r="K104" i="47"/>
  <c r="D105" i="46"/>
  <c r="J105" i="45"/>
  <c r="N105" i="45" s="1"/>
  <c r="E267" i="46"/>
  <c r="C189" i="47"/>
  <c r="E51" i="47"/>
  <c r="K51" i="46"/>
  <c r="C268" i="47"/>
  <c r="C276" i="47"/>
  <c r="E91" i="47"/>
  <c r="K91" i="46"/>
  <c r="E100" i="48"/>
  <c r="K100" i="48" s="1"/>
  <c r="K100" i="47"/>
  <c r="E44" i="48"/>
  <c r="K44" i="48" s="1"/>
  <c r="K44" i="47"/>
  <c r="E29" i="48"/>
  <c r="K29" i="48" s="1"/>
  <c r="K29" i="47"/>
  <c r="E162" i="46"/>
  <c r="E178" i="46"/>
  <c r="E109" i="46"/>
  <c r="K109" i="45"/>
  <c r="E88" i="48"/>
  <c r="K88" i="48" s="1"/>
  <c r="K88" i="47"/>
  <c r="E143" i="46"/>
  <c r="C236" i="47"/>
  <c r="E203" i="46"/>
  <c r="K19" i="45"/>
  <c r="E19" i="46"/>
  <c r="C135" i="48"/>
  <c r="C226" i="47"/>
  <c r="C207" i="47"/>
  <c r="E95" i="46"/>
  <c r="K95" i="45"/>
  <c r="D117" i="46"/>
  <c r="J117" i="45"/>
  <c r="N117" i="45" s="1"/>
  <c r="C260" i="47"/>
  <c r="C166" i="47"/>
  <c r="C130" i="47"/>
  <c r="C261" i="47"/>
  <c r="E14" i="46"/>
  <c r="K14" i="45"/>
  <c r="C151" i="48"/>
  <c r="C181" i="47"/>
  <c r="C121" i="47"/>
  <c r="C198" i="47"/>
  <c r="E133" i="46"/>
  <c r="C274" i="48"/>
  <c r="C233" i="47"/>
  <c r="I111" i="44"/>
  <c r="M111" i="44" s="1"/>
  <c r="C111" i="45"/>
  <c r="E69" i="46"/>
  <c r="K69" i="45"/>
  <c r="E166" i="46"/>
  <c r="E37" i="48"/>
  <c r="K37" i="48" s="1"/>
  <c r="K37" i="47"/>
  <c r="C289" i="47"/>
  <c r="E60" i="48"/>
  <c r="K60" i="48" s="1"/>
  <c r="K60" i="47"/>
  <c r="E117" i="46"/>
  <c r="K117" i="45"/>
  <c r="C269" i="47"/>
  <c r="C82" i="46"/>
  <c r="I82" i="45"/>
  <c r="M82" i="45" s="1"/>
  <c r="E41" i="48"/>
  <c r="K41" i="48" s="1"/>
  <c r="K41" i="47"/>
  <c r="E135" i="46"/>
  <c r="E118" i="46"/>
  <c r="E289" i="46"/>
  <c r="C208" i="48"/>
  <c r="E8" i="46"/>
  <c r="K8" i="45"/>
  <c r="K66" i="45"/>
  <c r="E66" i="46"/>
  <c r="E164" i="46"/>
  <c r="C267" i="47"/>
  <c r="E157" i="46"/>
  <c r="C225" i="47"/>
  <c r="E238" i="46"/>
  <c r="C182" i="47"/>
  <c r="C161" i="47"/>
  <c r="C253" i="47"/>
  <c r="E49" i="47"/>
  <c r="K49" i="46"/>
  <c r="C230" i="47"/>
  <c r="E273" i="46"/>
  <c r="C257" i="47"/>
  <c r="C234" i="47"/>
  <c r="C206" i="47"/>
  <c r="C272" i="47"/>
  <c r="E276" i="46"/>
  <c r="E136" i="46"/>
  <c r="K87" i="45"/>
  <c r="E87" i="46"/>
  <c r="E232" i="46"/>
  <c r="C195" i="47"/>
  <c r="C247" i="47"/>
  <c r="E231" i="46"/>
  <c r="E234" i="46"/>
  <c r="E119" i="46"/>
  <c r="E173" i="46"/>
  <c r="E281" i="46"/>
  <c r="C292" i="47"/>
  <c r="E261" i="46"/>
  <c r="C141" i="47"/>
  <c r="C170" i="47"/>
  <c r="K42" i="45"/>
  <c r="E42" i="46"/>
  <c r="E270" i="46"/>
  <c r="C138" i="47"/>
  <c r="E63" i="46"/>
  <c r="K63" i="45"/>
  <c r="C286" i="48"/>
  <c r="E235" i="46"/>
  <c r="C131" i="48"/>
  <c r="C14" i="48"/>
  <c r="I14" i="48" s="1"/>
  <c r="I14" i="47"/>
  <c r="M14" i="47" s="1"/>
  <c r="C23" i="46"/>
  <c r="I23" i="45"/>
  <c r="M23" i="45" s="1"/>
  <c r="C201" i="47"/>
  <c r="E96" i="48"/>
  <c r="K96" i="48" s="1"/>
  <c r="K96" i="47"/>
  <c r="C281" i="47"/>
  <c r="C109" i="45"/>
  <c r="I109" i="44"/>
  <c r="M109" i="44" s="1"/>
  <c r="C106" i="46"/>
  <c r="I106" i="45"/>
  <c r="M106" i="45" s="1"/>
  <c r="E21" i="48"/>
  <c r="K21" i="48" s="1"/>
  <c r="K21" i="47"/>
  <c r="E122" i="46"/>
  <c r="C148" i="47"/>
  <c r="E187" i="46"/>
  <c r="E182" i="46"/>
  <c r="E56" i="48"/>
  <c r="K56" i="48" s="1"/>
  <c r="K56" i="47"/>
  <c r="E155" i="46"/>
  <c r="C119" i="47"/>
  <c r="E101" i="46"/>
  <c r="K101" i="45"/>
  <c r="E90" i="48"/>
  <c r="K90" i="48" s="1"/>
  <c r="K90" i="47"/>
  <c r="E215" i="46"/>
  <c r="E116" i="48"/>
  <c r="K116" i="48" s="1"/>
  <c r="K116" i="47"/>
  <c r="E59" i="47"/>
  <c r="K59" i="46"/>
  <c r="E48" i="48"/>
  <c r="K48" i="48" s="1"/>
  <c r="K48" i="47"/>
  <c r="E15" i="48"/>
  <c r="K15" i="48" s="1"/>
  <c r="K15" i="47"/>
  <c r="C157" i="47"/>
  <c r="K46" i="45"/>
  <c r="E46" i="46"/>
  <c r="C124" i="47"/>
  <c r="K23" i="45"/>
  <c r="E23" i="46"/>
  <c r="E105" i="47"/>
  <c r="K105" i="46"/>
  <c r="C221" i="47"/>
  <c r="E279" i="46"/>
  <c r="E33" i="48"/>
  <c r="K33" i="48" s="1"/>
  <c r="K33" i="47"/>
  <c r="K31" i="45"/>
  <c r="E31" i="46"/>
  <c r="E288" i="46"/>
  <c r="C102" i="45"/>
  <c r="I102" i="44"/>
  <c r="M102" i="44" s="1"/>
  <c r="C110" i="45"/>
  <c r="I110" i="44"/>
  <c r="M110" i="44" s="1"/>
  <c r="E94" i="48"/>
  <c r="K94" i="48" s="1"/>
  <c r="K94" i="47"/>
  <c r="C108" i="45"/>
  <c r="I108" i="44"/>
  <c r="M108" i="44" s="1"/>
  <c r="E138" i="46"/>
  <c r="E13" i="48"/>
  <c r="K13" i="48" s="1"/>
  <c r="K13" i="47"/>
  <c r="C285" i="47"/>
  <c r="E134" i="46"/>
  <c r="C168" i="47"/>
  <c r="E171" i="46"/>
  <c r="C258" i="48"/>
  <c r="E25" i="48"/>
  <c r="K25" i="48" s="1"/>
  <c r="K25" i="47"/>
  <c r="E22" i="46"/>
  <c r="K22" i="45"/>
  <c r="E139" i="46"/>
  <c r="E86" i="48"/>
  <c r="K86" i="48" s="1"/>
  <c r="K86" i="47"/>
  <c r="E85" i="46"/>
  <c r="K85" i="45"/>
  <c r="C192" i="47"/>
  <c r="C136" i="47"/>
  <c r="E175" i="46"/>
  <c r="C172" i="47"/>
  <c r="C156" i="47"/>
  <c r="E30" i="46"/>
  <c r="K30" i="45"/>
  <c r="C224" i="47"/>
  <c r="E258" i="46"/>
  <c r="C134" i="47"/>
  <c r="E73" i="47"/>
  <c r="K73" i="46"/>
  <c r="E81" i="47"/>
  <c r="K81" i="46"/>
  <c r="C104" i="45"/>
  <c r="I104" i="44"/>
  <c r="M104" i="44" s="1"/>
  <c r="C167" i="48"/>
  <c r="C250" i="48"/>
  <c r="C231" i="48"/>
  <c r="K35" i="45"/>
  <c r="E35" i="46"/>
  <c r="C246" i="48"/>
  <c r="E236" i="46"/>
  <c r="E245" i="46"/>
  <c r="E145" i="46"/>
  <c r="E149" i="46"/>
  <c r="E47" i="46"/>
  <c r="K47" i="45"/>
  <c r="E274" i="46"/>
  <c r="E176" i="46"/>
  <c r="C125" i="47"/>
  <c r="E111" i="46"/>
  <c r="K111" i="45"/>
  <c r="E103" i="46"/>
  <c r="K103" i="45"/>
  <c r="C244" i="47"/>
  <c r="C150" i="47"/>
  <c r="E251" i="46"/>
  <c r="K74" i="45"/>
  <c r="E74" i="46"/>
  <c r="C262" i="48"/>
  <c r="E210" i="46"/>
  <c r="E228" i="46"/>
  <c r="C265" i="47"/>
  <c r="E89" i="47"/>
  <c r="K89" i="46"/>
  <c r="C158" i="47"/>
  <c r="C186" i="47"/>
  <c r="E266" i="46"/>
  <c r="E152" i="46"/>
  <c r="E110" i="48"/>
  <c r="K110" i="48" s="1"/>
  <c r="K110" i="47"/>
  <c r="E137" i="46"/>
  <c r="E280" i="46"/>
  <c r="E244" i="46"/>
  <c r="E40" i="46"/>
  <c r="K40" i="45"/>
  <c r="C283" i="47"/>
  <c r="E278" i="46"/>
  <c r="D110" i="47"/>
  <c r="J110" i="46"/>
  <c r="N110" i="46" s="1"/>
  <c r="E129" i="46"/>
  <c r="E222" i="46"/>
  <c r="E55" i="46"/>
  <c r="K55" i="45"/>
  <c r="C107" i="45"/>
  <c r="I107" i="44"/>
  <c r="M107" i="44" s="1"/>
  <c r="E159" i="46"/>
  <c r="C251" i="47"/>
  <c r="E207" i="46"/>
  <c r="C188" i="47"/>
  <c r="E121" i="46"/>
  <c r="C219" i="48"/>
  <c r="C204" i="48"/>
  <c r="E170" i="46"/>
  <c r="C115" i="45"/>
  <c r="I115" i="44"/>
  <c r="M115" i="44" s="1"/>
  <c r="C155" i="48"/>
  <c r="E211" i="46"/>
  <c r="E199" i="46"/>
  <c r="C140" i="47"/>
  <c r="C227" i="48"/>
  <c r="E61" i="46"/>
  <c r="K61" i="45"/>
  <c r="E208" i="46"/>
  <c r="C217" i="47"/>
  <c r="C180" i="47"/>
  <c r="E154" i="46"/>
  <c r="C259" i="47"/>
  <c r="C270" i="48"/>
  <c r="K102" i="46" l="1"/>
  <c r="E102" i="47"/>
  <c r="E136" i="47"/>
  <c r="E19" i="47"/>
  <c r="K19" i="46"/>
  <c r="E54" i="47"/>
  <c r="K54" i="46"/>
  <c r="C113" i="46"/>
  <c r="I113" i="45"/>
  <c r="M113" i="45" s="1"/>
  <c r="E250" i="47"/>
  <c r="C100" i="46"/>
  <c r="I100" i="45"/>
  <c r="M100" i="45" s="1"/>
  <c r="D113" i="47"/>
  <c r="J113" i="46"/>
  <c r="N113" i="46" s="1"/>
  <c r="E191" i="47"/>
  <c r="E77" i="47"/>
  <c r="K77" i="46"/>
  <c r="C205" i="48"/>
  <c r="E120" i="47"/>
  <c r="C149" i="48"/>
  <c r="E263" i="47"/>
  <c r="C287" i="48"/>
  <c r="C252" i="48"/>
  <c r="C232" i="48"/>
  <c r="E248" i="47"/>
  <c r="E224" i="47"/>
  <c r="E264" i="47"/>
  <c r="E34" i="48"/>
  <c r="K34" i="48" s="1"/>
  <c r="K34" i="47"/>
  <c r="E132" i="47"/>
  <c r="E160" i="47"/>
  <c r="C112" i="46"/>
  <c r="I112" i="45"/>
  <c r="M112" i="45" s="1"/>
  <c r="E226" i="47"/>
  <c r="E18" i="48"/>
  <c r="K18" i="48" s="1"/>
  <c r="K18" i="47"/>
  <c r="E225" i="47"/>
  <c r="E127" i="47"/>
  <c r="C210" i="48"/>
  <c r="D102" i="48"/>
  <c r="J102" i="48" s="1"/>
  <c r="J102" i="47"/>
  <c r="N102" i="47" s="1"/>
  <c r="C176" i="48"/>
  <c r="C101" i="46"/>
  <c r="I101" i="45"/>
  <c r="M101" i="45" s="1"/>
  <c r="D115" i="47"/>
  <c r="J115" i="46"/>
  <c r="N115" i="46" s="1"/>
  <c r="E20" i="48"/>
  <c r="K20" i="48" s="1"/>
  <c r="K20" i="47"/>
  <c r="C217" i="48"/>
  <c r="C140" i="48"/>
  <c r="E170" i="47"/>
  <c r="D110" i="48"/>
  <c r="J110" i="48" s="1"/>
  <c r="J110" i="47"/>
  <c r="N110" i="47" s="1"/>
  <c r="E278" i="47"/>
  <c r="E152" i="47"/>
  <c r="C186" i="48"/>
  <c r="C244" i="48"/>
  <c r="E111" i="47"/>
  <c r="K111" i="46"/>
  <c r="E47" i="47"/>
  <c r="K47" i="46"/>
  <c r="C224" i="48"/>
  <c r="C156" i="48"/>
  <c r="C136" i="48"/>
  <c r="E139" i="47"/>
  <c r="C110" i="46"/>
  <c r="I110" i="45"/>
  <c r="M110" i="45" s="1"/>
  <c r="C221" i="48"/>
  <c r="E105" i="48"/>
  <c r="K105" i="48" s="1"/>
  <c r="K105" i="47"/>
  <c r="C157" i="48"/>
  <c r="E59" i="48"/>
  <c r="K59" i="48" s="1"/>
  <c r="K59" i="47"/>
  <c r="E215" i="47"/>
  <c r="E101" i="47"/>
  <c r="K101" i="46"/>
  <c r="C119" i="48"/>
  <c r="E187" i="47"/>
  <c r="C281" i="48"/>
  <c r="C201" i="48"/>
  <c r="E63" i="47"/>
  <c r="K63" i="46"/>
  <c r="C170" i="48"/>
  <c r="C292" i="48"/>
  <c r="E234" i="47"/>
  <c r="C272" i="48"/>
  <c r="C225" i="48"/>
  <c r="E8" i="47"/>
  <c r="K8" i="46"/>
  <c r="C233" i="48"/>
  <c r="E133" i="47"/>
  <c r="C261" i="48"/>
  <c r="C166" i="48"/>
  <c r="C207" i="48"/>
  <c r="E178" i="47"/>
  <c r="E91" i="48"/>
  <c r="K91" i="48" s="1"/>
  <c r="K91" i="47"/>
  <c r="E51" i="48"/>
  <c r="K51" i="48" s="1"/>
  <c r="K51" i="47"/>
  <c r="M22" i="48"/>
  <c r="A53" i="31"/>
  <c r="E67" i="48"/>
  <c r="K67" i="48" s="1"/>
  <c r="K67" i="47"/>
  <c r="E146" i="47"/>
  <c r="C197" i="48"/>
  <c r="C144" i="48"/>
  <c r="E216" i="47"/>
  <c r="E190" i="47"/>
  <c r="E142" i="47"/>
  <c r="E200" i="47"/>
  <c r="E174" i="47"/>
  <c r="C215" i="48"/>
  <c r="E265" i="47"/>
  <c r="E206" i="47"/>
  <c r="E32" i="47"/>
  <c r="K32" i="46"/>
  <c r="E71" i="47"/>
  <c r="K71" i="46"/>
  <c r="E188" i="47"/>
  <c r="C263" i="48"/>
  <c r="D109" i="47"/>
  <c r="J109" i="46"/>
  <c r="N109" i="46" s="1"/>
  <c r="E181" i="47"/>
  <c r="E286" i="47"/>
  <c r="E141" i="47"/>
  <c r="C165" i="48"/>
  <c r="C218" i="48"/>
  <c r="E242" i="47"/>
  <c r="E124" i="47"/>
  <c r="E269" i="47"/>
  <c r="E99" i="48"/>
  <c r="K99" i="48" s="1"/>
  <c r="K99" i="47"/>
  <c r="C120" i="48"/>
  <c r="E36" i="48"/>
  <c r="K36" i="48" s="1"/>
  <c r="K36" i="47"/>
  <c r="E283" i="47"/>
  <c r="E236" i="47"/>
  <c r="C259" i="48"/>
  <c r="C180" i="48"/>
  <c r="E208" i="47"/>
  <c r="E211" i="47"/>
  <c r="C115" i="46"/>
  <c r="I115" i="45"/>
  <c r="M115" i="45" s="1"/>
  <c r="E121" i="47"/>
  <c r="E207" i="47"/>
  <c r="C251" i="48"/>
  <c r="C107" i="46"/>
  <c r="I107" i="45"/>
  <c r="M107" i="45" s="1"/>
  <c r="E55" i="47"/>
  <c r="K55" i="46"/>
  <c r="E129" i="47"/>
  <c r="C283" i="48"/>
  <c r="E244" i="47"/>
  <c r="E280" i="47"/>
  <c r="E266" i="47"/>
  <c r="C158" i="48"/>
  <c r="C265" i="48"/>
  <c r="E210" i="47"/>
  <c r="C150" i="48"/>
  <c r="E103" i="47"/>
  <c r="K103" i="46"/>
  <c r="C125" i="48"/>
  <c r="E274" i="47"/>
  <c r="E149" i="47"/>
  <c r="E245" i="47"/>
  <c r="C104" i="46"/>
  <c r="I104" i="45"/>
  <c r="M104" i="45" s="1"/>
  <c r="E73" i="48"/>
  <c r="K73" i="48" s="1"/>
  <c r="K73" i="47"/>
  <c r="E258" i="47"/>
  <c r="E30" i="47"/>
  <c r="K30" i="46"/>
  <c r="E175" i="47"/>
  <c r="C192" i="48"/>
  <c r="E22" i="47"/>
  <c r="K22" i="46"/>
  <c r="C168" i="48"/>
  <c r="C285" i="48"/>
  <c r="E138" i="47"/>
  <c r="C102" i="46"/>
  <c r="I102" i="45"/>
  <c r="M102" i="45" s="1"/>
  <c r="E288" i="47"/>
  <c r="E155" i="47"/>
  <c r="E182" i="47"/>
  <c r="C148" i="48"/>
  <c r="C109" i="46"/>
  <c r="I109" i="45"/>
  <c r="M109" i="45" s="1"/>
  <c r="C23" i="47"/>
  <c r="I23" i="46"/>
  <c r="M23" i="46" s="1"/>
  <c r="C138" i="48"/>
  <c r="C141" i="48"/>
  <c r="E261" i="47"/>
  <c r="E281" i="47"/>
  <c r="E119" i="47"/>
  <c r="E231" i="47"/>
  <c r="C195" i="48"/>
  <c r="E276" i="47"/>
  <c r="C206" i="48"/>
  <c r="C257" i="48"/>
  <c r="E273" i="47"/>
  <c r="E49" i="48"/>
  <c r="K49" i="48" s="1"/>
  <c r="K49" i="47"/>
  <c r="C253" i="48"/>
  <c r="C161" i="48"/>
  <c r="E238" i="47"/>
  <c r="E157" i="47"/>
  <c r="E164" i="47"/>
  <c r="E289" i="47"/>
  <c r="E135" i="47"/>
  <c r="C82" i="47"/>
  <c r="I82" i="46"/>
  <c r="M82" i="46" s="1"/>
  <c r="E117" i="47"/>
  <c r="K117" i="46"/>
  <c r="C289" i="48"/>
  <c r="E166" i="47"/>
  <c r="C121" i="48"/>
  <c r="C181" i="48"/>
  <c r="E14" i="47"/>
  <c r="K14" i="46"/>
  <c r="C130" i="48"/>
  <c r="C260" i="48"/>
  <c r="D117" i="47"/>
  <c r="J117" i="46"/>
  <c r="N117" i="46" s="1"/>
  <c r="E95" i="47"/>
  <c r="K95" i="46"/>
  <c r="C226" i="48"/>
  <c r="E143" i="47"/>
  <c r="E109" i="47"/>
  <c r="K109" i="46"/>
  <c r="E162" i="47"/>
  <c r="C276" i="48"/>
  <c r="C268" i="48"/>
  <c r="E113" i="48"/>
  <c r="K113" i="48" s="1"/>
  <c r="K113" i="47"/>
  <c r="D106" i="46"/>
  <c r="J106" i="45"/>
  <c r="N106" i="45" s="1"/>
  <c r="E196" i="47"/>
  <c r="E186" i="47"/>
  <c r="C132" i="48"/>
  <c r="C117" i="46"/>
  <c r="I117" i="45"/>
  <c r="M117" i="45" s="1"/>
  <c r="C264" i="48"/>
  <c r="C184" i="48"/>
  <c r="E130" i="47"/>
  <c r="E10" i="47"/>
  <c r="K10" i="46"/>
  <c r="E131" i="47"/>
  <c r="E12" i="47"/>
  <c r="K12" i="46"/>
  <c r="E38" i="47"/>
  <c r="K38" i="46"/>
  <c r="J104" i="45"/>
  <c r="N104" i="45" s="1"/>
  <c r="D104" i="46"/>
  <c r="C273" i="48"/>
  <c r="E93" i="47"/>
  <c r="K93" i="46"/>
  <c r="C213" i="48"/>
  <c r="E185" i="47"/>
  <c r="C211" i="48"/>
  <c r="C248" i="48"/>
  <c r="E209" i="47"/>
  <c r="C199" i="48"/>
  <c r="J101" i="46"/>
  <c r="N101" i="46" s="1"/>
  <c r="D101" i="47"/>
  <c r="C214" i="48"/>
  <c r="C256" i="48"/>
  <c r="E79" i="47"/>
  <c r="K79" i="46"/>
  <c r="E256" i="47"/>
  <c r="E65" i="48"/>
  <c r="K65" i="48" s="1"/>
  <c r="K65" i="47"/>
  <c r="C153" i="48"/>
  <c r="E26" i="48"/>
  <c r="K26" i="48" s="1"/>
  <c r="K26" i="47"/>
  <c r="C142" i="48"/>
  <c r="C271" i="48"/>
  <c r="C174" i="48"/>
  <c r="E24" i="47"/>
  <c r="K24" i="46"/>
  <c r="C220" i="48"/>
  <c r="E140" i="47"/>
  <c r="E213" i="47"/>
  <c r="C288" i="48"/>
  <c r="E284" i="47"/>
  <c r="E252" i="47"/>
  <c r="E249" i="47"/>
  <c r="E144" i="47"/>
  <c r="E177" i="47"/>
  <c r="E230" i="47"/>
  <c r="E57" i="48"/>
  <c r="K57" i="48" s="1"/>
  <c r="K57" i="47"/>
  <c r="C203" i="48"/>
  <c r="E161" i="47"/>
  <c r="E229" i="47"/>
  <c r="E254" i="47"/>
  <c r="E253" i="47"/>
  <c r="E217" i="47"/>
  <c r="E259" i="47"/>
  <c r="E257" i="47"/>
  <c r="E268" i="47"/>
  <c r="E83" i="48"/>
  <c r="K83" i="48" s="1"/>
  <c r="K83" i="47"/>
  <c r="K27" i="46"/>
  <c r="E27" i="47"/>
  <c r="D100" i="47"/>
  <c r="J100" i="46"/>
  <c r="N100" i="46" s="1"/>
  <c r="C105" i="46"/>
  <c r="I105" i="45"/>
  <c r="M105" i="45" s="1"/>
  <c r="E31" i="47"/>
  <c r="K31" i="46"/>
  <c r="E267" i="47"/>
  <c r="E201" i="47"/>
  <c r="D116" i="47"/>
  <c r="J116" i="46"/>
  <c r="N116" i="46" s="1"/>
  <c r="E97" i="48"/>
  <c r="K97" i="48" s="1"/>
  <c r="K97" i="47"/>
  <c r="E75" i="48"/>
  <c r="K75" i="48" s="1"/>
  <c r="K75" i="47"/>
  <c r="C152" i="48"/>
  <c r="E233" i="47"/>
  <c r="E189" i="47"/>
  <c r="E223" i="47"/>
  <c r="E165" i="47"/>
  <c r="C173" i="48"/>
  <c r="E292" i="47"/>
  <c r="E148" i="47"/>
  <c r="C133" i="48"/>
  <c r="C280" i="48"/>
  <c r="C145" i="48"/>
  <c r="C237" i="48"/>
  <c r="I237" i="48" s="1"/>
  <c r="I237" i="47"/>
  <c r="M237" i="47" s="1"/>
  <c r="C240" i="48"/>
  <c r="C245" i="48"/>
  <c r="C202" i="48"/>
  <c r="E172" i="47"/>
  <c r="C127" i="48"/>
  <c r="E183" i="47"/>
  <c r="C160" i="48"/>
  <c r="E221" i="47"/>
  <c r="C279" i="48"/>
  <c r="C137" i="48"/>
  <c r="J112" i="45"/>
  <c r="N112" i="45" s="1"/>
  <c r="D112" i="46"/>
  <c r="D107" i="47"/>
  <c r="J107" i="46"/>
  <c r="N107" i="46" s="1"/>
  <c r="C284" i="48"/>
  <c r="E272" i="47"/>
  <c r="C116" i="46"/>
  <c r="I116" i="45"/>
  <c r="M116" i="45" s="1"/>
  <c r="E154" i="47"/>
  <c r="E61" i="47"/>
  <c r="K61" i="46"/>
  <c r="E199" i="47"/>
  <c r="C188" i="48"/>
  <c r="E159" i="47"/>
  <c r="E222" i="47"/>
  <c r="E40" i="47"/>
  <c r="K40" i="46"/>
  <c r="E137" i="47"/>
  <c r="E89" i="48"/>
  <c r="K89" i="48" s="1"/>
  <c r="K89" i="47"/>
  <c r="E228" i="47"/>
  <c r="E251" i="47"/>
  <c r="E176" i="47"/>
  <c r="E145" i="47"/>
  <c r="E81" i="48"/>
  <c r="K81" i="48" s="1"/>
  <c r="K81" i="47"/>
  <c r="C134" i="48"/>
  <c r="C172" i="48"/>
  <c r="E85" i="47"/>
  <c r="K85" i="46"/>
  <c r="E171" i="47"/>
  <c r="E134" i="47"/>
  <c r="C108" i="46"/>
  <c r="I108" i="45"/>
  <c r="M108" i="45" s="1"/>
  <c r="E279" i="47"/>
  <c r="C124" i="48"/>
  <c r="E122" i="47"/>
  <c r="C106" i="47"/>
  <c r="I106" i="46"/>
  <c r="M106" i="46" s="1"/>
  <c r="M14" i="48"/>
  <c r="A45" i="31"/>
  <c r="E235" i="47"/>
  <c r="E270" i="47"/>
  <c r="E173" i="47"/>
  <c r="C247" i="48"/>
  <c r="E232" i="47"/>
  <c r="C234" i="48"/>
  <c r="C230" i="48"/>
  <c r="C182" i="48"/>
  <c r="C267" i="48"/>
  <c r="E118" i="47"/>
  <c r="C269" i="48"/>
  <c r="E69" i="47"/>
  <c r="K69" i="46"/>
  <c r="C198" i="48"/>
  <c r="E203" i="47"/>
  <c r="C236" i="48"/>
  <c r="C189" i="48"/>
  <c r="D105" i="47"/>
  <c r="J105" i="46"/>
  <c r="N105" i="46" s="1"/>
  <c r="D103" i="47"/>
  <c r="J103" i="46"/>
  <c r="N103" i="46" s="1"/>
  <c r="D111" i="47"/>
  <c r="J111" i="46"/>
  <c r="N111" i="46" s="1"/>
  <c r="E179" i="47"/>
  <c r="E167" i="47"/>
  <c r="C243" i="48"/>
  <c r="E195" i="47"/>
  <c r="E212" i="47"/>
  <c r="C209" i="48"/>
  <c r="E151" i="47"/>
  <c r="E180" i="47"/>
  <c r="E239" i="47"/>
  <c r="E246" i="47"/>
  <c r="E277" i="47"/>
  <c r="C255" i="48"/>
  <c r="C190" i="48"/>
  <c r="E241" i="47"/>
  <c r="C229" i="48"/>
  <c r="E123" i="47"/>
  <c r="E255" i="47"/>
  <c r="C129" i="48"/>
  <c r="E262" i="47"/>
  <c r="C194" i="48"/>
  <c r="E237" i="47"/>
  <c r="E115" i="48"/>
  <c r="K115" i="48" s="1"/>
  <c r="K115" i="47"/>
  <c r="C238" i="48"/>
  <c r="E198" i="47"/>
  <c r="E282" i="47"/>
  <c r="E243" i="47"/>
  <c r="E287" i="47"/>
  <c r="E70" i="47"/>
  <c r="K70" i="46"/>
  <c r="C103" i="46"/>
  <c r="I103" i="45"/>
  <c r="M103" i="45" s="1"/>
  <c r="E275" i="47"/>
  <c r="E62" i="47"/>
  <c r="K62" i="46"/>
  <c r="E39" i="47"/>
  <c r="K39" i="46"/>
  <c r="K74" i="46"/>
  <c r="E74" i="47"/>
  <c r="E35" i="47"/>
  <c r="K35" i="46"/>
  <c r="E23" i="47"/>
  <c r="K23" i="46"/>
  <c r="E46" i="47"/>
  <c r="K46" i="46"/>
  <c r="K42" i="46"/>
  <c r="E42" i="47"/>
  <c r="E87" i="47"/>
  <c r="K87" i="46"/>
  <c r="E66" i="47"/>
  <c r="K66" i="46"/>
  <c r="C111" i="46"/>
  <c r="I111" i="45"/>
  <c r="M111" i="45" s="1"/>
  <c r="E9" i="48"/>
  <c r="K9" i="48" s="1"/>
  <c r="K9" i="47"/>
  <c r="E168" i="47"/>
  <c r="K58" i="46"/>
  <c r="E58" i="47"/>
  <c r="E50" i="47"/>
  <c r="K50" i="46"/>
  <c r="D108" i="47"/>
  <c r="J108" i="46"/>
  <c r="N108" i="46" s="1"/>
  <c r="E78" i="47"/>
  <c r="K78" i="46"/>
  <c r="E43" i="48"/>
  <c r="K43" i="48" s="1"/>
  <c r="K43" i="47"/>
  <c r="E28" i="48"/>
  <c r="K28" i="48" s="1"/>
  <c r="K28" i="47"/>
  <c r="I114" i="46"/>
  <c r="M114" i="46" s="1"/>
  <c r="C114" i="47"/>
  <c r="E219" i="47"/>
  <c r="E125" i="47"/>
  <c r="E126" i="47"/>
  <c r="E53" i="47"/>
  <c r="K53" i="46"/>
  <c r="E205" i="47"/>
  <c r="E214" i="47"/>
  <c r="E285" i="47"/>
  <c r="E153" i="47"/>
  <c r="C154" i="48"/>
  <c r="C164" i="48"/>
  <c r="E184" i="47"/>
  <c r="E192" i="47"/>
  <c r="E227" i="47"/>
  <c r="C162" i="48"/>
  <c r="E247" i="47"/>
  <c r="E197" i="47"/>
  <c r="E194" i="47"/>
  <c r="E218" i="47"/>
  <c r="C185" i="48"/>
  <c r="E107" i="48"/>
  <c r="K107" i="48" s="1"/>
  <c r="K107" i="47"/>
  <c r="C222" i="48"/>
  <c r="E156" i="47"/>
  <c r="E169" i="47"/>
  <c r="C249" i="48"/>
  <c r="E202" i="47"/>
  <c r="E220" i="47"/>
  <c r="C123" i="48"/>
  <c r="E45" i="47"/>
  <c r="K45" i="46"/>
  <c r="E150" i="47"/>
  <c r="C228" i="48"/>
  <c r="E147" i="47"/>
  <c r="E240" i="47"/>
  <c r="C275" i="48"/>
  <c r="C146" i="48"/>
  <c r="E260" i="47"/>
  <c r="E204" i="47"/>
  <c r="E163" i="47"/>
  <c r="D114" i="46"/>
  <c r="J114" i="45"/>
  <c r="N114" i="45" s="1"/>
  <c r="E158" i="47"/>
  <c r="C241" i="48"/>
  <c r="E271" i="47"/>
  <c r="E102" i="48" l="1"/>
  <c r="K102" i="48" s="1"/>
  <c r="K102" i="47"/>
  <c r="E271" i="48"/>
  <c r="E260" i="48"/>
  <c r="E194" i="48"/>
  <c r="E153" i="48"/>
  <c r="E214" i="48"/>
  <c r="E53" i="48"/>
  <c r="K53" i="48" s="1"/>
  <c r="K53" i="47"/>
  <c r="E219" i="48"/>
  <c r="E46" i="48"/>
  <c r="K46" i="48" s="1"/>
  <c r="K46" i="47"/>
  <c r="E62" i="48"/>
  <c r="K62" i="48" s="1"/>
  <c r="K62" i="47"/>
  <c r="E262" i="48"/>
  <c r="E246" i="48"/>
  <c r="E212" i="48"/>
  <c r="E69" i="48"/>
  <c r="K69" i="48" s="1"/>
  <c r="K69" i="47"/>
  <c r="E270" i="48"/>
  <c r="E279" i="48"/>
  <c r="E171" i="48"/>
  <c r="E145" i="48"/>
  <c r="E40" i="48"/>
  <c r="K40" i="48" s="1"/>
  <c r="K40" i="47"/>
  <c r="E159" i="48"/>
  <c r="E199" i="48"/>
  <c r="E154" i="48"/>
  <c r="I116" i="46"/>
  <c r="M116" i="46" s="1"/>
  <c r="C116" i="47"/>
  <c r="E221" i="48"/>
  <c r="E189" i="48"/>
  <c r="E31" i="48"/>
  <c r="K31" i="48" s="1"/>
  <c r="K31" i="47"/>
  <c r="E257" i="48"/>
  <c r="E230" i="48"/>
  <c r="E252" i="48"/>
  <c r="E140" i="48"/>
  <c r="E24" i="48"/>
  <c r="K24" i="48" s="1"/>
  <c r="K24" i="47"/>
  <c r="E79" i="48"/>
  <c r="K79" i="48" s="1"/>
  <c r="K79" i="47"/>
  <c r="E93" i="48"/>
  <c r="K93" i="48" s="1"/>
  <c r="K93" i="47"/>
  <c r="E131" i="48"/>
  <c r="C117" i="47"/>
  <c r="I117" i="46"/>
  <c r="M117" i="46" s="1"/>
  <c r="E196" i="48"/>
  <c r="D106" i="47"/>
  <c r="J106" i="46"/>
  <c r="N106" i="46" s="1"/>
  <c r="E95" i="48"/>
  <c r="K95" i="48" s="1"/>
  <c r="K95" i="47"/>
  <c r="C82" i="48"/>
  <c r="I82" i="48" s="1"/>
  <c r="I82" i="47"/>
  <c r="M82" i="47" s="1"/>
  <c r="E273" i="48"/>
  <c r="C23" i="48"/>
  <c r="I23" i="48" s="1"/>
  <c r="I23" i="47"/>
  <c r="M23" i="47" s="1"/>
  <c r="E288" i="48"/>
  <c r="C102" i="47"/>
  <c r="I102" i="46"/>
  <c r="M102" i="46" s="1"/>
  <c r="E175" i="48"/>
  <c r="E30" i="48"/>
  <c r="K30" i="48" s="1"/>
  <c r="K30" i="47"/>
  <c r="E258" i="48"/>
  <c r="E149" i="48"/>
  <c r="E210" i="48"/>
  <c r="E129" i="48"/>
  <c r="C107" i="47"/>
  <c r="I107" i="46"/>
  <c r="M107" i="46" s="1"/>
  <c r="E207" i="48"/>
  <c r="C115" i="47"/>
  <c r="I115" i="46"/>
  <c r="M115" i="46" s="1"/>
  <c r="E208" i="48"/>
  <c r="E124" i="48"/>
  <c r="E141" i="48"/>
  <c r="E181" i="48"/>
  <c r="D109" i="48"/>
  <c r="J109" i="48" s="1"/>
  <c r="J109" i="47"/>
  <c r="N109" i="47" s="1"/>
  <c r="E188" i="48"/>
  <c r="E71" i="48"/>
  <c r="K71" i="48" s="1"/>
  <c r="K71" i="47"/>
  <c r="E32" i="48"/>
  <c r="K32" i="48" s="1"/>
  <c r="K32" i="47"/>
  <c r="E265" i="48"/>
  <c r="E200" i="48"/>
  <c r="E142" i="48"/>
  <c r="E190" i="48"/>
  <c r="E178" i="48"/>
  <c r="E234" i="48"/>
  <c r="E187" i="48"/>
  <c r="E101" i="48"/>
  <c r="K101" i="48" s="1"/>
  <c r="K101" i="47"/>
  <c r="E139" i="48"/>
  <c r="E47" i="48"/>
  <c r="K47" i="48" s="1"/>
  <c r="K47" i="47"/>
  <c r="E152" i="48"/>
  <c r="E278" i="48"/>
  <c r="D115" i="48"/>
  <c r="J115" i="48" s="1"/>
  <c r="J115" i="47"/>
  <c r="N115" i="47" s="1"/>
  <c r="E225" i="48"/>
  <c r="E226" i="48"/>
  <c r="I112" i="46"/>
  <c r="M112" i="46" s="1"/>
  <c r="C112" i="47"/>
  <c r="E264" i="48"/>
  <c r="E248" i="48"/>
  <c r="E263" i="48"/>
  <c r="E120" i="48"/>
  <c r="E77" i="48"/>
  <c r="K77" i="48" s="1"/>
  <c r="K77" i="47"/>
  <c r="C100" i="47"/>
  <c r="I100" i="46"/>
  <c r="M100" i="46" s="1"/>
  <c r="E163" i="48"/>
  <c r="E147" i="48"/>
  <c r="E150" i="48"/>
  <c r="E202" i="48"/>
  <c r="E156" i="48"/>
  <c r="E247" i="48"/>
  <c r="E192" i="48"/>
  <c r="E126" i="48"/>
  <c r="D108" i="48"/>
  <c r="J108" i="48" s="1"/>
  <c r="J108" i="47"/>
  <c r="N108" i="47" s="1"/>
  <c r="C111" i="47"/>
  <c r="I111" i="46"/>
  <c r="M111" i="46" s="1"/>
  <c r="E87" i="48"/>
  <c r="K87" i="48" s="1"/>
  <c r="K87" i="47"/>
  <c r="E275" i="48"/>
  <c r="E282" i="48"/>
  <c r="E237" i="48"/>
  <c r="E255" i="48"/>
  <c r="E151" i="48"/>
  <c r="D111" i="48"/>
  <c r="J111" i="48" s="1"/>
  <c r="J111" i="47"/>
  <c r="N111" i="47" s="1"/>
  <c r="D105" i="48"/>
  <c r="J105" i="48" s="1"/>
  <c r="J105" i="47"/>
  <c r="N105" i="47" s="1"/>
  <c r="E122" i="48"/>
  <c r="E85" i="48"/>
  <c r="K85" i="48" s="1"/>
  <c r="K85" i="47"/>
  <c r="E292" i="48"/>
  <c r="E165" i="48"/>
  <c r="E201" i="48"/>
  <c r="C105" i="47"/>
  <c r="I105" i="46"/>
  <c r="M105" i="46" s="1"/>
  <c r="E268" i="48"/>
  <c r="E217" i="48"/>
  <c r="E253" i="48"/>
  <c r="E161" i="48"/>
  <c r="E177" i="48"/>
  <c r="E130" i="48"/>
  <c r="E109" i="48"/>
  <c r="K109" i="48" s="1"/>
  <c r="K109" i="47"/>
  <c r="E14" i="48"/>
  <c r="K14" i="48" s="1"/>
  <c r="K14" i="47"/>
  <c r="E289" i="48"/>
  <c r="E164" i="48"/>
  <c r="E238" i="48"/>
  <c r="E276" i="48"/>
  <c r="E231" i="48"/>
  <c r="E281" i="48"/>
  <c r="E182" i="48"/>
  <c r="E280" i="48"/>
  <c r="C114" i="48"/>
  <c r="I114" i="48" s="1"/>
  <c r="I114" i="47"/>
  <c r="M114" i="47" s="1"/>
  <c r="E42" i="48"/>
  <c r="K42" i="48" s="1"/>
  <c r="K42" i="47"/>
  <c r="D112" i="47"/>
  <c r="J112" i="46"/>
  <c r="N112" i="46" s="1"/>
  <c r="D101" i="48"/>
  <c r="J101" i="48" s="1"/>
  <c r="J101" i="47"/>
  <c r="N101" i="47" s="1"/>
  <c r="E250" i="48"/>
  <c r="E54" i="48"/>
  <c r="K54" i="48" s="1"/>
  <c r="K54" i="47"/>
  <c r="E158" i="48"/>
  <c r="D114" i="47"/>
  <c r="J114" i="46"/>
  <c r="N114" i="46" s="1"/>
  <c r="E204" i="48"/>
  <c r="E240" i="48"/>
  <c r="K45" i="47"/>
  <c r="E45" i="48"/>
  <c r="K45" i="48" s="1"/>
  <c r="E220" i="48"/>
  <c r="E169" i="48"/>
  <c r="E218" i="48"/>
  <c r="E197" i="48"/>
  <c r="E227" i="48"/>
  <c r="E184" i="48"/>
  <c r="E285" i="48"/>
  <c r="E205" i="48"/>
  <c r="E125" i="48"/>
  <c r="E78" i="48"/>
  <c r="K78" i="48" s="1"/>
  <c r="K78" i="47"/>
  <c r="E50" i="48"/>
  <c r="K50" i="48" s="1"/>
  <c r="K50" i="47"/>
  <c r="E168" i="48"/>
  <c r="E66" i="48"/>
  <c r="K66" i="48" s="1"/>
  <c r="K66" i="47"/>
  <c r="E23" i="48"/>
  <c r="K23" i="48" s="1"/>
  <c r="K23" i="47"/>
  <c r="E35" i="48"/>
  <c r="K35" i="48" s="1"/>
  <c r="K35" i="47"/>
  <c r="E39" i="48"/>
  <c r="K39" i="48" s="1"/>
  <c r="K39" i="47"/>
  <c r="C103" i="47"/>
  <c r="I103" i="46"/>
  <c r="M103" i="46" s="1"/>
  <c r="E70" i="48"/>
  <c r="K70" i="48" s="1"/>
  <c r="K70" i="47"/>
  <c r="E287" i="48"/>
  <c r="E243" i="48"/>
  <c r="E198" i="48"/>
  <c r="E123" i="48"/>
  <c r="E241" i="48"/>
  <c r="E277" i="48"/>
  <c r="E239" i="48"/>
  <c r="E180" i="48"/>
  <c r="E195" i="48"/>
  <c r="E167" i="48"/>
  <c r="E179" i="48"/>
  <c r="D103" i="48"/>
  <c r="J103" i="48" s="1"/>
  <c r="J103" i="47"/>
  <c r="N103" i="47" s="1"/>
  <c r="E203" i="48"/>
  <c r="E232" i="48"/>
  <c r="E173" i="48"/>
  <c r="E235" i="48"/>
  <c r="C106" i="48"/>
  <c r="I106" i="48" s="1"/>
  <c r="I106" i="47"/>
  <c r="M106" i="47" s="1"/>
  <c r="I108" i="46"/>
  <c r="M108" i="46" s="1"/>
  <c r="C108" i="47"/>
  <c r="E134" i="48"/>
  <c r="E176" i="48"/>
  <c r="E251" i="48"/>
  <c r="E228" i="48"/>
  <c r="E137" i="48"/>
  <c r="E222" i="48"/>
  <c r="E61" i="48"/>
  <c r="K61" i="48" s="1"/>
  <c r="K61" i="47"/>
  <c r="E272" i="48"/>
  <c r="D107" i="48"/>
  <c r="J107" i="48" s="1"/>
  <c r="J107" i="47"/>
  <c r="N107" i="47" s="1"/>
  <c r="E183" i="48"/>
  <c r="E172" i="48"/>
  <c r="M237" i="48"/>
  <c r="A268" i="31"/>
  <c r="E148" i="48"/>
  <c r="E223" i="48"/>
  <c r="E233" i="48"/>
  <c r="D116" i="48"/>
  <c r="J116" i="48" s="1"/>
  <c r="J116" i="47"/>
  <c r="N116" i="47" s="1"/>
  <c r="E267" i="48"/>
  <c r="D100" i="48"/>
  <c r="J100" i="48" s="1"/>
  <c r="J100" i="47"/>
  <c r="N100" i="47" s="1"/>
  <c r="E259" i="48"/>
  <c r="E254" i="48"/>
  <c r="E229" i="48"/>
  <c r="E144" i="48"/>
  <c r="E249" i="48"/>
  <c r="E284" i="48"/>
  <c r="E213" i="48"/>
  <c r="E256" i="48"/>
  <c r="E209" i="48"/>
  <c r="E185" i="48"/>
  <c r="E38" i="48"/>
  <c r="K38" i="48" s="1"/>
  <c r="K38" i="47"/>
  <c r="E12" i="48"/>
  <c r="K12" i="48" s="1"/>
  <c r="K12" i="47"/>
  <c r="E10" i="48"/>
  <c r="K10" i="48" s="1"/>
  <c r="K10" i="47"/>
  <c r="E186" i="48"/>
  <c r="E162" i="48"/>
  <c r="E143" i="48"/>
  <c r="D117" i="48"/>
  <c r="J117" i="48" s="1"/>
  <c r="J117" i="47"/>
  <c r="N117" i="47" s="1"/>
  <c r="E166" i="48"/>
  <c r="E117" i="48"/>
  <c r="K117" i="48" s="1"/>
  <c r="K117" i="47"/>
  <c r="E135" i="48"/>
  <c r="E157" i="48"/>
  <c r="E119" i="48"/>
  <c r="E261" i="48"/>
  <c r="C109" i="47"/>
  <c r="I109" i="46"/>
  <c r="M109" i="46" s="1"/>
  <c r="E155" i="48"/>
  <c r="E138" i="48"/>
  <c r="E22" i="48"/>
  <c r="K22" i="48" s="1"/>
  <c r="K22" i="47"/>
  <c r="C104" i="47"/>
  <c r="I104" i="46"/>
  <c r="M104" i="46" s="1"/>
  <c r="E245" i="48"/>
  <c r="E274" i="48"/>
  <c r="E103" i="48"/>
  <c r="K103" i="48" s="1"/>
  <c r="K103" i="47"/>
  <c r="E266" i="48"/>
  <c r="E244" i="48"/>
  <c r="K55" i="47"/>
  <c r="E55" i="48"/>
  <c r="K55" i="48" s="1"/>
  <c r="E121" i="48"/>
  <c r="E211" i="48"/>
  <c r="E236" i="48"/>
  <c r="E283" i="48"/>
  <c r="E269" i="48"/>
  <c r="E242" i="48"/>
  <c r="E286" i="48"/>
  <c r="E206" i="48"/>
  <c r="E174" i="48"/>
  <c r="E216" i="48"/>
  <c r="E146" i="48"/>
  <c r="E133" i="48"/>
  <c r="E8" i="48"/>
  <c r="K8" i="48" s="1"/>
  <c r="K8" i="47"/>
  <c r="E63" i="48"/>
  <c r="K63" i="48" s="1"/>
  <c r="K63" i="47"/>
  <c r="E215" i="48"/>
  <c r="I110" i="46"/>
  <c r="M110" i="46" s="1"/>
  <c r="C110" i="47"/>
  <c r="E111" i="48"/>
  <c r="K111" i="48" s="1"/>
  <c r="K111" i="47"/>
  <c r="N110" i="48"/>
  <c r="B141" i="31"/>
  <c r="D141" i="31" s="1"/>
  <c r="E170" i="48"/>
  <c r="C101" i="47"/>
  <c r="I101" i="46"/>
  <c r="M101" i="46" s="1"/>
  <c r="N102" i="48"/>
  <c r="B133" i="31"/>
  <c r="D133" i="31" s="1"/>
  <c r="E127" i="48"/>
  <c r="E160" i="48"/>
  <c r="E132" i="48"/>
  <c r="E224" i="48"/>
  <c r="E191" i="48"/>
  <c r="D113" i="48"/>
  <c r="J113" i="48" s="1"/>
  <c r="J113" i="47"/>
  <c r="N113" i="47" s="1"/>
  <c r="E58" i="48"/>
  <c r="K58" i="48" s="1"/>
  <c r="K58" i="47"/>
  <c r="E74" i="48"/>
  <c r="K74" i="48" s="1"/>
  <c r="K74" i="47"/>
  <c r="E118" i="48"/>
  <c r="E27" i="48"/>
  <c r="K27" i="48" s="1"/>
  <c r="K27" i="47"/>
  <c r="D104" i="47"/>
  <c r="J104" i="46"/>
  <c r="N104" i="46" s="1"/>
  <c r="C113" i="47"/>
  <c r="I113" i="46"/>
  <c r="M113" i="46" s="1"/>
  <c r="E19" i="48"/>
  <c r="K19" i="48" s="1"/>
  <c r="K19" i="47"/>
  <c r="E136" i="48"/>
  <c r="D104" i="48" l="1"/>
  <c r="J104" i="48" s="1"/>
  <c r="J104" i="47"/>
  <c r="N104" i="47" s="1"/>
  <c r="N100" i="48"/>
  <c r="B131" i="31"/>
  <c r="D131" i="31" s="1"/>
  <c r="N101" i="48"/>
  <c r="B132" i="31"/>
  <c r="D132" i="31" s="1"/>
  <c r="C108" i="48"/>
  <c r="I108" i="48" s="1"/>
  <c r="I108" i="47"/>
  <c r="M108" i="47" s="1"/>
  <c r="C105" i="48"/>
  <c r="I105" i="48" s="1"/>
  <c r="I105" i="47"/>
  <c r="M105" i="47" s="1"/>
  <c r="N105" i="48"/>
  <c r="B136" i="31"/>
  <c r="D136" i="31" s="1"/>
  <c r="C100" i="48"/>
  <c r="I100" i="48" s="1"/>
  <c r="I100" i="47"/>
  <c r="M100" i="47" s="1"/>
  <c r="N115" i="48"/>
  <c r="B146" i="31"/>
  <c r="D146" i="31" s="1"/>
  <c r="C102" i="48"/>
  <c r="I102" i="48" s="1"/>
  <c r="I102" i="47"/>
  <c r="M102" i="47" s="1"/>
  <c r="D106" i="48"/>
  <c r="J106" i="48" s="1"/>
  <c r="J106" i="47"/>
  <c r="N106" i="47" s="1"/>
  <c r="C117" i="48"/>
  <c r="I117" i="48" s="1"/>
  <c r="I117" i="47"/>
  <c r="M117" i="47" s="1"/>
  <c r="C113" i="48"/>
  <c r="I113" i="48" s="1"/>
  <c r="I113" i="47"/>
  <c r="M113" i="47" s="1"/>
  <c r="N113" i="48"/>
  <c r="B144" i="31"/>
  <c r="D144" i="31" s="1"/>
  <c r="C104" i="48"/>
  <c r="I104" i="48" s="1"/>
  <c r="I104" i="47"/>
  <c r="M104" i="47" s="1"/>
  <c r="C109" i="48"/>
  <c r="I109" i="48" s="1"/>
  <c r="I109" i="47"/>
  <c r="M109" i="47" s="1"/>
  <c r="N117" i="48"/>
  <c r="B148" i="31"/>
  <c r="D148" i="31" s="1"/>
  <c r="N116" i="48"/>
  <c r="B147" i="31"/>
  <c r="D147" i="31" s="1"/>
  <c r="N107" i="48"/>
  <c r="B138" i="31"/>
  <c r="D138" i="31" s="1"/>
  <c r="M106" i="48"/>
  <c r="A137" i="31"/>
  <c r="D112" i="48"/>
  <c r="J112" i="48" s="1"/>
  <c r="J112" i="47"/>
  <c r="N112" i="47" s="1"/>
  <c r="C112" i="48"/>
  <c r="I112" i="48" s="1"/>
  <c r="I112" i="47"/>
  <c r="M112" i="47" s="1"/>
  <c r="I116" i="47"/>
  <c r="M116" i="47" s="1"/>
  <c r="C116" i="48"/>
  <c r="I116" i="48" s="1"/>
  <c r="C101" i="48"/>
  <c r="I101" i="48" s="1"/>
  <c r="I101" i="47"/>
  <c r="M101" i="47" s="1"/>
  <c r="N103" i="48"/>
  <c r="B134" i="31"/>
  <c r="D134" i="31" s="1"/>
  <c r="C103" i="48"/>
  <c r="I103" i="48" s="1"/>
  <c r="I103" i="47"/>
  <c r="M103" i="47" s="1"/>
  <c r="D114" i="48"/>
  <c r="J114" i="48" s="1"/>
  <c r="J114" i="47"/>
  <c r="N114" i="47" s="1"/>
  <c r="C110" i="48"/>
  <c r="I110" i="48" s="1"/>
  <c r="I110" i="47"/>
  <c r="M110" i="47" s="1"/>
  <c r="M114" i="48"/>
  <c r="A145" i="31"/>
  <c r="N111" i="48"/>
  <c r="B142" i="31"/>
  <c r="D142" i="31" s="1"/>
  <c r="C111" i="48"/>
  <c r="I111" i="48" s="1"/>
  <c r="I111" i="47"/>
  <c r="M111" i="47" s="1"/>
  <c r="N108" i="48"/>
  <c r="B139" i="31"/>
  <c r="D139" i="31" s="1"/>
  <c r="N109" i="48"/>
  <c r="B140" i="31"/>
  <c r="D140" i="31" s="1"/>
  <c r="C115" i="48"/>
  <c r="I115" i="48" s="1"/>
  <c r="I115" i="47"/>
  <c r="M115" i="47" s="1"/>
  <c r="C107" i="48"/>
  <c r="I107" i="48" s="1"/>
  <c r="I107" i="47"/>
  <c r="M107" i="47" s="1"/>
  <c r="M23" i="48"/>
  <c r="A54" i="31"/>
  <c r="M82" i="48"/>
  <c r="A113" i="31"/>
  <c r="M115" i="48" l="1"/>
  <c r="A146" i="31"/>
  <c r="M110" i="48"/>
  <c r="A141" i="31"/>
  <c r="M113" i="48"/>
  <c r="A144" i="31"/>
  <c r="M117" i="48"/>
  <c r="A148" i="31"/>
  <c r="M102" i="48"/>
  <c r="A133" i="31"/>
  <c r="M100" i="48"/>
  <c r="A131" i="31"/>
  <c r="M105" i="48"/>
  <c r="A136" i="31"/>
  <c r="M108" i="48"/>
  <c r="A139" i="31"/>
  <c r="M107" i="48"/>
  <c r="A138" i="31"/>
  <c r="M116" i="48"/>
  <c r="A147" i="31"/>
  <c r="M111" i="48"/>
  <c r="A142" i="31"/>
  <c r="N114" i="48"/>
  <c r="B145" i="31"/>
  <c r="D145" i="31" s="1"/>
  <c r="M101" i="48"/>
  <c r="A132" i="31"/>
  <c r="M103" i="48"/>
  <c r="A134" i="31"/>
  <c r="M112" i="48"/>
  <c r="A143" i="31"/>
  <c r="N112" i="48"/>
  <c r="B143" i="31"/>
  <c r="D143" i="31" s="1"/>
  <c r="M109" i="48"/>
  <c r="A140" i="31"/>
  <c r="M104" i="48"/>
  <c r="A135" i="31"/>
  <c r="N106" i="48"/>
  <c r="B137" i="31"/>
  <c r="D137" i="31" s="1"/>
  <c r="N104" i="48"/>
  <c r="B135" i="31"/>
  <c r="D135" i="31" s="1"/>
  <c r="C99" i="34" l="1"/>
  <c r="I99" i="34" s="1"/>
  <c r="C98" i="34"/>
  <c r="I98" i="34" s="1"/>
  <c r="D98" i="34"/>
  <c r="J98" i="34" s="1"/>
  <c r="C97" i="34"/>
  <c r="I97" i="34" s="1"/>
  <c r="C96" i="34"/>
  <c r="I96" i="34" s="1"/>
  <c r="C95" i="34"/>
  <c r="I95" i="34" s="1"/>
  <c r="C94" i="34"/>
  <c r="I94" i="34" s="1"/>
  <c r="C93" i="34"/>
  <c r="I93" i="34" s="1"/>
  <c r="C92" i="34"/>
  <c r="I92" i="34" s="1"/>
  <c r="C90" i="34"/>
  <c r="I90" i="34" s="1"/>
  <c r="D90" i="34"/>
  <c r="J90" i="34" s="1"/>
  <c r="C89" i="34"/>
  <c r="I89" i="34" s="1"/>
  <c r="C88" i="34"/>
  <c r="I88" i="34" s="1"/>
  <c r="C87" i="34"/>
  <c r="I87" i="34" s="1"/>
  <c r="D87" i="34"/>
  <c r="J87" i="34" s="1"/>
  <c r="C86" i="34"/>
  <c r="I86" i="34" s="1"/>
  <c r="C85" i="34"/>
  <c r="I85" i="34" s="1"/>
  <c r="D84" i="34"/>
  <c r="J84" i="34" s="1"/>
  <c r="C84" i="34"/>
  <c r="I84" i="34" s="1"/>
  <c r="D83" i="34"/>
  <c r="J83" i="34" s="1"/>
  <c r="C83" i="34"/>
  <c r="I83" i="34" s="1"/>
  <c r="D82" i="34"/>
  <c r="J82" i="34" s="1"/>
  <c r="C81" i="34"/>
  <c r="I81" i="34" s="1"/>
  <c r="D80" i="34"/>
  <c r="J80" i="34" s="1"/>
  <c r="C80" i="34"/>
  <c r="I80" i="34" s="1"/>
  <c r="D79" i="34"/>
  <c r="J79" i="34" s="1"/>
  <c r="C79" i="34"/>
  <c r="I79" i="34" s="1"/>
  <c r="D78" i="34"/>
  <c r="J78" i="34" s="1"/>
  <c r="C78" i="34"/>
  <c r="I78" i="34" s="1"/>
  <c r="D77" i="34"/>
  <c r="J77" i="34" s="1"/>
  <c r="C77" i="34"/>
  <c r="I77" i="34" s="1"/>
  <c r="C76" i="34"/>
  <c r="I76" i="34" s="1"/>
  <c r="D76" i="34"/>
  <c r="J76" i="34" s="1"/>
  <c r="C75" i="34"/>
  <c r="I75" i="34" s="1"/>
  <c r="C74" i="34"/>
  <c r="I74" i="34" s="1"/>
  <c r="C73" i="34"/>
  <c r="I73" i="34" s="1"/>
  <c r="D73" i="34"/>
  <c r="J73" i="34" s="1"/>
  <c r="D72" i="34"/>
  <c r="J72" i="34" s="1"/>
  <c r="C72" i="34"/>
  <c r="I72" i="34" s="1"/>
  <c r="C71" i="34"/>
  <c r="I71" i="34" s="1"/>
  <c r="C70" i="34"/>
  <c r="I70" i="34" s="1"/>
  <c r="D70" i="34"/>
  <c r="J70" i="34" s="1"/>
  <c r="C69" i="34"/>
  <c r="I69" i="34" s="1"/>
  <c r="C68" i="34"/>
  <c r="I68" i="34" s="1"/>
  <c r="D68" i="34"/>
  <c r="J68" i="34" s="1"/>
  <c r="C67" i="34"/>
  <c r="I67" i="34" s="1"/>
  <c r="D66" i="34"/>
  <c r="J66" i="34" s="1"/>
  <c r="C66" i="34"/>
  <c r="I66" i="34" s="1"/>
  <c r="C65" i="34"/>
  <c r="I65" i="34" s="1"/>
  <c r="C64" i="34"/>
  <c r="I64" i="34" s="1"/>
  <c r="D64" i="34"/>
  <c r="J64" i="34" s="1"/>
  <c r="C63" i="34"/>
  <c r="I63" i="34" s="1"/>
  <c r="D62" i="34"/>
  <c r="J62" i="34" s="1"/>
  <c r="C62" i="34"/>
  <c r="I62" i="34" s="1"/>
  <c r="D61" i="34"/>
  <c r="J61" i="34" s="1"/>
  <c r="C61" i="34"/>
  <c r="I61" i="34" s="1"/>
  <c r="C59" i="34"/>
  <c r="I59" i="34" s="1"/>
  <c r="C58" i="34"/>
  <c r="I58" i="34" s="1"/>
  <c r="D58" i="34"/>
  <c r="J58" i="34" s="1"/>
  <c r="D57" i="34"/>
  <c r="J57" i="34" s="1"/>
  <c r="D56" i="34"/>
  <c r="J56" i="34" s="1"/>
  <c r="C56" i="34"/>
  <c r="I56" i="34" s="1"/>
  <c r="D55" i="34"/>
  <c r="J55" i="34" s="1"/>
  <c r="C55" i="34"/>
  <c r="I55" i="34" s="1"/>
  <c r="D54" i="34"/>
  <c r="J54" i="34" s="1"/>
  <c r="C54" i="34"/>
  <c r="I54" i="34" s="1"/>
  <c r="D53" i="34"/>
  <c r="J53" i="34" s="1"/>
  <c r="C53" i="34"/>
  <c r="I53" i="34" s="1"/>
  <c r="D52" i="34"/>
  <c r="J52" i="34" s="1"/>
  <c r="D51" i="34"/>
  <c r="J51" i="34" s="1"/>
  <c r="D50" i="34"/>
  <c r="J50" i="34" s="1"/>
  <c r="D49" i="34"/>
  <c r="J49" i="34" s="1"/>
  <c r="D48" i="34"/>
  <c r="J48" i="34" s="1"/>
  <c r="C48" i="34"/>
  <c r="I48" i="34" s="1"/>
  <c r="D47" i="34"/>
  <c r="J47" i="34" s="1"/>
  <c r="C47" i="34"/>
  <c r="I47" i="34" s="1"/>
  <c r="D46" i="34"/>
  <c r="J46" i="34" s="1"/>
  <c r="C46" i="34"/>
  <c r="I46" i="34" s="1"/>
  <c r="D45" i="34"/>
  <c r="J45" i="34" s="1"/>
  <c r="C45" i="34"/>
  <c r="I45" i="34" s="1"/>
  <c r="C43" i="34"/>
  <c r="I43" i="34" s="1"/>
  <c r="D43" i="34"/>
  <c r="J43" i="34" s="1"/>
  <c r="C42" i="34"/>
  <c r="I42" i="34" s="1"/>
  <c r="D41" i="34"/>
  <c r="J41" i="34" s="1"/>
  <c r="C41" i="34"/>
  <c r="I41" i="34" s="1"/>
  <c r="C40" i="34"/>
  <c r="I40" i="34" s="1"/>
  <c r="D39" i="34"/>
  <c r="J39" i="34" s="1"/>
  <c r="C39" i="34"/>
  <c r="I39" i="34" s="1"/>
  <c r="D38" i="34"/>
  <c r="J38" i="34" s="1"/>
  <c r="C38" i="34"/>
  <c r="I38" i="34" s="1"/>
  <c r="D37" i="34"/>
  <c r="J37" i="34" s="1"/>
  <c r="C37" i="34"/>
  <c r="I37" i="34" s="1"/>
  <c r="D36" i="34"/>
  <c r="J36" i="34" s="1"/>
  <c r="C36" i="34"/>
  <c r="I36" i="34" s="1"/>
  <c r="D35" i="34"/>
  <c r="J35" i="34" s="1"/>
  <c r="C35" i="34"/>
  <c r="I35" i="34" s="1"/>
  <c r="D34" i="34"/>
  <c r="J34" i="34" s="1"/>
  <c r="C34" i="34"/>
  <c r="I34" i="34" s="1"/>
  <c r="D33" i="34"/>
  <c r="J33" i="34" s="1"/>
  <c r="C33" i="34"/>
  <c r="I33" i="34" s="1"/>
  <c r="D32" i="34"/>
  <c r="J32" i="34" s="1"/>
  <c r="C32" i="34"/>
  <c r="I32" i="34" s="1"/>
  <c r="D31" i="34"/>
  <c r="J31" i="34" s="1"/>
  <c r="C31" i="34"/>
  <c r="I31" i="34" s="1"/>
  <c r="C30" i="34"/>
  <c r="I30" i="34" s="1"/>
  <c r="D29" i="34"/>
  <c r="J29" i="34" s="1"/>
  <c r="C29" i="34"/>
  <c r="I29" i="34" s="1"/>
  <c r="D28" i="34"/>
  <c r="J28" i="34" s="1"/>
  <c r="C28" i="34"/>
  <c r="I28" i="34" s="1"/>
  <c r="D27" i="34"/>
  <c r="J27" i="34" s="1"/>
  <c r="C27" i="34"/>
  <c r="I27" i="34" s="1"/>
  <c r="C26" i="34"/>
  <c r="I26" i="34" s="1"/>
  <c r="D26" i="34"/>
  <c r="J26" i="34" s="1"/>
  <c r="D25" i="34"/>
  <c r="J25" i="34" s="1"/>
  <c r="C25" i="34"/>
  <c r="I25" i="34" s="1"/>
  <c r="C24" i="34"/>
  <c r="I24" i="34" s="1"/>
  <c r="D22" i="34"/>
  <c r="J22" i="34" s="1"/>
  <c r="C21" i="34"/>
  <c r="I21" i="34" s="1"/>
  <c r="D20" i="34"/>
  <c r="J20" i="34" s="1"/>
  <c r="C20" i="34"/>
  <c r="I20" i="34" s="1"/>
  <c r="D19" i="34"/>
  <c r="J19" i="34" s="1"/>
  <c r="C19" i="34"/>
  <c r="I19" i="34" s="1"/>
  <c r="C18" i="34"/>
  <c r="I18" i="34" s="1"/>
  <c r="D17" i="34"/>
  <c r="J17" i="34" s="1"/>
  <c r="C17" i="34"/>
  <c r="I17" i="34" s="1"/>
  <c r="C16" i="34"/>
  <c r="I16" i="34" s="1"/>
  <c r="D15" i="34"/>
  <c r="J15" i="34" s="1"/>
  <c r="C15" i="34"/>
  <c r="I15" i="34" s="1"/>
  <c r="D14" i="34"/>
  <c r="J14" i="34" s="1"/>
  <c r="C13" i="34"/>
  <c r="I13" i="34" s="1"/>
  <c r="D13" i="34"/>
  <c r="J13" i="34" s="1"/>
  <c r="D12" i="34"/>
  <c r="J12" i="34" s="1"/>
  <c r="C12" i="34"/>
  <c r="I12" i="34" s="1"/>
  <c r="C11" i="34"/>
  <c r="I11" i="34" s="1"/>
  <c r="D10" i="34"/>
  <c r="J10" i="34" s="1"/>
  <c r="C10" i="34"/>
  <c r="I10" i="34" s="1"/>
  <c r="D9" i="34"/>
  <c r="J9" i="34" s="1"/>
  <c r="C9" i="34"/>
  <c r="I9" i="34" s="1"/>
  <c r="D8" i="34"/>
  <c r="J8" i="34" s="1"/>
  <c r="C8" i="34"/>
  <c r="I8" i="34" s="1"/>
  <c r="J19" i="33" l="1"/>
  <c r="N19" i="33" s="1"/>
  <c r="J20" i="33"/>
  <c r="N20" i="33" s="1"/>
  <c r="J29" i="33"/>
  <c r="N29" i="33" s="1"/>
  <c r="D40" i="34"/>
  <c r="J40" i="34" s="1"/>
  <c r="J53" i="33"/>
  <c r="N53" i="33" s="1"/>
  <c r="J54" i="33"/>
  <c r="N54" i="33" s="1"/>
  <c r="J56" i="33"/>
  <c r="N56" i="33" s="1"/>
  <c r="J58" i="33"/>
  <c r="N58" i="33" s="1"/>
  <c r="J68" i="33"/>
  <c r="N68" i="33" s="1"/>
  <c r="J76" i="33"/>
  <c r="N76" i="33" s="1"/>
  <c r="D86" i="34"/>
  <c r="J86" i="34" s="1"/>
  <c r="D99" i="34"/>
  <c r="J99" i="34" s="1"/>
  <c r="J10" i="33"/>
  <c r="N10" i="33" s="1"/>
  <c r="J13" i="33"/>
  <c r="N13" i="33" s="1"/>
  <c r="J25" i="33"/>
  <c r="N25" i="33" s="1"/>
  <c r="D44" i="34"/>
  <c r="J44" i="34" s="1"/>
  <c r="J50" i="33"/>
  <c r="N50" i="33" s="1"/>
  <c r="D65" i="34"/>
  <c r="J65" i="34" s="1"/>
  <c r="D71" i="34"/>
  <c r="J71" i="34" s="1"/>
  <c r="D89" i="34"/>
  <c r="J89" i="34" s="1"/>
  <c r="D18" i="34"/>
  <c r="J18" i="34" s="1"/>
  <c r="J47" i="33"/>
  <c r="N47" i="33" s="1"/>
  <c r="D81" i="34"/>
  <c r="J81" i="34" s="1"/>
  <c r="D88" i="34"/>
  <c r="J88" i="34" s="1"/>
  <c r="D92" i="34"/>
  <c r="J92" i="34" s="1"/>
  <c r="D93" i="34"/>
  <c r="J93" i="34" s="1"/>
  <c r="D95" i="34"/>
  <c r="J95" i="34" s="1"/>
  <c r="J98" i="33"/>
  <c r="N98" i="33" s="1"/>
  <c r="J37" i="33"/>
  <c r="N37" i="33" s="1"/>
  <c r="J51" i="33"/>
  <c r="N51" i="33" s="1"/>
  <c r="J52" i="33"/>
  <c r="N52" i="33" s="1"/>
  <c r="J55" i="33"/>
  <c r="N55" i="33" s="1"/>
  <c r="J57" i="33"/>
  <c r="N57" i="33" s="1"/>
  <c r="J72" i="33"/>
  <c r="N72" i="33" s="1"/>
  <c r="D75" i="34"/>
  <c r="J75" i="34" s="1"/>
  <c r="J83" i="33"/>
  <c r="N83" i="33" s="1"/>
  <c r="J87" i="33"/>
  <c r="N87" i="33" s="1"/>
  <c r="J8" i="33"/>
  <c r="N8" i="33" s="1"/>
  <c r="J9" i="33"/>
  <c r="N9" i="33" s="1"/>
  <c r="J12" i="33"/>
  <c r="N12" i="33" s="1"/>
  <c r="D23" i="34"/>
  <c r="J23" i="34" s="1"/>
  <c r="J26" i="33"/>
  <c r="N26" i="33" s="1"/>
  <c r="J45" i="33"/>
  <c r="N45" i="33" s="1"/>
  <c r="J66" i="33"/>
  <c r="N66" i="33" s="1"/>
  <c r="D74" i="34"/>
  <c r="J74" i="34" s="1"/>
  <c r="D85" i="34"/>
  <c r="J85" i="34" s="1"/>
  <c r="J90" i="33"/>
  <c r="N90" i="33" s="1"/>
  <c r="J14" i="33"/>
  <c r="N14" i="33" s="1"/>
  <c r="J17" i="33"/>
  <c r="N17" i="33" s="1"/>
  <c r="D21" i="34"/>
  <c r="J21" i="34" s="1"/>
  <c r="J27" i="33"/>
  <c r="N27" i="33" s="1"/>
  <c r="D42" i="34"/>
  <c r="J42" i="34" s="1"/>
  <c r="J43" i="33"/>
  <c r="N43" i="33" s="1"/>
  <c r="J49" i="33"/>
  <c r="N49" i="33" s="1"/>
  <c r="J61" i="33"/>
  <c r="N61" i="33" s="1"/>
  <c r="D63" i="34"/>
  <c r="J63" i="34" s="1"/>
  <c r="J64" i="33"/>
  <c r="N64" i="33" s="1"/>
  <c r="D67" i="34"/>
  <c r="J67" i="34" s="1"/>
  <c r="J70" i="33"/>
  <c r="N70" i="33" s="1"/>
  <c r="J73" i="33"/>
  <c r="N73" i="33" s="1"/>
  <c r="J77" i="33"/>
  <c r="N77" i="33" s="1"/>
  <c r="J78" i="33"/>
  <c r="N78" i="33" s="1"/>
  <c r="J79" i="33"/>
  <c r="N79" i="33" s="1"/>
  <c r="J80" i="33"/>
  <c r="N80" i="33" s="1"/>
  <c r="D91" i="34"/>
  <c r="J91" i="34" s="1"/>
  <c r="D96" i="34"/>
  <c r="J96" i="34" s="1"/>
  <c r="I8" i="33"/>
  <c r="M8" i="33" s="1"/>
  <c r="I12" i="33"/>
  <c r="M12" i="33" s="1"/>
  <c r="J15" i="33"/>
  <c r="N15" i="33" s="1"/>
  <c r="I16" i="33"/>
  <c r="M16" i="33" s="1"/>
  <c r="J22" i="33"/>
  <c r="N22" i="33" s="1"/>
  <c r="I25" i="33"/>
  <c r="M25" i="33" s="1"/>
  <c r="I32" i="33"/>
  <c r="M32" i="33" s="1"/>
  <c r="I34" i="33"/>
  <c r="M34" i="33" s="1"/>
  <c r="I37" i="33"/>
  <c r="M37" i="33" s="1"/>
  <c r="I38" i="33"/>
  <c r="M38" i="33" s="1"/>
  <c r="I40" i="33"/>
  <c r="M40" i="33" s="1"/>
  <c r="J46" i="33"/>
  <c r="N46" i="33" s="1"/>
  <c r="J48" i="33"/>
  <c r="N48" i="33" s="1"/>
  <c r="I53" i="33"/>
  <c r="M53" i="33" s="1"/>
  <c r="J62" i="33"/>
  <c r="N62" i="33" s="1"/>
  <c r="I68" i="33"/>
  <c r="M68" i="33" s="1"/>
  <c r="I77" i="33"/>
  <c r="M77" i="33" s="1"/>
  <c r="J82" i="33"/>
  <c r="N82" i="33" s="1"/>
  <c r="J84" i="33"/>
  <c r="N84" i="33" s="1"/>
  <c r="I88" i="33"/>
  <c r="M88" i="33" s="1"/>
  <c r="I15" i="33"/>
  <c r="M15" i="33" s="1"/>
  <c r="D24" i="34"/>
  <c r="J24" i="34" s="1"/>
  <c r="I28" i="33"/>
  <c r="M28" i="33" s="1"/>
  <c r="I41" i="33"/>
  <c r="M41" i="33" s="1"/>
  <c r="I48" i="33"/>
  <c r="M48" i="33" s="1"/>
  <c r="I62" i="33"/>
  <c r="M62" i="33" s="1"/>
  <c r="I84" i="33"/>
  <c r="M84" i="33" s="1"/>
  <c r="I96" i="33"/>
  <c r="M96" i="33" s="1"/>
  <c r="I9" i="33"/>
  <c r="M9" i="33" s="1"/>
  <c r="I13" i="33"/>
  <c r="M13" i="33" s="1"/>
  <c r="I20" i="33"/>
  <c r="M20" i="33" s="1"/>
  <c r="I26" i="33"/>
  <c r="M26" i="33" s="1"/>
  <c r="I30" i="33"/>
  <c r="M30" i="33" s="1"/>
  <c r="I31" i="33"/>
  <c r="M31" i="33" s="1"/>
  <c r="I33" i="33"/>
  <c r="M33" i="33" s="1"/>
  <c r="I35" i="33"/>
  <c r="M35" i="33" s="1"/>
  <c r="I43" i="33"/>
  <c r="M43" i="33" s="1"/>
  <c r="I54" i="33"/>
  <c r="M54" i="33" s="1"/>
  <c r="I56" i="33"/>
  <c r="M56" i="33" s="1"/>
  <c r="I64" i="33"/>
  <c r="M64" i="33" s="1"/>
  <c r="I70" i="33"/>
  <c r="M70" i="33" s="1"/>
  <c r="I72" i="33"/>
  <c r="M72" i="33" s="1"/>
  <c r="I76" i="33"/>
  <c r="M76" i="33" s="1"/>
  <c r="I78" i="33"/>
  <c r="M78" i="33" s="1"/>
  <c r="I80" i="33"/>
  <c r="M80" i="33" s="1"/>
  <c r="I87" i="33"/>
  <c r="M87" i="33" s="1"/>
  <c r="I90" i="33"/>
  <c r="M90" i="33" s="1"/>
  <c r="I98" i="33"/>
  <c r="M98" i="33" s="1"/>
  <c r="I10" i="33"/>
  <c r="M10" i="33" s="1"/>
  <c r="I19" i="33"/>
  <c r="M19" i="33" s="1"/>
  <c r="I21" i="33"/>
  <c r="M21" i="33" s="1"/>
  <c r="I24" i="33"/>
  <c r="M24" i="33" s="1"/>
  <c r="J28" i="33"/>
  <c r="N28" i="33" s="1"/>
  <c r="I36" i="33"/>
  <c r="M36" i="33" s="1"/>
  <c r="I39" i="33"/>
  <c r="M39" i="33" s="1"/>
  <c r="J41" i="33"/>
  <c r="N41" i="33" s="1"/>
  <c r="I55" i="33"/>
  <c r="M55" i="33" s="1"/>
  <c r="I63" i="33"/>
  <c r="M63" i="33" s="1"/>
  <c r="I71" i="33"/>
  <c r="M71" i="33" s="1"/>
  <c r="I79" i="33"/>
  <c r="M79" i="33" s="1"/>
  <c r="I81" i="33"/>
  <c r="M81" i="33" s="1"/>
  <c r="I85" i="33"/>
  <c r="M85" i="33" s="1"/>
  <c r="D16" i="34"/>
  <c r="J16" i="34" s="1"/>
  <c r="I46" i="33"/>
  <c r="M46" i="33" s="1"/>
  <c r="I58" i="33"/>
  <c r="M58" i="33" s="1"/>
  <c r="I65" i="33"/>
  <c r="M65" i="33" s="1"/>
  <c r="I74" i="33"/>
  <c r="M74" i="33" s="1"/>
  <c r="I94" i="33"/>
  <c r="M94" i="33" s="1"/>
  <c r="I11" i="33"/>
  <c r="M11" i="33" s="1"/>
  <c r="I17" i="33"/>
  <c r="M17" i="33" s="1"/>
  <c r="I18" i="33"/>
  <c r="M18" i="33" s="1"/>
  <c r="I27" i="33"/>
  <c r="M27" i="33" s="1"/>
  <c r="I29" i="33"/>
  <c r="M29" i="33" s="1"/>
  <c r="D30" i="34"/>
  <c r="J30" i="34" s="1"/>
  <c r="I42" i="33"/>
  <c r="M42" i="33" s="1"/>
  <c r="I45" i="33"/>
  <c r="M45" i="33" s="1"/>
  <c r="I47" i="33"/>
  <c r="M47" i="33" s="1"/>
  <c r="I59" i="33"/>
  <c r="M59" i="33" s="1"/>
  <c r="I61" i="33"/>
  <c r="M61" i="33" s="1"/>
  <c r="I66" i="33"/>
  <c r="M66" i="33" s="1"/>
  <c r="I67" i="33"/>
  <c r="M67" i="33" s="1"/>
  <c r="I69" i="33"/>
  <c r="M69" i="33" s="1"/>
  <c r="I73" i="33"/>
  <c r="M73" i="33" s="1"/>
  <c r="I75" i="33"/>
  <c r="M75" i="33" s="1"/>
  <c r="I83" i="33"/>
  <c r="M83" i="33" s="1"/>
  <c r="I86" i="33"/>
  <c r="M86" i="33" s="1"/>
  <c r="I89" i="33"/>
  <c r="M89" i="33" s="1"/>
  <c r="I92" i="33"/>
  <c r="M92" i="33" s="1"/>
  <c r="I93" i="33"/>
  <c r="M93" i="33" s="1"/>
  <c r="I95" i="33"/>
  <c r="M95" i="33" s="1"/>
  <c r="I97" i="33"/>
  <c r="M97" i="33" s="1"/>
  <c r="I99" i="33"/>
  <c r="M99" i="33" s="1"/>
  <c r="J39" i="33"/>
  <c r="N39" i="33" s="1"/>
  <c r="J38" i="33"/>
  <c r="N38" i="33" s="1"/>
  <c r="J36" i="33"/>
  <c r="N36" i="33" s="1"/>
  <c r="J31" i="33"/>
  <c r="N31" i="33" s="1"/>
  <c r="J32" i="33"/>
  <c r="N32" i="33" s="1"/>
  <c r="J33" i="33"/>
  <c r="N33" i="33" s="1"/>
  <c r="J34" i="33"/>
  <c r="N34" i="33" s="1"/>
  <c r="J35" i="33"/>
  <c r="N35" i="33" s="1"/>
  <c r="J30" i="33" l="1"/>
  <c r="N30" i="33" s="1"/>
  <c r="C95" i="35"/>
  <c r="M95" i="34"/>
  <c r="M86" i="34"/>
  <c r="C86" i="35"/>
  <c r="M42" i="34"/>
  <c r="C42" i="35"/>
  <c r="C18" i="35"/>
  <c r="M18" i="34"/>
  <c r="C65" i="35"/>
  <c r="M65" i="34"/>
  <c r="C30" i="35"/>
  <c r="M30" i="34"/>
  <c r="C41" i="35"/>
  <c r="M41" i="34"/>
  <c r="N48" i="34"/>
  <c r="D48" i="35"/>
  <c r="N15" i="34"/>
  <c r="D15" i="35"/>
  <c r="N90" i="34"/>
  <c r="D90" i="35"/>
  <c r="D87" i="35"/>
  <c r="N87" i="34"/>
  <c r="D57" i="35"/>
  <c r="N57" i="34"/>
  <c r="N37" i="34"/>
  <c r="D37" i="35"/>
  <c r="J18" i="33"/>
  <c r="N18" i="33" s="1"/>
  <c r="C69" i="35"/>
  <c r="M69" i="34"/>
  <c r="C47" i="35"/>
  <c r="M47" i="34"/>
  <c r="C55" i="35"/>
  <c r="M55" i="34"/>
  <c r="M98" i="34"/>
  <c r="C98" i="35"/>
  <c r="M78" i="34"/>
  <c r="C78" i="35"/>
  <c r="M62" i="34"/>
  <c r="C62" i="35"/>
  <c r="N84" i="34"/>
  <c r="D84" i="35"/>
  <c r="D62" i="35"/>
  <c r="N62" i="34"/>
  <c r="C40" i="35"/>
  <c r="M40" i="34"/>
  <c r="C32" i="35"/>
  <c r="M32" i="34"/>
  <c r="D78" i="35"/>
  <c r="N78" i="34"/>
  <c r="D27" i="35"/>
  <c r="N27" i="34"/>
  <c r="J74" i="33"/>
  <c r="N74" i="33" s="1"/>
  <c r="D45" i="35"/>
  <c r="N45" i="34"/>
  <c r="D9" i="35"/>
  <c r="N9" i="34"/>
  <c r="J75" i="33"/>
  <c r="N75" i="33" s="1"/>
  <c r="J93" i="33"/>
  <c r="N93" i="33" s="1"/>
  <c r="J88" i="33"/>
  <c r="N88" i="33" s="1"/>
  <c r="D58" i="35"/>
  <c r="N58" i="34"/>
  <c r="D11" i="34"/>
  <c r="J11" i="34" s="1"/>
  <c r="M97" i="34"/>
  <c r="C97" i="35"/>
  <c r="C93" i="35"/>
  <c r="M93" i="34"/>
  <c r="C89" i="35"/>
  <c r="M89" i="34"/>
  <c r="M83" i="34"/>
  <c r="C83" i="35"/>
  <c r="C67" i="35"/>
  <c r="M67" i="34"/>
  <c r="M27" i="34"/>
  <c r="C27" i="35"/>
  <c r="M17" i="34"/>
  <c r="C17" i="35"/>
  <c r="C94" i="35"/>
  <c r="M94" i="34"/>
  <c r="M46" i="34"/>
  <c r="C46" i="35"/>
  <c r="C85" i="35"/>
  <c r="M85" i="34"/>
  <c r="C10" i="35"/>
  <c r="M10" i="34"/>
  <c r="C72" i="35"/>
  <c r="M72" i="34"/>
  <c r="C64" i="35"/>
  <c r="M64" i="34"/>
  <c r="M54" i="34"/>
  <c r="C54" i="35"/>
  <c r="M31" i="34"/>
  <c r="C31" i="35"/>
  <c r="C26" i="35"/>
  <c r="M26" i="34"/>
  <c r="M13" i="34"/>
  <c r="C13" i="35"/>
  <c r="C84" i="35"/>
  <c r="M84" i="34"/>
  <c r="C88" i="35"/>
  <c r="M88" i="34"/>
  <c r="D82" i="35"/>
  <c r="N82" i="34"/>
  <c r="M16" i="34"/>
  <c r="C16" i="35"/>
  <c r="N49" i="34"/>
  <c r="D49" i="35"/>
  <c r="D66" i="35"/>
  <c r="N66" i="34"/>
  <c r="N83" i="34"/>
  <c r="D83" i="35"/>
  <c r="N55" i="34"/>
  <c r="D55" i="35"/>
  <c r="D51" i="35"/>
  <c r="N51" i="34"/>
  <c r="D98" i="35"/>
  <c r="N98" i="34"/>
  <c r="D47" i="35"/>
  <c r="N47" i="34"/>
  <c r="J89" i="33"/>
  <c r="N89" i="33" s="1"/>
  <c r="J65" i="33"/>
  <c r="N65" i="33" s="1"/>
  <c r="J44" i="33"/>
  <c r="N44" i="33" s="1"/>
  <c r="D13" i="35"/>
  <c r="N13" i="34"/>
  <c r="J99" i="33"/>
  <c r="N99" i="33" s="1"/>
  <c r="N76" i="34"/>
  <c r="D76" i="35"/>
  <c r="D54" i="35"/>
  <c r="N54" i="34"/>
  <c r="J40" i="33"/>
  <c r="N40" i="33" s="1"/>
  <c r="N20" i="34"/>
  <c r="D20" i="35"/>
  <c r="C99" i="35"/>
  <c r="M99" i="34"/>
  <c r="C75" i="35"/>
  <c r="M75" i="34"/>
  <c r="C66" i="35"/>
  <c r="M66" i="34"/>
  <c r="C59" i="35"/>
  <c r="M59" i="34"/>
  <c r="M74" i="34"/>
  <c r="C74" i="35"/>
  <c r="M58" i="34"/>
  <c r="C58" i="35"/>
  <c r="C81" i="35"/>
  <c r="M81" i="34"/>
  <c r="N41" i="34"/>
  <c r="D41" i="35"/>
  <c r="C24" i="35"/>
  <c r="M24" i="34"/>
  <c r="M70" i="34"/>
  <c r="C70" i="35"/>
  <c r="M15" i="34"/>
  <c r="C15" i="35"/>
  <c r="C8" i="35"/>
  <c r="M8" i="34"/>
  <c r="N80" i="34"/>
  <c r="D80" i="35"/>
  <c r="D73" i="35"/>
  <c r="N73" i="34"/>
  <c r="N64" i="34"/>
  <c r="D64" i="35"/>
  <c r="D43" i="35"/>
  <c r="N43" i="34"/>
  <c r="J23" i="33"/>
  <c r="N23" i="33" s="1"/>
  <c r="D52" i="35"/>
  <c r="N52" i="34"/>
  <c r="J71" i="33"/>
  <c r="N71" i="33" s="1"/>
  <c r="D50" i="35"/>
  <c r="N50" i="34"/>
  <c r="D25" i="35"/>
  <c r="N25" i="34"/>
  <c r="N10" i="34"/>
  <c r="D10" i="35"/>
  <c r="J86" i="33"/>
  <c r="N86" i="33" s="1"/>
  <c r="N68" i="34"/>
  <c r="D68" i="35"/>
  <c r="N53" i="34"/>
  <c r="D53" i="35"/>
  <c r="C92" i="35"/>
  <c r="M92" i="34"/>
  <c r="J16" i="33"/>
  <c r="N16" i="33" s="1"/>
  <c r="C71" i="35"/>
  <c r="M71" i="34"/>
  <c r="C36" i="35"/>
  <c r="M36" i="34"/>
  <c r="M19" i="34"/>
  <c r="C19" i="35"/>
  <c r="C87" i="35"/>
  <c r="M87" i="34"/>
  <c r="C35" i="35"/>
  <c r="M35" i="34"/>
  <c r="C28" i="35"/>
  <c r="M28" i="34"/>
  <c r="C77" i="35"/>
  <c r="M77" i="34"/>
  <c r="M37" i="34"/>
  <c r="C37" i="35"/>
  <c r="D22" i="35"/>
  <c r="N22" i="34"/>
  <c r="D61" i="35"/>
  <c r="N61" i="34"/>
  <c r="N17" i="34"/>
  <c r="D17" i="35"/>
  <c r="C73" i="35"/>
  <c r="M73" i="34"/>
  <c r="C61" i="35"/>
  <c r="M61" i="34"/>
  <c r="C45" i="35"/>
  <c r="M45" i="34"/>
  <c r="M29" i="34"/>
  <c r="C29" i="35"/>
  <c r="M11" i="34"/>
  <c r="C11" i="35"/>
  <c r="C79" i="35"/>
  <c r="M79" i="34"/>
  <c r="C63" i="35"/>
  <c r="M63" i="34"/>
  <c r="M39" i="34"/>
  <c r="C39" i="35"/>
  <c r="D28" i="35"/>
  <c r="N28" i="34"/>
  <c r="M21" i="34"/>
  <c r="C21" i="35"/>
  <c r="C90" i="35"/>
  <c r="M90" i="34"/>
  <c r="M80" i="34"/>
  <c r="C80" i="35"/>
  <c r="M76" i="34"/>
  <c r="C76" i="35"/>
  <c r="C56" i="35"/>
  <c r="M56" i="34"/>
  <c r="C43" i="35"/>
  <c r="M43" i="34"/>
  <c r="M33" i="34"/>
  <c r="C33" i="35"/>
  <c r="C20" i="35"/>
  <c r="M20" i="34"/>
  <c r="C9" i="35"/>
  <c r="M9" i="34"/>
  <c r="C96" i="35"/>
  <c r="M96" i="34"/>
  <c r="C48" i="35"/>
  <c r="M48" i="34"/>
  <c r="J24" i="33"/>
  <c r="N24" i="33" s="1"/>
  <c r="M68" i="34"/>
  <c r="C68" i="35"/>
  <c r="C53" i="35"/>
  <c r="M53" i="34"/>
  <c r="D46" i="35"/>
  <c r="N46" i="34"/>
  <c r="C38" i="35"/>
  <c r="M38" i="34"/>
  <c r="M34" i="34"/>
  <c r="C34" i="35"/>
  <c r="M25" i="34"/>
  <c r="C25" i="35"/>
  <c r="C12" i="35"/>
  <c r="M12" i="34"/>
  <c r="J96" i="33"/>
  <c r="N96" i="33" s="1"/>
  <c r="J91" i="33"/>
  <c r="N91" i="33" s="1"/>
  <c r="D79" i="35"/>
  <c r="N79" i="34"/>
  <c r="D77" i="35"/>
  <c r="N77" i="34"/>
  <c r="D70" i="35"/>
  <c r="N70" i="34"/>
  <c r="J67" i="33"/>
  <c r="N67" i="33" s="1"/>
  <c r="J63" i="33"/>
  <c r="N63" i="33" s="1"/>
  <c r="J42" i="33"/>
  <c r="N42" i="33" s="1"/>
  <c r="J21" i="33"/>
  <c r="N21" i="33" s="1"/>
  <c r="D14" i="35"/>
  <c r="N14" i="34"/>
  <c r="J85" i="33"/>
  <c r="N85" i="33" s="1"/>
  <c r="D26" i="35"/>
  <c r="N26" i="34"/>
  <c r="D12" i="35"/>
  <c r="N12" i="34"/>
  <c r="D8" i="35"/>
  <c r="N8" i="34"/>
  <c r="N72" i="34"/>
  <c r="D72" i="35"/>
  <c r="J95" i="33"/>
  <c r="N95" i="33" s="1"/>
  <c r="J92" i="33"/>
  <c r="N92" i="33" s="1"/>
  <c r="J81" i="33"/>
  <c r="N81" i="33" s="1"/>
  <c r="N56" i="34"/>
  <c r="D56" i="35"/>
  <c r="N29" i="34"/>
  <c r="D29" i="35"/>
  <c r="D19" i="35"/>
  <c r="N19" i="34"/>
  <c r="D39" i="35"/>
  <c r="N39" i="34"/>
  <c r="N38" i="34"/>
  <c r="D38" i="35"/>
  <c r="N36" i="34"/>
  <c r="D36" i="35"/>
  <c r="D31" i="35"/>
  <c r="N31" i="34"/>
  <c r="D32" i="35"/>
  <c r="N32" i="34"/>
  <c r="N33" i="34"/>
  <c r="D33" i="35"/>
  <c r="D34" i="35"/>
  <c r="N34" i="34"/>
  <c r="D35" i="35"/>
  <c r="N35" i="34"/>
  <c r="D30" i="35"/>
  <c r="N30" i="34"/>
  <c r="J29" i="35" l="1"/>
  <c r="N29" i="35" s="1"/>
  <c r="D29" i="36"/>
  <c r="N81" i="34"/>
  <c r="D81" i="35"/>
  <c r="N67" i="34"/>
  <c r="D67" i="35"/>
  <c r="D91" i="35"/>
  <c r="N91" i="34"/>
  <c r="I34" i="35"/>
  <c r="M34" i="35" s="1"/>
  <c r="C34" i="36"/>
  <c r="I68" i="35"/>
  <c r="M68" i="35" s="1"/>
  <c r="C68" i="36"/>
  <c r="I33" i="35"/>
  <c r="M33" i="35" s="1"/>
  <c r="C33" i="36"/>
  <c r="I76" i="35"/>
  <c r="M76" i="35" s="1"/>
  <c r="C76" i="36"/>
  <c r="I11" i="35"/>
  <c r="M11" i="35" s="1"/>
  <c r="C11" i="36"/>
  <c r="J17" i="35"/>
  <c r="N17" i="35" s="1"/>
  <c r="D17" i="36"/>
  <c r="I19" i="35"/>
  <c r="M19" i="35" s="1"/>
  <c r="C19" i="36"/>
  <c r="D86" i="35"/>
  <c r="N86" i="34"/>
  <c r="J25" i="35"/>
  <c r="N25" i="35" s="1"/>
  <c r="D25" i="36"/>
  <c r="N71" i="34"/>
  <c r="D71" i="35"/>
  <c r="D52" i="36"/>
  <c r="J52" i="35"/>
  <c r="N52" i="35" s="1"/>
  <c r="J43" i="35"/>
  <c r="N43" i="35" s="1"/>
  <c r="D43" i="36"/>
  <c r="J73" i="35"/>
  <c r="N73" i="35" s="1"/>
  <c r="D73" i="36"/>
  <c r="I8" i="35"/>
  <c r="M8" i="35" s="1"/>
  <c r="C8" i="36"/>
  <c r="C59" i="36"/>
  <c r="I59" i="35"/>
  <c r="M59" i="35" s="1"/>
  <c r="C75" i="36"/>
  <c r="I75" i="35"/>
  <c r="M75" i="35" s="1"/>
  <c r="D54" i="36"/>
  <c r="J54" i="35"/>
  <c r="N54" i="35" s="1"/>
  <c r="N44" i="34"/>
  <c r="D44" i="35"/>
  <c r="D89" i="35"/>
  <c r="N89" i="34"/>
  <c r="J98" i="35"/>
  <c r="N98" i="35" s="1"/>
  <c r="D98" i="36"/>
  <c r="D66" i="36"/>
  <c r="J66" i="35"/>
  <c r="N66" i="35" s="1"/>
  <c r="D82" i="36"/>
  <c r="J82" i="35"/>
  <c r="N82" i="35" s="1"/>
  <c r="C84" i="36"/>
  <c r="I84" i="35"/>
  <c r="M84" i="35" s="1"/>
  <c r="I26" i="35"/>
  <c r="M26" i="35" s="1"/>
  <c r="C26" i="36"/>
  <c r="I72" i="35"/>
  <c r="M72" i="35" s="1"/>
  <c r="C72" i="36"/>
  <c r="I94" i="35"/>
  <c r="M94" i="35" s="1"/>
  <c r="C94" i="36"/>
  <c r="I93" i="35"/>
  <c r="M93" i="35" s="1"/>
  <c r="C93" i="36"/>
  <c r="J9" i="35"/>
  <c r="N9" i="35" s="1"/>
  <c r="D9" i="36"/>
  <c r="D74" i="35"/>
  <c r="N74" i="34"/>
  <c r="I40" i="35"/>
  <c r="M40" i="35" s="1"/>
  <c r="C40" i="36"/>
  <c r="J62" i="35"/>
  <c r="N62" i="35" s="1"/>
  <c r="D62" i="36"/>
  <c r="I47" i="35"/>
  <c r="M47" i="35" s="1"/>
  <c r="C47" i="36"/>
  <c r="N18" i="34"/>
  <c r="D18" i="35"/>
  <c r="J57" i="35"/>
  <c r="N57" i="35" s="1"/>
  <c r="D57" i="36"/>
  <c r="C41" i="36"/>
  <c r="I41" i="35"/>
  <c r="M41" i="35" s="1"/>
  <c r="I65" i="35"/>
  <c r="M65" i="35" s="1"/>
  <c r="C65" i="36"/>
  <c r="C95" i="36"/>
  <c r="I95" i="35"/>
  <c r="M95" i="35" s="1"/>
  <c r="N95" i="34"/>
  <c r="D95" i="35"/>
  <c r="D8" i="36"/>
  <c r="J8" i="35"/>
  <c r="N8" i="35" s="1"/>
  <c r="J26" i="35"/>
  <c r="N26" i="35" s="1"/>
  <c r="D26" i="36"/>
  <c r="D14" i="36"/>
  <c r="J14" i="35"/>
  <c r="N14" i="35" s="1"/>
  <c r="D42" i="35"/>
  <c r="N42" i="34"/>
  <c r="D77" i="36"/>
  <c r="J77" i="35"/>
  <c r="N77" i="35" s="1"/>
  <c r="I12" i="35"/>
  <c r="M12" i="35" s="1"/>
  <c r="C12" i="36"/>
  <c r="J46" i="35"/>
  <c r="N46" i="35" s="1"/>
  <c r="D46" i="36"/>
  <c r="I48" i="35"/>
  <c r="M48" i="35" s="1"/>
  <c r="C48" i="36"/>
  <c r="C9" i="36"/>
  <c r="I9" i="35"/>
  <c r="M9" i="35" s="1"/>
  <c r="C90" i="36"/>
  <c r="I90" i="35"/>
  <c r="M90" i="35" s="1"/>
  <c r="J28" i="35"/>
  <c r="N28" i="35" s="1"/>
  <c r="D28" i="36"/>
  <c r="I63" i="35"/>
  <c r="M63" i="35" s="1"/>
  <c r="C63" i="36"/>
  <c r="C45" i="36"/>
  <c r="I45" i="35"/>
  <c r="M45" i="35" s="1"/>
  <c r="C61" i="36"/>
  <c r="I61" i="35"/>
  <c r="M61" i="35" s="1"/>
  <c r="J22" i="35"/>
  <c r="N22" i="35" s="1"/>
  <c r="D22" i="36"/>
  <c r="C77" i="36"/>
  <c r="I77" i="35"/>
  <c r="M77" i="35" s="1"/>
  <c r="I71" i="35"/>
  <c r="M71" i="35" s="1"/>
  <c r="C71" i="36"/>
  <c r="I92" i="35"/>
  <c r="M92" i="35" s="1"/>
  <c r="C92" i="36"/>
  <c r="D68" i="36"/>
  <c r="J68" i="35"/>
  <c r="N68" i="35" s="1"/>
  <c r="D10" i="36"/>
  <c r="J10" i="35"/>
  <c r="N10" i="35" s="1"/>
  <c r="D64" i="36"/>
  <c r="J64" i="35"/>
  <c r="N64" i="35" s="1"/>
  <c r="J80" i="35"/>
  <c r="N80" i="35" s="1"/>
  <c r="D80" i="36"/>
  <c r="C15" i="36"/>
  <c r="I15" i="35"/>
  <c r="M15" i="35" s="1"/>
  <c r="I74" i="35"/>
  <c r="M74" i="35" s="1"/>
  <c r="C74" i="36"/>
  <c r="N40" i="34"/>
  <c r="D40" i="35"/>
  <c r="D76" i="36"/>
  <c r="J76" i="35"/>
  <c r="N76" i="35" s="1"/>
  <c r="D65" i="35"/>
  <c r="N65" i="34"/>
  <c r="J83" i="35"/>
  <c r="N83" i="35" s="1"/>
  <c r="D83" i="36"/>
  <c r="D49" i="36"/>
  <c r="J49" i="35"/>
  <c r="N49" i="35" s="1"/>
  <c r="I13" i="35"/>
  <c r="M13" i="35" s="1"/>
  <c r="C13" i="36"/>
  <c r="I31" i="35"/>
  <c r="M31" i="35" s="1"/>
  <c r="C31" i="36"/>
  <c r="C17" i="36"/>
  <c r="I17" i="35"/>
  <c r="M17" i="35" s="1"/>
  <c r="C97" i="36"/>
  <c r="I97" i="35"/>
  <c r="M97" i="35" s="1"/>
  <c r="D93" i="35"/>
  <c r="N93" i="34"/>
  <c r="D75" i="35"/>
  <c r="N75" i="34"/>
  <c r="D84" i="36"/>
  <c r="J84" i="35"/>
  <c r="N84" i="35" s="1"/>
  <c r="C78" i="36"/>
  <c r="I78" i="35"/>
  <c r="M78" i="35" s="1"/>
  <c r="D37" i="36"/>
  <c r="J37" i="35"/>
  <c r="N37" i="35" s="1"/>
  <c r="D15" i="36"/>
  <c r="J15" i="35"/>
  <c r="N15" i="35" s="1"/>
  <c r="I86" i="35"/>
  <c r="M86" i="35" s="1"/>
  <c r="C86" i="36"/>
  <c r="J56" i="35"/>
  <c r="N56" i="35" s="1"/>
  <c r="D56" i="36"/>
  <c r="N92" i="34"/>
  <c r="D92" i="35"/>
  <c r="D72" i="36"/>
  <c r="J72" i="35"/>
  <c r="N72" i="35" s="1"/>
  <c r="D21" i="35"/>
  <c r="N21" i="34"/>
  <c r="D63" i="35"/>
  <c r="N63" i="34"/>
  <c r="D96" i="35"/>
  <c r="N96" i="34"/>
  <c r="I25" i="35"/>
  <c r="M25" i="35" s="1"/>
  <c r="C25" i="36"/>
  <c r="D24" i="35"/>
  <c r="N24" i="34"/>
  <c r="C80" i="36"/>
  <c r="I80" i="35"/>
  <c r="M80" i="35" s="1"/>
  <c r="I21" i="35"/>
  <c r="M21" i="35" s="1"/>
  <c r="C21" i="36"/>
  <c r="I39" i="35"/>
  <c r="M39" i="35" s="1"/>
  <c r="C39" i="36"/>
  <c r="I29" i="35"/>
  <c r="M29" i="35" s="1"/>
  <c r="C29" i="36"/>
  <c r="C37" i="36"/>
  <c r="I37" i="35"/>
  <c r="M37" i="35" s="1"/>
  <c r="N16" i="34"/>
  <c r="D16" i="35"/>
  <c r="D50" i="36"/>
  <c r="J50" i="35"/>
  <c r="N50" i="35" s="1"/>
  <c r="D23" i="35"/>
  <c r="N23" i="34"/>
  <c r="I24" i="35"/>
  <c r="M24" i="35" s="1"/>
  <c r="C24" i="36"/>
  <c r="I81" i="35"/>
  <c r="M81" i="35" s="1"/>
  <c r="C81" i="36"/>
  <c r="C66" i="36"/>
  <c r="I66" i="35"/>
  <c r="M66" i="35" s="1"/>
  <c r="I99" i="35"/>
  <c r="M99" i="35" s="1"/>
  <c r="C99" i="36"/>
  <c r="D13" i="36"/>
  <c r="J13" i="35"/>
  <c r="N13" i="35" s="1"/>
  <c r="D47" i="36"/>
  <c r="J47" i="35"/>
  <c r="N47" i="35" s="1"/>
  <c r="D51" i="36"/>
  <c r="J51" i="35"/>
  <c r="N51" i="35" s="1"/>
  <c r="I88" i="35"/>
  <c r="M88" i="35" s="1"/>
  <c r="C88" i="36"/>
  <c r="C64" i="36"/>
  <c r="I64" i="35"/>
  <c r="M64" i="35" s="1"/>
  <c r="C10" i="36"/>
  <c r="I10" i="35"/>
  <c r="M10" i="35" s="1"/>
  <c r="I85" i="35"/>
  <c r="M85" i="35" s="1"/>
  <c r="C85" i="36"/>
  <c r="C67" i="36"/>
  <c r="I67" i="35"/>
  <c r="M67" i="35" s="1"/>
  <c r="I89" i="35"/>
  <c r="M89" i="35" s="1"/>
  <c r="C89" i="36"/>
  <c r="D58" i="36"/>
  <c r="J58" i="35"/>
  <c r="N58" i="35" s="1"/>
  <c r="D45" i="36"/>
  <c r="J45" i="35"/>
  <c r="N45" i="35" s="1"/>
  <c r="D27" i="36"/>
  <c r="J27" i="35"/>
  <c r="N27" i="35" s="1"/>
  <c r="J78" i="35"/>
  <c r="N78" i="35" s="1"/>
  <c r="D78" i="36"/>
  <c r="I32" i="35"/>
  <c r="M32" i="35" s="1"/>
  <c r="C32" i="36"/>
  <c r="I55" i="35"/>
  <c r="M55" i="35" s="1"/>
  <c r="C55" i="36"/>
  <c r="C69" i="36"/>
  <c r="I69" i="35"/>
  <c r="M69" i="35" s="1"/>
  <c r="J87" i="35"/>
  <c r="N87" i="35" s="1"/>
  <c r="D87" i="36"/>
  <c r="C30" i="36"/>
  <c r="I30" i="35"/>
  <c r="M30" i="35" s="1"/>
  <c r="I18" i="35"/>
  <c r="M18" i="35" s="1"/>
  <c r="C18" i="36"/>
  <c r="D19" i="36"/>
  <c r="J19" i="35"/>
  <c r="N19" i="35" s="1"/>
  <c r="D12" i="36"/>
  <c r="J12" i="35"/>
  <c r="N12" i="35" s="1"/>
  <c r="N85" i="34"/>
  <c r="D85" i="35"/>
  <c r="D70" i="36"/>
  <c r="J70" i="35"/>
  <c r="N70" i="35" s="1"/>
  <c r="D79" i="36"/>
  <c r="J79" i="35"/>
  <c r="N79" i="35" s="1"/>
  <c r="C38" i="36"/>
  <c r="I38" i="35"/>
  <c r="M38" i="35" s="1"/>
  <c r="C53" i="36"/>
  <c r="I53" i="35"/>
  <c r="M53" i="35" s="1"/>
  <c r="C96" i="36"/>
  <c r="I96" i="35"/>
  <c r="M96" i="35" s="1"/>
  <c r="C20" i="36"/>
  <c r="I20" i="35"/>
  <c r="M20" i="35" s="1"/>
  <c r="C43" i="36"/>
  <c r="I43" i="35"/>
  <c r="M43" i="35" s="1"/>
  <c r="I56" i="35"/>
  <c r="M56" i="35" s="1"/>
  <c r="C56" i="36"/>
  <c r="I79" i="35"/>
  <c r="M79" i="35" s="1"/>
  <c r="C79" i="36"/>
  <c r="I73" i="35"/>
  <c r="M73" i="35" s="1"/>
  <c r="C73" i="36"/>
  <c r="J61" i="35"/>
  <c r="N61" i="35" s="1"/>
  <c r="D61" i="36"/>
  <c r="C28" i="36"/>
  <c r="I28" i="35"/>
  <c r="M28" i="35" s="1"/>
  <c r="C35" i="36"/>
  <c r="I35" i="35"/>
  <c r="M35" i="35" s="1"/>
  <c r="C87" i="36"/>
  <c r="I87" i="35"/>
  <c r="M87" i="35" s="1"/>
  <c r="C36" i="36"/>
  <c r="I36" i="35"/>
  <c r="M36" i="35" s="1"/>
  <c r="D53" i="36"/>
  <c r="J53" i="35"/>
  <c r="N53" i="35" s="1"/>
  <c r="I70" i="35"/>
  <c r="M70" i="35" s="1"/>
  <c r="C70" i="36"/>
  <c r="D41" i="36"/>
  <c r="J41" i="35"/>
  <c r="N41" i="35" s="1"/>
  <c r="I58" i="35"/>
  <c r="M58" i="35" s="1"/>
  <c r="C58" i="36"/>
  <c r="D20" i="36"/>
  <c r="J20" i="35"/>
  <c r="N20" i="35" s="1"/>
  <c r="N99" i="34"/>
  <c r="D99" i="35"/>
  <c r="J55" i="35"/>
  <c r="N55" i="35" s="1"/>
  <c r="D55" i="36"/>
  <c r="I16" i="35"/>
  <c r="M16" i="35" s="1"/>
  <c r="C16" i="36"/>
  <c r="C54" i="36"/>
  <c r="I54" i="35"/>
  <c r="M54" i="35" s="1"/>
  <c r="I46" i="35"/>
  <c r="M46" i="35" s="1"/>
  <c r="C46" i="36"/>
  <c r="I27" i="35"/>
  <c r="M27" i="35" s="1"/>
  <c r="C27" i="36"/>
  <c r="I83" i="35"/>
  <c r="M83" i="35" s="1"/>
  <c r="C83" i="36"/>
  <c r="J11" i="33"/>
  <c r="N11" i="33" s="1"/>
  <c r="N88" i="34"/>
  <c r="D88" i="35"/>
  <c r="I62" i="35"/>
  <c r="M62" i="35" s="1"/>
  <c r="C62" i="36"/>
  <c r="I98" i="35"/>
  <c r="M98" i="35" s="1"/>
  <c r="C98" i="36"/>
  <c r="J90" i="35"/>
  <c r="N90" i="35" s="1"/>
  <c r="D90" i="36"/>
  <c r="J48" i="35"/>
  <c r="N48" i="35" s="1"/>
  <c r="D48" i="36"/>
  <c r="I42" i="35"/>
  <c r="M42" i="35" s="1"/>
  <c r="C42" i="36"/>
  <c r="D39" i="36"/>
  <c r="J39" i="35"/>
  <c r="N39" i="35" s="1"/>
  <c r="D38" i="36"/>
  <c r="J38" i="35"/>
  <c r="N38" i="35" s="1"/>
  <c r="J36" i="35"/>
  <c r="N36" i="35" s="1"/>
  <c r="D36" i="36"/>
  <c r="J31" i="35"/>
  <c r="N31" i="35" s="1"/>
  <c r="D31" i="36"/>
  <c r="D32" i="36"/>
  <c r="J32" i="35"/>
  <c r="N32" i="35" s="1"/>
  <c r="J33" i="35"/>
  <c r="N33" i="35" s="1"/>
  <c r="D33" i="36"/>
  <c r="D34" i="36"/>
  <c r="J34" i="35"/>
  <c r="N34" i="35" s="1"/>
  <c r="D35" i="36"/>
  <c r="J35" i="35"/>
  <c r="N35" i="35" s="1"/>
  <c r="D30" i="36"/>
  <c r="J30" i="35"/>
  <c r="N30" i="35" s="1"/>
  <c r="I36" i="36" l="1"/>
  <c r="M36" i="36" s="1"/>
  <c r="C36" i="37"/>
  <c r="I35" i="36"/>
  <c r="M35" i="36" s="1"/>
  <c r="C35" i="37"/>
  <c r="I20" i="36"/>
  <c r="M20" i="36" s="1"/>
  <c r="C20" i="37"/>
  <c r="C53" i="37"/>
  <c r="I53" i="36"/>
  <c r="M53" i="36" s="1"/>
  <c r="J79" i="36"/>
  <c r="N79" i="36" s="1"/>
  <c r="D79" i="37"/>
  <c r="J19" i="36"/>
  <c r="N19" i="36" s="1"/>
  <c r="D19" i="37"/>
  <c r="C30" i="37"/>
  <c r="I30" i="36"/>
  <c r="M30" i="36" s="1"/>
  <c r="D27" i="37"/>
  <c r="J27" i="36"/>
  <c r="N27" i="36" s="1"/>
  <c r="D58" i="37"/>
  <c r="J58" i="36"/>
  <c r="N58" i="36" s="1"/>
  <c r="C67" i="37"/>
  <c r="I67" i="36"/>
  <c r="M67" i="36" s="1"/>
  <c r="C10" i="37"/>
  <c r="I10" i="36"/>
  <c r="M10" i="36" s="1"/>
  <c r="J47" i="36"/>
  <c r="N47" i="36" s="1"/>
  <c r="D47" i="37"/>
  <c r="D23" i="36"/>
  <c r="J23" i="35"/>
  <c r="N23" i="35" s="1"/>
  <c r="D50" i="37"/>
  <c r="J50" i="36"/>
  <c r="N50" i="36" s="1"/>
  <c r="C37" i="37"/>
  <c r="I37" i="36"/>
  <c r="M37" i="36" s="1"/>
  <c r="C80" i="37"/>
  <c r="I80" i="36"/>
  <c r="M80" i="36" s="1"/>
  <c r="J63" i="35"/>
  <c r="N63" i="35" s="1"/>
  <c r="D63" i="36"/>
  <c r="D72" i="37"/>
  <c r="J72" i="36"/>
  <c r="N72" i="36" s="1"/>
  <c r="D15" i="37"/>
  <c r="J15" i="36"/>
  <c r="N15" i="36" s="1"/>
  <c r="C78" i="37"/>
  <c r="I78" i="36"/>
  <c r="M78" i="36" s="1"/>
  <c r="D75" i="36"/>
  <c r="J75" i="35"/>
  <c r="N75" i="35" s="1"/>
  <c r="I97" i="36"/>
  <c r="M97" i="36" s="1"/>
  <c r="C97" i="37"/>
  <c r="D49" i="37"/>
  <c r="J49" i="36"/>
  <c r="N49" i="36" s="1"/>
  <c r="D65" i="36"/>
  <c r="J65" i="35"/>
  <c r="N65" i="35" s="1"/>
  <c r="I15" i="36"/>
  <c r="M15" i="36" s="1"/>
  <c r="C15" i="37"/>
  <c r="J64" i="36"/>
  <c r="N64" i="36" s="1"/>
  <c r="D64" i="37"/>
  <c r="J68" i="36"/>
  <c r="N68" i="36" s="1"/>
  <c r="D68" i="37"/>
  <c r="C77" i="37"/>
  <c r="I77" i="36"/>
  <c r="M77" i="36" s="1"/>
  <c r="I61" i="36"/>
  <c r="M61" i="36" s="1"/>
  <c r="C61" i="37"/>
  <c r="I90" i="36"/>
  <c r="M90" i="36" s="1"/>
  <c r="C90" i="37"/>
  <c r="D42" i="36"/>
  <c r="J42" i="35"/>
  <c r="N42" i="35" s="1"/>
  <c r="C84" i="37"/>
  <c r="I84" i="36"/>
  <c r="M84" i="36" s="1"/>
  <c r="J66" i="36"/>
  <c r="N66" i="36" s="1"/>
  <c r="D66" i="37"/>
  <c r="J89" i="35"/>
  <c r="N89" i="35" s="1"/>
  <c r="D89" i="36"/>
  <c r="J54" i="36"/>
  <c r="N54" i="36" s="1"/>
  <c r="D54" i="37"/>
  <c r="I59" i="36"/>
  <c r="M59" i="36" s="1"/>
  <c r="C59" i="37"/>
  <c r="D52" i="37"/>
  <c r="J52" i="36"/>
  <c r="N52" i="36" s="1"/>
  <c r="J48" i="36"/>
  <c r="N48" i="36" s="1"/>
  <c r="D48" i="37"/>
  <c r="I98" i="36"/>
  <c r="M98" i="36" s="1"/>
  <c r="C98" i="37"/>
  <c r="N11" i="34"/>
  <c r="D11" i="35"/>
  <c r="I27" i="36"/>
  <c r="M27" i="36" s="1"/>
  <c r="C27" i="37"/>
  <c r="J55" i="36"/>
  <c r="N55" i="36" s="1"/>
  <c r="D55" i="37"/>
  <c r="C73" i="37"/>
  <c r="I73" i="36"/>
  <c r="M73" i="36" s="1"/>
  <c r="I79" i="36"/>
  <c r="M79" i="36" s="1"/>
  <c r="C79" i="37"/>
  <c r="C18" i="37"/>
  <c r="I18" i="36"/>
  <c r="M18" i="36" s="1"/>
  <c r="D78" i="37"/>
  <c r="J78" i="36"/>
  <c r="N78" i="36" s="1"/>
  <c r="C89" i="37"/>
  <c r="I89" i="36"/>
  <c r="M89" i="36" s="1"/>
  <c r="I85" i="36"/>
  <c r="M85" i="36" s="1"/>
  <c r="C85" i="37"/>
  <c r="I24" i="36"/>
  <c r="M24" i="36" s="1"/>
  <c r="C24" i="37"/>
  <c r="J16" i="35"/>
  <c r="N16" i="35" s="1"/>
  <c r="D16" i="36"/>
  <c r="C29" i="37"/>
  <c r="I29" i="36"/>
  <c r="M29" i="36" s="1"/>
  <c r="C21" i="37"/>
  <c r="I21" i="36"/>
  <c r="M21" i="36" s="1"/>
  <c r="D92" i="36"/>
  <c r="J92" i="35"/>
  <c r="N92" i="35" s="1"/>
  <c r="I86" i="36"/>
  <c r="M86" i="36" s="1"/>
  <c r="C86" i="37"/>
  <c r="I31" i="36"/>
  <c r="M31" i="36" s="1"/>
  <c r="C31" i="37"/>
  <c r="D83" i="37"/>
  <c r="J83" i="36"/>
  <c r="N83" i="36" s="1"/>
  <c r="I74" i="36"/>
  <c r="M74" i="36" s="1"/>
  <c r="C74" i="37"/>
  <c r="J80" i="36"/>
  <c r="N80" i="36" s="1"/>
  <c r="D80" i="37"/>
  <c r="C92" i="37"/>
  <c r="I92" i="36"/>
  <c r="M92" i="36" s="1"/>
  <c r="D22" i="37"/>
  <c r="J22" i="36"/>
  <c r="N22" i="36" s="1"/>
  <c r="J28" i="36"/>
  <c r="N28" i="36" s="1"/>
  <c r="D28" i="37"/>
  <c r="D46" i="37"/>
  <c r="J46" i="36"/>
  <c r="N46" i="36" s="1"/>
  <c r="D18" i="36"/>
  <c r="J18" i="35"/>
  <c r="N18" i="35" s="1"/>
  <c r="D62" i="37"/>
  <c r="J62" i="36"/>
  <c r="N62" i="36" s="1"/>
  <c r="I93" i="36"/>
  <c r="M93" i="36" s="1"/>
  <c r="C93" i="37"/>
  <c r="C26" i="37"/>
  <c r="I26" i="36"/>
  <c r="M26" i="36" s="1"/>
  <c r="J98" i="36"/>
  <c r="N98" i="36" s="1"/>
  <c r="D98" i="37"/>
  <c r="D44" i="36"/>
  <c r="J44" i="35"/>
  <c r="N44" i="35" s="1"/>
  <c r="I8" i="36"/>
  <c r="M8" i="36" s="1"/>
  <c r="C8" i="37"/>
  <c r="D43" i="37"/>
  <c r="J43" i="36"/>
  <c r="N43" i="36" s="1"/>
  <c r="J71" i="35"/>
  <c r="N71" i="35" s="1"/>
  <c r="D71" i="36"/>
  <c r="I11" i="36"/>
  <c r="M11" i="36" s="1"/>
  <c r="C11" i="37"/>
  <c r="I68" i="36"/>
  <c r="M68" i="36" s="1"/>
  <c r="C68" i="37"/>
  <c r="J81" i="35"/>
  <c r="N81" i="35" s="1"/>
  <c r="D81" i="36"/>
  <c r="C54" i="37"/>
  <c r="I54" i="36"/>
  <c r="M54" i="36" s="1"/>
  <c r="J20" i="36"/>
  <c r="N20" i="36" s="1"/>
  <c r="D20" i="37"/>
  <c r="J41" i="36"/>
  <c r="N41" i="36" s="1"/>
  <c r="D41" i="37"/>
  <c r="D53" i="37"/>
  <c r="J53" i="36"/>
  <c r="N53" i="36" s="1"/>
  <c r="I87" i="36"/>
  <c r="M87" i="36" s="1"/>
  <c r="C87" i="37"/>
  <c r="C28" i="37"/>
  <c r="I28" i="36"/>
  <c r="M28" i="36" s="1"/>
  <c r="C43" i="37"/>
  <c r="I43" i="36"/>
  <c r="M43" i="36" s="1"/>
  <c r="C96" i="37"/>
  <c r="I96" i="36"/>
  <c r="M96" i="36" s="1"/>
  <c r="C38" i="37"/>
  <c r="I38" i="36"/>
  <c r="M38" i="36" s="1"/>
  <c r="J70" i="36"/>
  <c r="N70" i="36" s="1"/>
  <c r="D70" i="37"/>
  <c r="J12" i="36"/>
  <c r="N12" i="36" s="1"/>
  <c r="D12" i="37"/>
  <c r="I69" i="36"/>
  <c r="M69" i="36" s="1"/>
  <c r="C69" i="37"/>
  <c r="D45" i="37"/>
  <c r="J45" i="36"/>
  <c r="N45" i="36" s="1"/>
  <c r="I64" i="36"/>
  <c r="M64" i="36" s="1"/>
  <c r="C64" i="37"/>
  <c r="D51" i="37"/>
  <c r="J51" i="36"/>
  <c r="N51" i="36" s="1"/>
  <c r="J13" i="36"/>
  <c r="N13" i="36" s="1"/>
  <c r="D13" i="37"/>
  <c r="I66" i="36"/>
  <c r="M66" i="36" s="1"/>
  <c r="C66" i="37"/>
  <c r="J24" i="35"/>
  <c r="N24" i="35" s="1"/>
  <c r="D24" i="36"/>
  <c r="D96" i="36"/>
  <c r="J96" i="35"/>
  <c r="N96" i="35" s="1"/>
  <c r="D21" i="36"/>
  <c r="J21" i="35"/>
  <c r="N21" i="35" s="1"/>
  <c r="J37" i="36"/>
  <c r="N37" i="36" s="1"/>
  <c r="D37" i="37"/>
  <c r="J84" i="36"/>
  <c r="N84" i="36" s="1"/>
  <c r="D84" i="37"/>
  <c r="J93" i="35"/>
  <c r="N93" i="35" s="1"/>
  <c r="D93" i="36"/>
  <c r="C17" i="37"/>
  <c r="I17" i="36"/>
  <c r="M17" i="36" s="1"/>
  <c r="D76" i="37"/>
  <c r="J76" i="36"/>
  <c r="N76" i="36" s="1"/>
  <c r="D10" i="37"/>
  <c r="J10" i="36"/>
  <c r="N10" i="36" s="1"/>
  <c r="C45" i="37"/>
  <c r="I45" i="36"/>
  <c r="M45" i="36" s="1"/>
  <c r="C9" i="37"/>
  <c r="I9" i="36"/>
  <c r="M9" i="36" s="1"/>
  <c r="D77" i="37"/>
  <c r="J77" i="36"/>
  <c r="N77" i="36" s="1"/>
  <c r="J14" i="36"/>
  <c r="N14" i="36" s="1"/>
  <c r="D14" i="37"/>
  <c r="J8" i="36"/>
  <c r="N8" i="36" s="1"/>
  <c r="D8" i="37"/>
  <c r="C95" i="37"/>
  <c r="I95" i="36"/>
  <c r="M95" i="36" s="1"/>
  <c r="C41" i="37"/>
  <c r="I41" i="36"/>
  <c r="M41" i="36" s="1"/>
  <c r="D74" i="36"/>
  <c r="J74" i="35"/>
  <c r="N74" i="35" s="1"/>
  <c r="J82" i="36"/>
  <c r="N82" i="36" s="1"/>
  <c r="D82" i="37"/>
  <c r="C75" i="37"/>
  <c r="I75" i="36"/>
  <c r="M75" i="36" s="1"/>
  <c r="D86" i="36"/>
  <c r="J86" i="35"/>
  <c r="N86" i="35" s="1"/>
  <c r="J91" i="35"/>
  <c r="N91" i="35" s="1"/>
  <c r="D91" i="36"/>
  <c r="C42" i="37"/>
  <c r="I42" i="36"/>
  <c r="M42" i="36" s="1"/>
  <c r="D90" i="37"/>
  <c r="J90" i="36"/>
  <c r="N90" i="36" s="1"/>
  <c r="I62" i="36"/>
  <c r="M62" i="36" s="1"/>
  <c r="C62" i="37"/>
  <c r="D88" i="36"/>
  <c r="J88" i="35"/>
  <c r="N88" i="35" s="1"/>
  <c r="I83" i="36"/>
  <c r="M83" i="36" s="1"/>
  <c r="C83" i="37"/>
  <c r="C46" i="37"/>
  <c r="I46" i="36"/>
  <c r="M46" i="36" s="1"/>
  <c r="I16" i="36"/>
  <c r="M16" i="36" s="1"/>
  <c r="C16" i="37"/>
  <c r="D99" i="36"/>
  <c r="J99" i="35"/>
  <c r="N99" i="35" s="1"/>
  <c r="C58" i="37"/>
  <c r="I58" i="36"/>
  <c r="M58" i="36" s="1"/>
  <c r="C70" i="37"/>
  <c r="I70" i="36"/>
  <c r="M70" i="36" s="1"/>
  <c r="D61" i="37"/>
  <c r="J61" i="36"/>
  <c r="N61" i="36" s="1"/>
  <c r="I56" i="36"/>
  <c r="M56" i="36" s="1"/>
  <c r="C56" i="37"/>
  <c r="J85" i="35"/>
  <c r="N85" i="35" s="1"/>
  <c r="D85" i="36"/>
  <c r="D87" i="37"/>
  <c r="J87" i="36"/>
  <c r="N87" i="36" s="1"/>
  <c r="I55" i="36"/>
  <c r="M55" i="36" s="1"/>
  <c r="C55" i="37"/>
  <c r="I32" i="36"/>
  <c r="M32" i="36" s="1"/>
  <c r="C32" i="37"/>
  <c r="C88" i="37"/>
  <c r="I88" i="36"/>
  <c r="M88" i="36" s="1"/>
  <c r="I99" i="36"/>
  <c r="M99" i="36" s="1"/>
  <c r="C99" i="37"/>
  <c r="C81" i="37"/>
  <c r="I81" i="36"/>
  <c r="M81" i="36" s="1"/>
  <c r="C39" i="37"/>
  <c r="I39" i="36"/>
  <c r="M39" i="36" s="1"/>
  <c r="C25" i="37"/>
  <c r="I25" i="36"/>
  <c r="M25" i="36" s="1"/>
  <c r="J56" i="36"/>
  <c r="N56" i="36" s="1"/>
  <c r="D56" i="37"/>
  <c r="I13" i="36"/>
  <c r="M13" i="36" s="1"/>
  <c r="C13" i="37"/>
  <c r="J40" i="35"/>
  <c r="N40" i="35" s="1"/>
  <c r="D40" i="36"/>
  <c r="I71" i="36"/>
  <c r="M71" i="36" s="1"/>
  <c r="C71" i="37"/>
  <c r="I63" i="36"/>
  <c r="M63" i="36" s="1"/>
  <c r="C63" i="37"/>
  <c r="I48" i="36"/>
  <c r="M48" i="36" s="1"/>
  <c r="C48" i="37"/>
  <c r="I12" i="36"/>
  <c r="M12" i="36" s="1"/>
  <c r="C12" i="37"/>
  <c r="D26" i="37"/>
  <c r="J26" i="36"/>
  <c r="N26" i="36" s="1"/>
  <c r="D95" i="36"/>
  <c r="J95" i="35"/>
  <c r="N95" i="35" s="1"/>
  <c r="C65" i="37"/>
  <c r="I65" i="36"/>
  <c r="M65" i="36" s="1"/>
  <c r="D57" i="37"/>
  <c r="J57" i="36"/>
  <c r="N57" i="36" s="1"/>
  <c r="I47" i="36"/>
  <c r="M47" i="36" s="1"/>
  <c r="C47" i="37"/>
  <c r="I40" i="36"/>
  <c r="M40" i="36" s="1"/>
  <c r="C40" i="37"/>
  <c r="D9" i="37"/>
  <c r="J9" i="36"/>
  <c r="N9" i="36" s="1"/>
  <c r="C94" i="37"/>
  <c r="I94" i="36"/>
  <c r="M94" i="36" s="1"/>
  <c r="C72" i="37"/>
  <c r="I72" i="36"/>
  <c r="M72" i="36" s="1"/>
  <c r="J73" i="36"/>
  <c r="N73" i="36" s="1"/>
  <c r="D73" i="37"/>
  <c r="D25" i="37"/>
  <c r="J25" i="36"/>
  <c r="N25" i="36" s="1"/>
  <c r="I19" i="36"/>
  <c r="M19" i="36" s="1"/>
  <c r="C19" i="37"/>
  <c r="J17" i="36"/>
  <c r="N17" i="36" s="1"/>
  <c r="D17" i="37"/>
  <c r="C76" i="37"/>
  <c r="I76" i="36"/>
  <c r="M76" i="36" s="1"/>
  <c r="C33" i="37"/>
  <c r="I33" i="36"/>
  <c r="M33" i="36" s="1"/>
  <c r="I34" i="36"/>
  <c r="M34" i="36" s="1"/>
  <c r="C34" i="37"/>
  <c r="J67" i="35"/>
  <c r="N67" i="35" s="1"/>
  <c r="D67" i="36"/>
  <c r="J29" i="36"/>
  <c r="N29" i="36" s="1"/>
  <c r="D29" i="37"/>
  <c r="J39" i="36"/>
  <c r="N39" i="36" s="1"/>
  <c r="D39" i="37"/>
  <c r="J38" i="36"/>
  <c r="N38" i="36" s="1"/>
  <c r="D38" i="37"/>
  <c r="D36" i="37"/>
  <c r="J36" i="36"/>
  <c r="N36" i="36" s="1"/>
  <c r="D31" i="37"/>
  <c r="J31" i="36"/>
  <c r="N31" i="36" s="1"/>
  <c r="J32" i="36"/>
  <c r="N32" i="36" s="1"/>
  <c r="D32" i="37"/>
  <c r="D33" i="37"/>
  <c r="J33" i="36"/>
  <c r="N33" i="36" s="1"/>
  <c r="J34" i="36"/>
  <c r="N34" i="36" s="1"/>
  <c r="D34" i="37"/>
  <c r="D35" i="37"/>
  <c r="J35" i="36"/>
  <c r="N35" i="36" s="1"/>
  <c r="J30" i="36"/>
  <c r="N30" i="36" s="1"/>
  <c r="D30" i="37"/>
  <c r="C76" i="38" l="1"/>
  <c r="I76" i="37"/>
  <c r="M76" i="37" s="1"/>
  <c r="C94" i="38"/>
  <c r="I94" i="37"/>
  <c r="M94" i="37" s="1"/>
  <c r="D57" i="38"/>
  <c r="J57" i="37"/>
  <c r="N57" i="37" s="1"/>
  <c r="D95" i="37"/>
  <c r="J95" i="36"/>
  <c r="N95" i="36" s="1"/>
  <c r="I39" i="37"/>
  <c r="M39" i="37" s="1"/>
  <c r="C39" i="38"/>
  <c r="J87" i="37"/>
  <c r="N87" i="37" s="1"/>
  <c r="D87" i="38"/>
  <c r="D61" i="38"/>
  <c r="J61" i="37"/>
  <c r="N61" i="37" s="1"/>
  <c r="I58" i="37"/>
  <c r="M58" i="37" s="1"/>
  <c r="C58" i="38"/>
  <c r="I42" i="37"/>
  <c r="M42" i="37" s="1"/>
  <c r="C42" i="38"/>
  <c r="D86" i="37"/>
  <c r="J86" i="36"/>
  <c r="N86" i="36" s="1"/>
  <c r="D74" i="37"/>
  <c r="J74" i="36"/>
  <c r="N74" i="36" s="1"/>
  <c r="C41" i="38"/>
  <c r="I41" i="37"/>
  <c r="M41" i="37" s="1"/>
  <c r="D77" i="38"/>
  <c r="J77" i="37"/>
  <c r="N77" i="37" s="1"/>
  <c r="I45" i="37"/>
  <c r="M45" i="37" s="1"/>
  <c r="C45" i="38"/>
  <c r="D76" i="38"/>
  <c r="J76" i="37"/>
  <c r="N76" i="37" s="1"/>
  <c r="C17" i="38"/>
  <c r="I17" i="37"/>
  <c r="M17" i="37" s="1"/>
  <c r="D21" i="37"/>
  <c r="J21" i="36"/>
  <c r="N21" i="36" s="1"/>
  <c r="J51" i="37"/>
  <c r="N51" i="37" s="1"/>
  <c r="D51" i="38"/>
  <c r="D45" i="38"/>
  <c r="J45" i="37"/>
  <c r="N45" i="37" s="1"/>
  <c r="C96" i="38"/>
  <c r="I96" i="37"/>
  <c r="M96" i="37" s="1"/>
  <c r="C28" i="38"/>
  <c r="I28" i="37"/>
  <c r="M28" i="37" s="1"/>
  <c r="D53" i="38"/>
  <c r="J53" i="37"/>
  <c r="N53" i="37" s="1"/>
  <c r="J43" i="37"/>
  <c r="N43" i="37" s="1"/>
  <c r="D43" i="38"/>
  <c r="J44" i="36"/>
  <c r="N44" i="36" s="1"/>
  <c r="D44" i="37"/>
  <c r="I26" i="37"/>
  <c r="M26" i="37" s="1"/>
  <c r="C26" i="38"/>
  <c r="J62" i="37"/>
  <c r="N62" i="37" s="1"/>
  <c r="D62" i="38"/>
  <c r="D46" i="38"/>
  <c r="J46" i="37"/>
  <c r="N46" i="37" s="1"/>
  <c r="J22" i="37"/>
  <c r="N22" i="37" s="1"/>
  <c r="D22" i="38"/>
  <c r="I92" i="37"/>
  <c r="M92" i="37" s="1"/>
  <c r="C92" i="38"/>
  <c r="D92" i="37"/>
  <c r="J92" i="36"/>
  <c r="N92" i="36" s="1"/>
  <c r="C29" i="38"/>
  <c r="I29" i="37"/>
  <c r="M29" i="37" s="1"/>
  <c r="I89" i="37"/>
  <c r="M89" i="37" s="1"/>
  <c r="C89" i="38"/>
  <c r="D52" i="38"/>
  <c r="J52" i="37"/>
  <c r="N52" i="37" s="1"/>
  <c r="C77" i="38"/>
  <c r="I77" i="37"/>
  <c r="M77" i="37" s="1"/>
  <c r="D65" i="37"/>
  <c r="J65" i="36"/>
  <c r="N65" i="36" s="1"/>
  <c r="D75" i="37"/>
  <c r="J75" i="36"/>
  <c r="N75" i="36" s="1"/>
  <c r="D15" i="38"/>
  <c r="J15" i="37"/>
  <c r="N15" i="37" s="1"/>
  <c r="I37" i="37"/>
  <c r="M37" i="37" s="1"/>
  <c r="C37" i="38"/>
  <c r="J23" i="36"/>
  <c r="N23" i="36" s="1"/>
  <c r="D23" i="37"/>
  <c r="I10" i="37"/>
  <c r="M10" i="37" s="1"/>
  <c r="C10" i="38"/>
  <c r="D58" i="38"/>
  <c r="J58" i="37"/>
  <c r="N58" i="37" s="1"/>
  <c r="C30" i="38"/>
  <c r="I30" i="37"/>
  <c r="M30" i="37" s="1"/>
  <c r="D67" i="37"/>
  <c r="J67" i="36"/>
  <c r="N67" i="36" s="1"/>
  <c r="D17" i="38"/>
  <c r="J17" i="37"/>
  <c r="N17" i="37" s="1"/>
  <c r="C47" i="38"/>
  <c r="I47" i="37"/>
  <c r="M47" i="37" s="1"/>
  <c r="C48" i="38"/>
  <c r="I48" i="37"/>
  <c r="M48" i="37" s="1"/>
  <c r="C71" i="38"/>
  <c r="I71" i="37"/>
  <c r="M71" i="37" s="1"/>
  <c r="I13" i="37"/>
  <c r="M13" i="37" s="1"/>
  <c r="C13" i="38"/>
  <c r="C55" i="38"/>
  <c r="I55" i="37"/>
  <c r="M55" i="37" s="1"/>
  <c r="J85" i="36"/>
  <c r="N85" i="36" s="1"/>
  <c r="D85" i="37"/>
  <c r="D91" i="37"/>
  <c r="J91" i="36"/>
  <c r="N91" i="36" s="1"/>
  <c r="J14" i="37"/>
  <c r="N14" i="37" s="1"/>
  <c r="D14" i="38"/>
  <c r="D93" i="37"/>
  <c r="J93" i="36"/>
  <c r="N93" i="36" s="1"/>
  <c r="D37" i="38"/>
  <c r="J37" i="37"/>
  <c r="N37" i="37" s="1"/>
  <c r="J13" i="37"/>
  <c r="N13" i="37" s="1"/>
  <c r="D13" i="38"/>
  <c r="C64" i="38"/>
  <c r="I64" i="37"/>
  <c r="M64" i="37" s="1"/>
  <c r="J12" i="37"/>
  <c r="N12" i="37" s="1"/>
  <c r="D12" i="38"/>
  <c r="I87" i="37"/>
  <c r="M87" i="37" s="1"/>
  <c r="C87" i="38"/>
  <c r="J41" i="37"/>
  <c r="N41" i="37" s="1"/>
  <c r="D41" i="38"/>
  <c r="C68" i="38"/>
  <c r="I68" i="37"/>
  <c r="M68" i="37" s="1"/>
  <c r="C11" i="38"/>
  <c r="I11" i="37"/>
  <c r="M11" i="37" s="1"/>
  <c r="D71" i="37"/>
  <c r="J71" i="36"/>
  <c r="N71" i="36" s="1"/>
  <c r="C8" i="38"/>
  <c r="I8" i="37"/>
  <c r="M8" i="37" s="1"/>
  <c r="J98" i="37"/>
  <c r="N98" i="37" s="1"/>
  <c r="D98" i="38"/>
  <c r="I93" i="37"/>
  <c r="M93" i="37" s="1"/>
  <c r="C93" i="38"/>
  <c r="J28" i="37"/>
  <c r="N28" i="37" s="1"/>
  <c r="D28" i="38"/>
  <c r="J80" i="37"/>
  <c r="N80" i="37" s="1"/>
  <c r="D80" i="38"/>
  <c r="I86" i="37"/>
  <c r="M86" i="37" s="1"/>
  <c r="C86" i="38"/>
  <c r="J16" i="36"/>
  <c r="N16" i="36" s="1"/>
  <c r="D16" i="37"/>
  <c r="I85" i="37"/>
  <c r="M85" i="37" s="1"/>
  <c r="C85" i="38"/>
  <c r="C27" i="38"/>
  <c r="I27" i="37"/>
  <c r="M27" i="37" s="1"/>
  <c r="J48" i="37"/>
  <c r="N48" i="37" s="1"/>
  <c r="D48" i="38"/>
  <c r="I59" i="37"/>
  <c r="M59" i="37" s="1"/>
  <c r="C59" i="38"/>
  <c r="D89" i="37"/>
  <c r="J89" i="36"/>
  <c r="N89" i="36" s="1"/>
  <c r="C61" i="38"/>
  <c r="I61" i="37"/>
  <c r="M61" i="37" s="1"/>
  <c r="J68" i="37"/>
  <c r="N68" i="37" s="1"/>
  <c r="D68" i="38"/>
  <c r="C15" i="38"/>
  <c r="I15" i="37"/>
  <c r="M15" i="37" s="1"/>
  <c r="I97" i="37"/>
  <c r="M97" i="37" s="1"/>
  <c r="C97" i="38"/>
  <c r="J47" i="37"/>
  <c r="N47" i="37" s="1"/>
  <c r="D47" i="38"/>
  <c r="D19" i="38"/>
  <c r="J19" i="37"/>
  <c r="N19" i="37" s="1"/>
  <c r="I35" i="37"/>
  <c r="M35" i="37" s="1"/>
  <c r="C35" i="38"/>
  <c r="C33" i="38"/>
  <c r="I33" i="37"/>
  <c r="M33" i="37" s="1"/>
  <c r="D25" i="38"/>
  <c r="J25" i="37"/>
  <c r="N25" i="37" s="1"/>
  <c r="I72" i="37"/>
  <c r="M72" i="37" s="1"/>
  <c r="C72" i="38"/>
  <c r="J9" i="37"/>
  <c r="N9" i="37" s="1"/>
  <c r="D9" i="38"/>
  <c r="C65" i="38"/>
  <c r="I65" i="37"/>
  <c r="M65" i="37" s="1"/>
  <c r="J26" i="37"/>
  <c r="N26" i="37" s="1"/>
  <c r="D26" i="38"/>
  <c r="I25" i="37"/>
  <c r="M25" i="37" s="1"/>
  <c r="C25" i="38"/>
  <c r="I81" i="37"/>
  <c r="M81" i="37" s="1"/>
  <c r="C81" i="38"/>
  <c r="C88" i="38"/>
  <c r="I88" i="37"/>
  <c r="M88" i="37" s="1"/>
  <c r="C70" i="38"/>
  <c r="I70" i="37"/>
  <c r="M70" i="37" s="1"/>
  <c r="D99" i="37"/>
  <c r="J99" i="36"/>
  <c r="N99" i="36" s="1"/>
  <c r="C46" i="38"/>
  <c r="I46" i="37"/>
  <c r="M46" i="37" s="1"/>
  <c r="D88" i="37"/>
  <c r="J88" i="36"/>
  <c r="N88" i="36" s="1"/>
  <c r="J90" i="37"/>
  <c r="N90" i="37" s="1"/>
  <c r="D90" i="38"/>
  <c r="I75" i="37"/>
  <c r="M75" i="37" s="1"/>
  <c r="C75" i="38"/>
  <c r="I95" i="37"/>
  <c r="M95" i="37" s="1"/>
  <c r="C95" i="38"/>
  <c r="C9" i="38"/>
  <c r="I9" i="37"/>
  <c r="M9" i="37" s="1"/>
  <c r="D10" i="38"/>
  <c r="J10" i="37"/>
  <c r="N10" i="37" s="1"/>
  <c r="J96" i="36"/>
  <c r="N96" i="36" s="1"/>
  <c r="D96" i="37"/>
  <c r="C38" i="38"/>
  <c r="I38" i="37"/>
  <c r="M38" i="37" s="1"/>
  <c r="I43" i="37"/>
  <c r="M43" i="37" s="1"/>
  <c r="C43" i="38"/>
  <c r="I54" i="37"/>
  <c r="M54" i="37" s="1"/>
  <c r="C54" i="38"/>
  <c r="J18" i="36"/>
  <c r="N18" i="36" s="1"/>
  <c r="D18" i="37"/>
  <c r="J83" i="37"/>
  <c r="N83" i="37" s="1"/>
  <c r="D83" i="38"/>
  <c r="C21" i="38"/>
  <c r="I21" i="37"/>
  <c r="M21" i="37" s="1"/>
  <c r="J78" i="37"/>
  <c r="N78" i="37" s="1"/>
  <c r="D78" i="38"/>
  <c r="C18" i="38"/>
  <c r="I18" i="37"/>
  <c r="M18" i="37" s="1"/>
  <c r="C73" i="38"/>
  <c r="I73" i="37"/>
  <c r="M73" i="37" s="1"/>
  <c r="C84" i="38"/>
  <c r="I84" i="37"/>
  <c r="M84" i="37" s="1"/>
  <c r="D42" i="37"/>
  <c r="J42" i="36"/>
  <c r="N42" i="36" s="1"/>
  <c r="D49" i="38"/>
  <c r="J49" i="37"/>
  <c r="N49" i="37" s="1"/>
  <c r="I78" i="37"/>
  <c r="M78" i="37" s="1"/>
  <c r="C78" i="38"/>
  <c r="J72" i="37"/>
  <c r="N72" i="37" s="1"/>
  <c r="D72" i="38"/>
  <c r="C80" i="38"/>
  <c r="I80" i="37"/>
  <c r="M80" i="37" s="1"/>
  <c r="J50" i="37"/>
  <c r="N50" i="37" s="1"/>
  <c r="D50" i="38"/>
  <c r="C67" i="38"/>
  <c r="I67" i="37"/>
  <c r="M67" i="37" s="1"/>
  <c r="D27" i="38"/>
  <c r="J27" i="37"/>
  <c r="N27" i="37" s="1"/>
  <c r="I53" i="37"/>
  <c r="M53" i="37" s="1"/>
  <c r="C53" i="38"/>
  <c r="D29" i="38"/>
  <c r="J29" i="37"/>
  <c r="N29" i="37" s="1"/>
  <c r="I34" i="37"/>
  <c r="M34" i="37" s="1"/>
  <c r="C34" i="38"/>
  <c r="I19" i="37"/>
  <c r="M19" i="37" s="1"/>
  <c r="C19" i="38"/>
  <c r="D73" i="38"/>
  <c r="J73" i="37"/>
  <c r="N73" i="37" s="1"/>
  <c r="C40" i="38"/>
  <c r="I40" i="37"/>
  <c r="M40" i="37" s="1"/>
  <c r="C12" i="38"/>
  <c r="I12" i="37"/>
  <c r="M12" i="37" s="1"/>
  <c r="C63" i="38"/>
  <c r="I63" i="37"/>
  <c r="M63" i="37" s="1"/>
  <c r="D40" i="37"/>
  <c r="J40" i="36"/>
  <c r="N40" i="36" s="1"/>
  <c r="J56" i="37"/>
  <c r="N56" i="37" s="1"/>
  <c r="D56" i="38"/>
  <c r="C99" i="38"/>
  <c r="I99" i="37"/>
  <c r="M99" i="37" s="1"/>
  <c r="I32" i="37"/>
  <c r="M32" i="37" s="1"/>
  <c r="C32" i="38"/>
  <c r="I56" i="37"/>
  <c r="M56" i="37" s="1"/>
  <c r="C56" i="38"/>
  <c r="C16" i="38"/>
  <c r="I16" i="37"/>
  <c r="M16" i="37" s="1"/>
  <c r="I83" i="37"/>
  <c r="M83" i="37" s="1"/>
  <c r="C83" i="38"/>
  <c r="C62" i="38"/>
  <c r="I62" i="37"/>
  <c r="M62" i="37" s="1"/>
  <c r="J82" i="37"/>
  <c r="N82" i="37" s="1"/>
  <c r="D82" i="38"/>
  <c r="J8" i="37"/>
  <c r="N8" i="37" s="1"/>
  <c r="D8" i="38"/>
  <c r="D84" i="38"/>
  <c r="J84" i="37"/>
  <c r="N84" i="37" s="1"/>
  <c r="D24" i="37"/>
  <c r="J24" i="36"/>
  <c r="N24" i="36" s="1"/>
  <c r="I66" i="37"/>
  <c r="M66" i="37" s="1"/>
  <c r="C66" i="38"/>
  <c r="I69" i="37"/>
  <c r="M69" i="37" s="1"/>
  <c r="C69" i="38"/>
  <c r="D70" i="38"/>
  <c r="J70" i="37"/>
  <c r="N70" i="37" s="1"/>
  <c r="D20" i="38"/>
  <c r="J20" i="37"/>
  <c r="N20" i="37" s="1"/>
  <c r="D81" i="37"/>
  <c r="J81" i="36"/>
  <c r="N81" i="36" s="1"/>
  <c r="I74" i="37"/>
  <c r="M74" i="37" s="1"/>
  <c r="C74" i="38"/>
  <c r="I31" i="37"/>
  <c r="M31" i="37" s="1"/>
  <c r="C31" i="38"/>
  <c r="C24" i="38"/>
  <c r="I24" i="37"/>
  <c r="M24" i="37" s="1"/>
  <c r="I79" i="37"/>
  <c r="M79" i="37" s="1"/>
  <c r="C79" i="38"/>
  <c r="J55" i="37"/>
  <c r="N55" i="37" s="1"/>
  <c r="D55" i="38"/>
  <c r="D11" i="36"/>
  <c r="J11" i="35"/>
  <c r="N11" i="35" s="1"/>
  <c r="I98" i="37"/>
  <c r="M98" i="37" s="1"/>
  <c r="C98" i="38"/>
  <c r="D54" i="38"/>
  <c r="J54" i="37"/>
  <c r="N54" i="37" s="1"/>
  <c r="J66" i="37"/>
  <c r="N66" i="37" s="1"/>
  <c r="D66" i="38"/>
  <c r="C90" i="38"/>
  <c r="I90" i="37"/>
  <c r="M90" i="37" s="1"/>
  <c r="D64" i="38"/>
  <c r="J64" i="37"/>
  <c r="N64" i="37" s="1"/>
  <c r="J63" i="36"/>
  <c r="N63" i="36" s="1"/>
  <c r="D63" i="37"/>
  <c r="J79" i="37"/>
  <c r="N79" i="37" s="1"/>
  <c r="D79" i="38"/>
  <c r="C20" i="38"/>
  <c r="I20" i="37"/>
  <c r="M20" i="37" s="1"/>
  <c r="I36" i="37"/>
  <c r="M36" i="37" s="1"/>
  <c r="C36" i="38"/>
  <c r="J39" i="37"/>
  <c r="N39" i="37" s="1"/>
  <c r="D39" i="38"/>
  <c r="D38" i="38"/>
  <c r="J38" i="37"/>
  <c r="N38" i="37" s="1"/>
  <c r="J36" i="37"/>
  <c r="N36" i="37" s="1"/>
  <c r="D36" i="38"/>
  <c r="J31" i="37"/>
  <c r="N31" i="37" s="1"/>
  <c r="D31" i="38"/>
  <c r="J32" i="37"/>
  <c r="N32" i="37" s="1"/>
  <c r="D32" i="38"/>
  <c r="D33" i="38"/>
  <c r="J33" i="37"/>
  <c r="N33" i="37" s="1"/>
  <c r="D34" i="38"/>
  <c r="J34" i="37"/>
  <c r="N34" i="37" s="1"/>
  <c r="J35" i="37"/>
  <c r="N35" i="37" s="1"/>
  <c r="D35" i="38"/>
  <c r="D30" i="38"/>
  <c r="J30" i="37"/>
  <c r="N30" i="37" s="1"/>
  <c r="J64" i="38" l="1"/>
  <c r="N64" i="38" s="1"/>
  <c r="D64" i="39"/>
  <c r="J20" i="38"/>
  <c r="N20" i="38" s="1"/>
  <c r="D20" i="39"/>
  <c r="J24" i="37"/>
  <c r="N24" i="37" s="1"/>
  <c r="D24" i="38"/>
  <c r="I62" i="38"/>
  <c r="M62" i="38" s="1"/>
  <c r="C62" i="39"/>
  <c r="I16" i="38"/>
  <c r="M16" i="38" s="1"/>
  <c r="C16" i="39"/>
  <c r="I63" i="38"/>
  <c r="M63" i="38" s="1"/>
  <c r="C63" i="39"/>
  <c r="I40" i="38"/>
  <c r="M40" i="38" s="1"/>
  <c r="C40" i="39"/>
  <c r="D29" i="39"/>
  <c r="J29" i="38"/>
  <c r="N29" i="38" s="1"/>
  <c r="D27" i="39"/>
  <c r="J27" i="38"/>
  <c r="N27" i="38" s="1"/>
  <c r="J49" i="38"/>
  <c r="N49" i="38" s="1"/>
  <c r="D49" i="39"/>
  <c r="C84" i="39"/>
  <c r="I84" i="38"/>
  <c r="M84" i="38" s="1"/>
  <c r="C18" i="39"/>
  <c r="I18" i="38"/>
  <c r="M18" i="38" s="1"/>
  <c r="I21" i="38"/>
  <c r="M21" i="38" s="1"/>
  <c r="C21" i="39"/>
  <c r="I38" i="38"/>
  <c r="M38" i="38" s="1"/>
  <c r="C38" i="39"/>
  <c r="I9" i="38"/>
  <c r="M9" i="38" s="1"/>
  <c r="C9" i="39"/>
  <c r="I46" i="38"/>
  <c r="M46" i="38" s="1"/>
  <c r="C46" i="39"/>
  <c r="C70" i="39"/>
  <c r="I70" i="38"/>
  <c r="M70" i="38" s="1"/>
  <c r="I88" i="38"/>
  <c r="M88" i="38" s="1"/>
  <c r="C88" i="39"/>
  <c r="C65" i="39"/>
  <c r="I65" i="38"/>
  <c r="M65" i="38" s="1"/>
  <c r="C33" i="39"/>
  <c r="I33" i="38"/>
  <c r="M33" i="38" s="1"/>
  <c r="J19" i="38"/>
  <c r="N19" i="38" s="1"/>
  <c r="D19" i="39"/>
  <c r="D89" i="38"/>
  <c r="J89" i="37"/>
  <c r="N89" i="37" s="1"/>
  <c r="I27" i="38"/>
  <c r="M27" i="38" s="1"/>
  <c r="C27" i="39"/>
  <c r="C8" i="39"/>
  <c r="I8" i="38"/>
  <c r="M8" i="38" s="1"/>
  <c r="I11" i="38"/>
  <c r="M11" i="38" s="1"/>
  <c r="C11" i="39"/>
  <c r="J93" i="37"/>
  <c r="N93" i="37" s="1"/>
  <c r="D93" i="38"/>
  <c r="I48" i="38"/>
  <c r="M48" i="38" s="1"/>
  <c r="C48" i="39"/>
  <c r="J17" i="38"/>
  <c r="N17" i="38" s="1"/>
  <c r="D17" i="39"/>
  <c r="C30" i="39"/>
  <c r="I30" i="38"/>
  <c r="M30" i="38" s="1"/>
  <c r="J75" i="37"/>
  <c r="N75" i="37" s="1"/>
  <c r="D75" i="38"/>
  <c r="D65" i="38"/>
  <c r="J65" i="37"/>
  <c r="N65" i="37" s="1"/>
  <c r="D92" i="38"/>
  <c r="J92" i="37"/>
  <c r="N92" i="37" s="1"/>
  <c r="I28" i="38"/>
  <c r="M28" i="38" s="1"/>
  <c r="C28" i="39"/>
  <c r="D45" i="39"/>
  <c r="J45" i="38"/>
  <c r="N45" i="38" s="1"/>
  <c r="D21" i="38"/>
  <c r="J21" i="37"/>
  <c r="N21" i="37" s="1"/>
  <c r="D76" i="39"/>
  <c r="J76" i="38"/>
  <c r="N76" i="38" s="1"/>
  <c r="J77" i="38"/>
  <c r="N77" i="38" s="1"/>
  <c r="D77" i="39"/>
  <c r="J74" i="37"/>
  <c r="N74" i="37" s="1"/>
  <c r="D74" i="38"/>
  <c r="J61" i="38"/>
  <c r="N61" i="38" s="1"/>
  <c r="D61" i="39"/>
  <c r="J57" i="38"/>
  <c r="N57" i="38" s="1"/>
  <c r="D57" i="39"/>
  <c r="C76" i="39"/>
  <c r="I76" i="38"/>
  <c r="M76" i="38" s="1"/>
  <c r="J63" i="37"/>
  <c r="N63" i="37" s="1"/>
  <c r="D63" i="38"/>
  <c r="I79" i="38"/>
  <c r="M79" i="38" s="1"/>
  <c r="C79" i="39"/>
  <c r="C74" i="39"/>
  <c r="I74" i="38"/>
  <c r="M74" i="38" s="1"/>
  <c r="I66" i="38"/>
  <c r="M66" i="38" s="1"/>
  <c r="C66" i="39"/>
  <c r="J82" i="38"/>
  <c r="N82" i="38" s="1"/>
  <c r="D82" i="39"/>
  <c r="C83" i="39"/>
  <c r="I83" i="38"/>
  <c r="M83" i="38" s="1"/>
  <c r="I56" i="38"/>
  <c r="M56" i="38" s="1"/>
  <c r="C56" i="39"/>
  <c r="I34" i="38"/>
  <c r="M34" i="38" s="1"/>
  <c r="C34" i="39"/>
  <c r="I53" i="38"/>
  <c r="M53" i="38" s="1"/>
  <c r="C53" i="39"/>
  <c r="I78" i="38"/>
  <c r="M78" i="38" s="1"/>
  <c r="C78" i="39"/>
  <c r="J78" i="38"/>
  <c r="N78" i="38" s="1"/>
  <c r="D78" i="39"/>
  <c r="D83" i="39"/>
  <c r="J83" i="38"/>
  <c r="N83" i="38" s="1"/>
  <c r="D18" i="38"/>
  <c r="J18" i="37"/>
  <c r="N18" i="37" s="1"/>
  <c r="C43" i="39"/>
  <c r="I43" i="38"/>
  <c r="M43" i="38" s="1"/>
  <c r="D96" i="38"/>
  <c r="J96" i="37"/>
  <c r="N96" i="37" s="1"/>
  <c r="C95" i="39"/>
  <c r="I95" i="38"/>
  <c r="M95" i="38" s="1"/>
  <c r="I75" i="38"/>
  <c r="M75" i="38" s="1"/>
  <c r="C75" i="39"/>
  <c r="C81" i="39"/>
  <c r="I81" i="38"/>
  <c r="M81" i="38" s="1"/>
  <c r="J26" i="38"/>
  <c r="N26" i="38" s="1"/>
  <c r="D26" i="39"/>
  <c r="D9" i="39"/>
  <c r="J9" i="38"/>
  <c r="N9" i="38" s="1"/>
  <c r="I35" i="38"/>
  <c r="M35" i="38" s="1"/>
  <c r="C35" i="39"/>
  <c r="J47" i="38"/>
  <c r="N47" i="38" s="1"/>
  <c r="D47" i="39"/>
  <c r="C59" i="39"/>
  <c r="I59" i="38"/>
  <c r="M59" i="38" s="1"/>
  <c r="I85" i="38"/>
  <c r="M85" i="38" s="1"/>
  <c r="C85" i="39"/>
  <c r="C86" i="39"/>
  <c r="I86" i="38"/>
  <c r="M86" i="38" s="1"/>
  <c r="D28" i="39"/>
  <c r="J28" i="38"/>
  <c r="N28" i="38" s="1"/>
  <c r="D98" i="39"/>
  <c r="J98" i="38"/>
  <c r="N98" i="38" s="1"/>
  <c r="C87" i="39"/>
  <c r="I87" i="38"/>
  <c r="M87" i="38" s="1"/>
  <c r="J14" i="38"/>
  <c r="N14" i="38" s="1"/>
  <c r="D14" i="39"/>
  <c r="D23" i="38"/>
  <c r="J23" i="37"/>
  <c r="N23" i="37" s="1"/>
  <c r="I92" i="38"/>
  <c r="M92" i="38" s="1"/>
  <c r="C92" i="39"/>
  <c r="I26" i="38"/>
  <c r="M26" i="38" s="1"/>
  <c r="C26" i="39"/>
  <c r="D43" i="39"/>
  <c r="J43" i="38"/>
  <c r="N43" i="38" s="1"/>
  <c r="J51" i="38"/>
  <c r="N51" i="38" s="1"/>
  <c r="D51" i="39"/>
  <c r="I45" i="38"/>
  <c r="M45" i="38" s="1"/>
  <c r="C45" i="39"/>
  <c r="I58" i="38"/>
  <c r="M58" i="38" s="1"/>
  <c r="C58" i="39"/>
  <c r="D87" i="39"/>
  <c r="J87" i="38"/>
  <c r="N87" i="38" s="1"/>
  <c r="I20" i="38"/>
  <c r="M20" i="38" s="1"/>
  <c r="C20" i="39"/>
  <c r="C90" i="39"/>
  <c r="I90" i="38"/>
  <c r="M90" i="38" s="1"/>
  <c r="J54" i="38"/>
  <c r="N54" i="38" s="1"/>
  <c r="D54" i="39"/>
  <c r="J11" i="36"/>
  <c r="N11" i="36" s="1"/>
  <c r="D11" i="37"/>
  <c r="I24" i="38"/>
  <c r="M24" i="38" s="1"/>
  <c r="C24" i="39"/>
  <c r="J81" i="37"/>
  <c r="N81" i="37" s="1"/>
  <c r="D81" i="38"/>
  <c r="J70" i="38"/>
  <c r="N70" i="38" s="1"/>
  <c r="D70" i="39"/>
  <c r="J84" i="38"/>
  <c r="N84" i="38" s="1"/>
  <c r="D84" i="39"/>
  <c r="C99" i="39"/>
  <c r="I99" i="38"/>
  <c r="M99" i="38" s="1"/>
  <c r="J40" i="37"/>
  <c r="N40" i="37" s="1"/>
  <c r="D40" i="38"/>
  <c r="I12" i="38"/>
  <c r="M12" i="38" s="1"/>
  <c r="C12" i="39"/>
  <c r="J73" i="38"/>
  <c r="N73" i="38" s="1"/>
  <c r="D73" i="39"/>
  <c r="C67" i="39"/>
  <c r="I67" i="38"/>
  <c r="M67" i="38" s="1"/>
  <c r="I80" i="38"/>
  <c r="M80" i="38" s="1"/>
  <c r="C80" i="39"/>
  <c r="D42" i="38"/>
  <c r="J42" i="37"/>
  <c r="N42" i="37" s="1"/>
  <c r="C73" i="39"/>
  <c r="I73" i="38"/>
  <c r="M73" i="38" s="1"/>
  <c r="J10" i="38"/>
  <c r="N10" i="38" s="1"/>
  <c r="D10" i="39"/>
  <c r="D88" i="38"/>
  <c r="J88" i="37"/>
  <c r="N88" i="37" s="1"/>
  <c r="D99" i="38"/>
  <c r="J99" i="37"/>
  <c r="N99" i="37" s="1"/>
  <c r="J25" i="38"/>
  <c r="N25" i="38" s="1"/>
  <c r="D25" i="39"/>
  <c r="C15" i="39"/>
  <c r="I15" i="38"/>
  <c r="M15" i="38" s="1"/>
  <c r="C61" i="39"/>
  <c r="I61" i="38"/>
  <c r="M61" i="38" s="1"/>
  <c r="J71" i="37"/>
  <c r="N71" i="37" s="1"/>
  <c r="D71" i="38"/>
  <c r="C68" i="39"/>
  <c r="I68" i="38"/>
  <c r="M68" i="38" s="1"/>
  <c r="I64" i="38"/>
  <c r="M64" i="38" s="1"/>
  <c r="C64" i="39"/>
  <c r="J37" i="38"/>
  <c r="N37" i="38" s="1"/>
  <c r="D37" i="39"/>
  <c r="J91" i="37"/>
  <c r="N91" i="37" s="1"/>
  <c r="D91" i="38"/>
  <c r="I55" i="38"/>
  <c r="M55" i="38" s="1"/>
  <c r="C55" i="39"/>
  <c r="I71" i="38"/>
  <c r="M71" i="38" s="1"/>
  <c r="C71" i="39"/>
  <c r="C47" i="39"/>
  <c r="I47" i="38"/>
  <c r="M47" i="38" s="1"/>
  <c r="J67" i="37"/>
  <c r="N67" i="37" s="1"/>
  <c r="D67" i="38"/>
  <c r="J58" i="38"/>
  <c r="N58" i="38" s="1"/>
  <c r="D58" i="39"/>
  <c r="J15" i="38"/>
  <c r="N15" i="38" s="1"/>
  <c r="D15" i="39"/>
  <c r="C77" i="39"/>
  <c r="I77" i="38"/>
  <c r="M77" i="38" s="1"/>
  <c r="D52" i="39"/>
  <c r="J52" i="38"/>
  <c r="N52" i="38" s="1"/>
  <c r="I29" i="38"/>
  <c r="M29" i="38" s="1"/>
  <c r="C29" i="39"/>
  <c r="J46" i="38"/>
  <c r="N46" i="38" s="1"/>
  <c r="D46" i="39"/>
  <c r="D53" i="39"/>
  <c r="J53" i="38"/>
  <c r="N53" i="38" s="1"/>
  <c r="I96" i="38"/>
  <c r="M96" i="38" s="1"/>
  <c r="C96" i="39"/>
  <c r="C17" i="39"/>
  <c r="I17" i="38"/>
  <c r="M17" i="38" s="1"/>
  <c r="I41" i="38"/>
  <c r="M41" i="38" s="1"/>
  <c r="C41" i="39"/>
  <c r="D86" i="38"/>
  <c r="J86" i="37"/>
  <c r="N86" i="37" s="1"/>
  <c r="J95" i="37"/>
  <c r="N95" i="37" s="1"/>
  <c r="D95" i="38"/>
  <c r="C94" i="39"/>
  <c r="I94" i="38"/>
  <c r="M94" i="38" s="1"/>
  <c r="I36" i="38"/>
  <c r="M36" i="38" s="1"/>
  <c r="C36" i="39"/>
  <c r="D79" i="39"/>
  <c r="J79" i="38"/>
  <c r="N79" i="38" s="1"/>
  <c r="D66" i="39"/>
  <c r="J66" i="38"/>
  <c r="N66" i="38" s="1"/>
  <c r="I98" i="38"/>
  <c r="M98" i="38" s="1"/>
  <c r="C98" i="39"/>
  <c r="J55" i="38"/>
  <c r="N55" i="38" s="1"/>
  <c r="D55" i="39"/>
  <c r="I31" i="38"/>
  <c r="M31" i="38" s="1"/>
  <c r="C31" i="39"/>
  <c r="C69" i="39"/>
  <c r="I69" i="38"/>
  <c r="M69" i="38" s="1"/>
  <c r="D8" i="39"/>
  <c r="J8" i="38"/>
  <c r="N8" i="38" s="1"/>
  <c r="I32" i="38"/>
  <c r="M32" i="38" s="1"/>
  <c r="C32" i="39"/>
  <c r="D56" i="39"/>
  <c r="J56" i="38"/>
  <c r="N56" i="38" s="1"/>
  <c r="C19" i="39"/>
  <c r="I19" i="38"/>
  <c r="M19" i="38" s="1"/>
  <c r="D50" i="39"/>
  <c r="J50" i="38"/>
  <c r="N50" i="38" s="1"/>
  <c r="J72" i="38"/>
  <c r="N72" i="38" s="1"/>
  <c r="D72" i="39"/>
  <c r="I54" i="38"/>
  <c r="M54" i="38" s="1"/>
  <c r="C54" i="39"/>
  <c r="J90" i="38"/>
  <c r="N90" i="38" s="1"/>
  <c r="D90" i="39"/>
  <c r="I25" i="38"/>
  <c r="M25" i="38" s="1"/>
  <c r="C25" i="39"/>
  <c r="C72" i="39"/>
  <c r="I72" i="38"/>
  <c r="M72" i="38" s="1"/>
  <c r="I97" i="38"/>
  <c r="M97" i="38" s="1"/>
  <c r="C97" i="39"/>
  <c r="J68" i="38"/>
  <c r="N68" i="38" s="1"/>
  <c r="D68" i="39"/>
  <c r="D48" i="39"/>
  <c r="J48" i="38"/>
  <c r="N48" i="38" s="1"/>
  <c r="D16" i="38"/>
  <c r="J16" i="37"/>
  <c r="N16" i="37" s="1"/>
  <c r="D80" i="39"/>
  <c r="J80" i="38"/>
  <c r="N80" i="38" s="1"/>
  <c r="C93" i="39"/>
  <c r="I93" i="38"/>
  <c r="M93" i="38" s="1"/>
  <c r="D41" i="39"/>
  <c r="J41" i="38"/>
  <c r="N41" i="38" s="1"/>
  <c r="D12" i="39"/>
  <c r="J12" i="38"/>
  <c r="N12" i="38" s="1"/>
  <c r="D13" i="39"/>
  <c r="J13" i="38"/>
  <c r="N13" i="38" s="1"/>
  <c r="J85" i="37"/>
  <c r="N85" i="37" s="1"/>
  <c r="D85" i="38"/>
  <c r="I13" i="38"/>
  <c r="M13" i="38" s="1"/>
  <c r="C13" i="39"/>
  <c r="I10" i="38"/>
  <c r="M10" i="38" s="1"/>
  <c r="C10" i="39"/>
  <c r="C37" i="39"/>
  <c r="I37" i="38"/>
  <c r="M37" i="38" s="1"/>
  <c r="C89" i="39"/>
  <c r="I89" i="38"/>
  <c r="M89" i="38" s="1"/>
  <c r="J22" i="38"/>
  <c r="N22" i="38" s="1"/>
  <c r="D22" i="39"/>
  <c r="J62" i="38"/>
  <c r="N62" i="38" s="1"/>
  <c r="D62" i="39"/>
  <c r="J44" i="37"/>
  <c r="N44" i="37" s="1"/>
  <c r="D44" i="38"/>
  <c r="C42" i="39"/>
  <c r="I42" i="38"/>
  <c r="M42" i="38" s="1"/>
  <c r="C39" i="39"/>
  <c r="I39" i="38"/>
  <c r="M39" i="38" s="1"/>
  <c r="D39" i="39"/>
  <c r="J39" i="38"/>
  <c r="N39" i="38" s="1"/>
  <c r="D38" i="39"/>
  <c r="J38" i="38"/>
  <c r="N38" i="38" s="1"/>
  <c r="D36" i="39"/>
  <c r="J36" i="38"/>
  <c r="N36" i="38" s="1"/>
  <c r="J31" i="38"/>
  <c r="N31" i="38" s="1"/>
  <c r="D31" i="39"/>
  <c r="D32" i="39"/>
  <c r="J32" i="38"/>
  <c r="N32" i="38" s="1"/>
  <c r="D33" i="39"/>
  <c r="J33" i="38"/>
  <c r="N33" i="38" s="1"/>
  <c r="J34" i="38"/>
  <c r="N34" i="38" s="1"/>
  <c r="D34" i="39"/>
  <c r="D35" i="39"/>
  <c r="J35" i="38"/>
  <c r="N35" i="38" s="1"/>
  <c r="J30" i="38"/>
  <c r="N30" i="38" s="1"/>
  <c r="D30" i="39"/>
  <c r="I39" i="39" l="1"/>
  <c r="M39" i="39" s="1"/>
  <c r="C39" i="40"/>
  <c r="I37" i="39"/>
  <c r="M37" i="39" s="1"/>
  <c r="C37" i="40"/>
  <c r="J13" i="39"/>
  <c r="N13" i="39" s="1"/>
  <c r="D13" i="40"/>
  <c r="J41" i="39"/>
  <c r="N41" i="39" s="1"/>
  <c r="D41" i="40"/>
  <c r="J80" i="39"/>
  <c r="N80" i="39" s="1"/>
  <c r="D80" i="40"/>
  <c r="D48" i="40"/>
  <c r="J48" i="39"/>
  <c r="N48" i="39" s="1"/>
  <c r="C19" i="40"/>
  <c r="I19" i="39"/>
  <c r="M19" i="39" s="1"/>
  <c r="C69" i="40"/>
  <c r="I69" i="39"/>
  <c r="M69" i="39" s="1"/>
  <c r="D66" i="40"/>
  <c r="J66" i="39"/>
  <c r="N66" i="39" s="1"/>
  <c r="J52" i="39"/>
  <c r="N52" i="39" s="1"/>
  <c r="D52" i="40"/>
  <c r="C47" i="40"/>
  <c r="I47" i="39"/>
  <c r="M47" i="39" s="1"/>
  <c r="I68" i="39"/>
  <c r="M68" i="39" s="1"/>
  <c r="C68" i="40"/>
  <c r="C15" i="40"/>
  <c r="I15" i="39"/>
  <c r="M15" i="39" s="1"/>
  <c r="D88" i="39"/>
  <c r="J88" i="38"/>
  <c r="N88" i="38" s="1"/>
  <c r="D42" i="39"/>
  <c r="J42" i="38"/>
  <c r="N42" i="38" s="1"/>
  <c r="I67" i="39"/>
  <c r="M67" i="39" s="1"/>
  <c r="C67" i="40"/>
  <c r="I99" i="39"/>
  <c r="M99" i="39" s="1"/>
  <c r="C99" i="40"/>
  <c r="D23" i="39"/>
  <c r="J23" i="38"/>
  <c r="N23" i="38" s="1"/>
  <c r="I87" i="39"/>
  <c r="M87" i="39" s="1"/>
  <c r="C87" i="40"/>
  <c r="J28" i="39"/>
  <c r="N28" i="39" s="1"/>
  <c r="D28" i="40"/>
  <c r="J9" i="39"/>
  <c r="N9" i="39" s="1"/>
  <c r="D9" i="40"/>
  <c r="I81" i="39"/>
  <c r="M81" i="39" s="1"/>
  <c r="C81" i="40"/>
  <c r="C95" i="40"/>
  <c r="I95" i="39"/>
  <c r="M95" i="39" s="1"/>
  <c r="C43" i="40"/>
  <c r="I43" i="39"/>
  <c r="M43" i="39" s="1"/>
  <c r="J83" i="39"/>
  <c r="N83" i="39" s="1"/>
  <c r="D83" i="40"/>
  <c r="C83" i="40"/>
  <c r="I83" i="39"/>
  <c r="M83" i="39" s="1"/>
  <c r="I76" i="39"/>
  <c r="M76" i="39" s="1"/>
  <c r="C76" i="40"/>
  <c r="D21" i="39"/>
  <c r="J21" i="38"/>
  <c r="N21" i="38" s="1"/>
  <c r="D92" i="39"/>
  <c r="J92" i="38"/>
  <c r="N92" i="38" s="1"/>
  <c r="J65" i="38"/>
  <c r="N65" i="38" s="1"/>
  <c r="D65" i="39"/>
  <c r="I30" i="39"/>
  <c r="M30" i="39" s="1"/>
  <c r="C30" i="40"/>
  <c r="C8" i="40"/>
  <c r="I8" i="39"/>
  <c r="M8" i="39" s="1"/>
  <c r="J89" i="38"/>
  <c r="N89" i="38" s="1"/>
  <c r="D89" i="39"/>
  <c r="I33" i="39"/>
  <c r="M33" i="39" s="1"/>
  <c r="C33" i="40"/>
  <c r="C84" i="40"/>
  <c r="I84" i="39"/>
  <c r="M84" i="39" s="1"/>
  <c r="D27" i="40"/>
  <c r="J27" i="39"/>
  <c r="N27" i="39" s="1"/>
  <c r="J62" i="39"/>
  <c r="N62" i="39" s="1"/>
  <c r="D62" i="40"/>
  <c r="C10" i="40"/>
  <c r="I10" i="39"/>
  <c r="M10" i="39" s="1"/>
  <c r="J85" i="38"/>
  <c r="N85" i="38" s="1"/>
  <c r="D85" i="39"/>
  <c r="J68" i="39"/>
  <c r="N68" i="39" s="1"/>
  <c r="D68" i="40"/>
  <c r="J90" i="39"/>
  <c r="N90" i="39" s="1"/>
  <c r="D90" i="40"/>
  <c r="I98" i="39"/>
  <c r="M98" i="39" s="1"/>
  <c r="C98" i="40"/>
  <c r="C29" i="40"/>
  <c r="I29" i="39"/>
  <c r="M29" i="39" s="1"/>
  <c r="J15" i="39"/>
  <c r="N15" i="39" s="1"/>
  <c r="D15" i="40"/>
  <c r="J67" i="38"/>
  <c r="N67" i="38" s="1"/>
  <c r="D67" i="39"/>
  <c r="I71" i="39"/>
  <c r="M71" i="39" s="1"/>
  <c r="C71" i="40"/>
  <c r="J91" i="38"/>
  <c r="N91" i="38" s="1"/>
  <c r="D91" i="39"/>
  <c r="I64" i="39"/>
  <c r="M64" i="39" s="1"/>
  <c r="C64" i="40"/>
  <c r="D71" i="39"/>
  <c r="J71" i="38"/>
  <c r="N71" i="38" s="1"/>
  <c r="J25" i="39"/>
  <c r="N25" i="39" s="1"/>
  <c r="D25" i="40"/>
  <c r="J10" i="39"/>
  <c r="N10" i="39" s="1"/>
  <c r="D10" i="40"/>
  <c r="I80" i="39"/>
  <c r="M80" i="39" s="1"/>
  <c r="C80" i="40"/>
  <c r="D73" i="40"/>
  <c r="J73" i="39"/>
  <c r="N73" i="39" s="1"/>
  <c r="D40" i="39"/>
  <c r="J40" i="38"/>
  <c r="N40" i="38" s="1"/>
  <c r="J84" i="39"/>
  <c r="N84" i="39" s="1"/>
  <c r="D84" i="40"/>
  <c r="J81" i="38"/>
  <c r="N81" i="38" s="1"/>
  <c r="D81" i="39"/>
  <c r="D11" i="38"/>
  <c r="J11" i="37"/>
  <c r="N11" i="37" s="1"/>
  <c r="I45" i="39"/>
  <c r="M45" i="39" s="1"/>
  <c r="C45" i="40"/>
  <c r="I92" i="39"/>
  <c r="M92" i="39" s="1"/>
  <c r="C92" i="40"/>
  <c r="D14" i="40"/>
  <c r="J14" i="39"/>
  <c r="N14" i="39" s="1"/>
  <c r="I35" i="39"/>
  <c r="M35" i="39" s="1"/>
  <c r="C35" i="40"/>
  <c r="D26" i="40"/>
  <c r="J26" i="39"/>
  <c r="N26" i="39" s="1"/>
  <c r="C75" i="40"/>
  <c r="I75" i="39"/>
  <c r="M75" i="39" s="1"/>
  <c r="J78" i="39"/>
  <c r="N78" i="39" s="1"/>
  <c r="D78" i="40"/>
  <c r="C53" i="40"/>
  <c r="I53" i="39"/>
  <c r="M53" i="39" s="1"/>
  <c r="C56" i="40"/>
  <c r="I56" i="39"/>
  <c r="M56" i="39" s="1"/>
  <c r="J82" i="39"/>
  <c r="N82" i="39" s="1"/>
  <c r="D82" i="40"/>
  <c r="J63" i="38"/>
  <c r="N63" i="38" s="1"/>
  <c r="D63" i="39"/>
  <c r="D57" i="40"/>
  <c r="J57" i="39"/>
  <c r="N57" i="39" s="1"/>
  <c r="D74" i="39"/>
  <c r="J74" i="38"/>
  <c r="N74" i="38" s="1"/>
  <c r="J75" i="38"/>
  <c r="N75" i="38" s="1"/>
  <c r="D75" i="39"/>
  <c r="D17" i="40"/>
  <c r="J17" i="39"/>
  <c r="N17" i="39" s="1"/>
  <c r="I11" i="39"/>
  <c r="M11" i="39" s="1"/>
  <c r="C11" i="40"/>
  <c r="I27" i="39"/>
  <c r="M27" i="39" s="1"/>
  <c r="C27" i="40"/>
  <c r="J19" i="39"/>
  <c r="N19" i="39" s="1"/>
  <c r="D19" i="40"/>
  <c r="I9" i="39"/>
  <c r="M9" i="39" s="1"/>
  <c r="C9" i="40"/>
  <c r="I38" i="39"/>
  <c r="M38" i="39" s="1"/>
  <c r="C38" i="40"/>
  <c r="J49" i="39"/>
  <c r="N49" i="39" s="1"/>
  <c r="D49" i="40"/>
  <c r="C63" i="40"/>
  <c r="I63" i="39"/>
  <c r="M63" i="39" s="1"/>
  <c r="I62" i="39"/>
  <c r="M62" i="39" s="1"/>
  <c r="C62" i="40"/>
  <c r="J20" i="39"/>
  <c r="N20" i="39" s="1"/>
  <c r="D20" i="40"/>
  <c r="C42" i="40"/>
  <c r="I42" i="39"/>
  <c r="M42" i="39" s="1"/>
  <c r="I89" i="39"/>
  <c r="M89" i="39" s="1"/>
  <c r="C89" i="40"/>
  <c r="J12" i="39"/>
  <c r="N12" i="39" s="1"/>
  <c r="D12" i="40"/>
  <c r="I93" i="39"/>
  <c r="M93" i="39" s="1"/>
  <c r="C93" i="40"/>
  <c r="D16" i="39"/>
  <c r="J16" i="38"/>
  <c r="N16" i="38" s="1"/>
  <c r="I72" i="39"/>
  <c r="M72" i="39" s="1"/>
  <c r="C72" i="40"/>
  <c r="D50" i="40"/>
  <c r="J50" i="39"/>
  <c r="N50" i="39" s="1"/>
  <c r="J56" i="39"/>
  <c r="N56" i="39" s="1"/>
  <c r="D56" i="40"/>
  <c r="D8" i="40"/>
  <c r="J8" i="39"/>
  <c r="N8" i="39" s="1"/>
  <c r="D79" i="40"/>
  <c r="J79" i="39"/>
  <c r="N79" i="39" s="1"/>
  <c r="I94" i="39"/>
  <c r="M94" i="39" s="1"/>
  <c r="C94" i="40"/>
  <c r="J86" i="38"/>
  <c r="N86" i="38" s="1"/>
  <c r="D86" i="39"/>
  <c r="C17" i="40"/>
  <c r="I17" i="39"/>
  <c r="M17" i="39" s="1"/>
  <c r="J53" i="39"/>
  <c r="N53" i="39" s="1"/>
  <c r="D53" i="40"/>
  <c r="C77" i="40"/>
  <c r="I77" i="39"/>
  <c r="M77" i="39" s="1"/>
  <c r="I61" i="39"/>
  <c r="M61" i="39" s="1"/>
  <c r="C61" i="40"/>
  <c r="D99" i="39"/>
  <c r="J99" i="38"/>
  <c r="N99" i="38" s="1"/>
  <c r="I73" i="39"/>
  <c r="M73" i="39" s="1"/>
  <c r="C73" i="40"/>
  <c r="C90" i="40"/>
  <c r="I90" i="39"/>
  <c r="M90" i="39" s="1"/>
  <c r="D87" i="40"/>
  <c r="J87" i="39"/>
  <c r="N87" i="39" s="1"/>
  <c r="J43" i="39"/>
  <c r="N43" i="39" s="1"/>
  <c r="D43" i="40"/>
  <c r="J98" i="39"/>
  <c r="N98" i="39" s="1"/>
  <c r="D98" i="40"/>
  <c r="C86" i="40"/>
  <c r="I86" i="39"/>
  <c r="M86" i="39" s="1"/>
  <c r="C59" i="40"/>
  <c r="I59" i="39"/>
  <c r="M59" i="39" s="1"/>
  <c r="J96" i="38"/>
  <c r="N96" i="38" s="1"/>
  <c r="D96" i="39"/>
  <c r="D18" i="39"/>
  <c r="J18" i="38"/>
  <c r="N18" i="38" s="1"/>
  <c r="C74" i="40"/>
  <c r="I74" i="39"/>
  <c r="M74" i="39" s="1"/>
  <c r="J76" i="39"/>
  <c r="N76" i="39" s="1"/>
  <c r="D76" i="40"/>
  <c r="J45" i="39"/>
  <c r="N45" i="39" s="1"/>
  <c r="D45" i="40"/>
  <c r="C65" i="40"/>
  <c r="I65" i="39"/>
  <c r="M65" i="39" s="1"/>
  <c r="C70" i="40"/>
  <c r="I70" i="39"/>
  <c r="M70" i="39" s="1"/>
  <c r="I18" i="39"/>
  <c r="M18" i="39" s="1"/>
  <c r="C18" i="40"/>
  <c r="J29" i="39"/>
  <c r="N29" i="39" s="1"/>
  <c r="D29" i="40"/>
  <c r="D44" i="39"/>
  <c r="J44" i="38"/>
  <c r="N44" i="38" s="1"/>
  <c r="J22" i="39"/>
  <c r="N22" i="39" s="1"/>
  <c r="D22" i="40"/>
  <c r="I13" i="39"/>
  <c r="M13" i="39" s="1"/>
  <c r="C13" i="40"/>
  <c r="I97" i="39"/>
  <c r="M97" i="39" s="1"/>
  <c r="C97" i="40"/>
  <c r="I25" i="39"/>
  <c r="M25" i="39" s="1"/>
  <c r="C25" i="40"/>
  <c r="I54" i="39"/>
  <c r="M54" i="39" s="1"/>
  <c r="C54" i="40"/>
  <c r="J72" i="39"/>
  <c r="N72" i="39" s="1"/>
  <c r="D72" i="40"/>
  <c r="C32" i="40"/>
  <c r="I32" i="39"/>
  <c r="M32" i="39" s="1"/>
  <c r="C31" i="40"/>
  <c r="I31" i="39"/>
  <c r="M31" i="39" s="1"/>
  <c r="D55" i="40"/>
  <c r="J55" i="39"/>
  <c r="N55" i="39" s="1"/>
  <c r="C36" i="40"/>
  <c r="I36" i="39"/>
  <c r="M36" i="39" s="1"/>
  <c r="J95" i="38"/>
  <c r="N95" i="38" s="1"/>
  <c r="D95" i="39"/>
  <c r="I41" i="39"/>
  <c r="M41" i="39" s="1"/>
  <c r="C41" i="40"/>
  <c r="I96" i="39"/>
  <c r="M96" i="39" s="1"/>
  <c r="C96" i="40"/>
  <c r="D46" i="40"/>
  <c r="J46" i="39"/>
  <c r="N46" i="39" s="1"/>
  <c r="J58" i="39"/>
  <c r="N58" i="39" s="1"/>
  <c r="D58" i="40"/>
  <c r="C55" i="40"/>
  <c r="I55" i="39"/>
  <c r="M55" i="39" s="1"/>
  <c r="J37" i="39"/>
  <c r="N37" i="39" s="1"/>
  <c r="D37" i="40"/>
  <c r="I12" i="39"/>
  <c r="M12" i="39" s="1"/>
  <c r="C12" i="40"/>
  <c r="J70" i="39"/>
  <c r="N70" i="39" s="1"/>
  <c r="D70" i="40"/>
  <c r="I24" i="39"/>
  <c r="M24" i="39" s="1"/>
  <c r="C24" i="40"/>
  <c r="J54" i="39"/>
  <c r="N54" i="39" s="1"/>
  <c r="D54" i="40"/>
  <c r="C20" i="40"/>
  <c r="I20" i="39"/>
  <c r="M20" i="39" s="1"/>
  <c r="I58" i="39"/>
  <c r="M58" i="39" s="1"/>
  <c r="C58" i="40"/>
  <c r="D51" i="40"/>
  <c r="J51" i="39"/>
  <c r="N51" i="39" s="1"/>
  <c r="I26" i="39"/>
  <c r="M26" i="39" s="1"/>
  <c r="C26" i="40"/>
  <c r="I85" i="39"/>
  <c r="M85" i="39" s="1"/>
  <c r="C85" i="40"/>
  <c r="J47" i="39"/>
  <c r="N47" i="39" s="1"/>
  <c r="D47" i="40"/>
  <c r="C78" i="40"/>
  <c r="I78" i="39"/>
  <c r="M78" i="39" s="1"/>
  <c r="C34" i="40"/>
  <c r="I34" i="39"/>
  <c r="M34" i="39" s="1"/>
  <c r="C66" i="40"/>
  <c r="I66" i="39"/>
  <c r="M66" i="39" s="1"/>
  <c r="C79" i="40"/>
  <c r="I79" i="39"/>
  <c r="M79" i="39" s="1"/>
  <c r="D61" i="40"/>
  <c r="J61" i="39"/>
  <c r="N61" i="39" s="1"/>
  <c r="J77" i="39"/>
  <c r="N77" i="39" s="1"/>
  <c r="D77" i="40"/>
  <c r="C28" i="40"/>
  <c r="I28" i="39"/>
  <c r="M28" i="39" s="1"/>
  <c r="I48" i="39"/>
  <c r="M48" i="39" s="1"/>
  <c r="C48" i="40"/>
  <c r="J93" i="38"/>
  <c r="N93" i="38" s="1"/>
  <c r="D93" i="39"/>
  <c r="I88" i="39"/>
  <c r="M88" i="39" s="1"/>
  <c r="C88" i="40"/>
  <c r="I46" i="39"/>
  <c r="M46" i="39" s="1"/>
  <c r="C46" i="40"/>
  <c r="I21" i="39"/>
  <c r="M21" i="39" s="1"/>
  <c r="C21" i="40"/>
  <c r="I40" i="39"/>
  <c r="M40" i="39" s="1"/>
  <c r="C40" i="40"/>
  <c r="I16" i="39"/>
  <c r="M16" i="39" s="1"/>
  <c r="C16" i="40"/>
  <c r="J24" i="38"/>
  <c r="N24" i="38" s="1"/>
  <c r="D24" i="39"/>
  <c r="J64" i="39"/>
  <c r="N64" i="39" s="1"/>
  <c r="D64" i="40"/>
  <c r="J39" i="39"/>
  <c r="N39" i="39" s="1"/>
  <c r="D39" i="40"/>
  <c r="D38" i="40"/>
  <c r="J38" i="39"/>
  <c r="N38" i="39" s="1"/>
  <c r="D36" i="40"/>
  <c r="J36" i="39"/>
  <c r="N36" i="39" s="1"/>
  <c r="J31" i="39"/>
  <c r="N31" i="39" s="1"/>
  <c r="D31" i="40"/>
  <c r="D32" i="40"/>
  <c r="J32" i="39"/>
  <c r="N32" i="39" s="1"/>
  <c r="J33" i="39"/>
  <c r="N33" i="39" s="1"/>
  <c r="D33" i="40"/>
  <c r="D34" i="40"/>
  <c r="J34" i="39"/>
  <c r="N34" i="39" s="1"/>
  <c r="D35" i="40"/>
  <c r="J35" i="39"/>
  <c r="N35" i="39" s="1"/>
  <c r="J30" i="39"/>
  <c r="N30" i="39" s="1"/>
  <c r="D30" i="40"/>
  <c r="I28" i="40" l="1"/>
  <c r="M28" i="40" s="1"/>
  <c r="C28" i="41"/>
  <c r="D61" i="41"/>
  <c r="J61" i="40"/>
  <c r="N61" i="40" s="1"/>
  <c r="I66" i="40"/>
  <c r="M66" i="40" s="1"/>
  <c r="C66" i="41"/>
  <c r="C78" i="41"/>
  <c r="I78" i="40"/>
  <c r="M78" i="40" s="1"/>
  <c r="J51" i="40"/>
  <c r="N51" i="40" s="1"/>
  <c r="D51" i="41"/>
  <c r="C20" i="41"/>
  <c r="I20" i="40"/>
  <c r="M20" i="40" s="1"/>
  <c r="J55" i="40"/>
  <c r="N55" i="40" s="1"/>
  <c r="D55" i="41"/>
  <c r="I32" i="40"/>
  <c r="M32" i="40" s="1"/>
  <c r="C32" i="41"/>
  <c r="I70" i="40"/>
  <c r="M70" i="40" s="1"/>
  <c r="C70" i="41"/>
  <c r="J18" i="39"/>
  <c r="N18" i="39" s="1"/>
  <c r="D18" i="40"/>
  <c r="C59" i="41"/>
  <c r="I59" i="40"/>
  <c r="M59" i="40" s="1"/>
  <c r="J87" i="40"/>
  <c r="N87" i="40" s="1"/>
  <c r="D87" i="41"/>
  <c r="J79" i="40"/>
  <c r="N79" i="40" s="1"/>
  <c r="D79" i="41"/>
  <c r="D16" i="40"/>
  <c r="J16" i="39"/>
  <c r="N16" i="39" s="1"/>
  <c r="C42" i="41"/>
  <c r="I42" i="40"/>
  <c r="M42" i="40" s="1"/>
  <c r="D74" i="40"/>
  <c r="J74" i="39"/>
  <c r="N74" i="39" s="1"/>
  <c r="I56" i="40"/>
  <c r="M56" i="40" s="1"/>
  <c r="C56" i="41"/>
  <c r="D26" i="41"/>
  <c r="J26" i="40"/>
  <c r="N26" i="40" s="1"/>
  <c r="D14" i="41"/>
  <c r="J14" i="40"/>
  <c r="N14" i="40" s="1"/>
  <c r="D40" i="40"/>
  <c r="J40" i="39"/>
  <c r="N40" i="39" s="1"/>
  <c r="C84" i="41"/>
  <c r="I84" i="40"/>
  <c r="M84" i="40" s="1"/>
  <c r="J92" i="39"/>
  <c r="N92" i="39" s="1"/>
  <c r="D92" i="40"/>
  <c r="C95" i="41"/>
  <c r="I95" i="40"/>
  <c r="M95" i="40" s="1"/>
  <c r="D42" i="40"/>
  <c r="J42" i="39"/>
  <c r="N42" i="39" s="1"/>
  <c r="J88" i="39"/>
  <c r="N88" i="39" s="1"/>
  <c r="D88" i="40"/>
  <c r="I47" i="40"/>
  <c r="M47" i="40" s="1"/>
  <c r="C47" i="41"/>
  <c r="I69" i="40"/>
  <c r="M69" i="40" s="1"/>
  <c r="C69" i="41"/>
  <c r="D24" i="40"/>
  <c r="J24" i="39"/>
  <c r="N24" i="39" s="1"/>
  <c r="I40" i="40"/>
  <c r="M40" i="40" s="1"/>
  <c r="C40" i="41"/>
  <c r="C88" i="41"/>
  <c r="I88" i="40"/>
  <c r="M88" i="40" s="1"/>
  <c r="I48" i="40"/>
  <c r="M48" i="40" s="1"/>
  <c r="C48" i="41"/>
  <c r="D77" i="41"/>
  <c r="J77" i="40"/>
  <c r="N77" i="40" s="1"/>
  <c r="J47" i="40"/>
  <c r="N47" i="40" s="1"/>
  <c r="D47" i="41"/>
  <c r="I26" i="40"/>
  <c r="M26" i="40" s="1"/>
  <c r="C26" i="41"/>
  <c r="I58" i="40"/>
  <c r="M58" i="40" s="1"/>
  <c r="C58" i="41"/>
  <c r="D54" i="41"/>
  <c r="J54" i="40"/>
  <c r="N54" i="40" s="1"/>
  <c r="J70" i="40"/>
  <c r="N70" i="40" s="1"/>
  <c r="D70" i="41"/>
  <c r="I41" i="40"/>
  <c r="M41" i="40" s="1"/>
  <c r="C41" i="41"/>
  <c r="D72" i="41"/>
  <c r="J72" i="40"/>
  <c r="N72" i="40" s="1"/>
  <c r="C25" i="41"/>
  <c r="I25" i="40"/>
  <c r="M25" i="40" s="1"/>
  <c r="I13" i="40"/>
  <c r="M13" i="40" s="1"/>
  <c r="C13" i="41"/>
  <c r="C18" i="41"/>
  <c r="I18" i="40"/>
  <c r="M18" i="40" s="1"/>
  <c r="D45" i="41"/>
  <c r="J45" i="40"/>
  <c r="N45" i="40" s="1"/>
  <c r="J96" i="39"/>
  <c r="N96" i="39" s="1"/>
  <c r="D96" i="40"/>
  <c r="J43" i="40"/>
  <c r="N43" i="40" s="1"/>
  <c r="D43" i="41"/>
  <c r="C94" i="41"/>
  <c r="I94" i="40"/>
  <c r="M94" i="40" s="1"/>
  <c r="I72" i="40"/>
  <c r="M72" i="40" s="1"/>
  <c r="C72" i="41"/>
  <c r="I93" i="40"/>
  <c r="M93" i="40" s="1"/>
  <c r="C93" i="41"/>
  <c r="C89" i="41"/>
  <c r="I89" i="40"/>
  <c r="M89" i="40" s="1"/>
  <c r="J20" i="40"/>
  <c r="N20" i="40" s="1"/>
  <c r="D20" i="41"/>
  <c r="C38" i="41"/>
  <c r="I38" i="40"/>
  <c r="M38" i="40" s="1"/>
  <c r="D19" i="41"/>
  <c r="J19" i="40"/>
  <c r="N19" i="40" s="1"/>
  <c r="C11" i="41"/>
  <c r="I11" i="40"/>
  <c r="M11" i="40" s="1"/>
  <c r="D82" i="41"/>
  <c r="J82" i="40"/>
  <c r="N82" i="40" s="1"/>
  <c r="I35" i="40"/>
  <c r="M35" i="40" s="1"/>
  <c r="C35" i="41"/>
  <c r="C92" i="41"/>
  <c r="I92" i="40"/>
  <c r="M92" i="40" s="1"/>
  <c r="D84" i="41"/>
  <c r="J84" i="40"/>
  <c r="N84" i="40" s="1"/>
  <c r="D10" i="41"/>
  <c r="J10" i="40"/>
  <c r="N10" i="40" s="1"/>
  <c r="J91" i="39"/>
  <c r="N91" i="39" s="1"/>
  <c r="D91" i="40"/>
  <c r="J67" i="39"/>
  <c r="N67" i="39" s="1"/>
  <c r="D67" i="40"/>
  <c r="D68" i="41"/>
  <c r="J68" i="40"/>
  <c r="N68" i="40" s="1"/>
  <c r="I33" i="40"/>
  <c r="M33" i="40" s="1"/>
  <c r="C33" i="41"/>
  <c r="D65" i="40"/>
  <c r="J65" i="39"/>
  <c r="N65" i="39" s="1"/>
  <c r="I81" i="40"/>
  <c r="M81" i="40" s="1"/>
  <c r="C81" i="41"/>
  <c r="J28" i="40"/>
  <c r="N28" i="40" s="1"/>
  <c r="D28" i="41"/>
  <c r="C67" i="41"/>
  <c r="I67" i="40"/>
  <c r="M67" i="40" s="1"/>
  <c r="C68" i="41"/>
  <c r="I68" i="40"/>
  <c r="M68" i="40" s="1"/>
  <c r="D41" i="41"/>
  <c r="J41" i="40"/>
  <c r="N41" i="40" s="1"/>
  <c r="C37" i="41"/>
  <c r="I37" i="40"/>
  <c r="M37" i="40" s="1"/>
  <c r="I79" i="40"/>
  <c r="M79" i="40" s="1"/>
  <c r="C79" i="41"/>
  <c r="I34" i="40"/>
  <c r="M34" i="40" s="1"/>
  <c r="C34" i="41"/>
  <c r="C55" i="41"/>
  <c r="I55" i="40"/>
  <c r="M55" i="40" s="1"/>
  <c r="J46" i="40"/>
  <c r="N46" i="40" s="1"/>
  <c r="D46" i="41"/>
  <c r="C36" i="41"/>
  <c r="I36" i="40"/>
  <c r="M36" i="40" s="1"/>
  <c r="I31" i="40"/>
  <c r="M31" i="40" s="1"/>
  <c r="C31" i="41"/>
  <c r="J44" i="39"/>
  <c r="N44" i="39" s="1"/>
  <c r="D44" i="40"/>
  <c r="I65" i="40"/>
  <c r="M65" i="40" s="1"/>
  <c r="C65" i="41"/>
  <c r="I74" i="40"/>
  <c r="M74" i="40" s="1"/>
  <c r="C74" i="41"/>
  <c r="C86" i="41"/>
  <c r="I86" i="40"/>
  <c r="M86" i="40" s="1"/>
  <c r="I90" i="40"/>
  <c r="M90" i="40" s="1"/>
  <c r="C90" i="41"/>
  <c r="D99" i="40"/>
  <c r="J99" i="39"/>
  <c r="N99" i="39" s="1"/>
  <c r="I77" i="40"/>
  <c r="M77" i="40" s="1"/>
  <c r="C77" i="41"/>
  <c r="I17" i="40"/>
  <c r="M17" i="40" s="1"/>
  <c r="C17" i="41"/>
  <c r="J8" i="40"/>
  <c r="N8" i="40" s="1"/>
  <c r="D8" i="41"/>
  <c r="D50" i="41"/>
  <c r="J50" i="40"/>
  <c r="N50" i="40" s="1"/>
  <c r="C63" i="41"/>
  <c r="I63" i="40"/>
  <c r="M63" i="40" s="1"/>
  <c r="J17" i="40"/>
  <c r="N17" i="40" s="1"/>
  <c r="D17" i="41"/>
  <c r="D57" i="41"/>
  <c r="J57" i="40"/>
  <c r="N57" i="40" s="1"/>
  <c r="C53" i="41"/>
  <c r="I53" i="40"/>
  <c r="M53" i="40" s="1"/>
  <c r="C75" i="41"/>
  <c r="I75" i="40"/>
  <c r="M75" i="40" s="1"/>
  <c r="D11" i="39"/>
  <c r="J11" i="38"/>
  <c r="N11" i="38" s="1"/>
  <c r="D73" i="41"/>
  <c r="J73" i="40"/>
  <c r="N73" i="40" s="1"/>
  <c r="D71" i="40"/>
  <c r="J71" i="39"/>
  <c r="N71" i="39" s="1"/>
  <c r="C29" i="41"/>
  <c r="I29" i="40"/>
  <c r="M29" i="40" s="1"/>
  <c r="C10" i="41"/>
  <c r="I10" i="40"/>
  <c r="M10" i="40" s="1"/>
  <c r="D27" i="41"/>
  <c r="J27" i="40"/>
  <c r="N27" i="40" s="1"/>
  <c r="C8" i="41"/>
  <c r="I8" i="40"/>
  <c r="M8" i="40" s="1"/>
  <c r="D21" i="40"/>
  <c r="J21" i="39"/>
  <c r="N21" i="39" s="1"/>
  <c r="I83" i="40"/>
  <c r="M83" i="40" s="1"/>
  <c r="C83" i="41"/>
  <c r="I43" i="40"/>
  <c r="M43" i="40" s="1"/>
  <c r="C43" i="41"/>
  <c r="J23" i="39"/>
  <c r="N23" i="39" s="1"/>
  <c r="D23" i="40"/>
  <c r="C15" i="41"/>
  <c r="I15" i="40"/>
  <c r="M15" i="40" s="1"/>
  <c r="D66" i="41"/>
  <c r="J66" i="40"/>
  <c r="N66" i="40" s="1"/>
  <c r="I19" i="40"/>
  <c r="M19" i="40" s="1"/>
  <c r="C19" i="41"/>
  <c r="D48" i="41"/>
  <c r="J48" i="40"/>
  <c r="N48" i="40" s="1"/>
  <c r="D64" i="41"/>
  <c r="J64" i="40"/>
  <c r="N64" i="40" s="1"/>
  <c r="I16" i="40"/>
  <c r="M16" i="40" s="1"/>
  <c r="C16" i="41"/>
  <c r="C21" i="41"/>
  <c r="I21" i="40"/>
  <c r="M21" i="40" s="1"/>
  <c r="C46" i="41"/>
  <c r="I46" i="40"/>
  <c r="M46" i="40" s="1"/>
  <c r="J93" i="39"/>
  <c r="N93" i="39" s="1"/>
  <c r="D93" i="40"/>
  <c r="I85" i="40"/>
  <c r="M85" i="40" s="1"/>
  <c r="C85" i="41"/>
  <c r="C24" i="41"/>
  <c r="I24" i="40"/>
  <c r="M24" i="40" s="1"/>
  <c r="I12" i="40"/>
  <c r="M12" i="40" s="1"/>
  <c r="C12" i="41"/>
  <c r="J37" i="40"/>
  <c r="N37" i="40" s="1"/>
  <c r="D37" i="41"/>
  <c r="D58" i="41"/>
  <c r="J58" i="40"/>
  <c r="N58" i="40" s="1"/>
  <c r="I96" i="40"/>
  <c r="M96" i="40" s="1"/>
  <c r="C96" i="41"/>
  <c r="D95" i="40"/>
  <c r="J95" i="39"/>
  <c r="N95" i="39" s="1"/>
  <c r="I54" i="40"/>
  <c r="M54" i="40" s="1"/>
  <c r="C54" i="41"/>
  <c r="I97" i="40"/>
  <c r="M97" i="40" s="1"/>
  <c r="C97" i="41"/>
  <c r="D22" i="41"/>
  <c r="J22" i="40"/>
  <c r="N22" i="40" s="1"/>
  <c r="D29" i="41"/>
  <c r="J29" i="40"/>
  <c r="N29" i="40" s="1"/>
  <c r="D76" i="41"/>
  <c r="J76" i="40"/>
  <c r="N76" i="40" s="1"/>
  <c r="J98" i="40"/>
  <c r="N98" i="40" s="1"/>
  <c r="D98" i="41"/>
  <c r="C73" i="41"/>
  <c r="I73" i="40"/>
  <c r="M73" i="40" s="1"/>
  <c r="C61" i="41"/>
  <c r="I61" i="40"/>
  <c r="M61" i="40" s="1"/>
  <c r="D53" i="41"/>
  <c r="J53" i="40"/>
  <c r="N53" i="40" s="1"/>
  <c r="J86" i="39"/>
  <c r="N86" i="39" s="1"/>
  <c r="D86" i="40"/>
  <c r="D56" i="41"/>
  <c r="J56" i="40"/>
  <c r="N56" i="40" s="1"/>
  <c r="D12" i="41"/>
  <c r="J12" i="40"/>
  <c r="N12" i="40" s="1"/>
  <c r="I62" i="40"/>
  <c r="M62" i="40" s="1"/>
  <c r="C62" i="41"/>
  <c r="D49" i="41"/>
  <c r="J49" i="40"/>
  <c r="N49" i="40" s="1"/>
  <c r="C9" i="41"/>
  <c r="I9" i="40"/>
  <c r="M9" i="40" s="1"/>
  <c r="I27" i="40"/>
  <c r="M27" i="40" s="1"/>
  <c r="C27" i="41"/>
  <c r="J75" i="39"/>
  <c r="N75" i="39" s="1"/>
  <c r="D75" i="40"/>
  <c r="D63" i="40"/>
  <c r="J63" i="39"/>
  <c r="N63" i="39" s="1"/>
  <c r="D78" i="41"/>
  <c r="J78" i="40"/>
  <c r="N78" i="40" s="1"/>
  <c r="C45" i="41"/>
  <c r="I45" i="40"/>
  <c r="M45" i="40" s="1"/>
  <c r="D81" i="40"/>
  <c r="J81" i="39"/>
  <c r="N81" i="39" s="1"/>
  <c r="I80" i="40"/>
  <c r="M80" i="40" s="1"/>
  <c r="C80" i="41"/>
  <c r="D25" i="41"/>
  <c r="J25" i="40"/>
  <c r="N25" i="40" s="1"/>
  <c r="I64" i="40"/>
  <c r="M64" i="40" s="1"/>
  <c r="C64" i="41"/>
  <c r="C71" i="41"/>
  <c r="I71" i="40"/>
  <c r="M71" i="40" s="1"/>
  <c r="D15" i="41"/>
  <c r="J15" i="40"/>
  <c r="N15" i="40" s="1"/>
  <c r="C98" i="41"/>
  <c r="I98" i="40"/>
  <c r="M98" i="40" s="1"/>
  <c r="J90" i="40"/>
  <c r="N90" i="40" s="1"/>
  <c r="D90" i="41"/>
  <c r="J85" i="39"/>
  <c r="N85" i="39" s="1"/>
  <c r="D85" i="40"/>
  <c r="D62" i="41"/>
  <c r="J62" i="40"/>
  <c r="N62" i="40" s="1"/>
  <c r="D89" i="40"/>
  <c r="J89" i="39"/>
  <c r="N89" i="39" s="1"/>
  <c r="C30" i="41"/>
  <c r="I30" i="40"/>
  <c r="M30" i="40" s="1"/>
  <c r="C76" i="41"/>
  <c r="I76" i="40"/>
  <c r="M76" i="40" s="1"/>
  <c r="D83" i="41"/>
  <c r="J83" i="40"/>
  <c r="N83" i="40" s="1"/>
  <c r="D9" i="41"/>
  <c r="J9" i="40"/>
  <c r="N9" i="40" s="1"/>
  <c r="I87" i="40"/>
  <c r="M87" i="40" s="1"/>
  <c r="C87" i="41"/>
  <c r="C99" i="41"/>
  <c r="I99" i="40"/>
  <c r="M99" i="40" s="1"/>
  <c r="D52" i="41"/>
  <c r="J52" i="40"/>
  <c r="N52" i="40" s="1"/>
  <c r="J80" i="40"/>
  <c r="N80" i="40" s="1"/>
  <c r="D80" i="41"/>
  <c r="J13" i="40"/>
  <c r="N13" i="40" s="1"/>
  <c r="D13" i="41"/>
  <c r="C39" i="41"/>
  <c r="I39" i="40"/>
  <c r="M39" i="40" s="1"/>
  <c r="D39" i="41"/>
  <c r="J39" i="40"/>
  <c r="N39" i="40" s="1"/>
  <c r="D38" i="41"/>
  <c r="J38" i="40"/>
  <c r="N38" i="40" s="1"/>
  <c r="J36" i="40"/>
  <c r="N36" i="40" s="1"/>
  <c r="D36" i="41"/>
  <c r="D31" i="41"/>
  <c r="J31" i="40"/>
  <c r="N31" i="40" s="1"/>
  <c r="J32" i="40"/>
  <c r="N32" i="40" s="1"/>
  <c r="D32" i="41"/>
  <c r="D33" i="41"/>
  <c r="J33" i="40"/>
  <c r="N33" i="40" s="1"/>
  <c r="D34" i="41"/>
  <c r="J34" i="40"/>
  <c r="N34" i="40" s="1"/>
  <c r="J35" i="40"/>
  <c r="N35" i="40" s="1"/>
  <c r="D35" i="41"/>
  <c r="D30" i="41"/>
  <c r="J30" i="40"/>
  <c r="N30" i="40" s="1"/>
  <c r="C39" i="42" l="1"/>
  <c r="I39" i="41"/>
  <c r="M39" i="41" s="1"/>
  <c r="D52" i="42"/>
  <c r="J52" i="41"/>
  <c r="N52" i="41" s="1"/>
  <c r="C99" i="42"/>
  <c r="I99" i="41"/>
  <c r="M99" i="41" s="1"/>
  <c r="D9" i="42"/>
  <c r="J9" i="41"/>
  <c r="N9" i="41" s="1"/>
  <c r="C76" i="42"/>
  <c r="I76" i="41"/>
  <c r="M76" i="41" s="1"/>
  <c r="J89" i="40"/>
  <c r="N89" i="40" s="1"/>
  <c r="D89" i="41"/>
  <c r="I98" i="41"/>
  <c r="M98" i="41" s="1"/>
  <c r="C98" i="42"/>
  <c r="I71" i="41"/>
  <c r="M71" i="41" s="1"/>
  <c r="C71" i="42"/>
  <c r="D25" i="42"/>
  <c r="J25" i="41"/>
  <c r="N25" i="41" s="1"/>
  <c r="J81" i="40"/>
  <c r="N81" i="40" s="1"/>
  <c r="D81" i="41"/>
  <c r="J78" i="41"/>
  <c r="N78" i="41" s="1"/>
  <c r="D78" i="42"/>
  <c r="D49" i="42"/>
  <c r="J49" i="41"/>
  <c r="N49" i="41" s="1"/>
  <c r="J12" i="41"/>
  <c r="N12" i="41" s="1"/>
  <c r="D12" i="42"/>
  <c r="D56" i="42"/>
  <c r="J56" i="41"/>
  <c r="N56" i="41" s="1"/>
  <c r="I61" i="41"/>
  <c r="M61" i="41" s="1"/>
  <c r="C61" i="42"/>
  <c r="J22" i="41"/>
  <c r="N22" i="41" s="1"/>
  <c r="D22" i="42"/>
  <c r="I24" i="41"/>
  <c r="M24" i="41" s="1"/>
  <c r="C24" i="42"/>
  <c r="C21" i="42"/>
  <c r="I21" i="41"/>
  <c r="M21" i="41" s="1"/>
  <c r="D64" i="42"/>
  <c r="J64" i="41"/>
  <c r="N64" i="41" s="1"/>
  <c r="I15" i="41"/>
  <c r="M15" i="41" s="1"/>
  <c r="C15" i="42"/>
  <c r="D21" i="41"/>
  <c r="J21" i="40"/>
  <c r="N21" i="40" s="1"/>
  <c r="J27" i="41"/>
  <c r="N27" i="41" s="1"/>
  <c r="D27" i="42"/>
  <c r="C29" i="42"/>
  <c r="I29" i="41"/>
  <c r="M29" i="41" s="1"/>
  <c r="J73" i="41"/>
  <c r="N73" i="41" s="1"/>
  <c r="D73" i="42"/>
  <c r="I75" i="41"/>
  <c r="M75" i="41" s="1"/>
  <c r="C75" i="42"/>
  <c r="D57" i="42"/>
  <c r="J57" i="41"/>
  <c r="N57" i="41" s="1"/>
  <c r="I63" i="41"/>
  <c r="M63" i="41" s="1"/>
  <c r="C63" i="42"/>
  <c r="I36" i="41"/>
  <c r="M36" i="41" s="1"/>
  <c r="C36" i="42"/>
  <c r="I55" i="41"/>
  <c r="M55" i="41" s="1"/>
  <c r="C55" i="42"/>
  <c r="C37" i="42"/>
  <c r="I37" i="41"/>
  <c r="M37" i="41" s="1"/>
  <c r="D65" i="41"/>
  <c r="J65" i="40"/>
  <c r="N65" i="40" s="1"/>
  <c r="D68" i="42"/>
  <c r="J68" i="41"/>
  <c r="N68" i="41" s="1"/>
  <c r="D10" i="42"/>
  <c r="J10" i="41"/>
  <c r="N10" i="41" s="1"/>
  <c r="C92" i="42"/>
  <c r="I92" i="41"/>
  <c r="M92" i="41" s="1"/>
  <c r="D82" i="42"/>
  <c r="J82" i="41"/>
  <c r="N82" i="41" s="1"/>
  <c r="C11" i="42"/>
  <c r="I11" i="41"/>
  <c r="M11" i="41" s="1"/>
  <c r="I38" i="41"/>
  <c r="M38" i="41" s="1"/>
  <c r="C38" i="42"/>
  <c r="C89" i="42"/>
  <c r="I89" i="41"/>
  <c r="M89" i="41" s="1"/>
  <c r="I94" i="41"/>
  <c r="M94" i="41" s="1"/>
  <c r="C94" i="42"/>
  <c r="C18" i="42"/>
  <c r="I18" i="41"/>
  <c r="M18" i="41" s="1"/>
  <c r="C25" i="42"/>
  <c r="I25" i="41"/>
  <c r="M25" i="41" s="1"/>
  <c r="J54" i="41"/>
  <c r="N54" i="41" s="1"/>
  <c r="D54" i="42"/>
  <c r="J77" i="41"/>
  <c r="N77" i="41" s="1"/>
  <c r="D77" i="42"/>
  <c r="C88" i="42"/>
  <c r="I88" i="41"/>
  <c r="M88" i="41" s="1"/>
  <c r="I95" i="41"/>
  <c r="M95" i="41" s="1"/>
  <c r="C95" i="42"/>
  <c r="C84" i="42"/>
  <c r="I84" i="41"/>
  <c r="M84" i="41" s="1"/>
  <c r="D14" i="42"/>
  <c r="J14" i="41"/>
  <c r="N14" i="41" s="1"/>
  <c r="C42" i="42"/>
  <c r="I42" i="41"/>
  <c r="M42" i="41" s="1"/>
  <c r="C59" i="42"/>
  <c r="I59" i="41"/>
  <c r="M59" i="41" s="1"/>
  <c r="D13" i="42"/>
  <c r="J13" i="41"/>
  <c r="N13" i="41" s="1"/>
  <c r="C87" i="42"/>
  <c r="I87" i="41"/>
  <c r="M87" i="41" s="1"/>
  <c r="D90" i="42"/>
  <c r="J90" i="41"/>
  <c r="N90" i="41" s="1"/>
  <c r="C64" i="42"/>
  <c r="I64" i="41"/>
  <c r="M64" i="41" s="1"/>
  <c r="C80" i="42"/>
  <c r="I80" i="41"/>
  <c r="M80" i="41" s="1"/>
  <c r="I62" i="41"/>
  <c r="M62" i="41" s="1"/>
  <c r="C62" i="42"/>
  <c r="C97" i="42"/>
  <c r="I97" i="41"/>
  <c r="M97" i="41" s="1"/>
  <c r="C12" i="42"/>
  <c r="I12" i="41"/>
  <c r="M12" i="41" s="1"/>
  <c r="C85" i="42"/>
  <c r="I85" i="41"/>
  <c r="M85" i="41" s="1"/>
  <c r="C16" i="42"/>
  <c r="I16" i="41"/>
  <c r="M16" i="41" s="1"/>
  <c r="J23" i="40"/>
  <c r="N23" i="40" s="1"/>
  <c r="D23" i="41"/>
  <c r="C83" i="42"/>
  <c r="I83" i="41"/>
  <c r="M83" i="41" s="1"/>
  <c r="J17" i="41"/>
  <c r="N17" i="41" s="1"/>
  <c r="D17" i="42"/>
  <c r="I17" i="41"/>
  <c r="M17" i="41" s="1"/>
  <c r="C17" i="42"/>
  <c r="I65" i="41"/>
  <c r="M65" i="41" s="1"/>
  <c r="C65" i="42"/>
  <c r="I31" i="41"/>
  <c r="M31" i="41" s="1"/>
  <c r="C31" i="42"/>
  <c r="J46" i="41"/>
  <c r="N46" i="41" s="1"/>
  <c r="D46" i="42"/>
  <c r="C79" i="42"/>
  <c r="I79" i="41"/>
  <c r="M79" i="41" s="1"/>
  <c r="C81" i="42"/>
  <c r="I81" i="41"/>
  <c r="M81" i="41" s="1"/>
  <c r="C33" i="42"/>
  <c r="I33" i="41"/>
  <c r="M33" i="41" s="1"/>
  <c r="J91" i="40"/>
  <c r="N91" i="40" s="1"/>
  <c r="D91" i="41"/>
  <c r="C35" i="42"/>
  <c r="I35" i="41"/>
  <c r="M35" i="41" s="1"/>
  <c r="D20" i="42"/>
  <c r="J20" i="41"/>
  <c r="N20" i="41" s="1"/>
  <c r="I93" i="41"/>
  <c r="M93" i="41" s="1"/>
  <c r="C93" i="42"/>
  <c r="D43" i="42"/>
  <c r="J43" i="41"/>
  <c r="N43" i="41" s="1"/>
  <c r="C13" i="42"/>
  <c r="I13" i="41"/>
  <c r="M13" i="41" s="1"/>
  <c r="J70" i="41"/>
  <c r="N70" i="41" s="1"/>
  <c r="D70" i="42"/>
  <c r="C58" i="42"/>
  <c r="I58" i="41"/>
  <c r="M58" i="41" s="1"/>
  <c r="J47" i="41"/>
  <c r="N47" i="41" s="1"/>
  <c r="D47" i="42"/>
  <c r="C48" i="42"/>
  <c r="I48" i="41"/>
  <c r="M48" i="41" s="1"/>
  <c r="I47" i="41"/>
  <c r="M47" i="41" s="1"/>
  <c r="C47" i="42"/>
  <c r="J92" i="40"/>
  <c r="N92" i="40" s="1"/>
  <c r="D92" i="41"/>
  <c r="J87" i="41"/>
  <c r="N87" i="41" s="1"/>
  <c r="D87" i="42"/>
  <c r="J18" i="40"/>
  <c r="N18" i="40" s="1"/>
  <c r="D18" i="41"/>
  <c r="I32" i="41"/>
  <c r="M32" i="41" s="1"/>
  <c r="C32" i="42"/>
  <c r="D83" i="42"/>
  <c r="J83" i="41"/>
  <c r="N83" i="41" s="1"/>
  <c r="I30" i="41"/>
  <c r="M30" i="41" s="1"/>
  <c r="C30" i="42"/>
  <c r="J62" i="41"/>
  <c r="N62" i="41" s="1"/>
  <c r="D62" i="42"/>
  <c r="D15" i="42"/>
  <c r="J15" i="41"/>
  <c r="N15" i="41" s="1"/>
  <c r="I45" i="41"/>
  <c r="M45" i="41" s="1"/>
  <c r="C45" i="42"/>
  <c r="D63" i="41"/>
  <c r="J63" i="40"/>
  <c r="N63" i="40" s="1"/>
  <c r="I9" i="41"/>
  <c r="M9" i="41" s="1"/>
  <c r="C9" i="42"/>
  <c r="J53" i="41"/>
  <c r="N53" i="41" s="1"/>
  <c r="D53" i="42"/>
  <c r="I73" i="41"/>
  <c r="M73" i="41" s="1"/>
  <c r="C73" i="42"/>
  <c r="D76" i="42"/>
  <c r="J76" i="41"/>
  <c r="N76" i="41" s="1"/>
  <c r="D29" i="42"/>
  <c r="J29" i="41"/>
  <c r="N29" i="41" s="1"/>
  <c r="J95" i="40"/>
  <c r="N95" i="40" s="1"/>
  <c r="D95" i="41"/>
  <c r="J58" i="41"/>
  <c r="N58" i="41" s="1"/>
  <c r="D58" i="42"/>
  <c r="I46" i="41"/>
  <c r="M46" i="41" s="1"/>
  <c r="C46" i="42"/>
  <c r="J48" i="41"/>
  <c r="N48" i="41" s="1"/>
  <c r="D48" i="42"/>
  <c r="D66" i="42"/>
  <c r="J66" i="41"/>
  <c r="N66" i="41" s="1"/>
  <c r="I8" i="41"/>
  <c r="M8" i="41" s="1"/>
  <c r="C8" i="42"/>
  <c r="I10" i="41"/>
  <c r="M10" i="41" s="1"/>
  <c r="C10" i="42"/>
  <c r="D71" i="41"/>
  <c r="J71" i="40"/>
  <c r="N71" i="40" s="1"/>
  <c r="D11" i="40"/>
  <c r="J11" i="39"/>
  <c r="N11" i="39" s="1"/>
  <c r="C53" i="42"/>
  <c r="I53" i="41"/>
  <c r="M53" i="41" s="1"/>
  <c r="J50" i="41"/>
  <c r="N50" i="41" s="1"/>
  <c r="D50" i="42"/>
  <c r="D99" i="41"/>
  <c r="J99" i="40"/>
  <c r="N99" i="40" s="1"/>
  <c r="C86" i="42"/>
  <c r="I86" i="41"/>
  <c r="M86" i="41" s="1"/>
  <c r="D41" i="42"/>
  <c r="J41" i="41"/>
  <c r="N41" i="41" s="1"/>
  <c r="C68" i="42"/>
  <c r="I68" i="41"/>
  <c r="M68" i="41" s="1"/>
  <c r="C67" i="42"/>
  <c r="I67" i="41"/>
  <c r="M67" i="41" s="1"/>
  <c r="D84" i="42"/>
  <c r="J84" i="41"/>
  <c r="N84" i="41" s="1"/>
  <c r="D19" i="42"/>
  <c r="J19" i="41"/>
  <c r="N19" i="41" s="1"/>
  <c r="J45" i="41"/>
  <c r="N45" i="41" s="1"/>
  <c r="D45" i="42"/>
  <c r="D72" i="42"/>
  <c r="J72" i="41"/>
  <c r="N72" i="41" s="1"/>
  <c r="D24" i="41"/>
  <c r="J24" i="40"/>
  <c r="N24" i="40" s="1"/>
  <c r="J42" i="40"/>
  <c r="N42" i="40" s="1"/>
  <c r="D42" i="41"/>
  <c r="J40" i="40"/>
  <c r="N40" i="40" s="1"/>
  <c r="D40" i="41"/>
  <c r="D26" i="42"/>
  <c r="J26" i="41"/>
  <c r="N26" i="41" s="1"/>
  <c r="D74" i="41"/>
  <c r="J74" i="40"/>
  <c r="N74" i="40" s="1"/>
  <c r="J16" i="40"/>
  <c r="N16" i="40" s="1"/>
  <c r="D16" i="41"/>
  <c r="I20" i="41"/>
  <c r="M20" i="41" s="1"/>
  <c r="C20" i="42"/>
  <c r="C78" i="42"/>
  <c r="I78" i="41"/>
  <c r="M78" i="41" s="1"/>
  <c r="J61" i="41"/>
  <c r="N61" i="41" s="1"/>
  <c r="D61" i="42"/>
  <c r="D80" i="42"/>
  <c r="J80" i="41"/>
  <c r="N80" i="41" s="1"/>
  <c r="J85" i="40"/>
  <c r="N85" i="40" s="1"/>
  <c r="D85" i="41"/>
  <c r="D75" i="41"/>
  <c r="J75" i="40"/>
  <c r="N75" i="40" s="1"/>
  <c r="I27" i="41"/>
  <c r="M27" i="41" s="1"/>
  <c r="C27" i="42"/>
  <c r="D86" i="41"/>
  <c r="J86" i="40"/>
  <c r="N86" i="40" s="1"/>
  <c r="D98" i="42"/>
  <c r="J98" i="41"/>
  <c r="N98" i="41" s="1"/>
  <c r="C54" i="42"/>
  <c r="I54" i="41"/>
  <c r="M54" i="41" s="1"/>
  <c r="I96" i="41"/>
  <c r="M96" i="41" s="1"/>
  <c r="C96" i="42"/>
  <c r="D37" i="42"/>
  <c r="J37" i="41"/>
  <c r="N37" i="41" s="1"/>
  <c r="J93" i="40"/>
  <c r="N93" i="40" s="1"/>
  <c r="D93" i="41"/>
  <c r="I19" i="41"/>
  <c r="M19" i="41" s="1"/>
  <c r="C19" i="42"/>
  <c r="I43" i="41"/>
  <c r="M43" i="41" s="1"/>
  <c r="C43" i="42"/>
  <c r="D8" i="42"/>
  <c r="J8" i="41"/>
  <c r="N8" i="41" s="1"/>
  <c r="C77" i="42"/>
  <c r="I77" i="41"/>
  <c r="M77" i="41" s="1"/>
  <c r="C90" i="42"/>
  <c r="I90" i="41"/>
  <c r="M90" i="41" s="1"/>
  <c r="C74" i="42"/>
  <c r="I74" i="41"/>
  <c r="M74" i="41" s="1"/>
  <c r="J44" i="40"/>
  <c r="N44" i="40" s="1"/>
  <c r="D44" i="41"/>
  <c r="I34" i="41"/>
  <c r="M34" i="41" s="1"/>
  <c r="C34" i="42"/>
  <c r="D28" i="42"/>
  <c r="J28" i="41"/>
  <c r="N28" i="41" s="1"/>
  <c r="J67" i="40"/>
  <c r="N67" i="40" s="1"/>
  <c r="D67" i="41"/>
  <c r="C72" i="42"/>
  <c r="I72" i="41"/>
  <c r="M72" i="41" s="1"/>
  <c r="D96" i="41"/>
  <c r="J96" i="40"/>
  <c r="N96" i="40" s="1"/>
  <c r="C41" i="42"/>
  <c r="I41" i="41"/>
  <c r="M41" i="41" s="1"/>
  <c r="C26" i="42"/>
  <c r="I26" i="41"/>
  <c r="M26" i="41" s="1"/>
  <c r="I40" i="41"/>
  <c r="M40" i="41" s="1"/>
  <c r="C40" i="42"/>
  <c r="C69" i="42"/>
  <c r="I69" i="41"/>
  <c r="M69" i="41" s="1"/>
  <c r="J88" i="40"/>
  <c r="N88" i="40" s="1"/>
  <c r="D88" i="41"/>
  <c r="C56" i="42"/>
  <c r="I56" i="41"/>
  <c r="M56" i="41" s="1"/>
  <c r="J79" i="41"/>
  <c r="N79" i="41" s="1"/>
  <c r="D79" i="42"/>
  <c r="C70" i="42"/>
  <c r="I70" i="41"/>
  <c r="M70" i="41" s="1"/>
  <c r="J55" i="41"/>
  <c r="N55" i="41" s="1"/>
  <c r="D55" i="42"/>
  <c r="D51" i="42"/>
  <c r="J51" i="41"/>
  <c r="N51" i="41" s="1"/>
  <c r="C66" i="42"/>
  <c r="I66" i="41"/>
  <c r="M66" i="41" s="1"/>
  <c r="C28" i="42"/>
  <c r="I28" i="41"/>
  <c r="M28" i="41" s="1"/>
  <c r="J39" i="41"/>
  <c r="N39" i="41" s="1"/>
  <c r="D39" i="42"/>
  <c r="J38" i="41"/>
  <c r="N38" i="41" s="1"/>
  <c r="D38" i="42"/>
  <c r="D36" i="42"/>
  <c r="J36" i="41"/>
  <c r="N36" i="41" s="1"/>
  <c r="J31" i="41"/>
  <c r="N31" i="41" s="1"/>
  <c r="D31" i="42"/>
  <c r="J32" i="41"/>
  <c r="N32" i="41" s="1"/>
  <c r="D32" i="42"/>
  <c r="D33" i="42"/>
  <c r="J33" i="41"/>
  <c r="N33" i="41" s="1"/>
  <c r="D34" i="42"/>
  <c r="J34" i="41"/>
  <c r="N34" i="41" s="1"/>
  <c r="J35" i="41"/>
  <c r="N35" i="41" s="1"/>
  <c r="D35" i="42"/>
  <c r="J30" i="41"/>
  <c r="N30" i="41" s="1"/>
  <c r="D30" i="42"/>
  <c r="I28" i="42" l="1"/>
  <c r="M28" i="42" s="1"/>
  <c r="C28" i="43"/>
  <c r="D51" i="43"/>
  <c r="J51" i="42"/>
  <c r="N51" i="42" s="1"/>
  <c r="I70" i="42"/>
  <c r="M70" i="42" s="1"/>
  <c r="C70" i="43"/>
  <c r="I56" i="42"/>
  <c r="M56" i="42" s="1"/>
  <c r="C56" i="43"/>
  <c r="C69" i="43"/>
  <c r="I69" i="42"/>
  <c r="M69" i="42" s="1"/>
  <c r="C26" i="43"/>
  <c r="I26" i="42"/>
  <c r="M26" i="42" s="1"/>
  <c r="D96" i="42"/>
  <c r="J96" i="41"/>
  <c r="N96" i="41" s="1"/>
  <c r="C90" i="43"/>
  <c r="I90" i="42"/>
  <c r="M90" i="42" s="1"/>
  <c r="J8" i="42"/>
  <c r="N8" i="42" s="1"/>
  <c r="D8" i="43"/>
  <c r="J37" i="42"/>
  <c r="N37" i="42" s="1"/>
  <c r="D37" i="43"/>
  <c r="I54" i="42"/>
  <c r="M54" i="42" s="1"/>
  <c r="C54" i="43"/>
  <c r="D98" i="43"/>
  <c r="J98" i="42"/>
  <c r="N98" i="42" s="1"/>
  <c r="J74" i="41"/>
  <c r="N74" i="41" s="1"/>
  <c r="D74" i="42"/>
  <c r="D24" i="42"/>
  <c r="J24" i="41"/>
  <c r="N24" i="41" s="1"/>
  <c r="J72" i="42"/>
  <c r="N72" i="42" s="1"/>
  <c r="D72" i="43"/>
  <c r="D19" i="43"/>
  <c r="J19" i="42"/>
  <c r="N19" i="42" s="1"/>
  <c r="J84" i="42"/>
  <c r="N84" i="42" s="1"/>
  <c r="D84" i="43"/>
  <c r="I68" i="42"/>
  <c r="M68" i="42" s="1"/>
  <c r="C68" i="43"/>
  <c r="C86" i="43"/>
  <c r="I86" i="42"/>
  <c r="M86" i="42" s="1"/>
  <c r="J11" i="40"/>
  <c r="N11" i="40" s="1"/>
  <c r="D11" i="41"/>
  <c r="D66" i="43"/>
  <c r="J66" i="42"/>
  <c r="N66" i="42" s="1"/>
  <c r="J76" i="42"/>
  <c r="N76" i="42" s="1"/>
  <c r="D76" i="43"/>
  <c r="J63" i="41"/>
  <c r="N63" i="41" s="1"/>
  <c r="D63" i="42"/>
  <c r="J15" i="42"/>
  <c r="N15" i="42" s="1"/>
  <c r="D15" i="43"/>
  <c r="I48" i="42"/>
  <c r="M48" i="42" s="1"/>
  <c r="C48" i="43"/>
  <c r="C58" i="43"/>
  <c r="I58" i="42"/>
  <c r="M58" i="42" s="1"/>
  <c r="I13" i="42"/>
  <c r="M13" i="42" s="1"/>
  <c r="C13" i="43"/>
  <c r="J20" i="42"/>
  <c r="N20" i="42" s="1"/>
  <c r="D20" i="43"/>
  <c r="I33" i="42"/>
  <c r="M33" i="42" s="1"/>
  <c r="C33" i="43"/>
  <c r="I79" i="42"/>
  <c r="M79" i="42" s="1"/>
  <c r="C79" i="43"/>
  <c r="C85" i="43"/>
  <c r="I85" i="42"/>
  <c r="M85" i="42" s="1"/>
  <c r="I97" i="42"/>
  <c r="M97" i="42" s="1"/>
  <c r="C97" i="43"/>
  <c r="I64" i="42"/>
  <c r="M64" i="42" s="1"/>
  <c r="C64" i="43"/>
  <c r="C87" i="43"/>
  <c r="I87" i="42"/>
  <c r="M87" i="42" s="1"/>
  <c r="D13" i="43"/>
  <c r="J13" i="42"/>
  <c r="N13" i="42" s="1"/>
  <c r="C42" i="43"/>
  <c r="I42" i="42"/>
  <c r="M42" i="42" s="1"/>
  <c r="I84" i="42"/>
  <c r="M84" i="42" s="1"/>
  <c r="C84" i="43"/>
  <c r="I88" i="42"/>
  <c r="M88" i="42" s="1"/>
  <c r="C88" i="43"/>
  <c r="I18" i="42"/>
  <c r="M18" i="42" s="1"/>
  <c r="C18" i="43"/>
  <c r="C89" i="43"/>
  <c r="I89" i="42"/>
  <c r="M89" i="42" s="1"/>
  <c r="C11" i="43"/>
  <c r="I11" i="42"/>
  <c r="M11" i="42" s="1"/>
  <c r="I92" i="42"/>
  <c r="M92" i="42" s="1"/>
  <c r="C92" i="43"/>
  <c r="J68" i="42"/>
  <c r="N68" i="42" s="1"/>
  <c r="D68" i="43"/>
  <c r="I29" i="42"/>
  <c r="M29" i="42" s="1"/>
  <c r="C29" i="43"/>
  <c r="D21" i="42"/>
  <c r="J21" i="41"/>
  <c r="N21" i="41" s="1"/>
  <c r="J64" i="42"/>
  <c r="N64" i="42" s="1"/>
  <c r="D64" i="43"/>
  <c r="J25" i="42"/>
  <c r="N25" i="42" s="1"/>
  <c r="D25" i="43"/>
  <c r="I76" i="42"/>
  <c r="M76" i="42" s="1"/>
  <c r="C76" i="43"/>
  <c r="I99" i="42"/>
  <c r="M99" i="42" s="1"/>
  <c r="C99" i="43"/>
  <c r="C39" i="43"/>
  <c r="I39" i="42"/>
  <c r="M39" i="42" s="1"/>
  <c r="D55" i="43"/>
  <c r="J55" i="42"/>
  <c r="N55" i="42" s="1"/>
  <c r="D79" i="43"/>
  <c r="J79" i="42"/>
  <c r="N79" i="42" s="1"/>
  <c r="D88" i="42"/>
  <c r="J88" i="41"/>
  <c r="N88" i="41" s="1"/>
  <c r="I40" i="42"/>
  <c r="M40" i="42" s="1"/>
  <c r="C40" i="43"/>
  <c r="C34" i="43"/>
  <c r="I34" i="42"/>
  <c r="M34" i="42" s="1"/>
  <c r="C43" i="43"/>
  <c r="I43" i="42"/>
  <c r="M43" i="42" s="1"/>
  <c r="J93" i="41"/>
  <c r="N93" i="41" s="1"/>
  <c r="D93" i="42"/>
  <c r="I96" i="42"/>
  <c r="M96" i="42" s="1"/>
  <c r="C96" i="43"/>
  <c r="D16" i="42"/>
  <c r="J16" i="41"/>
  <c r="N16" i="41" s="1"/>
  <c r="D42" i="42"/>
  <c r="J42" i="41"/>
  <c r="N42" i="41" s="1"/>
  <c r="D45" i="43"/>
  <c r="J45" i="42"/>
  <c r="N45" i="42" s="1"/>
  <c r="C8" i="43"/>
  <c r="I8" i="42"/>
  <c r="M8" i="42" s="1"/>
  <c r="J48" i="42"/>
  <c r="N48" i="42" s="1"/>
  <c r="D48" i="43"/>
  <c r="D58" i="43"/>
  <c r="J58" i="42"/>
  <c r="N58" i="42" s="1"/>
  <c r="C73" i="43"/>
  <c r="I73" i="42"/>
  <c r="M73" i="42" s="1"/>
  <c r="C45" i="43"/>
  <c r="I45" i="42"/>
  <c r="M45" i="42" s="1"/>
  <c r="J62" i="42"/>
  <c r="N62" i="42" s="1"/>
  <c r="D62" i="43"/>
  <c r="I32" i="42"/>
  <c r="M32" i="42" s="1"/>
  <c r="C32" i="43"/>
  <c r="D87" i="43"/>
  <c r="J87" i="42"/>
  <c r="N87" i="42" s="1"/>
  <c r="I47" i="42"/>
  <c r="M47" i="42" s="1"/>
  <c r="C47" i="43"/>
  <c r="J47" i="42"/>
  <c r="N47" i="42" s="1"/>
  <c r="D47" i="43"/>
  <c r="J70" i="42"/>
  <c r="N70" i="42" s="1"/>
  <c r="D70" i="43"/>
  <c r="C93" i="43"/>
  <c r="I93" i="42"/>
  <c r="M93" i="42" s="1"/>
  <c r="I31" i="42"/>
  <c r="M31" i="42" s="1"/>
  <c r="C31" i="43"/>
  <c r="C17" i="43"/>
  <c r="I17" i="42"/>
  <c r="M17" i="42" s="1"/>
  <c r="C95" i="43"/>
  <c r="I95" i="42"/>
  <c r="M95" i="42" s="1"/>
  <c r="J77" i="42"/>
  <c r="N77" i="42" s="1"/>
  <c r="D77" i="43"/>
  <c r="C94" i="43"/>
  <c r="I94" i="42"/>
  <c r="M94" i="42" s="1"/>
  <c r="C38" i="43"/>
  <c r="I38" i="42"/>
  <c r="M38" i="42" s="1"/>
  <c r="C36" i="43"/>
  <c r="I36" i="42"/>
  <c r="M36" i="42" s="1"/>
  <c r="J73" i="42"/>
  <c r="N73" i="42" s="1"/>
  <c r="D73" i="43"/>
  <c r="D27" i="43"/>
  <c r="J27" i="42"/>
  <c r="N27" i="42" s="1"/>
  <c r="I15" i="42"/>
  <c r="M15" i="42" s="1"/>
  <c r="C15" i="43"/>
  <c r="J22" i="42"/>
  <c r="N22" i="42" s="1"/>
  <c r="D22" i="43"/>
  <c r="D81" i="42"/>
  <c r="J81" i="41"/>
  <c r="N81" i="41" s="1"/>
  <c r="I71" i="42"/>
  <c r="M71" i="42" s="1"/>
  <c r="C71" i="43"/>
  <c r="J89" i="41"/>
  <c r="N89" i="41" s="1"/>
  <c r="D89" i="42"/>
  <c r="C66" i="43"/>
  <c r="I66" i="42"/>
  <c r="M66" i="42" s="1"/>
  <c r="C41" i="43"/>
  <c r="I41" i="42"/>
  <c r="M41" i="42" s="1"/>
  <c r="I72" i="42"/>
  <c r="M72" i="42" s="1"/>
  <c r="C72" i="43"/>
  <c r="D28" i="43"/>
  <c r="J28" i="42"/>
  <c r="N28" i="42" s="1"/>
  <c r="C74" i="43"/>
  <c r="I74" i="42"/>
  <c r="M74" i="42" s="1"/>
  <c r="I77" i="42"/>
  <c r="M77" i="42" s="1"/>
  <c r="C77" i="43"/>
  <c r="J86" i="41"/>
  <c r="N86" i="41" s="1"/>
  <c r="D86" i="42"/>
  <c r="D75" i="42"/>
  <c r="J75" i="41"/>
  <c r="N75" i="41" s="1"/>
  <c r="D80" i="43"/>
  <c r="J80" i="42"/>
  <c r="N80" i="42" s="1"/>
  <c r="I78" i="42"/>
  <c r="M78" i="42" s="1"/>
  <c r="C78" i="43"/>
  <c r="D26" i="43"/>
  <c r="J26" i="42"/>
  <c r="N26" i="42" s="1"/>
  <c r="C67" i="43"/>
  <c r="I67" i="42"/>
  <c r="M67" i="42" s="1"/>
  <c r="J41" i="42"/>
  <c r="N41" i="42" s="1"/>
  <c r="D41" i="43"/>
  <c r="J99" i="41"/>
  <c r="N99" i="41" s="1"/>
  <c r="D99" i="42"/>
  <c r="I53" i="42"/>
  <c r="M53" i="42" s="1"/>
  <c r="C53" i="43"/>
  <c r="J71" i="41"/>
  <c r="N71" i="41" s="1"/>
  <c r="D71" i="42"/>
  <c r="J29" i="42"/>
  <c r="N29" i="42" s="1"/>
  <c r="D29" i="43"/>
  <c r="D83" i="43"/>
  <c r="J83" i="42"/>
  <c r="N83" i="42" s="1"/>
  <c r="J43" i="42"/>
  <c r="N43" i="42" s="1"/>
  <c r="D43" i="43"/>
  <c r="C35" i="43"/>
  <c r="I35" i="42"/>
  <c r="M35" i="42" s="1"/>
  <c r="C81" i="43"/>
  <c r="I81" i="42"/>
  <c r="M81" i="42" s="1"/>
  <c r="C83" i="43"/>
  <c r="I83" i="42"/>
  <c r="M83" i="42" s="1"/>
  <c r="C16" i="43"/>
  <c r="I16" i="42"/>
  <c r="M16" i="42" s="1"/>
  <c r="I12" i="42"/>
  <c r="M12" i="42" s="1"/>
  <c r="C12" i="43"/>
  <c r="C80" i="43"/>
  <c r="I80" i="42"/>
  <c r="M80" i="42" s="1"/>
  <c r="D90" i="43"/>
  <c r="J90" i="42"/>
  <c r="N90" i="42" s="1"/>
  <c r="I59" i="42"/>
  <c r="M59" i="42" s="1"/>
  <c r="C59" i="43"/>
  <c r="J14" i="42"/>
  <c r="N14" i="42" s="1"/>
  <c r="D14" i="43"/>
  <c r="I25" i="42"/>
  <c r="M25" i="42" s="1"/>
  <c r="C25" i="43"/>
  <c r="J82" i="42"/>
  <c r="N82" i="42" s="1"/>
  <c r="D82" i="43"/>
  <c r="J10" i="42"/>
  <c r="N10" i="42" s="1"/>
  <c r="D10" i="43"/>
  <c r="D65" i="42"/>
  <c r="J65" i="41"/>
  <c r="N65" i="41" s="1"/>
  <c r="C37" i="43"/>
  <c r="I37" i="42"/>
  <c r="M37" i="42" s="1"/>
  <c r="J57" i="42"/>
  <c r="N57" i="42" s="1"/>
  <c r="D57" i="43"/>
  <c r="I21" i="42"/>
  <c r="M21" i="42" s="1"/>
  <c r="C21" i="43"/>
  <c r="J56" i="42"/>
  <c r="N56" i="42" s="1"/>
  <c r="D56" i="43"/>
  <c r="J49" i="42"/>
  <c r="N49" i="42" s="1"/>
  <c r="D49" i="43"/>
  <c r="J9" i="42"/>
  <c r="N9" i="42" s="1"/>
  <c r="D9" i="43"/>
  <c r="J52" i="42"/>
  <c r="N52" i="42" s="1"/>
  <c r="D52" i="43"/>
  <c r="J67" i="41"/>
  <c r="N67" i="41" s="1"/>
  <c r="D67" i="42"/>
  <c r="D44" i="42"/>
  <c r="J44" i="41"/>
  <c r="N44" i="41" s="1"/>
  <c r="C19" i="43"/>
  <c r="I19" i="42"/>
  <c r="M19" i="42" s="1"/>
  <c r="C27" i="43"/>
  <c r="I27" i="42"/>
  <c r="M27" i="42" s="1"/>
  <c r="J85" i="41"/>
  <c r="N85" i="41" s="1"/>
  <c r="D85" i="42"/>
  <c r="J61" i="42"/>
  <c r="N61" i="42" s="1"/>
  <c r="D61" i="43"/>
  <c r="C20" i="43"/>
  <c r="I20" i="42"/>
  <c r="M20" i="42" s="1"/>
  <c r="J40" i="41"/>
  <c r="N40" i="41" s="1"/>
  <c r="D40" i="42"/>
  <c r="D50" i="43"/>
  <c r="J50" i="42"/>
  <c r="N50" i="42" s="1"/>
  <c r="C10" i="43"/>
  <c r="I10" i="42"/>
  <c r="M10" i="42" s="1"/>
  <c r="I46" i="42"/>
  <c r="M46" i="42" s="1"/>
  <c r="C46" i="43"/>
  <c r="J95" i="41"/>
  <c r="N95" i="41" s="1"/>
  <c r="D95" i="42"/>
  <c r="J53" i="42"/>
  <c r="N53" i="42" s="1"/>
  <c r="D53" i="43"/>
  <c r="I9" i="42"/>
  <c r="M9" i="42" s="1"/>
  <c r="C9" i="43"/>
  <c r="C30" i="43"/>
  <c r="I30" i="42"/>
  <c r="M30" i="42" s="1"/>
  <c r="J18" i="41"/>
  <c r="N18" i="41" s="1"/>
  <c r="D18" i="42"/>
  <c r="D92" i="42"/>
  <c r="J92" i="41"/>
  <c r="N92" i="41" s="1"/>
  <c r="D91" i="42"/>
  <c r="J91" i="41"/>
  <c r="N91" i="41" s="1"/>
  <c r="J46" i="42"/>
  <c r="N46" i="42" s="1"/>
  <c r="D46" i="43"/>
  <c r="I65" i="42"/>
  <c r="M65" i="42" s="1"/>
  <c r="C65" i="43"/>
  <c r="J17" i="42"/>
  <c r="N17" i="42" s="1"/>
  <c r="D17" i="43"/>
  <c r="D23" i="42"/>
  <c r="J23" i="41"/>
  <c r="N23" i="41" s="1"/>
  <c r="I62" i="42"/>
  <c r="M62" i="42" s="1"/>
  <c r="C62" i="43"/>
  <c r="J54" i="42"/>
  <c r="N54" i="42" s="1"/>
  <c r="D54" i="43"/>
  <c r="I55" i="42"/>
  <c r="M55" i="42" s="1"/>
  <c r="C55" i="43"/>
  <c r="I63" i="42"/>
  <c r="M63" i="42" s="1"/>
  <c r="C63" i="43"/>
  <c r="I75" i="42"/>
  <c r="M75" i="42" s="1"/>
  <c r="C75" i="43"/>
  <c r="I24" i="42"/>
  <c r="M24" i="42" s="1"/>
  <c r="C24" i="43"/>
  <c r="C61" i="43"/>
  <c r="I61" i="42"/>
  <c r="M61" i="42" s="1"/>
  <c r="J12" i="42"/>
  <c r="N12" i="42" s="1"/>
  <c r="D12" i="43"/>
  <c r="J78" i="42"/>
  <c r="N78" i="42" s="1"/>
  <c r="D78" i="43"/>
  <c r="C98" i="43"/>
  <c r="I98" i="42"/>
  <c r="M98" i="42" s="1"/>
  <c r="J39" i="42"/>
  <c r="N39" i="42" s="1"/>
  <c r="D39" i="43"/>
  <c r="J38" i="42"/>
  <c r="N38" i="42" s="1"/>
  <c r="D38" i="43"/>
  <c r="J36" i="42"/>
  <c r="N36" i="42" s="1"/>
  <c r="D36" i="43"/>
  <c r="J31" i="42"/>
  <c r="N31" i="42" s="1"/>
  <c r="D31" i="43"/>
  <c r="D32" i="43"/>
  <c r="J32" i="42"/>
  <c r="N32" i="42" s="1"/>
  <c r="J33" i="42"/>
  <c r="N33" i="42" s="1"/>
  <c r="D33" i="43"/>
  <c r="J34" i="42"/>
  <c r="N34" i="42" s="1"/>
  <c r="D34" i="43"/>
  <c r="J35" i="42"/>
  <c r="N35" i="42" s="1"/>
  <c r="D35" i="43"/>
  <c r="J30" i="42"/>
  <c r="N30" i="42" s="1"/>
  <c r="D30" i="43"/>
  <c r="C98" i="44" l="1"/>
  <c r="I98" i="43"/>
  <c r="M98" i="43" s="1"/>
  <c r="J23" i="42"/>
  <c r="N23" i="42" s="1"/>
  <c r="D23" i="43"/>
  <c r="D91" i="43"/>
  <c r="J91" i="42"/>
  <c r="N91" i="42" s="1"/>
  <c r="J92" i="42"/>
  <c r="N92" i="42" s="1"/>
  <c r="D92" i="43"/>
  <c r="I10" i="43"/>
  <c r="M10" i="43" s="1"/>
  <c r="C10" i="44"/>
  <c r="C27" i="44"/>
  <c r="I27" i="43"/>
  <c r="M27" i="43" s="1"/>
  <c r="J44" i="42"/>
  <c r="N44" i="42" s="1"/>
  <c r="D44" i="43"/>
  <c r="C37" i="44"/>
  <c r="I37" i="43"/>
  <c r="M37" i="43" s="1"/>
  <c r="J90" i="43"/>
  <c r="N90" i="43" s="1"/>
  <c r="D90" i="44"/>
  <c r="C16" i="44"/>
  <c r="I16" i="43"/>
  <c r="M16" i="43" s="1"/>
  <c r="C67" i="44"/>
  <c r="I67" i="43"/>
  <c r="M67" i="43" s="1"/>
  <c r="D75" i="43"/>
  <c r="J75" i="42"/>
  <c r="N75" i="42" s="1"/>
  <c r="C74" i="44"/>
  <c r="I74" i="43"/>
  <c r="M74" i="43" s="1"/>
  <c r="I66" i="43"/>
  <c r="M66" i="43" s="1"/>
  <c r="C66" i="44"/>
  <c r="D27" i="44"/>
  <c r="J27" i="43"/>
  <c r="N27" i="43" s="1"/>
  <c r="C36" i="44"/>
  <c r="I36" i="43"/>
  <c r="M36" i="43" s="1"/>
  <c r="I94" i="43"/>
  <c r="M94" i="43" s="1"/>
  <c r="C94" i="44"/>
  <c r="I95" i="43"/>
  <c r="M95" i="43" s="1"/>
  <c r="C95" i="44"/>
  <c r="I45" i="43"/>
  <c r="M45" i="43" s="1"/>
  <c r="C45" i="44"/>
  <c r="C73" i="44"/>
  <c r="I73" i="43"/>
  <c r="M73" i="43" s="1"/>
  <c r="J45" i="43"/>
  <c r="N45" i="43" s="1"/>
  <c r="D45" i="44"/>
  <c r="J16" i="42"/>
  <c r="N16" i="42" s="1"/>
  <c r="D16" i="43"/>
  <c r="C34" i="44"/>
  <c r="I34" i="43"/>
  <c r="M34" i="43" s="1"/>
  <c r="J88" i="42"/>
  <c r="N88" i="42" s="1"/>
  <c r="D88" i="43"/>
  <c r="J55" i="43"/>
  <c r="N55" i="43" s="1"/>
  <c r="D55" i="44"/>
  <c r="J21" i="42"/>
  <c r="N21" i="42" s="1"/>
  <c r="D21" i="43"/>
  <c r="I89" i="43"/>
  <c r="M89" i="43" s="1"/>
  <c r="C89" i="44"/>
  <c r="I42" i="43"/>
  <c r="M42" i="43" s="1"/>
  <c r="C42" i="44"/>
  <c r="I87" i="43"/>
  <c r="M87" i="43" s="1"/>
  <c r="C87" i="44"/>
  <c r="C58" i="44"/>
  <c r="I58" i="43"/>
  <c r="M58" i="43" s="1"/>
  <c r="D19" i="44"/>
  <c r="J19" i="43"/>
  <c r="N19" i="43" s="1"/>
  <c r="J24" i="42"/>
  <c r="N24" i="42" s="1"/>
  <c r="D24" i="43"/>
  <c r="D98" i="44"/>
  <c r="J98" i="43"/>
  <c r="N98" i="43" s="1"/>
  <c r="C90" i="44"/>
  <c r="I90" i="43"/>
  <c r="M90" i="43" s="1"/>
  <c r="D96" i="43"/>
  <c r="J96" i="42"/>
  <c r="N96" i="42" s="1"/>
  <c r="C69" i="44"/>
  <c r="I69" i="43"/>
  <c r="M69" i="43" s="1"/>
  <c r="D78" i="44"/>
  <c r="J78" i="43"/>
  <c r="N78" i="43" s="1"/>
  <c r="C75" i="44"/>
  <c r="I75" i="43"/>
  <c r="M75" i="43" s="1"/>
  <c r="C55" i="44"/>
  <c r="I55" i="43"/>
  <c r="M55" i="43" s="1"/>
  <c r="I62" i="43"/>
  <c r="M62" i="43" s="1"/>
  <c r="C62" i="44"/>
  <c r="J17" i="43"/>
  <c r="N17" i="43" s="1"/>
  <c r="D17" i="44"/>
  <c r="D46" i="44"/>
  <c r="J46" i="43"/>
  <c r="N46" i="43" s="1"/>
  <c r="D18" i="43"/>
  <c r="J18" i="42"/>
  <c r="N18" i="42" s="1"/>
  <c r="D53" i="44"/>
  <c r="J53" i="43"/>
  <c r="N53" i="43" s="1"/>
  <c r="I46" i="43"/>
  <c r="M46" i="43" s="1"/>
  <c r="C46" i="44"/>
  <c r="D85" i="43"/>
  <c r="J85" i="42"/>
  <c r="N85" i="42" s="1"/>
  <c r="D67" i="43"/>
  <c r="J67" i="42"/>
  <c r="N67" i="42" s="1"/>
  <c r="J9" i="43"/>
  <c r="N9" i="43" s="1"/>
  <c r="D9" i="44"/>
  <c r="J56" i="43"/>
  <c r="N56" i="43" s="1"/>
  <c r="D56" i="44"/>
  <c r="D57" i="44"/>
  <c r="J57" i="43"/>
  <c r="N57" i="43" s="1"/>
  <c r="D82" i="44"/>
  <c r="J82" i="43"/>
  <c r="N82" i="43" s="1"/>
  <c r="D14" i="44"/>
  <c r="J14" i="43"/>
  <c r="N14" i="43" s="1"/>
  <c r="C12" i="44"/>
  <c r="I12" i="43"/>
  <c r="M12" i="43" s="1"/>
  <c r="J29" i="43"/>
  <c r="N29" i="43" s="1"/>
  <c r="D29" i="44"/>
  <c r="C53" i="44"/>
  <c r="I53" i="43"/>
  <c r="M53" i="43" s="1"/>
  <c r="J41" i="43"/>
  <c r="N41" i="43" s="1"/>
  <c r="D41" i="44"/>
  <c r="J86" i="42"/>
  <c r="N86" i="42" s="1"/>
  <c r="D86" i="43"/>
  <c r="C77" i="44"/>
  <c r="I77" i="43"/>
  <c r="M77" i="43" s="1"/>
  <c r="J89" i="42"/>
  <c r="N89" i="42" s="1"/>
  <c r="D89" i="43"/>
  <c r="C15" i="44"/>
  <c r="I15" i="43"/>
  <c r="M15" i="43" s="1"/>
  <c r="J73" i="43"/>
  <c r="N73" i="43" s="1"/>
  <c r="D73" i="44"/>
  <c r="J77" i="43"/>
  <c r="N77" i="43" s="1"/>
  <c r="D77" i="44"/>
  <c r="J47" i="43"/>
  <c r="N47" i="43" s="1"/>
  <c r="D47" i="44"/>
  <c r="D62" i="44"/>
  <c r="J62" i="43"/>
  <c r="N62" i="43" s="1"/>
  <c r="C96" i="44"/>
  <c r="I96" i="43"/>
  <c r="M96" i="43" s="1"/>
  <c r="C40" i="44"/>
  <c r="I40" i="43"/>
  <c r="M40" i="43" s="1"/>
  <c r="C76" i="44"/>
  <c r="I76" i="43"/>
  <c r="M76" i="43" s="1"/>
  <c r="D64" i="44"/>
  <c r="J64" i="43"/>
  <c r="N64" i="43" s="1"/>
  <c r="C29" i="44"/>
  <c r="I29" i="43"/>
  <c r="M29" i="43" s="1"/>
  <c r="J68" i="43"/>
  <c r="N68" i="43" s="1"/>
  <c r="D68" i="44"/>
  <c r="I18" i="43"/>
  <c r="M18" i="43" s="1"/>
  <c r="C18" i="44"/>
  <c r="I84" i="43"/>
  <c r="M84" i="43" s="1"/>
  <c r="C84" i="44"/>
  <c r="I64" i="43"/>
  <c r="M64" i="43" s="1"/>
  <c r="C64" i="44"/>
  <c r="I33" i="43"/>
  <c r="M33" i="43" s="1"/>
  <c r="C33" i="44"/>
  <c r="I13" i="43"/>
  <c r="M13" i="43" s="1"/>
  <c r="C13" i="44"/>
  <c r="I48" i="43"/>
  <c r="M48" i="43" s="1"/>
  <c r="C48" i="44"/>
  <c r="D63" i="43"/>
  <c r="J63" i="42"/>
  <c r="N63" i="42" s="1"/>
  <c r="J84" i="43"/>
  <c r="N84" i="43" s="1"/>
  <c r="D84" i="44"/>
  <c r="J72" i="43"/>
  <c r="N72" i="43" s="1"/>
  <c r="D72" i="44"/>
  <c r="D74" i="43"/>
  <c r="J74" i="42"/>
  <c r="N74" i="42" s="1"/>
  <c r="C54" i="44"/>
  <c r="I54" i="43"/>
  <c r="M54" i="43" s="1"/>
  <c r="J8" i="43"/>
  <c r="N8" i="43" s="1"/>
  <c r="D8" i="44"/>
  <c r="I56" i="43"/>
  <c r="M56" i="43" s="1"/>
  <c r="C56" i="44"/>
  <c r="C61" i="44"/>
  <c r="I61" i="43"/>
  <c r="M61" i="43" s="1"/>
  <c r="C30" i="44"/>
  <c r="I30" i="43"/>
  <c r="M30" i="43" s="1"/>
  <c r="J50" i="43"/>
  <c r="N50" i="43" s="1"/>
  <c r="D50" i="44"/>
  <c r="C20" i="44"/>
  <c r="I20" i="43"/>
  <c r="M20" i="43" s="1"/>
  <c r="C19" i="44"/>
  <c r="I19" i="43"/>
  <c r="M19" i="43" s="1"/>
  <c r="D65" i="43"/>
  <c r="J65" i="42"/>
  <c r="N65" i="42" s="1"/>
  <c r="C80" i="44"/>
  <c r="I80" i="43"/>
  <c r="M80" i="43" s="1"/>
  <c r="C83" i="44"/>
  <c r="I83" i="43"/>
  <c r="M83" i="43" s="1"/>
  <c r="I81" i="43"/>
  <c r="M81" i="43" s="1"/>
  <c r="C81" i="44"/>
  <c r="I35" i="43"/>
  <c r="M35" i="43" s="1"/>
  <c r="C35" i="44"/>
  <c r="D83" i="44"/>
  <c r="J83" i="43"/>
  <c r="N83" i="43" s="1"/>
  <c r="D26" i="44"/>
  <c r="J26" i="43"/>
  <c r="N26" i="43" s="1"/>
  <c r="J80" i="43"/>
  <c r="N80" i="43" s="1"/>
  <c r="D80" i="44"/>
  <c r="D28" i="44"/>
  <c r="J28" i="43"/>
  <c r="N28" i="43" s="1"/>
  <c r="C41" i="44"/>
  <c r="I41" i="43"/>
  <c r="M41" i="43" s="1"/>
  <c r="D81" i="43"/>
  <c r="J81" i="42"/>
  <c r="N81" i="42" s="1"/>
  <c r="C38" i="44"/>
  <c r="I38" i="43"/>
  <c r="M38" i="43" s="1"/>
  <c r="C17" i="44"/>
  <c r="I17" i="43"/>
  <c r="M17" i="43" s="1"/>
  <c r="I93" i="43"/>
  <c r="M93" i="43" s="1"/>
  <c r="C93" i="44"/>
  <c r="D87" i="44"/>
  <c r="J87" i="43"/>
  <c r="N87" i="43" s="1"/>
  <c r="D58" i="44"/>
  <c r="J58" i="43"/>
  <c r="N58" i="43" s="1"/>
  <c r="I8" i="43"/>
  <c r="M8" i="43" s="1"/>
  <c r="C8" i="44"/>
  <c r="J42" i="42"/>
  <c r="N42" i="42" s="1"/>
  <c r="D42" i="43"/>
  <c r="C43" i="44"/>
  <c r="I43" i="43"/>
  <c r="M43" i="43" s="1"/>
  <c r="J79" i="43"/>
  <c r="N79" i="43" s="1"/>
  <c r="D79" i="44"/>
  <c r="C39" i="44"/>
  <c r="I39" i="43"/>
  <c r="M39" i="43" s="1"/>
  <c r="C11" i="44"/>
  <c r="I11" i="43"/>
  <c r="M11" i="43" s="1"/>
  <c r="J13" i="43"/>
  <c r="N13" i="43" s="1"/>
  <c r="D13" i="44"/>
  <c r="I85" i="43"/>
  <c r="M85" i="43" s="1"/>
  <c r="C85" i="44"/>
  <c r="D66" i="44"/>
  <c r="J66" i="43"/>
  <c r="N66" i="43" s="1"/>
  <c r="I86" i="43"/>
  <c r="M86" i="43" s="1"/>
  <c r="C86" i="44"/>
  <c r="I26" i="43"/>
  <c r="M26" i="43" s="1"/>
  <c r="C26" i="44"/>
  <c r="D51" i="44"/>
  <c r="J51" i="43"/>
  <c r="N51" i="43" s="1"/>
  <c r="J12" i="43"/>
  <c r="N12" i="43" s="1"/>
  <c r="D12" i="44"/>
  <c r="C24" i="44"/>
  <c r="I24" i="43"/>
  <c r="M24" i="43" s="1"/>
  <c r="I63" i="43"/>
  <c r="M63" i="43" s="1"/>
  <c r="C63" i="44"/>
  <c r="J54" i="43"/>
  <c r="N54" i="43" s="1"/>
  <c r="D54" i="44"/>
  <c r="I65" i="43"/>
  <c r="M65" i="43" s="1"/>
  <c r="C65" i="44"/>
  <c r="C9" i="44"/>
  <c r="I9" i="43"/>
  <c r="M9" i="43" s="1"/>
  <c r="D95" i="43"/>
  <c r="J95" i="42"/>
  <c r="N95" i="42" s="1"/>
  <c r="D40" i="43"/>
  <c r="J40" i="42"/>
  <c r="N40" i="42" s="1"/>
  <c r="J61" i="43"/>
  <c r="N61" i="43" s="1"/>
  <c r="D61" i="44"/>
  <c r="J52" i="43"/>
  <c r="N52" i="43" s="1"/>
  <c r="D52" i="44"/>
  <c r="J49" i="43"/>
  <c r="N49" i="43" s="1"/>
  <c r="D49" i="44"/>
  <c r="C21" i="44"/>
  <c r="I21" i="43"/>
  <c r="M21" i="43" s="1"/>
  <c r="D10" i="44"/>
  <c r="J10" i="43"/>
  <c r="N10" i="43" s="1"/>
  <c r="I25" i="43"/>
  <c r="M25" i="43" s="1"/>
  <c r="C25" i="44"/>
  <c r="C59" i="44"/>
  <c r="I59" i="43"/>
  <c r="M59" i="43" s="1"/>
  <c r="D43" i="44"/>
  <c r="J43" i="43"/>
  <c r="N43" i="43" s="1"/>
  <c r="D71" i="43"/>
  <c r="J71" i="42"/>
  <c r="N71" i="42" s="1"/>
  <c r="D99" i="43"/>
  <c r="J99" i="42"/>
  <c r="N99" i="42" s="1"/>
  <c r="I78" i="43"/>
  <c r="M78" i="43" s="1"/>
  <c r="C78" i="44"/>
  <c r="C72" i="44"/>
  <c r="I72" i="43"/>
  <c r="M72" i="43" s="1"/>
  <c r="C71" i="44"/>
  <c r="I71" i="43"/>
  <c r="M71" i="43" s="1"/>
  <c r="J22" i="43"/>
  <c r="N22" i="43" s="1"/>
  <c r="D22" i="44"/>
  <c r="I31" i="43"/>
  <c r="M31" i="43" s="1"/>
  <c r="C31" i="44"/>
  <c r="D70" i="44"/>
  <c r="J70" i="43"/>
  <c r="N70" i="43" s="1"/>
  <c r="C47" i="44"/>
  <c r="I47" i="43"/>
  <c r="M47" i="43" s="1"/>
  <c r="C32" i="44"/>
  <c r="I32" i="43"/>
  <c r="M32" i="43" s="1"/>
  <c r="D48" i="44"/>
  <c r="J48" i="43"/>
  <c r="N48" i="43" s="1"/>
  <c r="D93" i="43"/>
  <c r="J93" i="42"/>
  <c r="N93" i="42" s="1"/>
  <c r="I99" i="43"/>
  <c r="M99" i="43" s="1"/>
  <c r="C99" i="44"/>
  <c r="J25" i="43"/>
  <c r="N25" i="43" s="1"/>
  <c r="D25" i="44"/>
  <c r="C92" i="44"/>
  <c r="I92" i="43"/>
  <c r="M92" i="43" s="1"/>
  <c r="I88" i="43"/>
  <c r="M88" i="43" s="1"/>
  <c r="C88" i="44"/>
  <c r="C97" i="44"/>
  <c r="I97" i="43"/>
  <c r="M97" i="43" s="1"/>
  <c r="C79" i="44"/>
  <c r="I79" i="43"/>
  <c r="M79" i="43" s="1"/>
  <c r="D20" i="44"/>
  <c r="J20" i="43"/>
  <c r="N20" i="43" s="1"/>
  <c r="D15" i="44"/>
  <c r="J15" i="43"/>
  <c r="N15" i="43" s="1"/>
  <c r="J76" i="43"/>
  <c r="N76" i="43" s="1"/>
  <c r="D76" i="44"/>
  <c r="D11" i="42"/>
  <c r="J11" i="41"/>
  <c r="N11" i="41" s="1"/>
  <c r="C68" i="44"/>
  <c r="I68" i="43"/>
  <c r="M68" i="43" s="1"/>
  <c r="J37" i="43"/>
  <c r="N37" i="43" s="1"/>
  <c r="D37" i="44"/>
  <c r="I70" i="43"/>
  <c r="M70" i="43" s="1"/>
  <c r="C70" i="44"/>
  <c r="C28" i="44"/>
  <c r="I28" i="43"/>
  <c r="M28" i="43" s="1"/>
  <c r="J39" i="43"/>
  <c r="N39" i="43" s="1"/>
  <c r="D39" i="44"/>
  <c r="J38" i="43"/>
  <c r="N38" i="43" s="1"/>
  <c r="D38" i="44"/>
  <c r="J36" i="43"/>
  <c r="N36" i="43" s="1"/>
  <c r="D36" i="44"/>
  <c r="D31" i="44"/>
  <c r="J31" i="43"/>
  <c r="N31" i="43" s="1"/>
  <c r="J32" i="43"/>
  <c r="N32" i="43" s="1"/>
  <c r="D32" i="44"/>
  <c r="D33" i="44"/>
  <c r="J33" i="43"/>
  <c r="N33" i="43" s="1"/>
  <c r="D34" i="44"/>
  <c r="J34" i="43"/>
  <c r="N34" i="43" s="1"/>
  <c r="D35" i="44"/>
  <c r="J35" i="43"/>
  <c r="N35" i="43" s="1"/>
  <c r="J30" i="43"/>
  <c r="N30" i="43" s="1"/>
  <c r="D30" i="44"/>
  <c r="C28" i="45" l="1"/>
  <c r="I28" i="44"/>
  <c r="M28" i="44" s="1"/>
  <c r="D11" i="43"/>
  <c r="J11" i="42"/>
  <c r="N11" i="42" s="1"/>
  <c r="J15" i="44"/>
  <c r="N15" i="44" s="1"/>
  <c r="D15" i="45"/>
  <c r="C79" i="45"/>
  <c r="I79" i="44"/>
  <c r="M79" i="44" s="1"/>
  <c r="J93" i="43"/>
  <c r="N93" i="43" s="1"/>
  <c r="D93" i="44"/>
  <c r="I32" i="44"/>
  <c r="M32" i="44" s="1"/>
  <c r="C32" i="45"/>
  <c r="D70" i="45"/>
  <c r="J70" i="44"/>
  <c r="N70" i="44" s="1"/>
  <c r="C72" i="45"/>
  <c r="I72" i="44"/>
  <c r="M72" i="44" s="1"/>
  <c r="J99" i="43"/>
  <c r="N99" i="43" s="1"/>
  <c r="D99" i="44"/>
  <c r="D43" i="45"/>
  <c r="J43" i="44"/>
  <c r="N43" i="44" s="1"/>
  <c r="I21" i="44"/>
  <c r="M21" i="44" s="1"/>
  <c r="C21" i="45"/>
  <c r="J40" i="43"/>
  <c r="N40" i="43" s="1"/>
  <c r="D40" i="44"/>
  <c r="I9" i="44"/>
  <c r="M9" i="44" s="1"/>
  <c r="C9" i="45"/>
  <c r="D66" i="45"/>
  <c r="J66" i="44"/>
  <c r="N66" i="44" s="1"/>
  <c r="I39" i="44"/>
  <c r="M39" i="44" s="1"/>
  <c r="C39" i="45"/>
  <c r="C43" i="45"/>
  <c r="I43" i="44"/>
  <c r="M43" i="44" s="1"/>
  <c r="I38" i="44"/>
  <c r="M38" i="44" s="1"/>
  <c r="C38" i="45"/>
  <c r="C41" i="45"/>
  <c r="I41" i="44"/>
  <c r="M41" i="44" s="1"/>
  <c r="D83" i="45"/>
  <c r="J83" i="44"/>
  <c r="N83" i="44" s="1"/>
  <c r="C80" i="45"/>
  <c r="I80" i="44"/>
  <c r="M80" i="44" s="1"/>
  <c r="I19" i="44"/>
  <c r="M19" i="44" s="1"/>
  <c r="C19" i="45"/>
  <c r="D74" i="44"/>
  <c r="J74" i="43"/>
  <c r="N74" i="43" s="1"/>
  <c r="J64" i="44"/>
  <c r="N64" i="44" s="1"/>
  <c r="D64" i="45"/>
  <c r="C40" i="45"/>
  <c r="I40" i="44"/>
  <c r="M40" i="44" s="1"/>
  <c r="J62" i="44"/>
  <c r="N62" i="44" s="1"/>
  <c r="D62" i="45"/>
  <c r="I15" i="44"/>
  <c r="M15" i="44" s="1"/>
  <c r="C15" i="45"/>
  <c r="C77" i="45"/>
  <c r="I77" i="44"/>
  <c r="M77" i="44" s="1"/>
  <c r="C53" i="45"/>
  <c r="I53" i="44"/>
  <c r="M53" i="44" s="1"/>
  <c r="I12" i="44"/>
  <c r="M12" i="44" s="1"/>
  <c r="C12" i="45"/>
  <c r="D14" i="45"/>
  <c r="J14" i="44"/>
  <c r="N14" i="44" s="1"/>
  <c r="J57" i="44"/>
  <c r="N57" i="44" s="1"/>
  <c r="D57" i="45"/>
  <c r="J85" i="43"/>
  <c r="N85" i="43" s="1"/>
  <c r="D85" i="44"/>
  <c r="D53" i="45"/>
  <c r="J53" i="44"/>
  <c r="N53" i="44" s="1"/>
  <c r="J46" i="44"/>
  <c r="N46" i="44" s="1"/>
  <c r="D46" i="45"/>
  <c r="C75" i="45"/>
  <c r="I75" i="44"/>
  <c r="M75" i="44" s="1"/>
  <c r="C69" i="45"/>
  <c r="I69" i="44"/>
  <c r="M69" i="44" s="1"/>
  <c r="I90" i="44"/>
  <c r="M90" i="44" s="1"/>
  <c r="C90" i="45"/>
  <c r="I58" i="44"/>
  <c r="M58" i="44" s="1"/>
  <c r="C58" i="45"/>
  <c r="I34" i="44"/>
  <c r="M34" i="44" s="1"/>
  <c r="C34" i="45"/>
  <c r="D27" i="45"/>
  <c r="J27" i="44"/>
  <c r="N27" i="44" s="1"/>
  <c r="I74" i="44"/>
  <c r="M74" i="44" s="1"/>
  <c r="C74" i="45"/>
  <c r="C67" i="45"/>
  <c r="I67" i="44"/>
  <c r="M67" i="44" s="1"/>
  <c r="I16" i="44"/>
  <c r="M16" i="44" s="1"/>
  <c r="C16" i="45"/>
  <c r="D91" i="44"/>
  <c r="J91" i="43"/>
  <c r="N91" i="43" s="1"/>
  <c r="I98" i="44"/>
  <c r="M98" i="44" s="1"/>
  <c r="C98" i="45"/>
  <c r="C70" i="45"/>
  <c r="I70" i="44"/>
  <c r="M70" i="44" s="1"/>
  <c r="J76" i="44"/>
  <c r="N76" i="44" s="1"/>
  <c r="D76" i="45"/>
  <c r="I99" i="44"/>
  <c r="M99" i="44" s="1"/>
  <c r="C99" i="45"/>
  <c r="C31" i="45"/>
  <c r="I31" i="44"/>
  <c r="M31" i="44" s="1"/>
  <c r="J49" i="44"/>
  <c r="N49" i="44" s="1"/>
  <c r="D49" i="45"/>
  <c r="J61" i="44"/>
  <c r="N61" i="44" s="1"/>
  <c r="D61" i="45"/>
  <c r="J54" i="44"/>
  <c r="N54" i="44" s="1"/>
  <c r="D54" i="45"/>
  <c r="I86" i="44"/>
  <c r="M86" i="44" s="1"/>
  <c r="C86" i="45"/>
  <c r="I85" i="44"/>
  <c r="M85" i="44" s="1"/>
  <c r="C85" i="45"/>
  <c r="D79" i="45"/>
  <c r="J79" i="44"/>
  <c r="N79" i="44" s="1"/>
  <c r="D42" i="44"/>
  <c r="J42" i="43"/>
  <c r="N42" i="43" s="1"/>
  <c r="I35" i="44"/>
  <c r="M35" i="44" s="1"/>
  <c r="C35" i="45"/>
  <c r="J72" i="44"/>
  <c r="N72" i="44" s="1"/>
  <c r="D72" i="45"/>
  <c r="I13" i="44"/>
  <c r="M13" i="44" s="1"/>
  <c r="C13" i="45"/>
  <c r="C64" i="45"/>
  <c r="I64" i="44"/>
  <c r="M64" i="44" s="1"/>
  <c r="I18" i="44"/>
  <c r="M18" i="44" s="1"/>
  <c r="C18" i="45"/>
  <c r="D47" i="45"/>
  <c r="J47" i="44"/>
  <c r="N47" i="44" s="1"/>
  <c r="D73" i="45"/>
  <c r="J73" i="44"/>
  <c r="N73" i="44" s="1"/>
  <c r="J89" i="43"/>
  <c r="N89" i="43" s="1"/>
  <c r="D89" i="44"/>
  <c r="D86" i="44"/>
  <c r="J86" i="43"/>
  <c r="N86" i="43" s="1"/>
  <c r="J41" i="44"/>
  <c r="N41" i="44" s="1"/>
  <c r="D41" i="45"/>
  <c r="J29" i="44"/>
  <c r="N29" i="44" s="1"/>
  <c r="D29" i="45"/>
  <c r="J56" i="44"/>
  <c r="N56" i="44" s="1"/>
  <c r="D56" i="45"/>
  <c r="I46" i="44"/>
  <c r="M46" i="44" s="1"/>
  <c r="C46" i="45"/>
  <c r="D17" i="45"/>
  <c r="J17" i="44"/>
  <c r="N17" i="44" s="1"/>
  <c r="C87" i="45"/>
  <c r="I87" i="44"/>
  <c r="M87" i="44" s="1"/>
  <c r="I89" i="44"/>
  <c r="M89" i="44" s="1"/>
  <c r="C89" i="45"/>
  <c r="J21" i="43"/>
  <c r="N21" i="43" s="1"/>
  <c r="D21" i="44"/>
  <c r="J88" i="43"/>
  <c r="N88" i="43" s="1"/>
  <c r="D88" i="44"/>
  <c r="J16" i="43"/>
  <c r="N16" i="43" s="1"/>
  <c r="D16" i="44"/>
  <c r="C95" i="45"/>
  <c r="I95" i="44"/>
  <c r="M95" i="44" s="1"/>
  <c r="I66" i="44"/>
  <c r="M66" i="44" s="1"/>
  <c r="C66" i="45"/>
  <c r="J92" i="43"/>
  <c r="N92" i="43" s="1"/>
  <c r="D92" i="44"/>
  <c r="J23" i="43"/>
  <c r="N23" i="43" s="1"/>
  <c r="D23" i="44"/>
  <c r="C68" i="45"/>
  <c r="I68" i="44"/>
  <c r="M68" i="44" s="1"/>
  <c r="D20" i="45"/>
  <c r="J20" i="44"/>
  <c r="N20" i="44" s="1"/>
  <c r="C97" i="45"/>
  <c r="I97" i="44"/>
  <c r="M97" i="44" s="1"/>
  <c r="I92" i="44"/>
  <c r="M92" i="44" s="1"/>
  <c r="C92" i="45"/>
  <c r="J48" i="44"/>
  <c r="N48" i="44" s="1"/>
  <c r="D48" i="45"/>
  <c r="C47" i="45"/>
  <c r="I47" i="44"/>
  <c r="M47" i="44" s="1"/>
  <c r="C71" i="45"/>
  <c r="I71" i="44"/>
  <c r="M71" i="44" s="1"/>
  <c r="D71" i="44"/>
  <c r="J71" i="43"/>
  <c r="N71" i="43" s="1"/>
  <c r="C59" i="45"/>
  <c r="I59" i="44"/>
  <c r="M59" i="44" s="1"/>
  <c r="J10" i="44"/>
  <c r="N10" i="44" s="1"/>
  <c r="D10" i="45"/>
  <c r="J95" i="43"/>
  <c r="N95" i="43" s="1"/>
  <c r="D95" i="44"/>
  <c r="C24" i="45"/>
  <c r="I24" i="44"/>
  <c r="M24" i="44" s="1"/>
  <c r="J51" i="44"/>
  <c r="N51" i="44" s="1"/>
  <c r="D51" i="45"/>
  <c r="I11" i="44"/>
  <c r="M11" i="44" s="1"/>
  <c r="C11" i="45"/>
  <c r="D58" i="45"/>
  <c r="J58" i="44"/>
  <c r="N58" i="44" s="1"/>
  <c r="D87" i="45"/>
  <c r="J87" i="44"/>
  <c r="N87" i="44" s="1"/>
  <c r="C17" i="45"/>
  <c r="I17" i="44"/>
  <c r="M17" i="44" s="1"/>
  <c r="D81" i="44"/>
  <c r="J81" i="43"/>
  <c r="N81" i="43" s="1"/>
  <c r="D28" i="45"/>
  <c r="J28" i="44"/>
  <c r="N28" i="44" s="1"/>
  <c r="J26" i="44"/>
  <c r="N26" i="44" s="1"/>
  <c r="D26" i="45"/>
  <c r="I83" i="44"/>
  <c r="M83" i="44" s="1"/>
  <c r="C83" i="45"/>
  <c r="D65" i="44"/>
  <c r="J65" i="43"/>
  <c r="N65" i="43" s="1"/>
  <c r="C20" i="45"/>
  <c r="I20" i="44"/>
  <c r="M20" i="44" s="1"/>
  <c r="C30" i="45"/>
  <c r="I30" i="44"/>
  <c r="M30" i="44" s="1"/>
  <c r="C61" i="45"/>
  <c r="I61" i="44"/>
  <c r="M61" i="44" s="1"/>
  <c r="C54" i="45"/>
  <c r="I54" i="44"/>
  <c r="M54" i="44" s="1"/>
  <c r="J63" i="43"/>
  <c r="N63" i="43" s="1"/>
  <c r="D63" i="44"/>
  <c r="C29" i="45"/>
  <c r="I29" i="44"/>
  <c r="M29" i="44" s="1"/>
  <c r="I76" i="44"/>
  <c r="M76" i="44" s="1"/>
  <c r="C76" i="45"/>
  <c r="I96" i="44"/>
  <c r="M96" i="44" s="1"/>
  <c r="C96" i="45"/>
  <c r="D82" i="45"/>
  <c r="J82" i="44"/>
  <c r="N82" i="44" s="1"/>
  <c r="J67" i="43"/>
  <c r="N67" i="43" s="1"/>
  <c r="D67" i="44"/>
  <c r="J18" i="43"/>
  <c r="N18" i="43" s="1"/>
  <c r="D18" i="44"/>
  <c r="I55" i="44"/>
  <c r="M55" i="44" s="1"/>
  <c r="C55" i="45"/>
  <c r="J78" i="44"/>
  <c r="N78" i="44" s="1"/>
  <c r="D78" i="45"/>
  <c r="J96" i="43"/>
  <c r="N96" i="43" s="1"/>
  <c r="D96" i="44"/>
  <c r="J98" i="44"/>
  <c r="N98" i="44" s="1"/>
  <c r="D98" i="45"/>
  <c r="D19" i="45"/>
  <c r="J19" i="44"/>
  <c r="N19" i="44" s="1"/>
  <c r="I73" i="44"/>
  <c r="M73" i="44" s="1"/>
  <c r="C73" i="45"/>
  <c r="C36" i="45"/>
  <c r="I36" i="44"/>
  <c r="M36" i="44" s="1"/>
  <c r="J75" i="43"/>
  <c r="N75" i="43" s="1"/>
  <c r="D75" i="44"/>
  <c r="I37" i="44"/>
  <c r="M37" i="44" s="1"/>
  <c r="C37" i="45"/>
  <c r="I27" i="44"/>
  <c r="M27" i="44" s="1"/>
  <c r="C27" i="45"/>
  <c r="J37" i="44"/>
  <c r="N37" i="44" s="1"/>
  <c r="D37" i="45"/>
  <c r="C88" i="45"/>
  <c r="I88" i="44"/>
  <c r="M88" i="44" s="1"/>
  <c r="J25" i="44"/>
  <c r="N25" i="44" s="1"/>
  <c r="D25" i="45"/>
  <c r="D22" i="45"/>
  <c r="J22" i="44"/>
  <c r="N22" i="44" s="1"/>
  <c r="I78" i="44"/>
  <c r="M78" i="44" s="1"/>
  <c r="C78" i="45"/>
  <c r="I25" i="44"/>
  <c r="M25" i="44" s="1"/>
  <c r="C25" i="45"/>
  <c r="J52" i="44"/>
  <c r="N52" i="44" s="1"/>
  <c r="D52" i="45"/>
  <c r="I65" i="44"/>
  <c r="M65" i="44" s="1"/>
  <c r="C65" i="45"/>
  <c r="C63" i="45"/>
  <c r="I63" i="44"/>
  <c r="M63" i="44" s="1"/>
  <c r="D12" i="45"/>
  <c r="J12" i="44"/>
  <c r="N12" i="44" s="1"/>
  <c r="I26" i="44"/>
  <c r="M26" i="44" s="1"/>
  <c r="C26" i="45"/>
  <c r="D13" i="45"/>
  <c r="J13" i="44"/>
  <c r="N13" i="44" s="1"/>
  <c r="I8" i="44"/>
  <c r="M8" i="44" s="1"/>
  <c r="C8" i="45"/>
  <c r="I93" i="44"/>
  <c r="M93" i="44" s="1"/>
  <c r="C93" i="45"/>
  <c r="D80" i="45"/>
  <c r="J80" i="44"/>
  <c r="N80" i="44" s="1"/>
  <c r="I81" i="44"/>
  <c r="M81" i="44" s="1"/>
  <c r="C81" i="45"/>
  <c r="D50" i="45"/>
  <c r="J50" i="44"/>
  <c r="N50" i="44" s="1"/>
  <c r="C56" i="45"/>
  <c r="I56" i="44"/>
  <c r="M56" i="44" s="1"/>
  <c r="D8" i="45"/>
  <c r="J8" i="44"/>
  <c r="N8" i="44" s="1"/>
  <c r="J84" i="44"/>
  <c r="N84" i="44" s="1"/>
  <c r="D84" i="45"/>
  <c r="I48" i="44"/>
  <c r="M48" i="44" s="1"/>
  <c r="C48" i="45"/>
  <c r="I33" i="44"/>
  <c r="M33" i="44" s="1"/>
  <c r="C33" i="45"/>
  <c r="I84" i="44"/>
  <c r="M84" i="44" s="1"/>
  <c r="C84" i="45"/>
  <c r="J68" i="44"/>
  <c r="N68" i="44" s="1"/>
  <c r="D68" i="45"/>
  <c r="J77" i="44"/>
  <c r="N77" i="44" s="1"/>
  <c r="D77" i="45"/>
  <c r="D9" i="45"/>
  <c r="J9" i="44"/>
  <c r="N9" i="44" s="1"/>
  <c r="I62" i="44"/>
  <c r="M62" i="44" s="1"/>
  <c r="C62" i="45"/>
  <c r="D24" i="44"/>
  <c r="J24" i="43"/>
  <c r="N24" i="43" s="1"/>
  <c r="C42" i="45"/>
  <c r="I42" i="44"/>
  <c r="M42" i="44" s="1"/>
  <c r="D55" i="45"/>
  <c r="J55" i="44"/>
  <c r="N55" i="44" s="1"/>
  <c r="J45" i="44"/>
  <c r="N45" i="44" s="1"/>
  <c r="D45" i="45"/>
  <c r="C45" i="45"/>
  <c r="I45" i="44"/>
  <c r="M45" i="44" s="1"/>
  <c r="I94" i="44"/>
  <c r="M94" i="44" s="1"/>
  <c r="C94" i="45"/>
  <c r="J90" i="44"/>
  <c r="N90" i="44" s="1"/>
  <c r="D90" i="45"/>
  <c r="J44" i="43"/>
  <c r="N44" i="43" s="1"/>
  <c r="D44" i="44"/>
  <c r="C10" i="45"/>
  <c r="I10" i="44"/>
  <c r="M10" i="44" s="1"/>
  <c r="J39" i="44"/>
  <c r="N39" i="44" s="1"/>
  <c r="D39" i="45"/>
  <c r="J38" i="44"/>
  <c r="N38" i="44" s="1"/>
  <c r="D38" i="45"/>
  <c r="D36" i="45"/>
  <c r="J36" i="44"/>
  <c r="N36" i="44" s="1"/>
  <c r="D31" i="45"/>
  <c r="J31" i="44"/>
  <c r="N31" i="44" s="1"/>
  <c r="D32" i="45"/>
  <c r="J32" i="44"/>
  <c r="N32" i="44" s="1"/>
  <c r="D33" i="45"/>
  <c r="J33" i="44"/>
  <c r="N33" i="44" s="1"/>
  <c r="D34" i="45"/>
  <c r="J34" i="44"/>
  <c r="N34" i="44" s="1"/>
  <c r="D35" i="45"/>
  <c r="J35" i="44"/>
  <c r="N35" i="44" s="1"/>
  <c r="J30" i="44"/>
  <c r="N30" i="44" s="1"/>
  <c r="D30" i="45"/>
  <c r="C10" i="46" l="1"/>
  <c r="I10" i="45"/>
  <c r="M10" i="45" s="1"/>
  <c r="I45" i="45"/>
  <c r="M45" i="45" s="1"/>
  <c r="C45" i="46"/>
  <c r="J55" i="45"/>
  <c r="N55" i="45" s="1"/>
  <c r="D55" i="46"/>
  <c r="J24" i="44"/>
  <c r="N24" i="44" s="1"/>
  <c r="D24" i="45"/>
  <c r="D9" i="46"/>
  <c r="J9" i="45"/>
  <c r="N9" i="45" s="1"/>
  <c r="C56" i="46"/>
  <c r="I56" i="45"/>
  <c r="M56" i="45" s="1"/>
  <c r="D50" i="46"/>
  <c r="J50" i="45"/>
  <c r="N50" i="45" s="1"/>
  <c r="J80" i="45"/>
  <c r="N80" i="45" s="1"/>
  <c r="D80" i="46"/>
  <c r="C63" i="46"/>
  <c r="I63" i="45"/>
  <c r="M63" i="45" s="1"/>
  <c r="D82" i="46"/>
  <c r="J82" i="45"/>
  <c r="N82" i="45" s="1"/>
  <c r="C29" i="46"/>
  <c r="I29" i="45"/>
  <c r="M29" i="45" s="1"/>
  <c r="I54" i="45"/>
  <c r="M54" i="45" s="1"/>
  <c r="C54" i="46"/>
  <c r="C61" i="46"/>
  <c r="I61" i="45"/>
  <c r="M61" i="45" s="1"/>
  <c r="I20" i="45"/>
  <c r="M20" i="45" s="1"/>
  <c r="C20" i="46"/>
  <c r="D28" i="46"/>
  <c r="J28" i="45"/>
  <c r="N28" i="45" s="1"/>
  <c r="C17" i="46"/>
  <c r="I17" i="45"/>
  <c r="M17" i="45" s="1"/>
  <c r="J58" i="45"/>
  <c r="N58" i="45" s="1"/>
  <c r="D58" i="46"/>
  <c r="D71" i="45"/>
  <c r="J71" i="44"/>
  <c r="N71" i="44" s="1"/>
  <c r="C71" i="46"/>
  <c r="I71" i="45"/>
  <c r="M71" i="45" s="1"/>
  <c r="C97" i="46"/>
  <c r="I97" i="45"/>
  <c r="M97" i="45" s="1"/>
  <c r="C68" i="46"/>
  <c r="I68" i="45"/>
  <c r="M68" i="45" s="1"/>
  <c r="C95" i="46"/>
  <c r="I95" i="45"/>
  <c r="M95" i="45" s="1"/>
  <c r="J17" i="45"/>
  <c r="N17" i="45" s="1"/>
  <c r="D17" i="46"/>
  <c r="J47" i="45"/>
  <c r="N47" i="45" s="1"/>
  <c r="D47" i="46"/>
  <c r="I64" i="45"/>
  <c r="M64" i="45" s="1"/>
  <c r="C64" i="46"/>
  <c r="D42" i="45"/>
  <c r="J42" i="44"/>
  <c r="N42" i="44" s="1"/>
  <c r="C31" i="46"/>
  <c r="I31" i="45"/>
  <c r="M31" i="45" s="1"/>
  <c r="I67" i="45"/>
  <c r="M67" i="45" s="1"/>
  <c r="C67" i="46"/>
  <c r="J27" i="45"/>
  <c r="N27" i="45" s="1"/>
  <c r="D27" i="46"/>
  <c r="I75" i="45"/>
  <c r="M75" i="45" s="1"/>
  <c r="C75" i="46"/>
  <c r="D53" i="46"/>
  <c r="J53" i="45"/>
  <c r="N53" i="45" s="1"/>
  <c r="I40" i="45"/>
  <c r="M40" i="45" s="1"/>
  <c r="C40" i="46"/>
  <c r="D74" i="45"/>
  <c r="J74" i="44"/>
  <c r="N74" i="44" s="1"/>
  <c r="I80" i="45"/>
  <c r="M80" i="45" s="1"/>
  <c r="C80" i="46"/>
  <c r="C41" i="46"/>
  <c r="I41" i="45"/>
  <c r="M41" i="45" s="1"/>
  <c r="J70" i="45"/>
  <c r="N70" i="45" s="1"/>
  <c r="D70" i="46"/>
  <c r="I28" i="45"/>
  <c r="M28" i="45" s="1"/>
  <c r="C28" i="46"/>
  <c r="J44" i="44"/>
  <c r="N44" i="44" s="1"/>
  <c r="D44" i="45"/>
  <c r="C94" i="46"/>
  <c r="I94" i="45"/>
  <c r="M94" i="45" s="1"/>
  <c r="D45" i="46"/>
  <c r="J45" i="45"/>
  <c r="N45" i="45" s="1"/>
  <c r="I62" i="45"/>
  <c r="M62" i="45" s="1"/>
  <c r="C62" i="46"/>
  <c r="D77" i="46"/>
  <c r="J77" i="45"/>
  <c r="N77" i="45" s="1"/>
  <c r="C84" i="46"/>
  <c r="I84" i="45"/>
  <c r="M84" i="45" s="1"/>
  <c r="C48" i="46"/>
  <c r="I48" i="45"/>
  <c r="M48" i="45" s="1"/>
  <c r="I81" i="45"/>
  <c r="M81" i="45" s="1"/>
  <c r="C81" i="46"/>
  <c r="I93" i="45"/>
  <c r="M93" i="45" s="1"/>
  <c r="C93" i="46"/>
  <c r="I65" i="45"/>
  <c r="M65" i="45" s="1"/>
  <c r="C65" i="46"/>
  <c r="C25" i="46"/>
  <c r="I25" i="45"/>
  <c r="M25" i="45" s="1"/>
  <c r="C27" i="46"/>
  <c r="I27" i="45"/>
  <c r="M27" i="45" s="1"/>
  <c r="D96" i="45"/>
  <c r="J96" i="44"/>
  <c r="N96" i="44" s="1"/>
  <c r="C55" i="46"/>
  <c r="I55" i="45"/>
  <c r="M55" i="45" s="1"/>
  <c r="J67" i="44"/>
  <c r="N67" i="44" s="1"/>
  <c r="D67" i="45"/>
  <c r="C76" i="46"/>
  <c r="I76" i="45"/>
  <c r="M76" i="45" s="1"/>
  <c r="D63" i="45"/>
  <c r="J63" i="44"/>
  <c r="N63" i="44" s="1"/>
  <c r="D26" i="46"/>
  <c r="J26" i="45"/>
  <c r="N26" i="45" s="1"/>
  <c r="C11" i="46"/>
  <c r="I11" i="45"/>
  <c r="M11" i="45" s="1"/>
  <c r="D95" i="45"/>
  <c r="J95" i="44"/>
  <c r="N95" i="44" s="1"/>
  <c r="C92" i="46"/>
  <c r="I92" i="45"/>
  <c r="M92" i="45" s="1"/>
  <c r="D23" i="45"/>
  <c r="J23" i="44"/>
  <c r="N23" i="44" s="1"/>
  <c r="I66" i="45"/>
  <c r="M66" i="45" s="1"/>
  <c r="C66" i="46"/>
  <c r="J16" i="44"/>
  <c r="N16" i="44" s="1"/>
  <c r="D16" i="45"/>
  <c r="J21" i="44"/>
  <c r="N21" i="44" s="1"/>
  <c r="D21" i="45"/>
  <c r="I46" i="45"/>
  <c r="M46" i="45" s="1"/>
  <c r="C46" i="46"/>
  <c r="J29" i="45"/>
  <c r="N29" i="45" s="1"/>
  <c r="D29" i="46"/>
  <c r="I18" i="45"/>
  <c r="M18" i="45" s="1"/>
  <c r="C18" i="46"/>
  <c r="C13" i="46"/>
  <c r="I13" i="45"/>
  <c r="M13" i="45" s="1"/>
  <c r="C35" i="46"/>
  <c r="I35" i="45"/>
  <c r="M35" i="45" s="1"/>
  <c r="I86" i="45"/>
  <c r="M86" i="45" s="1"/>
  <c r="C86" i="46"/>
  <c r="D61" i="46"/>
  <c r="J61" i="45"/>
  <c r="N61" i="45" s="1"/>
  <c r="I99" i="45"/>
  <c r="M99" i="45" s="1"/>
  <c r="C99" i="46"/>
  <c r="C74" i="46"/>
  <c r="I74" i="45"/>
  <c r="M74" i="45" s="1"/>
  <c r="I34" i="45"/>
  <c r="M34" i="45" s="1"/>
  <c r="C34" i="46"/>
  <c r="C58" i="46"/>
  <c r="I58" i="45"/>
  <c r="M58" i="45" s="1"/>
  <c r="J46" i="45"/>
  <c r="N46" i="45" s="1"/>
  <c r="D46" i="46"/>
  <c r="J85" i="44"/>
  <c r="N85" i="44" s="1"/>
  <c r="D85" i="45"/>
  <c r="J62" i="45"/>
  <c r="N62" i="45" s="1"/>
  <c r="D62" i="46"/>
  <c r="J64" i="45"/>
  <c r="N64" i="45" s="1"/>
  <c r="D64" i="46"/>
  <c r="I19" i="45"/>
  <c r="M19" i="45" s="1"/>
  <c r="C19" i="46"/>
  <c r="I38" i="45"/>
  <c r="M38" i="45" s="1"/>
  <c r="C38" i="46"/>
  <c r="D40" i="45"/>
  <c r="J40" i="44"/>
  <c r="N40" i="44" s="1"/>
  <c r="C32" i="46"/>
  <c r="I32" i="45"/>
  <c r="M32" i="45" s="1"/>
  <c r="I42" i="45"/>
  <c r="M42" i="45" s="1"/>
  <c r="C42" i="46"/>
  <c r="D8" i="46"/>
  <c r="J8" i="45"/>
  <c r="N8" i="45" s="1"/>
  <c r="D13" i="46"/>
  <c r="J13" i="45"/>
  <c r="N13" i="45" s="1"/>
  <c r="D12" i="46"/>
  <c r="J12" i="45"/>
  <c r="N12" i="45" s="1"/>
  <c r="D22" i="46"/>
  <c r="J22" i="45"/>
  <c r="N22" i="45" s="1"/>
  <c r="C88" i="46"/>
  <c r="I88" i="45"/>
  <c r="M88" i="45" s="1"/>
  <c r="I36" i="45"/>
  <c r="M36" i="45" s="1"/>
  <c r="C36" i="46"/>
  <c r="J19" i="45"/>
  <c r="N19" i="45" s="1"/>
  <c r="D19" i="46"/>
  <c r="I30" i="45"/>
  <c r="M30" i="45" s="1"/>
  <c r="C30" i="46"/>
  <c r="D65" i="45"/>
  <c r="J65" i="44"/>
  <c r="N65" i="44" s="1"/>
  <c r="J81" i="44"/>
  <c r="N81" i="44" s="1"/>
  <c r="D81" i="45"/>
  <c r="D87" i="46"/>
  <c r="J87" i="45"/>
  <c r="N87" i="45" s="1"/>
  <c r="I24" i="45"/>
  <c r="M24" i="45" s="1"/>
  <c r="C24" i="46"/>
  <c r="I59" i="45"/>
  <c r="M59" i="45" s="1"/>
  <c r="C59" i="46"/>
  <c r="C47" i="46"/>
  <c r="I47" i="45"/>
  <c r="M47" i="45" s="1"/>
  <c r="J20" i="45"/>
  <c r="N20" i="45" s="1"/>
  <c r="D20" i="46"/>
  <c r="C87" i="46"/>
  <c r="I87" i="45"/>
  <c r="M87" i="45" s="1"/>
  <c r="D86" i="45"/>
  <c r="J86" i="44"/>
  <c r="N86" i="44" s="1"/>
  <c r="D73" i="46"/>
  <c r="J73" i="45"/>
  <c r="N73" i="45" s="1"/>
  <c r="J79" i="45"/>
  <c r="N79" i="45" s="1"/>
  <c r="D79" i="46"/>
  <c r="I70" i="45"/>
  <c r="M70" i="45" s="1"/>
  <c r="C70" i="46"/>
  <c r="D91" i="45"/>
  <c r="J91" i="44"/>
  <c r="N91" i="44" s="1"/>
  <c r="C69" i="46"/>
  <c r="I69" i="45"/>
  <c r="M69" i="45" s="1"/>
  <c r="D14" i="46"/>
  <c r="J14" i="45"/>
  <c r="N14" i="45" s="1"/>
  <c r="C53" i="46"/>
  <c r="I53" i="45"/>
  <c r="M53" i="45" s="1"/>
  <c r="C77" i="46"/>
  <c r="I77" i="45"/>
  <c r="M77" i="45" s="1"/>
  <c r="D83" i="46"/>
  <c r="J83" i="45"/>
  <c r="N83" i="45" s="1"/>
  <c r="C43" i="46"/>
  <c r="I43" i="45"/>
  <c r="M43" i="45" s="1"/>
  <c r="D66" i="46"/>
  <c r="J66" i="45"/>
  <c r="N66" i="45" s="1"/>
  <c r="D43" i="46"/>
  <c r="J43" i="45"/>
  <c r="N43" i="45" s="1"/>
  <c r="C72" i="46"/>
  <c r="I72" i="45"/>
  <c r="M72" i="45" s="1"/>
  <c r="C79" i="46"/>
  <c r="I79" i="45"/>
  <c r="M79" i="45" s="1"/>
  <c r="J11" i="43"/>
  <c r="N11" i="43" s="1"/>
  <c r="D11" i="44"/>
  <c r="J90" i="45"/>
  <c r="N90" i="45" s="1"/>
  <c r="D90" i="46"/>
  <c r="D68" i="46"/>
  <c r="J68" i="45"/>
  <c r="N68" i="45" s="1"/>
  <c r="C33" i="46"/>
  <c r="I33" i="45"/>
  <c r="M33" i="45" s="1"/>
  <c r="J84" i="45"/>
  <c r="N84" i="45" s="1"/>
  <c r="D84" i="46"/>
  <c r="C8" i="46"/>
  <c r="I8" i="45"/>
  <c r="M8" i="45" s="1"/>
  <c r="C26" i="46"/>
  <c r="I26" i="45"/>
  <c r="M26" i="45" s="1"/>
  <c r="D52" i="46"/>
  <c r="J52" i="45"/>
  <c r="N52" i="45" s="1"/>
  <c r="I78" i="45"/>
  <c r="M78" i="45" s="1"/>
  <c r="C78" i="46"/>
  <c r="J25" i="45"/>
  <c r="N25" i="45" s="1"/>
  <c r="D25" i="46"/>
  <c r="D37" i="46"/>
  <c r="J37" i="45"/>
  <c r="N37" i="45" s="1"/>
  <c r="C37" i="46"/>
  <c r="I37" i="45"/>
  <c r="M37" i="45" s="1"/>
  <c r="D75" i="45"/>
  <c r="J75" i="44"/>
  <c r="N75" i="44" s="1"/>
  <c r="I73" i="45"/>
  <c r="M73" i="45" s="1"/>
  <c r="C73" i="46"/>
  <c r="D98" i="46"/>
  <c r="J98" i="45"/>
  <c r="N98" i="45" s="1"/>
  <c r="J78" i="45"/>
  <c r="N78" i="45" s="1"/>
  <c r="D78" i="46"/>
  <c r="D18" i="45"/>
  <c r="J18" i="44"/>
  <c r="N18" i="44" s="1"/>
  <c r="C96" i="46"/>
  <c r="I96" i="45"/>
  <c r="M96" i="45" s="1"/>
  <c r="C83" i="46"/>
  <c r="I83" i="45"/>
  <c r="M83" i="45" s="1"/>
  <c r="D51" i="46"/>
  <c r="J51" i="45"/>
  <c r="N51" i="45" s="1"/>
  <c r="D10" i="46"/>
  <c r="J10" i="45"/>
  <c r="N10" i="45" s="1"/>
  <c r="D48" i="46"/>
  <c r="J48" i="45"/>
  <c r="N48" i="45" s="1"/>
  <c r="J92" i="44"/>
  <c r="N92" i="44" s="1"/>
  <c r="D92" i="45"/>
  <c r="J88" i="44"/>
  <c r="N88" i="44" s="1"/>
  <c r="D88" i="45"/>
  <c r="I89" i="45"/>
  <c r="M89" i="45" s="1"/>
  <c r="C89" i="46"/>
  <c r="J56" i="45"/>
  <c r="N56" i="45" s="1"/>
  <c r="D56" i="46"/>
  <c r="J41" i="45"/>
  <c r="N41" i="45" s="1"/>
  <c r="D41" i="46"/>
  <c r="D89" i="45"/>
  <c r="J89" i="44"/>
  <c r="N89" i="44" s="1"/>
  <c r="J72" i="45"/>
  <c r="N72" i="45" s="1"/>
  <c r="D72" i="46"/>
  <c r="C85" i="46"/>
  <c r="I85" i="45"/>
  <c r="M85" i="45" s="1"/>
  <c r="J54" i="45"/>
  <c r="N54" i="45" s="1"/>
  <c r="D54" i="46"/>
  <c r="D49" i="46"/>
  <c r="J49" i="45"/>
  <c r="N49" i="45" s="1"/>
  <c r="D76" i="46"/>
  <c r="J76" i="45"/>
  <c r="N76" i="45" s="1"/>
  <c r="C98" i="46"/>
  <c r="I98" i="45"/>
  <c r="M98" i="45" s="1"/>
  <c r="C16" i="46"/>
  <c r="I16" i="45"/>
  <c r="M16" i="45" s="1"/>
  <c r="C90" i="46"/>
  <c r="I90" i="45"/>
  <c r="M90" i="45" s="1"/>
  <c r="D57" i="46"/>
  <c r="J57" i="45"/>
  <c r="N57" i="45" s="1"/>
  <c r="C12" i="46"/>
  <c r="I12" i="45"/>
  <c r="M12" i="45" s="1"/>
  <c r="I15" i="45"/>
  <c r="M15" i="45" s="1"/>
  <c r="C15" i="46"/>
  <c r="I39" i="45"/>
  <c r="M39" i="45" s="1"/>
  <c r="C39" i="46"/>
  <c r="I9" i="45"/>
  <c r="M9" i="45" s="1"/>
  <c r="C9" i="46"/>
  <c r="C21" i="46"/>
  <c r="I21" i="45"/>
  <c r="M21" i="45" s="1"/>
  <c r="J99" i="44"/>
  <c r="N99" i="44" s="1"/>
  <c r="D99" i="45"/>
  <c r="D93" i="45"/>
  <c r="J93" i="44"/>
  <c r="N93" i="44" s="1"/>
  <c r="D15" i="46"/>
  <c r="J15" i="45"/>
  <c r="N15" i="45" s="1"/>
  <c r="J39" i="45"/>
  <c r="N39" i="45" s="1"/>
  <c r="D39" i="46"/>
  <c r="D38" i="46"/>
  <c r="J38" i="45"/>
  <c r="N38" i="45" s="1"/>
  <c r="D36" i="46"/>
  <c r="J36" i="45"/>
  <c r="N36" i="45" s="1"/>
  <c r="D31" i="46"/>
  <c r="J31" i="45"/>
  <c r="N31" i="45" s="1"/>
  <c r="J32" i="45"/>
  <c r="N32" i="45" s="1"/>
  <c r="D32" i="46"/>
  <c r="J33" i="45"/>
  <c r="N33" i="45" s="1"/>
  <c r="D33" i="46"/>
  <c r="D34" i="46"/>
  <c r="J34" i="45"/>
  <c r="N34" i="45" s="1"/>
  <c r="J35" i="45"/>
  <c r="N35" i="45" s="1"/>
  <c r="D35" i="46"/>
  <c r="D30" i="46"/>
  <c r="J30" i="45"/>
  <c r="N30" i="45" s="1"/>
  <c r="D15" i="47" l="1"/>
  <c r="J15" i="46"/>
  <c r="N15" i="46" s="1"/>
  <c r="I12" i="46"/>
  <c r="M12" i="46" s="1"/>
  <c r="C12" i="47"/>
  <c r="C90" i="47"/>
  <c r="I90" i="46"/>
  <c r="M90" i="46" s="1"/>
  <c r="I98" i="46"/>
  <c r="M98" i="46" s="1"/>
  <c r="C98" i="47"/>
  <c r="J49" i="46"/>
  <c r="N49" i="46" s="1"/>
  <c r="D49" i="47"/>
  <c r="I85" i="46"/>
  <c r="M85" i="46" s="1"/>
  <c r="C85" i="47"/>
  <c r="D89" i="46"/>
  <c r="J89" i="45"/>
  <c r="N89" i="45" s="1"/>
  <c r="J48" i="46"/>
  <c r="N48" i="46" s="1"/>
  <c r="D48" i="47"/>
  <c r="I83" i="46"/>
  <c r="M83" i="46" s="1"/>
  <c r="C83" i="47"/>
  <c r="J18" i="45"/>
  <c r="N18" i="45" s="1"/>
  <c r="D18" i="46"/>
  <c r="J98" i="46"/>
  <c r="N98" i="46" s="1"/>
  <c r="D98" i="47"/>
  <c r="J75" i="45"/>
  <c r="N75" i="45" s="1"/>
  <c r="D75" i="46"/>
  <c r="C37" i="47"/>
  <c r="I37" i="46"/>
  <c r="M37" i="46" s="1"/>
  <c r="D52" i="47"/>
  <c r="J52" i="46"/>
  <c r="N52" i="46" s="1"/>
  <c r="C8" i="47"/>
  <c r="I8" i="46"/>
  <c r="M8" i="46" s="1"/>
  <c r="I33" i="46"/>
  <c r="M33" i="46" s="1"/>
  <c r="C33" i="47"/>
  <c r="I79" i="46"/>
  <c r="M79" i="46" s="1"/>
  <c r="C79" i="47"/>
  <c r="D43" i="47"/>
  <c r="J43" i="46"/>
  <c r="N43" i="46" s="1"/>
  <c r="I43" i="46"/>
  <c r="M43" i="46" s="1"/>
  <c r="C43" i="47"/>
  <c r="I77" i="46"/>
  <c r="M77" i="46" s="1"/>
  <c r="C77" i="47"/>
  <c r="D14" i="47"/>
  <c r="J14" i="46"/>
  <c r="N14" i="46" s="1"/>
  <c r="J73" i="46"/>
  <c r="N73" i="46" s="1"/>
  <c r="D73" i="47"/>
  <c r="I87" i="46"/>
  <c r="M87" i="46" s="1"/>
  <c r="C87" i="47"/>
  <c r="C47" i="47"/>
  <c r="I47" i="46"/>
  <c r="M47" i="46" s="1"/>
  <c r="C88" i="47"/>
  <c r="I88" i="46"/>
  <c r="M88" i="46" s="1"/>
  <c r="J12" i="46"/>
  <c r="N12" i="46" s="1"/>
  <c r="D12" i="47"/>
  <c r="J8" i="46"/>
  <c r="N8" i="46" s="1"/>
  <c r="D8" i="47"/>
  <c r="I32" i="46"/>
  <c r="M32" i="46" s="1"/>
  <c r="C32" i="47"/>
  <c r="C58" i="47"/>
  <c r="I58" i="46"/>
  <c r="M58" i="46" s="1"/>
  <c r="C74" i="47"/>
  <c r="I74" i="46"/>
  <c r="M74" i="46" s="1"/>
  <c r="C13" i="47"/>
  <c r="I13" i="46"/>
  <c r="M13" i="46" s="1"/>
  <c r="I92" i="46"/>
  <c r="M92" i="46" s="1"/>
  <c r="C92" i="47"/>
  <c r="J95" i="45"/>
  <c r="N95" i="45" s="1"/>
  <c r="D95" i="46"/>
  <c r="J26" i="46"/>
  <c r="N26" i="46" s="1"/>
  <c r="D26" i="47"/>
  <c r="I76" i="46"/>
  <c r="M76" i="46" s="1"/>
  <c r="C76" i="47"/>
  <c r="I55" i="46"/>
  <c r="M55" i="46" s="1"/>
  <c r="C55" i="47"/>
  <c r="C25" i="47"/>
  <c r="I25" i="46"/>
  <c r="M25" i="46" s="1"/>
  <c r="I84" i="46"/>
  <c r="M84" i="46" s="1"/>
  <c r="C84" i="47"/>
  <c r="I94" i="46"/>
  <c r="M94" i="46" s="1"/>
  <c r="C94" i="47"/>
  <c r="I31" i="46"/>
  <c r="M31" i="46" s="1"/>
  <c r="C31" i="47"/>
  <c r="C68" i="47"/>
  <c r="I68" i="46"/>
  <c r="M68" i="46" s="1"/>
  <c r="I71" i="46"/>
  <c r="M71" i="46" s="1"/>
  <c r="C71" i="47"/>
  <c r="D28" i="47"/>
  <c r="J28" i="46"/>
  <c r="N28" i="46" s="1"/>
  <c r="I61" i="46"/>
  <c r="M61" i="46" s="1"/>
  <c r="C61" i="47"/>
  <c r="I29" i="46"/>
  <c r="M29" i="46" s="1"/>
  <c r="C29" i="47"/>
  <c r="C63" i="47"/>
  <c r="I63" i="46"/>
  <c r="M63" i="46" s="1"/>
  <c r="J50" i="46"/>
  <c r="N50" i="46" s="1"/>
  <c r="D50" i="47"/>
  <c r="J9" i="46"/>
  <c r="N9" i="46" s="1"/>
  <c r="D9" i="47"/>
  <c r="I10" i="46"/>
  <c r="M10" i="46" s="1"/>
  <c r="C10" i="47"/>
  <c r="C39" i="47"/>
  <c r="I39" i="46"/>
  <c r="M39" i="46" s="1"/>
  <c r="J54" i="46"/>
  <c r="N54" i="46" s="1"/>
  <c r="D54" i="47"/>
  <c r="D72" i="47"/>
  <c r="J72" i="46"/>
  <c r="N72" i="46" s="1"/>
  <c r="D41" i="47"/>
  <c r="J41" i="46"/>
  <c r="N41" i="46" s="1"/>
  <c r="I89" i="46"/>
  <c r="M89" i="46" s="1"/>
  <c r="C89" i="47"/>
  <c r="J92" i="45"/>
  <c r="N92" i="45" s="1"/>
  <c r="D92" i="46"/>
  <c r="J78" i="46"/>
  <c r="N78" i="46" s="1"/>
  <c r="D78" i="47"/>
  <c r="I73" i="46"/>
  <c r="M73" i="46" s="1"/>
  <c r="C73" i="47"/>
  <c r="I78" i="46"/>
  <c r="M78" i="46" s="1"/>
  <c r="C78" i="47"/>
  <c r="D84" i="47"/>
  <c r="J84" i="46"/>
  <c r="N84" i="46" s="1"/>
  <c r="D11" i="45"/>
  <c r="J11" i="44"/>
  <c r="N11" i="44" s="1"/>
  <c r="J79" i="46"/>
  <c r="N79" i="46" s="1"/>
  <c r="D79" i="47"/>
  <c r="D20" i="47"/>
  <c r="J20" i="46"/>
  <c r="N20" i="46" s="1"/>
  <c r="I59" i="46"/>
  <c r="M59" i="46" s="1"/>
  <c r="C59" i="47"/>
  <c r="J19" i="46"/>
  <c r="N19" i="46" s="1"/>
  <c r="D19" i="47"/>
  <c r="C42" i="47"/>
  <c r="I42" i="46"/>
  <c r="M42" i="46" s="1"/>
  <c r="C19" i="47"/>
  <c r="I19" i="46"/>
  <c r="M19" i="46" s="1"/>
  <c r="J62" i="46"/>
  <c r="N62" i="46" s="1"/>
  <c r="D62" i="47"/>
  <c r="D46" i="47"/>
  <c r="J46" i="46"/>
  <c r="N46" i="46" s="1"/>
  <c r="I34" i="46"/>
  <c r="M34" i="46" s="1"/>
  <c r="C34" i="47"/>
  <c r="I99" i="46"/>
  <c r="M99" i="46" s="1"/>
  <c r="C99" i="47"/>
  <c r="I18" i="46"/>
  <c r="M18" i="46" s="1"/>
  <c r="C18" i="47"/>
  <c r="I46" i="46"/>
  <c r="M46" i="46" s="1"/>
  <c r="C46" i="47"/>
  <c r="J16" i="45"/>
  <c r="N16" i="45" s="1"/>
  <c r="D16" i="46"/>
  <c r="D67" i="46"/>
  <c r="J67" i="45"/>
  <c r="N67" i="45" s="1"/>
  <c r="I65" i="46"/>
  <c r="M65" i="46" s="1"/>
  <c r="C65" i="47"/>
  <c r="I81" i="46"/>
  <c r="M81" i="46" s="1"/>
  <c r="C81" i="47"/>
  <c r="J44" i="45"/>
  <c r="N44" i="45" s="1"/>
  <c r="D44" i="46"/>
  <c r="J70" i="46"/>
  <c r="N70" i="46" s="1"/>
  <c r="D70" i="47"/>
  <c r="C67" i="47"/>
  <c r="I67" i="46"/>
  <c r="M67" i="46" s="1"/>
  <c r="D47" i="47"/>
  <c r="J47" i="46"/>
  <c r="N47" i="46" s="1"/>
  <c r="C20" i="47"/>
  <c r="I20" i="46"/>
  <c r="M20" i="46" s="1"/>
  <c r="C54" i="47"/>
  <c r="I54" i="46"/>
  <c r="M54" i="46" s="1"/>
  <c r="J80" i="46"/>
  <c r="N80" i="46" s="1"/>
  <c r="D80" i="47"/>
  <c r="J24" i="45"/>
  <c r="N24" i="45" s="1"/>
  <c r="D24" i="46"/>
  <c r="C45" i="47"/>
  <c r="I45" i="46"/>
  <c r="M45" i="46" s="1"/>
  <c r="J93" i="45"/>
  <c r="N93" i="45" s="1"/>
  <c r="D93" i="46"/>
  <c r="I21" i="46"/>
  <c r="M21" i="46" s="1"/>
  <c r="C21" i="47"/>
  <c r="J57" i="46"/>
  <c r="N57" i="46" s="1"/>
  <c r="D57" i="47"/>
  <c r="I16" i="46"/>
  <c r="M16" i="46" s="1"/>
  <c r="C16" i="47"/>
  <c r="D76" i="47"/>
  <c r="J76" i="46"/>
  <c r="N76" i="46" s="1"/>
  <c r="D10" i="47"/>
  <c r="J10" i="46"/>
  <c r="N10" i="46" s="1"/>
  <c r="D51" i="47"/>
  <c r="J51" i="46"/>
  <c r="N51" i="46" s="1"/>
  <c r="I96" i="46"/>
  <c r="M96" i="46" s="1"/>
  <c r="C96" i="47"/>
  <c r="J37" i="46"/>
  <c r="N37" i="46" s="1"/>
  <c r="D37" i="47"/>
  <c r="I26" i="46"/>
  <c r="M26" i="46" s="1"/>
  <c r="C26" i="47"/>
  <c r="D68" i="47"/>
  <c r="J68" i="46"/>
  <c r="N68" i="46" s="1"/>
  <c r="I72" i="46"/>
  <c r="M72" i="46" s="1"/>
  <c r="C72" i="47"/>
  <c r="J66" i="46"/>
  <c r="N66" i="46" s="1"/>
  <c r="D66" i="47"/>
  <c r="J83" i="46"/>
  <c r="N83" i="46" s="1"/>
  <c r="D83" i="47"/>
  <c r="C53" i="47"/>
  <c r="I53" i="46"/>
  <c r="M53" i="46" s="1"/>
  <c r="C69" i="47"/>
  <c r="I69" i="46"/>
  <c r="M69" i="46" s="1"/>
  <c r="J91" i="45"/>
  <c r="N91" i="45" s="1"/>
  <c r="D91" i="46"/>
  <c r="D86" i="46"/>
  <c r="J86" i="45"/>
  <c r="N86" i="45" s="1"/>
  <c r="D87" i="47"/>
  <c r="J87" i="46"/>
  <c r="N87" i="46" s="1"/>
  <c r="D65" i="46"/>
  <c r="J65" i="45"/>
  <c r="N65" i="45" s="1"/>
  <c r="J22" i="46"/>
  <c r="N22" i="46" s="1"/>
  <c r="D22" i="47"/>
  <c r="J13" i="46"/>
  <c r="N13" i="46" s="1"/>
  <c r="D13" i="47"/>
  <c r="J40" i="45"/>
  <c r="N40" i="45" s="1"/>
  <c r="D40" i="46"/>
  <c r="D61" i="47"/>
  <c r="J61" i="46"/>
  <c r="N61" i="46" s="1"/>
  <c r="I35" i="46"/>
  <c r="M35" i="46" s="1"/>
  <c r="C35" i="47"/>
  <c r="J23" i="45"/>
  <c r="N23" i="45" s="1"/>
  <c r="D23" i="46"/>
  <c r="C11" i="47"/>
  <c r="I11" i="46"/>
  <c r="M11" i="46" s="1"/>
  <c r="J63" i="45"/>
  <c r="N63" i="45" s="1"/>
  <c r="D63" i="46"/>
  <c r="J96" i="45"/>
  <c r="N96" i="45" s="1"/>
  <c r="D96" i="46"/>
  <c r="C27" i="47"/>
  <c r="I27" i="46"/>
  <c r="M27" i="46" s="1"/>
  <c r="I48" i="46"/>
  <c r="M48" i="46" s="1"/>
  <c r="C48" i="47"/>
  <c r="J77" i="46"/>
  <c r="N77" i="46" s="1"/>
  <c r="D77" i="47"/>
  <c r="D45" i="47"/>
  <c r="J45" i="46"/>
  <c r="N45" i="46" s="1"/>
  <c r="C41" i="47"/>
  <c r="I41" i="46"/>
  <c r="M41" i="46" s="1"/>
  <c r="J74" i="45"/>
  <c r="N74" i="45" s="1"/>
  <c r="D74" i="46"/>
  <c r="J53" i="46"/>
  <c r="N53" i="46" s="1"/>
  <c r="D53" i="47"/>
  <c r="J42" i="45"/>
  <c r="N42" i="45" s="1"/>
  <c r="D42" i="46"/>
  <c r="I95" i="46"/>
  <c r="M95" i="46" s="1"/>
  <c r="C95" i="47"/>
  <c r="I97" i="46"/>
  <c r="M97" i="46" s="1"/>
  <c r="C97" i="47"/>
  <c r="D71" i="46"/>
  <c r="J71" i="45"/>
  <c r="N71" i="45" s="1"/>
  <c r="I17" i="46"/>
  <c r="M17" i="46" s="1"/>
  <c r="C17" i="47"/>
  <c r="D82" i="47"/>
  <c r="J82" i="46"/>
  <c r="N82" i="46" s="1"/>
  <c r="I56" i="46"/>
  <c r="M56" i="46" s="1"/>
  <c r="C56" i="47"/>
  <c r="D99" i="46"/>
  <c r="J99" i="45"/>
  <c r="N99" i="45" s="1"/>
  <c r="C9" i="47"/>
  <c r="I9" i="46"/>
  <c r="M9" i="46" s="1"/>
  <c r="I15" i="46"/>
  <c r="M15" i="46" s="1"/>
  <c r="C15" i="47"/>
  <c r="D56" i="47"/>
  <c r="J56" i="46"/>
  <c r="N56" i="46" s="1"/>
  <c r="D88" i="46"/>
  <c r="J88" i="45"/>
  <c r="N88" i="45" s="1"/>
  <c r="J25" i="46"/>
  <c r="N25" i="46" s="1"/>
  <c r="D25" i="47"/>
  <c r="J90" i="46"/>
  <c r="N90" i="46" s="1"/>
  <c r="D90" i="47"/>
  <c r="C70" i="47"/>
  <c r="I70" i="46"/>
  <c r="M70" i="46" s="1"/>
  <c r="I24" i="46"/>
  <c r="M24" i="46" s="1"/>
  <c r="C24" i="47"/>
  <c r="J81" i="45"/>
  <c r="N81" i="45" s="1"/>
  <c r="D81" i="46"/>
  <c r="C30" i="47"/>
  <c r="I30" i="46"/>
  <c r="M30" i="46" s="1"/>
  <c r="I36" i="46"/>
  <c r="M36" i="46" s="1"/>
  <c r="C36" i="47"/>
  <c r="C38" i="47"/>
  <c r="I38" i="46"/>
  <c r="M38" i="46" s="1"/>
  <c r="J64" i="46"/>
  <c r="N64" i="46" s="1"/>
  <c r="D64" i="47"/>
  <c r="D85" i="46"/>
  <c r="J85" i="45"/>
  <c r="N85" i="45" s="1"/>
  <c r="I86" i="46"/>
  <c r="M86" i="46" s="1"/>
  <c r="C86" i="47"/>
  <c r="D29" i="47"/>
  <c r="J29" i="46"/>
  <c r="N29" i="46" s="1"/>
  <c r="J21" i="45"/>
  <c r="N21" i="45" s="1"/>
  <c r="D21" i="46"/>
  <c r="I66" i="46"/>
  <c r="M66" i="46" s="1"/>
  <c r="C66" i="47"/>
  <c r="C93" i="47"/>
  <c r="I93" i="46"/>
  <c r="M93" i="46" s="1"/>
  <c r="C62" i="47"/>
  <c r="I62" i="46"/>
  <c r="M62" i="46" s="1"/>
  <c r="I28" i="46"/>
  <c r="M28" i="46" s="1"/>
  <c r="C28" i="47"/>
  <c r="I80" i="46"/>
  <c r="M80" i="46" s="1"/>
  <c r="C80" i="47"/>
  <c r="I40" i="46"/>
  <c r="M40" i="46" s="1"/>
  <c r="C40" i="47"/>
  <c r="I75" i="46"/>
  <c r="M75" i="46" s="1"/>
  <c r="C75" i="47"/>
  <c r="J27" i="46"/>
  <c r="N27" i="46" s="1"/>
  <c r="D27" i="47"/>
  <c r="C64" i="47"/>
  <c r="I64" i="46"/>
  <c r="M64" i="46" s="1"/>
  <c r="J17" i="46"/>
  <c r="N17" i="46" s="1"/>
  <c r="D17" i="47"/>
  <c r="J58" i="46"/>
  <c r="N58" i="46" s="1"/>
  <c r="D58" i="47"/>
  <c r="D55" i="47"/>
  <c r="J55" i="46"/>
  <c r="N55" i="46" s="1"/>
  <c r="D39" i="47"/>
  <c r="J39" i="46"/>
  <c r="N39" i="46" s="1"/>
  <c r="D38" i="47"/>
  <c r="J38" i="46"/>
  <c r="N38" i="46" s="1"/>
  <c r="D36" i="47"/>
  <c r="J36" i="46"/>
  <c r="N36" i="46" s="1"/>
  <c r="J31" i="46"/>
  <c r="N31" i="46" s="1"/>
  <c r="D31" i="47"/>
  <c r="J32" i="46"/>
  <c r="N32" i="46" s="1"/>
  <c r="D32" i="47"/>
  <c r="J33" i="46"/>
  <c r="N33" i="46" s="1"/>
  <c r="D33" i="47"/>
  <c r="J34" i="46"/>
  <c r="N34" i="46" s="1"/>
  <c r="D34" i="47"/>
  <c r="J35" i="46"/>
  <c r="N35" i="46" s="1"/>
  <c r="D35" i="47"/>
  <c r="D30" i="47"/>
  <c r="J30" i="46"/>
  <c r="N30" i="46" s="1"/>
  <c r="J55" i="47" l="1"/>
  <c r="N55" i="47" s="1"/>
  <c r="D55" i="48"/>
  <c r="J55" i="48" s="1"/>
  <c r="C62" i="48"/>
  <c r="I62" i="48" s="1"/>
  <c r="I62" i="47"/>
  <c r="M62" i="47" s="1"/>
  <c r="J29" i="47"/>
  <c r="N29" i="47" s="1"/>
  <c r="D29" i="48"/>
  <c r="J29" i="48" s="1"/>
  <c r="C70" i="48"/>
  <c r="I70" i="48" s="1"/>
  <c r="I70" i="47"/>
  <c r="M70" i="47" s="1"/>
  <c r="J88" i="46"/>
  <c r="N88" i="46" s="1"/>
  <c r="D88" i="47"/>
  <c r="D99" i="47"/>
  <c r="J99" i="46"/>
  <c r="N99" i="46" s="1"/>
  <c r="J82" i="47"/>
  <c r="N82" i="47" s="1"/>
  <c r="D82" i="48"/>
  <c r="J82" i="48" s="1"/>
  <c r="D71" i="47"/>
  <c r="J71" i="46"/>
  <c r="N71" i="46" s="1"/>
  <c r="J45" i="47"/>
  <c r="N45" i="47" s="1"/>
  <c r="D45" i="48"/>
  <c r="J45" i="48" s="1"/>
  <c r="I11" i="47"/>
  <c r="M11" i="47" s="1"/>
  <c r="C11" i="48"/>
  <c r="I11" i="48" s="1"/>
  <c r="J65" i="46"/>
  <c r="N65" i="46" s="1"/>
  <c r="D65" i="47"/>
  <c r="D86" i="47"/>
  <c r="J86" i="46"/>
  <c r="N86" i="46" s="1"/>
  <c r="C69" i="48"/>
  <c r="I69" i="48" s="1"/>
  <c r="I69" i="47"/>
  <c r="M69" i="47" s="1"/>
  <c r="D51" i="48"/>
  <c r="J51" i="48" s="1"/>
  <c r="J51" i="47"/>
  <c r="N51" i="47" s="1"/>
  <c r="J76" i="47"/>
  <c r="N76" i="47" s="1"/>
  <c r="D76" i="48"/>
  <c r="J76" i="48" s="1"/>
  <c r="C45" i="48"/>
  <c r="I45" i="48" s="1"/>
  <c r="I45" i="47"/>
  <c r="M45" i="47" s="1"/>
  <c r="I20" i="47"/>
  <c r="M20" i="47" s="1"/>
  <c r="C20" i="48"/>
  <c r="I20" i="48" s="1"/>
  <c r="C67" i="48"/>
  <c r="I67" i="48" s="1"/>
  <c r="I67" i="47"/>
  <c r="M67" i="47" s="1"/>
  <c r="J46" i="47"/>
  <c r="N46" i="47" s="1"/>
  <c r="D46" i="48"/>
  <c r="J46" i="48" s="1"/>
  <c r="I19" i="47"/>
  <c r="M19" i="47" s="1"/>
  <c r="C19" i="48"/>
  <c r="I19" i="48" s="1"/>
  <c r="J84" i="47"/>
  <c r="N84" i="47" s="1"/>
  <c r="D84" i="48"/>
  <c r="J84" i="48" s="1"/>
  <c r="J41" i="47"/>
  <c r="N41" i="47" s="1"/>
  <c r="D41" i="48"/>
  <c r="J41" i="48" s="1"/>
  <c r="J28" i="47"/>
  <c r="N28" i="47" s="1"/>
  <c r="D28" i="48"/>
  <c r="J28" i="48" s="1"/>
  <c r="I68" i="47"/>
  <c r="M68" i="47" s="1"/>
  <c r="C68" i="48"/>
  <c r="I68" i="48" s="1"/>
  <c r="C13" i="48"/>
  <c r="I13" i="48" s="1"/>
  <c r="I13" i="47"/>
  <c r="M13" i="47" s="1"/>
  <c r="I58" i="47"/>
  <c r="M58" i="47" s="1"/>
  <c r="C58" i="48"/>
  <c r="I58" i="48" s="1"/>
  <c r="I88" i="47"/>
  <c r="M88" i="47" s="1"/>
  <c r="C88" i="48"/>
  <c r="I88" i="48" s="1"/>
  <c r="C47" i="48"/>
  <c r="I47" i="48" s="1"/>
  <c r="I47" i="47"/>
  <c r="M47" i="47" s="1"/>
  <c r="J43" i="47"/>
  <c r="N43" i="47" s="1"/>
  <c r="D43" i="48"/>
  <c r="J43" i="48" s="1"/>
  <c r="J52" i="47"/>
  <c r="N52" i="47" s="1"/>
  <c r="D52" i="48"/>
  <c r="J52" i="48" s="1"/>
  <c r="J89" i="46"/>
  <c r="N89" i="46" s="1"/>
  <c r="D89" i="47"/>
  <c r="I90" i="47"/>
  <c r="M90" i="47" s="1"/>
  <c r="C90" i="48"/>
  <c r="I90" i="48" s="1"/>
  <c r="J15" i="47"/>
  <c r="N15" i="47" s="1"/>
  <c r="D15" i="48"/>
  <c r="J15" i="48" s="1"/>
  <c r="D58" i="48"/>
  <c r="J58" i="48" s="1"/>
  <c r="J58" i="47"/>
  <c r="N58" i="47" s="1"/>
  <c r="C75" i="48"/>
  <c r="I75" i="48" s="1"/>
  <c r="I75" i="47"/>
  <c r="M75" i="47" s="1"/>
  <c r="I80" i="47"/>
  <c r="M80" i="47" s="1"/>
  <c r="C80" i="48"/>
  <c r="I80" i="48" s="1"/>
  <c r="C28" i="48"/>
  <c r="I28" i="48" s="1"/>
  <c r="I28" i="47"/>
  <c r="M28" i="47" s="1"/>
  <c r="D21" i="47"/>
  <c r="J21" i="46"/>
  <c r="N21" i="46" s="1"/>
  <c r="I86" i="47"/>
  <c r="M86" i="47" s="1"/>
  <c r="C86" i="48"/>
  <c r="I86" i="48" s="1"/>
  <c r="C24" i="48"/>
  <c r="I24" i="48" s="1"/>
  <c r="I24" i="47"/>
  <c r="M24" i="47" s="1"/>
  <c r="J25" i="47"/>
  <c r="N25" i="47" s="1"/>
  <c r="D25" i="48"/>
  <c r="J25" i="48" s="1"/>
  <c r="I56" i="47"/>
  <c r="M56" i="47" s="1"/>
  <c r="C56" i="48"/>
  <c r="I56" i="48" s="1"/>
  <c r="I17" i="47"/>
  <c r="M17" i="47" s="1"/>
  <c r="C17" i="48"/>
  <c r="I17" i="48" s="1"/>
  <c r="I97" i="47"/>
  <c r="M97" i="47" s="1"/>
  <c r="C97" i="48"/>
  <c r="I97" i="48" s="1"/>
  <c r="D42" i="47"/>
  <c r="J42" i="46"/>
  <c r="N42" i="46" s="1"/>
  <c r="J53" i="47"/>
  <c r="N53" i="47" s="1"/>
  <c r="D53" i="48"/>
  <c r="J53" i="48" s="1"/>
  <c r="J77" i="47"/>
  <c r="N77" i="47" s="1"/>
  <c r="D77" i="48"/>
  <c r="J77" i="48" s="1"/>
  <c r="J63" i="46"/>
  <c r="N63" i="46" s="1"/>
  <c r="D63" i="47"/>
  <c r="J23" i="46"/>
  <c r="N23" i="46" s="1"/>
  <c r="D23" i="47"/>
  <c r="J13" i="47"/>
  <c r="N13" i="47" s="1"/>
  <c r="D13" i="48"/>
  <c r="J13" i="48" s="1"/>
  <c r="D91" i="47"/>
  <c r="J91" i="46"/>
  <c r="N91" i="46" s="1"/>
  <c r="D66" i="48"/>
  <c r="J66" i="48" s="1"/>
  <c r="J66" i="47"/>
  <c r="N66" i="47" s="1"/>
  <c r="J37" i="47"/>
  <c r="N37" i="47" s="1"/>
  <c r="D37" i="48"/>
  <c r="J37" i="48" s="1"/>
  <c r="I96" i="47"/>
  <c r="M96" i="47" s="1"/>
  <c r="C96" i="48"/>
  <c r="I96" i="48" s="1"/>
  <c r="C16" i="48"/>
  <c r="I16" i="48" s="1"/>
  <c r="I16" i="47"/>
  <c r="M16" i="47" s="1"/>
  <c r="D93" i="47"/>
  <c r="J93" i="46"/>
  <c r="N93" i="46" s="1"/>
  <c r="J24" i="46"/>
  <c r="N24" i="46" s="1"/>
  <c r="D24" i="47"/>
  <c r="D70" i="48"/>
  <c r="J70" i="48" s="1"/>
  <c r="J70" i="47"/>
  <c r="N70" i="47" s="1"/>
  <c r="C81" i="48"/>
  <c r="I81" i="48" s="1"/>
  <c r="I81" i="47"/>
  <c r="M81" i="47" s="1"/>
  <c r="D16" i="47"/>
  <c r="J16" i="46"/>
  <c r="N16" i="46" s="1"/>
  <c r="C18" i="48"/>
  <c r="I18" i="48" s="1"/>
  <c r="I18" i="47"/>
  <c r="M18" i="47" s="1"/>
  <c r="C34" i="48"/>
  <c r="I34" i="48" s="1"/>
  <c r="I34" i="47"/>
  <c r="M34" i="47" s="1"/>
  <c r="D62" i="48"/>
  <c r="J62" i="48" s="1"/>
  <c r="J62" i="47"/>
  <c r="N62" i="47" s="1"/>
  <c r="J19" i="47"/>
  <c r="N19" i="47" s="1"/>
  <c r="D19" i="48"/>
  <c r="J19" i="48" s="1"/>
  <c r="C78" i="48"/>
  <c r="I78" i="48" s="1"/>
  <c r="I78" i="47"/>
  <c r="M78" i="47" s="1"/>
  <c r="D78" i="48"/>
  <c r="J78" i="48" s="1"/>
  <c r="J78" i="47"/>
  <c r="N78" i="47" s="1"/>
  <c r="C89" i="48"/>
  <c r="I89" i="48" s="1"/>
  <c r="I89" i="47"/>
  <c r="M89" i="47" s="1"/>
  <c r="D9" i="48"/>
  <c r="J9" i="48" s="1"/>
  <c r="J9" i="47"/>
  <c r="N9" i="47" s="1"/>
  <c r="C61" i="48"/>
  <c r="I61" i="48" s="1"/>
  <c r="I61" i="47"/>
  <c r="M61" i="47" s="1"/>
  <c r="C71" i="48"/>
  <c r="I71" i="48" s="1"/>
  <c r="I71" i="47"/>
  <c r="M71" i="47" s="1"/>
  <c r="C31" i="48"/>
  <c r="I31" i="48" s="1"/>
  <c r="I31" i="47"/>
  <c r="M31" i="47" s="1"/>
  <c r="I84" i="47"/>
  <c r="M84" i="47" s="1"/>
  <c r="C84" i="48"/>
  <c r="I84" i="48" s="1"/>
  <c r="C55" i="48"/>
  <c r="I55" i="48" s="1"/>
  <c r="I55" i="47"/>
  <c r="M55" i="47" s="1"/>
  <c r="J26" i="47"/>
  <c r="N26" i="47" s="1"/>
  <c r="D26" i="48"/>
  <c r="J26" i="48" s="1"/>
  <c r="I92" i="47"/>
  <c r="M92" i="47" s="1"/>
  <c r="C92" i="48"/>
  <c r="I92" i="48" s="1"/>
  <c r="C32" i="48"/>
  <c r="I32" i="48" s="1"/>
  <c r="I32" i="47"/>
  <c r="M32" i="47" s="1"/>
  <c r="J12" i="47"/>
  <c r="N12" i="47" s="1"/>
  <c r="D12" i="48"/>
  <c r="J12" i="48" s="1"/>
  <c r="I87" i="47"/>
  <c r="M87" i="47" s="1"/>
  <c r="C87" i="48"/>
  <c r="I87" i="48" s="1"/>
  <c r="I43" i="47"/>
  <c r="M43" i="47" s="1"/>
  <c r="C43" i="48"/>
  <c r="I43" i="48" s="1"/>
  <c r="C79" i="48"/>
  <c r="I79" i="48" s="1"/>
  <c r="I79" i="47"/>
  <c r="M79" i="47" s="1"/>
  <c r="J98" i="47"/>
  <c r="N98" i="47" s="1"/>
  <c r="D98" i="48"/>
  <c r="J98" i="48" s="1"/>
  <c r="I83" i="47"/>
  <c r="M83" i="47" s="1"/>
  <c r="C83" i="48"/>
  <c r="I83" i="48" s="1"/>
  <c r="D48" i="48"/>
  <c r="J48" i="48" s="1"/>
  <c r="J48" i="47"/>
  <c r="N48" i="47" s="1"/>
  <c r="I85" i="47"/>
  <c r="M85" i="47" s="1"/>
  <c r="C85" i="48"/>
  <c r="I85" i="48" s="1"/>
  <c r="C98" i="48"/>
  <c r="I98" i="48" s="1"/>
  <c r="I98" i="47"/>
  <c r="M98" i="47" s="1"/>
  <c r="C12" i="48"/>
  <c r="I12" i="48" s="1"/>
  <c r="I12" i="47"/>
  <c r="M12" i="47" s="1"/>
  <c r="C64" i="48"/>
  <c r="I64" i="48" s="1"/>
  <c r="I64" i="47"/>
  <c r="M64" i="47" s="1"/>
  <c r="I93" i="47"/>
  <c r="M93" i="47" s="1"/>
  <c r="C93" i="48"/>
  <c r="I93" i="48" s="1"/>
  <c r="J85" i="46"/>
  <c r="N85" i="46" s="1"/>
  <c r="D85" i="47"/>
  <c r="I38" i="47"/>
  <c r="M38" i="47" s="1"/>
  <c r="C38" i="48"/>
  <c r="I38" i="48" s="1"/>
  <c r="C30" i="48"/>
  <c r="I30" i="48" s="1"/>
  <c r="I30" i="47"/>
  <c r="M30" i="47" s="1"/>
  <c r="J56" i="47"/>
  <c r="N56" i="47" s="1"/>
  <c r="D56" i="48"/>
  <c r="J56" i="48" s="1"/>
  <c r="C9" i="48"/>
  <c r="I9" i="48" s="1"/>
  <c r="I9" i="47"/>
  <c r="M9" i="47" s="1"/>
  <c r="I41" i="47"/>
  <c r="M41" i="47" s="1"/>
  <c r="C41" i="48"/>
  <c r="I41" i="48" s="1"/>
  <c r="I27" i="47"/>
  <c r="M27" i="47" s="1"/>
  <c r="C27" i="48"/>
  <c r="I27" i="48" s="1"/>
  <c r="J61" i="47"/>
  <c r="N61" i="47" s="1"/>
  <c r="D61" i="48"/>
  <c r="J61" i="48" s="1"/>
  <c r="D87" i="48"/>
  <c r="J87" i="48" s="1"/>
  <c r="J87" i="47"/>
  <c r="N87" i="47" s="1"/>
  <c r="C53" i="48"/>
  <c r="I53" i="48" s="1"/>
  <c r="I53" i="47"/>
  <c r="M53" i="47" s="1"/>
  <c r="J68" i="47"/>
  <c r="N68" i="47" s="1"/>
  <c r="D68" i="48"/>
  <c r="J68" i="48" s="1"/>
  <c r="J10" i="47"/>
  <c r="N10" i="47" s="1"/>
  <c r="D10" i="48"/>
  <c r="J10" i="48" s="1"/>
  <c r="C54" i="48"/>
  <c r="I54" i="48" s="1"/>
  <c r="I54" i="47"/>
  <c r="M54" i="47" s="1"/>
  <c r="J47" i="47"/>
  <c r="N47" i="47" s="1"/>
  <c r="D47" i="48"/>
  <c r="J47" i="48" s="1"/>
  <c r="D67" i="47"/>
  <c r="J67" i="46"/>
  <c r="N67" i="46" s="1"/>
  <c r="C42" i="48"/>
  <c r="I42" i="48" s="1"/>
  <c r="I42" i="47"/>
  <c r="M42" i="47" s="1"/>
  <c r="D20" i="48"/>
  <c r="J20" i="48" s="1"/>
  <c r="J20" i="47"/>
  <c r="N20" i="47" s="1"/>
  <c r="D11" i="46"/>
  <c r="J11" i="45"/>
  <c r="N11" i="45" s="1"/>
  <c r="J72" i="47"/>
  <c r="N72" i="47" s="1"/>
  <c r="D72" i="48"/>
  <c r="J72" i="48" s="1"/>
  <c r="C39" i="48"/>
  <c r="I39" i="48" s="1"/>
  <c r="I39" i="47"/>
  <c r="M39" i="47" s="1"/>
  <c r="I63" i="47"/>
  <c r="M63" i="47" s="1"/>
  <c r="C63" i="48"/>
  <c r="I63" i="48" s="1"/>
  <c r="C25" i="48"/>
  <c r="I25" i="48" s="1"/>
  <c r="I25" i="47"/>
  <c r="M25" i="47" s="1"/>
  <c r="I74" i="47"/>
  <c r="M74" i="47" s="1"/>
  <c r="C74" i="48"/>
  <c r="I74" i="48" s="1"/>
  <c r="J14" i="47"/>
  <c r="N14" i="47" s="1"/>
  <c r="D14" i="48"/>
  <c r="J14" i="48" s="1"/>
  <c r="C8" i="48"/>
  <c r="I8" i="48" s="1"/>
  <c r="I8" i="47"/>
  <c r="M8" i="47" s="1"/>
  <c r="I37" i="47"/>
  <c r="M37" i="47" s="1"/>
  <c r="C37" i="48"/>
  <c r="I37" i="48" s="1"/>
  <c r="D17" i="48"/>
  <c r="J17" i="48" s="1"/>
  <c r="J17" i="47"/>
  <c r="N17" i="47" s="1"/>
  <c r="J27" i="47"/>
  <c r="N27" i="47" s="1"/>
  <c r="D27" i="48"/>
  <c r="J27" i="48" s="1"/>
  <c r="C40" i="48"/>
  <c r="I40" i="48" s="1"/>
  <c r="I40" i="47"/>
  <c r="M40" i="47" s="1"/>
  <c r="I66" i="47"/>
  <c r="M66" i="47" s="1"/>
  <c r="C66" i="48"/>
  <c r="I66" i="48" s="1"/>
  <c r="D64" i="48"/>
  <c r="J64" i="48" s="1"/>
  <c r="J64" i="47"/>
  <c r="N64" i="47" s="1"/>
  <c r="I36" i="47"/>
  <c r="M36" i="47" s="1"/>
  <c r="C36" i="48"/>
  <c r="I36" i="48" s="1"/>
  <c r="D81" i="47"/>
  <c r="J81" i="46"/>
  <c r="N81" i="46" s="1"/>
  <c r="J90" i="47"/>
  <c r="N90" i="47" s="1"/>
  <c r="D90" i="48"/>
  <c r="J90" i="48" s="1"/>
  <c r="C15" i="48"/>
  <c r="I15" i="48" s="1"/>
  <c r="I15" i="47"/>
  <c r="M15" i="47" s="1"/>
  <c r="I95" i="47"/>
  <c r="M95" i="47" s="1"/>
  <c r="C95" i="48"/>
  <c r="I95" i="48" s="1"/>
  <c r="J74" i="46"/>
  <c r="N74" i="46" s="1"/>
  <c r="D74" i="47"/>
  <c r="I48" i="47"/>
  <c r="M48" i="47" s="1"/>
  <c r="C48" i="48"/>
  <c r="I48" i="48" s="1"/>
  <c r="J96" i="46"/>
  <c r="N96" i="46" s="1"/>
  <c r="D96" i="47"/>
  <c r="I35" i="47"/>
  <c r="M35" i="47" s="1"/>
  <c r="C35" i="48"/>
  <c r="I35" i="48" s="1"/>
  <c r="D40" i="47"/>
  <c r="J40" i="46"/>
  <c r="N40" i="46" s="1"/>
  <c r="D22" i="48"/>
  <c r="J22" i="48" s="1"/>
  <c r="J22" i="47"/>
  <c r="N22" i="47" s="1"/>
  <c r="D83" i="48"/>
  <c r="J83" i="48" s="1"/>
  <c r="J83" i="47"/>
  <c r="N83" i="47" s="1"/>
  <c r="I72" i="47"/>
  <c r="M72" i="47" s="1"/>
  <c r="C72" i="48"/>
  <c r="I72" i="48" s="1"/>
  <c r="C26" i="48"/>
  <c r="I26" i="48" s="1"/>
  <c r="I26" i="47"/>
  <c r="M26" i="47" s="1"/>
  <c r="J57" i="47"/>
  <c r="N57" i="47" s="1"/>
  <c r="D57" i="48"/>
  <c r="J57" i="48" s="1"/>
  <c r="I21" i="47"/>
  <c r="M21" i="47" s="1"/>
  <c r="C21" i="48"/>
  <c r="I21" i="48" s="1"/>
  <c r="J80" i="47"/>
  <c r="N80" i="47" s="1"/>
  <c r="D80" i="48"/>
  <c r="J80" i="48" s="1"/>
  <c r="D44" i="47"/>
  <c r="J44" i="46"/>
  <c r="N44" i="46" s="1"/>
  <c r="I65" i="47"/>
  <c r="M65" i="47" s="1"/>
  <c r="C65" i="48"/>
  <c r="I65" i="48" s="1"/>
  <c r="I46" i="47"/>
  <c r="M46" i="47" s="1"/>
  <c r="C46" i="48"/>
  <c r="I46" i="48" s="1"/>
  <c r="C99" i="48"/>
  <c r="I99" i="48" s="1"/>
  <c r="I99" i="47"/>
  <c r="M99" i="47" s="1"/>
  <c r="I59" i="47"/>
  <c r="M59" i="47" s="1"/>
  <c r="C59" i="48"/>
  <c r="I59" i="48" s="1"/>
  <c r="J79" i="47"/>
  <c r="N79" i="47" s="1"/>
  <c r="D79" i="48"/>
  <c r="J79" i="48" s="1"/>
  <c r="C73" i="48"/>
  <c r="I73" i="48" s="1"/>
  <c r="I73" i="47"/>
  <c r="M73" i="47" s="1"/>
  <c r="D92" i="47"/>
  <c r="J92" i="46"/>
  <c r="N92" i="46" s="1"/>
  <c r="D54" i="48"/>
  <c r="J54" i="48" s="1"/>
  <c r="J54" i="47"/>
  <c r="N54" i="47" s="1"/>
  <c r="I10" i="47"/>
  <c r="M10" i="47" s="1"/>
  <c r="C10" i="48"/>
  <c r="I10" i="48" s="1"/>
  <c r="J50" i="47"/>
  <c r="N50" i="47" s="1"/>
  <c r="D50" i="48"/>
  <c r="J50" i="48" s="1"/>
  <c r="C29" i="48"/>
  <c r="I29" i="48" s="1"/>
  <c r="I29" i="47"/>
  <c r="M29" i="47" s="1"/>
  <c r="I94" i="47"/>
  <c r="M94" i="47" s="1"/>
  <c r="C94" i="48"/>
  <c r="I94" i="48" s="1"/>
  <c r="C76" i="48"/>
  <c r="I76" i="48" s="1"/>
  <c r="I76" i="47"/>
  <c r="M76" i="47" s="1"/>
  <c r="D95" i="47"/>
  <c r="J95" i="46"/>
  <c r="N95" i="46" s="1"/>
  <c r="J8" i="47"/>
  <c r="N8" i="47" s="1"/>
  <c r="D8" i="48"/>
  <c r="J8" i="48" s="1"/>
  <c r="D73" i="48"/>
  <c r="J73" i="48" s="1"/>
  <c r="J73" i="47"/>
  <c r="N73" i="47" s="1"/>
  <c r="I77" i="47"/>
  <c r="M77" i="47" s="1"/>
  <c r="C77" i="48"/>
  <c r="I77" i="48" s="1"/>
  <c r="I33" i="47"/>
  <c r="M33" i="47" s="1"/>
  <c r="C33" i="48"/>
  <c r="I33" i="48" s="1"/>
  <c r="D75" i="47"/>
  <c r="J75" i="46"/>
  <c r="N75" i="46" s="1"/>
  <c r="D18" i="47"/>
  <c r="J18" i="46"/>
  <c r="N18" i="46" s="1"/>
  <c r="J49" i="47"/>
  <c r="N49" i="47" s="1"/>
  <c r="D49" i="48"/>
  <c r="J49" i="48" s="1"/>
  <c r="D39" i="48"/>
  <c r="J39" i="48" s="1"/>
  <c r="J39" i="47"/>
  <c r="N39" i="47" s="1"/>
  <c r="D38" i="48"/>
  <c r="J38" i="48" s="1"/>
  <c r="J38" i="47"/>
  <c r="N38" i="47" s="1"/>
  <c r="J36" i="47"/>
  <c r="N36" i="47" s="1"/>
  <c r="D36" i="48"/>
  <c r="J36" i="48" s="1"/>
  <c r="D31" i="48"/>
  <c r="J31" i="48" s="1"/>
  <c r="J31" i="47"/>
  <c r="N31" i="47" s="1"/>
  <c r="D32" i="48"/>
  <c r="J32" i="48" s="1"/>
  <c r="J32" i="47"/>
  <c r="N32" i="47" s="1"/>
  <c r="D33" i="48"/>
  <c r="J33" i="48" s="1"/>
  <c r="J33" i="47"/>
  <c r="N33" i="47" s="1"/>
  <c r="J34" i="47"/>
  <c r="N34" i="47" s="1"/>
  <c r="D34" i="48"/>
  <c r="J34" i="48" s="1"/>
  <c r="J35" i="47"/>
  <c r="N35" i="47" s="1"/>
  <c r="D35" i="48"/>
  <c r="J35" i="48" s="1"/>
  <c r="J30" i="47"/>
  <c r="N30" i="47" s="1"/>
  <c r="D30" i="48"/>
  <c r="J30" i="48" s="1"/>
  <c r="D18" i="48" l="1"/>
  <c r="J18" i="48" s="1"/>
  <c r="J18" i="47"/>
  <c r="N18" i="47" s="1"/>
  <c r="N73" i="48"/>
  <c r="B104" i="31"/>
  <c r="D104" i="31" s="1"/>
  <c r="J95" i="47"/>
  <c r="N95" i="47" s="1"/>
  <c r="D95" i="48"/>
  <c r="J95" i="48" s="1"/>
  <c r="B85" i="31"/>
  <c r="D85" i="31" s="1"/>
  <c r="N54" i="48"/>
  <c r="A104" i="31"/>
  <c r="M73" i="48"/>
  <c r="J44" i="47"/>
  <c r="N44" i="47" s="1"/>
  <c r="D44" i="48"/>
  <c r="J44" i="48" s="1"/>
  <c r="M26" i="48"/>
  <c r="A57" i="31"/>
  <c r="B114" i="31"/>
  <c r="D114" i="31" s="1"/>
  <c r="N83" i="48"/>
  <c r="J40" i="47"/>
  <c r="N40" i="47" s="1"/>
  <c r="D40" i="48"/>
  <c r="J40" i="48" s="1"/>
  <c r="A71" i="31"/>
  <c r="M40" i="48"/>
  <c r="N17" i="48"/>
  <c r="B48" i="31"/>
  <c r="D48" i="31" s="1"/>
  <c r="A39" i="31"/>
  <c r="M8" i="48"/>
  <c r="B51" i="31"/>
  <c r="D51" i="31" s="1"/>
  <c r="N20" i="48"/>
  <c r="J67" i="47"/>
  <c r="N67" i="47" s="1"/>
  <c r="D67" i="48"/>
  <c r="J67" i="48" s="1"/>
  <c r="A85" i="31"/>
  <c r="M54" i="48"/>
  <c r="B118" i="31"/>
  <c r="D118" i="31" s="1"/>
  <c r="N87" i="48"/>
  <c r="A40" i="31"/>
  <c r="M9" i="48"/>
  <c r="A43" i="31"/>
  <c r="M12" i="48"/>
  <c r="M79" i="48"/>
  <c r="A110" i="31"/>
  <c r="A86" i="31"/>
  <c r="M55" i="48"/>
  <c r="A62" i="31"/>
  <c r="M31" i="48"/>
  <c r="A92" i="31"/>
  <c r="M61" i="48"/>
  <c r="A120" i="31"/>
  <c r="M89" i="48"/>
  <c r="A109" i="31"/>
  <c r="M78" i="48"/>
  <c r="B93" i="31"/>
  <c r="D93" i="31" s="1"/>
  <c r="N62" i="48"/>
  <c r="A49" i="31"/>
  <c r="M18" i="48"/>
  <c r="A112" i="31"/>
  <c r="M81" i="48"/>
  <c r="N66" i="48"/>
  <c r="B97" i="31"/>
  <c r="D97" i="31" s="1"/>
  <c r="J42" i="47"/>
  <c r="N42" i="47" s="1"/>
  <c r="D42" i="48"/>
  <c r="J42" i="48" s="1"/>
  <c r="A59" i="31"/>
  <c r="M28" i="48"/>
  <c r="M75" i="48"/>
  <c r="A106" i="31"/>
  <c r="M13" i="48"/>
  <c r="A44" i="31"/>
  <c r="D86" i="48"/>
  <c r="J86" i="48" s="1"/>
  <c r="J86" i="47"/>
  <c r="N86" i="47" s="1"/>
  <c r="J71" i="47"/>
  <c r="N71" i="47" s="1"/>
  <c r="D71" i="48"/>
  <c r="J71" i="48" s="1"/>
  <c r="J99" i="47"/>
  <c r="N99" i="47" s="1"/>
  <c r="D99" i="48"/>
  <c r="J99" i="48" s="1"/>
  <c r="A101" i="31"/>
  <c r="M70" i="48"/>
  <c r="A93" i="31"/>
  <c r="M62" i="48"/>
  <c r="A108" i="31"/>
  <c r="M77" i="48"/>
  <c r="B39" i="31"/>
  <c r="D39" i="31" s="1"/>
  <c r="N8" i="48"/>
  <c r="A41" i="31"/>
  <c r="M10" i="48"/>
  <c r="B110" i="31"/>
  <c r="D110" i="31" s="1"/>
  <c r="N79" i="48"/>
  <c r="M65" i="48"/>
  <c r="A96" i="31"/>
  <c r="B111" i="31"/>
  <c r="D111" i="31" s="1"/>
  <c r="N80" i="48"/>
  <c r="B88" i="31"/>
  <c r="D88" i="31" s="1"/>
  <c r="N57" i="48"/>
  <c r="M72" i="48"/>
  <c r="A103" i="31"/>
  <c r="M35" i="48"/>
  <c r="A66" i="31"/>
  <c r="M48" i="48"/>
  <c r="A79" i="31"/>
  <c r="A97" i="31"/>
  <c r="M66" i="48"/>
  <c r="N27" i="48"/>
  <c r="B58" i="31"/>
  <c r="D58" i="31" s="1"/>
  <c r="A68" i="31"/>
  <c r="M37" i="48"/>
  <c r="B45" i="31"/>
  <c r="D45" i="31" s="1"/>
  <c r="N14" i="48"/>
  <c r="B78" i="31"/>
  <c r="D78" i="31" s="1"/>
  <c r="N47" i="48"/>
  <c r="B41" i="31"/>
  <c r="D41" i="31" s="1"/>
  <c r="N10" i="48"/>
  <c r="N61" i="48"/>
  <c r="B92" i="31"/>
  <c r="D92" i="31" s="1"/>
  <c r="A72" i="31"/>
  <c r="M41" i="48"/>
  <c r="B87" i="31"/>
  <c r="D87" i="31" s="1"/>
  <c r="N56" i="48"/>
  <c r="D85" i="48"/>
  <c r="J85" i="48" s="1"/>
  <c r="J85" i="47"/>
  <c r="N85" i="47" s="1"/>
  <c r="B129" i="31"/>
  <c r="D129" i="31" s="1"/>
  <c r="N98" i="48"/>
  <c r="M43" i="48"/>
  <c r="A74" i="31"/>
  <c r="B57" i="31"/>
  <c r="D57" i="31" s="1"/>
  <c r="N26" i="48"/>
  <c r="M84" i="48"/>
  <c r="A115" i="31"/>
  <c r="N19" i="48"/>
  <c r="B50" i="31"/>
  <c r="D50" i="31" s="1"/>
  <c r="B68" i="31"/>
  <c r="D68" i="31" s="1"/>
  <c r="N37" i="48"/>
  <c r="B44" i="31"/>
  <c r="D44" i="31" s="1"/>
  <c r="N13" i="48"/>
  <c r="J63" i="47"/>
  <c r="N63" i="47" s="1"/>
  <c r="D63" i="48"/>
  <c r="J63" i="48" s="1"/>
  <c r="N53" i="48"/>
  <c r="B84" i="31"/>
  <c r="D84" i="31" s="1"/>
  <c r="A128" i="31"/>
  <c r="M97" i="48"/>
  <c r="A87" i="31"/>
  <c r="M56" i="48"/>
  <c r="A111" i="31"/>
  <c r="M80" i="48"/>
  <c r="A121" i="31"/>
  <c r="M90" i="48"/>
  <c r="B83" i="31"/>
  <c r="D83" i="31" s="1"/>
  <c r="N52" i="48"/>
  <c r="A89" i="31"/>
  <c r="M58" i="48"/>
  <c r="A99" i="31"/>
  <c r="M68" i="48"/>
  <c r="N41" i="48"/>
  <c r="B72" i="31"/>
  <c r="D72" i="31" s="1"/>
  <c r="B77" i="31"/>
  <c r="D77" i="31" s="1"/>
  <c r="N46" i="48"/>
  <c r="D65" i="48"/>
  <c r="J65" i="48" s="1"/>
  <c r="J65" i="47"/>
  <c r="N65" i="47" s="1"/>
  <c r="B76" i="31"/>
  <c r="D76" i="31" s="1"/>
  <c r="N45" i="48"/>
  <c r="B113" i="31"/>
  <c r="D113" i="31" s="1"/>
  <c r="N82" i="48"/>
  <c r="J88" i="47"/>
  <c r="N88" i="47" s="1"/>
  <c r="D88" i="48"/>
  <c r="J88" i="48" s="1"/>
  <c r="B60" i="31"/>
  <c r="D60" i="31" s="1"/>
  <c r="N29" i="48"/>
  <c r="D75" i="48"/>
  <c r="J75" i="48" s="1"/>
  <c r="J75" i="47"/>
  <c r="N75" i="47" s="1"/>
  <c r="A107" i="31"/>
  <c r="M76" i="48"/>
  <c r="A60" i="31"/>
  <c r="M29" i="48"/>
  <c r="D92" i="48"/>
  <c r="J92" i="48" s="1"/>
  <c r="J92" i="47"/>
  <c r="N92" i="47" s="1"/>
  <c r="A130" i="31"/>
  <c r="M99" i="48"/>
  <c r="B53" i="31"/>
  <c r="D53" i="31" s="1"/>
  <c r="N22" i="48"/>
  <c r="M15" i="48"/>
  <c r="A46" i="31"/>
  <c r="J81" i="47"/>
  <c r="N81" i="47" s="1"/>
  <c r="D81" i="48"/>
  <c r="J81" i="48" s="1"/>
  <c r="B95" i="31"/>
  <c r="D95" i="31" s="1"/>
  <c r="N64" i="48"/>
  <c r="A56" i="31"/>
  <c r="M25" i="48"/>
  <c r="A70" i="31"/>
  <c r="M39" i="48"/>
  <c r="J11" i="46"/>
  <c r="N11" i="46" s="1"/>
  <c r="D11" i="47"/>
  <c r="A73" i="31"/>
  <c r="M42" i="48"/>
  <c r="M53" i="48"/>
  <c r="A84" i="31"/>
  <c r="M30" i="48"/>
  <c r="A61" i="31"/>
  <c r="A95" i="31"/>
  <c r="M64" i="48"/>
  <c r="M98" i="48"/>
  <c r="A129" i="31"/>
  <c r="B79" i="31"/>
  <c r="D79" i="31" s="1"/>
  <c r="N48" i="48"/>
  <c r="A63" i="31"/>
  <c r="M32" i="48"/>
  <c r="A102" i="31"/>
  <c r="M71" i="48"/>
  <c r="N9" i="48"/>
  <c r="B40" i="31"/>
  <c r="D40" i="31" s="1"/>
  <c r="B109" i="31"/>
  <c r="D109" i="31" s="1"/>
  <c r="N78" i="48"/>
  <c r="M34" i="48"/>
  <c r="A65" i="31"/>
  <c r="J16" i="47"/>
  <c r="N16" i="47" s="1"/>
  <c r="D16" i="48"/>
  <c r="J16" i="48" s="1"/>
  <c r="B101" i="31"/>
  <c r="D101" i="31" s="1"/>
  <c r="N70" i="48"/>
  <c r="J93" i="47"/>
  <c r="N93" i="47" s="1"/>
  <c r="D93" i="48"/>
  <c r="J93" i="48" s="1"/>
  <c r="A47" i="31"/>
  <c r="M16" i="48"/>
  <c r="J91" i="47"/>
  <c r="N91" i="47" s="1"/>
  <c r="D91" i="48"/>
  <c r="J91" i="48" s="1"/>
  <c r="A55" i="31"/>
  <c r="M24" i="48"/>
  <c r="D21" i="48"/>
  <c r="J21" i="48" s="1"/>
  <c r="J21" i="47"/>
  <c r="N21" i="47" s="1"/>
  <c r="B89" i="31"/>
  <c r="D89" i="31" s="1"/>
  <c r="N58" i="48"/>
  <c r="A78" i="31"/>
  <c r="M47" i="48"/>
  <c r="M67" i="48"/>
  <c r="A98" i="31"/>
  <c r="M45" i="48"/>
  <c r="A76" i="31"/>
  <c r="B82" i="31"/>
  <c r="D82" i="31" s="1"/>
  <c r="N51" i="48"/>
  <c r="M69" i="48"/>
  <c r="A100" i="31"/>
  <c r="B80" i="31"/>
  <c r="D80" i="31" s="1"/>
  <c r="N49" i="48"/>
  <c r="A64" i="31"/>
  <c r="M33" i="48"/>
  <c r="M94" i="48"/>
  <c r="A125" i="31"/>
  <c r="N50" i="48"/>
  <c r="B81" i="31"/>
  <c r="D81" i="31" s="1"/>
  <c r="A90" i="31"/>
  <c r="M59" i="48"/>
  <c r="M46" i="48"/>
  <c r="A77" i="31"/>
  <c r="A52" i="31"/>
  <c r="M21" i="48"/>
  <c r="J96" i="47"/>
  <c r="N96" i="47" s="1"/>
  <c r="D96" i="48"/>
  <c r="J96" i="48" s="1"/>
  <c r="J74" i="47"/>
  <c r="N74" i="47" s="1"/>
  <c r="D74" i="48"/>
  <c r="J74" i="48" s="1"/>
  <c r="M95" i="48"/>
  <c r="A126" i="31"/>
  <c r="B121" i="31"/>
  <c r="D121" i="31" s="1"/>
  <c r="N90" i="48"/>
  <c r="M36" i="48"/>
  <c r="A67" i="31"/>
  <c r="A105" i="31"/>
  <c r="M74" i="48"/>
  <c r="A94" i="31"/>
  <c r="M63" i="48"/>
  <c r="N72" i="48"/>
  <c r="B103" i="31"/>
  <c r="D103" i="31" s="1"/>
  <c r="B99" i="31"/>
  <c r="D99" i="31" s="1"/>
  <c r="N68" i="48"/>
  <c r="M27" i="48"/>
  <c r="A58" i="31"/>
  <c r="M38" i="48"/>
  <c r="A69" i="31"/>
  <c r="M93" i="48"/>
  <c r="A124" i="31"/>
  <c r="A116" i="31"/>
  <c r="M85" i="48"/>
  <c r="A114" i="31"/>
  <c r="M83" i="48"/>
  <c r="A118" i="31"/>
  <c r="M87" i="48"/>
  <c r="N12" i="48"/>
  <c r="B43" i="31"/>
  <c r="D43" i="31" s="1"/>
  <c r="A123" i="31"/>
  <c r="M92" i="48"/>
  <c r="D24" i="48"/>
  <c r="J24" i="48" s="1"/>
  <c r="J24" i="47"/>
  <c r="N24" i="47" s="1"/>
  <c r="A127" i="31"/>
  <c r="M96" i="48"/>
  <c r="D23" i="48"/>
  <c r="J23" i="48" s="1"/>
  <c r="J23" i="47"/>
  <c r="N23" i="47" s="1"/>
  <c r="B108" i="31"/>
  <c r="D108" i="31" s="1"/>
  <c r="N77" i="48"/>
  <c r="M17" i="48"/>
  <c r="A48" i="31"/>
  <c r="B56" i="31"/>
  <c r="D56" i="31" s="1"/>
  <c r="N25" i="48"/>
  <c r="A117" i="31"/>
  <c r="M86" i="48"/>
  <c r="N15" i="48"/>
  <c r="B46" i="31"/>
  <c r="D46" i="31" s="1"/>
  <c r="J89" i="47"/>
  <c r="N89" i="47" s="1"/>
  <c r="D89" i="48"/>
  <c r="J89" i="48" s="1"/>
  <c r="B74" i="31"/>
  <c r="D74" i="31" s="1"/>
  <c r="N43" i="48"/>
  <c r="A119" i="31"/>
  <c r="M88" i="48"/>
  <c r="B59" i="31"/>
  <c r="D59" i="31" s="1"/>
  <c r="N28" i="48"/>
  <c r="N84" i="48"/>
  <c r="B115" i="31"/>
  <c r="D115" i="31" s="1"/>
  <c r="A50" i="31"/>
  <c r="M19" i="48"/>
  <c r="M20" i="48"/>
  <c r="A51" i="31"/>
  <c r="B107" i="31"/>
  <c r="D107" i="31" s="1"/>
  <c r="N76" i="48"/>
  <c r="M11" i="48"/>
  <c r="A42" i="31"/>
  <c r="B86" i="31"/>
  <c r="D86" i="31" s="1"/>
  <c r="N55" i="48"/>
  <c r="B70" i="31"/>
  <c r="D70" i="31" s="1"/>
  <c r="N39" i="48"/>
  <c r="B69" i="31"/>
  <c r="D69" i="31" s="1"/>
  <c r="N38" i="48"/>
  <c r="N36" i="48"/>
  <c r="B67" i="31"/>
  <c r="D67" i="31" s="1"/>
  <c r="B62" i="31"/>
  <c r="D62" i="31" s="1"/>
  <c r="N31" i="48"/>
  <c r="B63" i="31"/>
  <c r="D63" i="31" s="1"/>
  <c r="N32" i="48"/>
  <c r="B64" i="31"/>
  <c r="D64" i="31" s="1"/>
  <c r="N33" i="48"/>
  <c r="B65" i="31"/>
  <c r="D65" i="31" s="1"/>
  <c r="N34" i="48"/>
  <c r="N35" i="48"/>
  <c r="B66" i="31"/>
  <c r="D66" i="31" s="1"/>
  <c r="B61" i="31"/>
  <c r="D61" i="31" s="1"/>
  <c r="N30" i="48"/>
  <c r="B52" i="31" l="1"/>
  <c r="D52" i="31" s="1"/>
  <c r="N21" i="48"/>
  <c r="B106" i="31"/>
  <c r="D106" i="31" s="1"/>
  <c r="N75" i="48"/>
  <c r="N86" i="48"/>
  <c r="B117" i="31"/>
  <c r="D117" i="31" s="1"/>
  <c r="N18" i="48"/>
  <c r="B49" i="31"/>
  <c r="D49" i="31" s="1"/>
  <c r="B120" i="31"/>
  <c r="D120" i="31" s="1"/>
  <c r="N89" i="48"/>
  <c r="B105" i="31"/>
  <c r="D105" i="31" s="1"/>
  <c r="N74" i="48"/>
  <c r="B102" i="31"/>
  <c r="D102" i="31" s="1"/>
  <c r="N71" i="48"/>
  <c r="B98" i="31"/>
  <c r="D98" i="31" s="1"/>
  <c r="N67" i="48"/>
  <c r="B75" i="31"/>
  <c r="D75" i="31" s="1"/>
  <c r="N44" i="48"/>
  <c r="B54" i="31"/>
  <c r="D54" i="31" s="1"/>
  <c r="N23" i="48"/>
  <c r="N24" i="48"/>
  <c r="B55" i="31"/>
  <c r="D55" i="31" s="1"/>
  <c r="N92" i="48"/>
  <c r="B123" i="31"/>
  <c r="D123" i="31" s="1"/>
  <c r="B96" i="31"/>
  <c r="D96" i="31" s="1"/>
  <c r="N65" i="48"/>
  <c r="B116" i="31"/>
  <c r="D116" i="31" s="1"/>
  <c r="N85" i="48"/>
  <c r="N96" i="48"/>
  <c r="B127" i="31"/>
  <c r="D127" i="31" s="1"/>
  <c r="B122" i="31"/>
  <c r="D122" i="31" s="1"/>
  <c r="N91" i="48"/>
  <c r="B124" i="31"/>
  <c r="D124" i="31" s="1"/>
  <c r="N93" i="48"/>
  <c r="N16" i="48"/>
  <c r="B47" i="31"/>
  <c r="D47" i="31" s="1"/>
  <c r="J11" i="47"/>
  <c r="N11" i="47" s="1"/>
  <c r="D11" i="48"/>
  <c r="J11" i="48" s="1"/>
  <c r="B112" i="31"/>
  <c r="D112" i="31" s="1"/>
  <c r="N81" i="48"/>
  <c r="N88" i="48"/>
  <c r="B119" i="31"/>
  <c r="D119" i="31" s="1"/>
  <c r="B94" i="31"/>
  <c r="D94" i="31" s="1"/>
  <c r="N63" i="48"/>
  <c r="B130" i="31"/>
  <c r="D130" i="31" s="1"/>
  <c r="N99" i="48"/>
  <c r="N42" i="48"/>
  <c r="B73" i="31"/>
  <c r="D73" i="31" s="1"/>
  <c r="B71" i="31"/>
  <c r="D71" i="31" s="1"/>
  <c r="N40" i="48"/>
  <c r="B126" i="31"/>
  <c r="D126" i="31" s="1"/>
  <c r="N95" i="48"/>
  <c r="N11" i="48" l="1"/>
  <c r="B42" i="31"/>
  <c r="D42" i="31" s="1"/>
  <c r="C60" i="34" l="1"/>
  <c r="I60" i="34" s="1"/>
  <c r="C57" i="34"/>
  <c r="I57" i="34" s="1"/>
  <c r="C52" i="34"/>
  <c r="I52" i="34" s="1"/>
  <c r="C51" i="34"/>
  <c r="I51" i="34" s="1"/>
  <c r="C50" i="34"/>
  <c r="I50" i="34" s="1"/>
  <c r="C49" i="34"/>
  <c r="I49" i="34" s="1"/>
  <c r="C44" i="34"/>
  <c r="I44" i="34" s="1"/>
  <c r="D59" i="34" l="1"/>
  <c r="J59" i="34" s="1"/>
  <c r="D60" i="34"/>
  <c r="J60" i="34" s="1"/>
  <c r="I60" i="33"/>
  <c r="M60" i="33" s="1"/>
  <c r="I57" i="33"/>
  <c r="M57" i="33" s="1"/>
  <c r="I52" i="33"/>
  <c r="M52" i="33" s="1"/>
  <c r="C277" i="35"/>
  <c r="I51" i="33"/>
  <c r="M51" i="33" s="1"/>
  <c r="I49" i="33"/>
  <c r="M49" i="33" s="1"/>
  <c r="I50" i="33"/>
  <c r="M50" i="33" s="1"/>
  <c r="I44" i="33"/>
  <c r="M44" i="33" s="1"/>
  <c r="D69" i="34" l="1"/>
  <c r="J69" i="34" s="1"/>
  <c r="J59" i="33"/>
  <c r="N59" i="33" s="1"/>
  <c r="J60" i="33"/>
  <c r="N60" i="33" s="1"/>
  <c r="M60" i="34"/>
  <c r="C60" i="35"/>
  <c r="M57" i="34"/>
  <c r="C57" i="35"/>
  <c r="C52" i="35"/>
  <c r="M52" i="34"/>
  <c r="C277" i="36"/>
  <c r="C51" i="35"/>
  <c r="M51" i="34"/>
  <c r="C49" i="35"/>
  <c r="M49" i="34"/>
  <c r="M50" i="34"/>
  <c r="C50" i="35"/>
  <c r="C44" i="35"/>
  <c r="M44" i="34"/>
  <c r="J69" i="33" l="1"/>
  <c r="N69" i="33" s="1"/>
  <c r="N59" i="34"/>
  <c r="D59" i="35"/>
  <c r="N60" i="34"/>
  <c r="D60" i="35"/>
  <c r="C60" i="36"/>
  <c r="I60" i="35"/>
  <c r="M60" i="35" s="1"/>
  <c r="I57" i="35"/>
  <c r="M57" i="35" s="1"/>
  <c r="C57" i="36"/>
  <c r="I52" i="35"/>
  <c r="M52" i="35" s="1"/>
  <c r="C52" i="36"/>
  <c r="C277" i="37"/>
  <c r="C51" i="36"/>
  <c r="I51" i="35"/>
  <c r="M51" i="35" s="1"/>
  <c r="I49" i="35"/>
  <c r="M49" i="35" s="1"/>
  <c r="C49" i="36"/>
  <c r="I50" i="35"/>
  <c r="M50" i="35" s="1"/>
  <c r="C50" i="36"/>
  <c r="C44" i="36"/>
  <c r="I44" i="35"/>
  <c r="M44" i="35" s="1"/>
  <c r="D69" i="35" l="1"/>
  <c r="N69" i="34"/>
  <c r="D59" i="36"/>
  <c r="J59" i="35"/>
  <c r="N59" i="35" s="1"/>
  <c r="D60" i="36"/>
  <c r="J60" i="35"/>
  <c r="N60" i="35" s="1"/>
  <c r="C60" i="37"/>
  <c r="I60" i="36"/>
  <c r="M60" i="36" s="1"/>
  <c r="C57" i="37"/>
  <c r="I57" i="36"/>
  <c r="M57" i="36" s="1"/>
  <c r="C52" i="37"/>
  <c r="I52" i="36"/>
  <c r="M52" i="36" s="1"/>
  <c r="C277" i="38"/>
  <c r="C51" i="37"/>
  <c r="I51" i="36"/>
  <c r="M51" i="36" s="1"/>
  <c r="I49" i="36"/>
  <c r="M49" i="36" s="1"/>
  <c r="C49" i="37"/>
  <c r="I50" i="36"/>
  <c r="M50" i="36" s="1"/>
  <c r="C50" i="37"/>
  <c r="C44" i="37"/>
  <c r="I44" i="36"/>
  <c r="M44" i="36" s="1"/>
  <c r="D69" i="36" l="1"/>
  <c r="J69" i="35"/>
  <c r="N69" i="35" s="1"/>
  <c r="D59" i="37"/>
  <c r="J59" i="36"/>
  <c r="N59" i="36" s="1"/>
  <c r="D60" i="37"/>
  <c r="J60" i="36"/>
  <c r="N60" i="36" s="1"/>
  <c r="C60" i="38"/>
  <c r="I60" i="37"/>
  <c r="M60" i="37" s="1"/>
  <c r="C57" i="38"/>
  <c r="I57" i="37"/>
  <c r="M57" i="37" s="1"/>
  <c r="C52" i="38"/>
  <c r="I52" i="37"/>
  <c r="M52" i="37" s="1"/>
  <c r="C277" i="39"/>
  <c r="C51" i="38"/>
  <c r="I51" i="37"/>
  <c r="M51" i="37" s="1"/>
  <c r="I49" i="37"/>
  <c r="M49" i="37" s="1"/>
  <c r="C49" i="38"/>
  <c r="I50" i="37"/>
  <c r="M50" i="37" s="1"/>
  <c r="C50" i="38"/>
  <c r="I44" i="37"/>
  <c r="M44" i="37" s="1"/>
  <c r="C44" i="38"/>
  <c r="D69" i="37" l="1"/>
  <c r="J69" i="36"/>
  <c r="N69" i="36" s="1"/>
  <c r="J59" i="37"/>
  <c r="N59" i="37" s="1"/>
  <c r="D59" i="38"/>
  <c r="D60" i="38"/>
  <c r="J60" i="37"/>
  <c r="N60" i="37" s="1"/>
  <c r="C60" i="39"/>
  <c r="I60" i="38"/>
  <c r="M60" i="38" s="1"/>
  <c r="C57" i="39"/>
  <c r="I57" i="38"/>
  <c r="M57" i="38" s="1"/>
  <c r="I52" i="38"/>
  <c r="M52" i="38" s="1"/>
  <c r="C52" i="39"/>
  <c r="C277" i="40"/>
  <c r="I51" i="38"/>
  <c r="M51" i="38" s="1"/>
  <c r="C51" i="39"/>
  <c r="I49" i="38"/>
  <c r="M49" i="38" s="1"/>
  <c r="C49" i="39"/>
  <c r="C50" i="39"/>
  <c r="I50" i="38"/>
  <c r="M50" i="38" s="1"/>
  <c r="C44" i="39"/>
  <c r="I44" i="38"/>
  <c r="M44" i="38" s="1"/>
  <c r="J69" i="37" l="1"/>
  <c r="N69" i="37" s="1"/>
  <c r="D69" i="38"/>
  <c r="J59" i="38"/>
  <c r="N59" i="38" s="1"/>
  <c r="D59" i="39"/>
  <c r="J60" i="38"/>
  <c r="N60" i="38" s="1"/>
  <c r="D60" i="39"/>
  <c r="I60" i="39"/>
  <c r="M60" i="39" s="1"/>
  <c r="C60" i="40"/>
  <c r="I57" i="39"/>
  <c r="M57" i="39" s="1"/>
  <c r="C57" i="40"/>
  <c r="I52" i="39"/>
  <c r="M52" i="39" s="1"/>
  <c r="C52" i="40"/>
  <c r="C277" i="41"/>
  <c r="I51" i="39"/>
  <c r="M51" i="39" s="1"/>
  <c r="C51" i="40"/>
  <c r="I49" i="39"/>
  <c r="M49" i="39" s="1"/>
  <c r="C49" i="40"/>
  <c r="C50" i="40"/>
  <c r="I50" i="39"/>
  <c r="M50" i="39" s="1"/>
  <c r="I44" i="39"/>
  <c r="M44" i="39" s="1"/>
  <c r="C44" i="40"/>
  <c r="J69" i="38" l="1"/>
  <c r="N69" i="38" s="1"/>
  <c r="D69" i="39"/>
  <c r="J59" i="39"/>
  <c r="N59" i="39" s="1"/>
  <c r="D59" i="40"/>
  <c r="J60" i="39"/>
  <c r="N60" i="39" s="1"/>
  <c r="D60" i="40"/>
  <c r="I60" i="40"/>
  <c r="M60" i="40" s="1"/>
  <c r="C60" i="41"/>
  <c r="I57" i="40"/>
  <c r="M57" i="40" s="1"/>
  <c r="C57" i="41"/>
  <c r="I52" i="40"/>
  <c r="M52" i="40" s="1"/>
  <c r="C52" i="41"/>
  <c r="C277" i="42"/>
  <c r="C51" i="41"/>
  <c r="I51" i="40"/>
  <c r="M51" i="40" s="1"/>
  <c r="C49" i="41"/>
  <c r="I49" i="40"/>
  <c r="M49" i="40" s="1"/>
  <c r="C50" i="41"/>
  <c r="I50" i="40"/>
  <c r="M50" i="40" s="1"/>
  <c r="C44" i="41"/>
  <c r="I44" i="40"/>
  <c r="M44" i="40" s="1"/>
  <c r="J69" i="39" l="1"/>
  <c r="N69" i="39" s="1"/>
  <c r="D69" i="40"/>
  <c r="D59" i="41"/>
  <c r="J59" i="40"/>
  <c r="N59" i="40" s="1"/>
  <c r="J60" i="40"/>
  <c r="N60" i="40" s="1"/>
  <c r="D60" i="41"/>
  <c r="C60" i="42"/>
  <c r="I60" i="41"/>
  <c r="M60" i="41" s="1"/>
  <c r="C57" i="42"/>
  <c r="I57" i="41"/>
  <c r="M57" i="41" s="1"/>
  <c r="C52" i="42"/>
  <c r="I52" i="41"/>
  <c r="M52" i="41" s="1"/>
  <c r="C277" i="43"/>
  <c r="I51" i="41"/>
  <c r="M51" i="41" s="1"/>
  <c r="C51" i="42"/>
  <c r="C49" i="42"/>
  <c r="I49" i="41"/>
  <c r="M49" i="41" s="1"/>
  <c r="I50" i="41"/>
  <c r="M50" i="41" s="1"/>
  <c r="C50" i="42"/>
  <c r="I44" i="41"/>
  <c r="M44" i="41" s="1"/>
  <c r="C44" i="42"/>
  <c r="D69" i="41" l="1"/>
  <c r="J69" i="40"/>
  <c r="N69" i="40" s="1"/>
  <c r="D59" i="42"/>
  <c r="J59" i="41"/>
  <c r="N59" i="41" s="1"/>
  <c r="J60" i="41"/>
  <c r="N60" i="41" s="1"/>
  <c r="D60" i="42"/>
  <c r="I60" i="42"/>
  <c r="M60" i="42" s="1"/>
  <c r="C60" i="43"/>
  <c r="C57" i="43"/>
  <c r="I57" i="42"/>
  <c r="M57" i="42" s="1"/>
  <c r="I52" i="42"/>
  <c r="M52" i="42" s="1"/>
  <c r="C52" i="43"/>
  <c r="C277" i="44"/>
  <c r="I51" i="42"/>
  <c r="M51" i="42" s="1"/>
  <c r="C51" i="43"/>
  <c r="C49" i="43"/>
  <c r="I49" i="42"/>
  <c r="M49" i="42" s="1"/>
  <c r="C50" i="43"/>
  <c r="I50" i="42"/>
  <c r="M50" i="42" s="1"/>
  <c r="C44" i="43"/>
  <c r="I44" i="42"/>
  <c r="M44" i="42" s="1"/>
  <c r="D69" i="42" l="1"/>
  <c r="J69" i="41"/>
  <c r="N69" i="41" s="1"/>
  <c r="D59" i="43"/>
  <c r="J59" i="42"/>
  <c r="N59" i="42" s="1"/>
  <c r="J60" i="42"/>
  <c r="N60" i="42" s="1"/>
  <c r="D60" i="43"/>
  <c r="C60" i="44"/>
  <c r="I60" i="43"/>
  <c r="M60" i="43" s="1"/>
  <c r="C57" i="44"/>
  <c r="I57" i="43"/>
  <c r="M57" i="43" s="1"/>
  <c r="C52" i="44"/>
  <c r="I52" i="43"/>
  <c r="M52" i="43" s="1"/>
  <c r="C277" i="45"/>
  <c r="C51" i="44"/>
  <c r="I51" i="43"/>
  <c r="M51" i="43" s="1"/>
  <c r="C49" i="44"/>
  <c r="I49" i="43"/>
  <c r="M49" i="43" s="1"/>
  <c r="I50" i="43"/>
  <c r="M50" i="43" s="1"/>
  <c r="C50" i="44"/>
  <c r="C44" i="44"/>
  <c r="I44" i="43"/>
  <c r="M44" i="43" s="1"/>
  <c r="D69" i="43" l="1"/>
  <c r="J69" i="42"/>
  <c r="N69" i="42" s="1"/>
  <c r="D59" i="44"/>
  <c r="J59" i="43"/>
  <c r="N59" i="43" s="1"/>
  <c r="J60" i="43"/>
  <c r="N60" i="43" s="1"/>
  <c r="D60" i="44"/>
  <c r="C60" i="45"/>
  <c r="I60" i="44"/>
  <c r="M60" i="44" s="1"/>
  <c r="C57" i="45"/>
  <c r="I57" i="44"/>
  <c r="M57" i="44" s="1"/>
  <c r="I52" i="44"/>
  <c r="M52" i="44" s="1"/>
  <c r="C52" i="45"/>
  <c r="C277" i="46"/>
  <c r="C51" i="45"/>
  <c r="I51" i="44"/>
  <c r="M51" i="44" s="1"/>
  <c r="I49" i="44"/>
  <c r="M49" i="44" s="1"/>
  <c r="C49" i="45"/>
  <c r="C50" i="45"/>
  <c r="I50" i="44"/>
  <c r="M50" i="44" s="1"/>
  <c r="I44" i="44"/>
  <c r="M44" i="44" s="1"/>
  <c r="C44" i="45"/>
  <c r="J69" i="43" l="1"/>
  <c r="N69" i="43" s="1"/>
  <c r="D69" i="44"/>
  <c r="D59" i="45"/>
  <c r="J59" i="44"/>
  <c r="N59" i="44" s="1"/>
  <c r="J60" i="44"/>
  <c r="N60" i="44" s="1"/>
  <c r="D60" i="45"/>
  <c r="C60" i="46"/>
  <c r="I60" i="45"/>
  <c r="M60" i="45" s="1"/>
  <c r="C57" i="46"/>
  <c r="I57" i="45"/>
  <c r="M57" i="45" s="1"/>
  <c r="C52" i="46"/>
  <c r="I52" i="45"/>
  <c r="M52" i="45" s="1"/>
  <c r="C277" i="47"/>
  <c r="I51" i="45"/>
  <c r="M51" i="45" s="1"/>
  <c r="C51" i="46"/>
  <c r="C49" i="46"/>
  <c r="I49" i="45"/>
  <c r="M49" i="45" s="1"/>
  <c r="I50" i="45"/>
  <c r="M50" i="45" s="1"/>
  <c r="C50" i="46"/>
  <c r="C44" i="46"/>
  <c r="I44" i="45"/>
  <c r="M44" i="45" s="1"/>
  <c r="J69" i="44" l="1"/>
  <c r="N69" i="44" s="1"/>
  <c r="D69" i="45"/>
  <c r="J59" i="45"/>
  <c r="N59" i="45" s="1"/>
  <c r="D59" i="46"/>
  <c r="D60" i="46"/>
  <c r="J60" i="45"/>
  <c r="N60" i="45" s="1"/>
  <c r="C60" i="47"/>
  <c r="I60" i="46"/>
  <c r="M60" i="46" s="1"/>
  <c r="I57" i="46"/>
  <c r="M57" i="46" s="1"/>
  <c r="C57" i="47"/>
  <c r="I52" i="46"/>
  <c r="M52" i="46" s="1"/>
  <c r="C52" i="47"/>
  <c r="C277" i="48"/>
  <c r="C51" i="47"/>
  <c r="I51" i="46"/>
  <c r="M51" i="46" s="1"/>
  <c r="C49" i="47"/>
  <c r="I49" i="46"/>
  <c r="M49" i="46" s="1"/>
  <c r="C50" i="47"/>
  <c r="I50" i="46"/>
  <c r="M50" i="46" s="1"/>
  <c r="I44" i="46"/>
  <c r="M44" i="46" s="1"/>
  <c r="C44" i="47"/>
  <c r="D69" i="46" l="1"/>
  <c r="J69" i="45"/>
  <c r="N69" i="45" s="1"/>
  <c r="D59" i="47"/>
  <c r="J59" i="46"/>
  <c r="N59" i="46" s="1"/>
  <c r="J60" i="46"/>
  <c r="N60" i="46" s="1"/>
  <c r="D60" i="47"/>
  <c r="C60" i="48"/>
  <c r="I60" i="48" s="1"/>
  <c r="I60" i="47"/>
  <c r="M60" i="47" s="1"/>
  <c r="C57" i="48"/>
  <c r="I57" i="48" s="1"/>
  <c r="I57" i="47"/>
  <c r="M57" i="47" s="1"/>
  <c r="I52" i="47"/>
  <c r="M52" i="47" s="1"/>
  <c r="C52" i="48"/>
  <c r="I52" i="48" s="1"/>
  <c r="I51" i="47"/>
  <c r="M51" i="47" s="1"/>
  <c r="C51" i="48"/>
  <c r="I51" i="48" s="1"/>
  <c r="C49" i="48"/>
  <c r="I49" i="48" s="1"/>
  <c r="I49" i="47"/>
  <c r="M49" i="47" s="1"/>
  <c r="C50" i="48"/>
  <c r="I50" i="48" s="1"/>
  <c r="I50" i="47"/>
  <c r="M50" i="47" s="1"/>
  <c r="I44" i="47"/>
  <c r="M44" i="47" s="1"/>
  <c r="C44" i="48"/>
  <c r="I44" i="48" s="1"/>
  <c r="D69" i="47" l="1"/>
  <c r="J69" i="46"/>
  <c r="N69" i="46" s="1"/>
  <c r="J59" i="47"/>
  <c r="N59" i="47" s="1"/>
  <c r="D59" i="48"/>
  <c r="J59" i="48" s="1"/>
  <c r="J60" i="47"/>
  <c r="N60" i="47" s="1"/>
  <c r="D60" i="48"/>
  <c r="J60" i="48" s="1"/>
  <c r="A91" i="31"/>
  <c r="M60" i="48"/>
  <c r="A88" i="31"/>
  <c r="M57" i="48"/>
  <c r="M52" i="48"/>
  <c r="A83" i="31"/>
  <c r="M51" i="48"/>
  <c r="A82" i="31"/>
  <c r="A80" i="31"/>
  <c r="M49" i="48"/>
  <c r="A81" i="31"/>
  <c r="M50" i="48"/>
  <c r="M44" i="48"/>
  <c r="A75" i="31"/>
  <c r="D69" i="48" l="1"/>
  <c r="J69" i="48" s="1"/>
  <c r="J69" i="47"/>
  <c r="N69" i="47" s="1"/>
  <c r="N59" i="48"/>
  <c r="B90" i="31"/>
  <c r="D90" i="31" s="1"/>
  <c r="B91" i="31"/>
  <c r="D91" i="31" s="1"/>
  <c r="N60" i="48"/>
  <c r="B100" i="31" l="1"/>
  <c r="D100" i="31" s="1"/>
  <c r="N69" i="48"/>
  <c r="C91" i="34" l="1"/>
  <c r="I91" i="34" s="1"/>
  <c r="I91" i="33" l="1"/>
  <c r="M91" i="33" s="1"/>
  <c r="D97" i="34"/>
  <c r="J97" i="34" s="1"/>
  <c r="D94" i="34"/>
  <c r="J94" i="34" s="1"/>
  <c r="J97" i="33" l="1"/>
  <c r="N97" i="33" s="1"/>
  <c r="M91" i="34"/>
  <c r="C91" i="35"/>
  <c r="J94" i="33"/>
  <c r="N94" i="33" s="1"/>
  <c r="P8" i="33" l="1" a="1"/>
  <c r="P12" i="33" s="1"/>
  <c r="D97" i="35"/>
  <c r="N97" i="34"/>
  <c r="C91" i="36"/>
  <c r="I91" i="35"/>
  <c r="M91" i="35" s="1"/>
  <c r="D94" i="35"/>
  <c r="N94" i="34"/>
  <c r="Q12" i="33" l="1"/>
  <c r="P9" i="33"/>
  <c r="Q8" i="33"/>
  <c r="P16" i="33" s="1"/>
  <c r="Q9" i="33"/>
  <c r="Q10" i="33"/>
  <c r="Q11" i="33"/>
  <c r="P10" i="33"/>
  <c r="P8" i="33"/>
  <c r="P15" i="33" s="1"/>
  <c r="P11" i="33"/>
  <c r="D97" i="36"/>
  <c r="J97" i="35"/>
  <c r="N97" i="35" s="1"/>
  <c r="I91" i="36"/>
  <c r="M91" i="36" s="1"/>
  <c r="C91" i="37"/>
  <c r="D94" i="36"/>
  <c r="J94" i="35"/>
  <c r="N94" i="35" s="1"/>
  <c r="D292" i="34" l="1"/>
  <c r="D284" i="34"/>
  <c r="J284" i="34" s="1"/>
  <c r="D276" i="34"/>
  <c r="D268" i="34"/>
  <c r="J268" i="34" s="1"/>
  <c r="D260" i="34"/>
  <c r="J260" i="34" s="1"/>
  <c r="D252" i="34"/>
  <c r="J252" i="34" s="1"/>
  <c r="D244" i="34"/>
  <c r="J244" i="34" s="1"/>
  <c r="D236" i="34"/>
  <c r="J236" i="34" s="1"/>
  <c r="D228" i="34"/>
  <c r="J228" i="34" s="1"/>
  <c r="D220" i="34"/>
  <c r="J220" i="34" s="1"/>
  <c r="D212" i="34"/>
  <c r="J212" i="34" s="1"/>
  <c r="D204" i="34"/>
  <c r="J204" i="34" s="1"/>
  <c r="D196" i="34"/>
  <c r="D188" i="34"/>
  <c r="D180" i="34"/>
  <c r="J180" i="34" s="1"/>
  <c r="D172" i="34"/>
  <c r="J172" i="34" s="1"/>
  <c r="D164" i="34"/>
  <c r="J164" i="34" s="1"/>
  <c r="D156" i="34"/>
  <c r="J156" i="34" s="1"/>
  <c r="D148" i="34"/>
  <c r="J148" i="34" s="1"/>
  <c r="D140" i="34"/>
  <c r="J140" i="34" s="1"/>
  <c r="D132" i="34"/>
  <c r="D124" i="34"/>
  <c r="J124" i="34" s="1"/>
  <c r="D287" i="34"/>
  <c r="J287" i="34" s="1"/>
  <c r="D279" i="34"/>
  <c r="J279" i="34" s="1"/>
  <c r="D271" i="34"/>
  <c r="J271" i="34" s="1"/>
  <c r="D263" i="34"/>
  <c r="J263" i="34" s="1"/>
  <c r="D255" i="34"/>
  <c r="J255" i="34" s="1"/>
  <c r="D247" i="34"/>
  <c r="J247" i="34" s="1"/>
  <c r="D239" i="34"/>
  <c r="D231" i="34"/>
  <c r="J231" i="34" s="1"/>
  <c r="D223" i="34"/>
  <c r="J223" i="34" s="1"/>
  <c r="D215" i="34"/>
  <c r="J215" i="34" s="1"/>
  <c r="D207" i="34"/>
  <c r="J207" i="34" s="1"/>
  <c r="D199" i="34"/>
  <c r="J199" i="34" s="1"/>
  <c r="D191" i="34"/>
  <c r="J191" i="34" s="1"/>
  <c r="D183" i="34"/>
  <c r="J183" i="34" s="1"/>
  <c r="D175" i="34"/>
  <c r="D167" i="34"/>
  <c r="J167" i="34" s="1"/>
  <c r="D159" i="34"/>
  <c r="J159" i="34" s="1"/>
  <c r="D151" i="34"/>
  <c r="J151" i="34" s="1"/>
  <c r="D143" i="34"/>
  <c r="D135" i="34"/>
  <c r="J135" i="34" s="1"/>
  <c r="D291" i="34"/>
  <c r="J291" i="34" s="1"/>
  <c r="D280" i="34"/>
  <c r="J280" i="34" s="1"/>
  <c r="D275" i="34"/>
  <c r="D264" i="34"/>
  <c r="D259" i="34"/>
  <c r="J259" i="34" s="1"/>
  <c r="D248" i="34"/>
  <c r="J248" i="34" s="1"/>
  <c r="D243" i="34"/>
  <c r="D232" i="34"/>
  <c r="J232" i="34" s="1"/>
  <c r="D227" i="34"/>
  <c r="J227" i="34" s="1"/>
  <c r="D216" i="34"/>
  <c r="J216" i="34" s="1"/>
  <c r="D211" i="34"/>
  <c r="J211" i="34" s="1"/>
  <c r="D200" i="34"/>
  <c r="D195" i="34"/>
  <c r="J195" i="34" s="1"/>
  <c r="D184" i="34"/>
  <c r="J184" i="34" s="1"/>
  <c r="D179" i="34"/>
  <c r="J179" i="34" s="1"/>
  <c r="D168" i="34"/>
  <c r="J168" i="34" s="1"/>
  <c r="D163" i="34"/>
  <c r="D152" i="34"/>
  <c r="J152" i="34" s="1"/>
  <c r="D147" i="34"/>
  <c r="J147" i="34" s="1"/>
  <c r="D136" i="34"/>
  <c r="J136" i="34" s="1"/>
  <c r="D131" i="34"/>
  <c r="J131" i="34" s="1"/>
  <c r="D119" i="34"/>
  <c r="J119" i="34" s="1"/>
  <c r="D120" i="34"/>
  <c r="J120" i="34" s="1"/>
  <c r="D256" i="34"/>
  <c r="J256" i="34" s="1"/>
  <c r="D251" i="34"/>
  <c r="J251" i="34" s="1"/>
  <c r="D240" i="34"/>
  <c r="J240" i="34" s="1"/>
  <c r="D235" i="34"/>
  <c r="J235" i="34" s="1"/>
  <c r="D224" i="34"/>
  <c r="J224" i="34" s="1"/>
  <c r="D192" i="34"/>
  <c r="D187" i="34"/>
  <c r="J187" i="34" s="1"/>
  <c r="D176" i="34"/>
  <c r="J176" i="34" s="1"/>
  <c r="D171" i="34"/>
  <c r="J171" i="34" s="1"/>
  <c r="D160" i="34"/>
  <c r="J160" i="34" s="1"/>
  <c r="D127" i="34"/>
  <c r="J127" i="34" s="1"/>
  <c r="D288" i="34"/>
  <c r="J288" i="34" s="1"/>
  <c r="D283" i="34"/>
  <c r="J283" i="34" s="1"/>
  <c r="D272" i="34"/>
  <c r="J272" i="34" s="1"/>
  <c r="D267" i="34"/>
  <c r="D219" i="34"/>
  <c r="D208" i="34"/>
  <c r="D203" i="34"/>
  <c r="J203" i="34" s="1"/>
  <c r="D155" i="34"/>
  <c r="J155" i="34" s="1"/>
  <c r="D144" i="34"/>
  <c r="J144" i="34" s="1"/>
  <c r="D128" i="34"/>
  <c r="D139" i="34"/>
  <c r="J139" i="34" s="1"/>
  <c r="D123" i="34"/>
  <c r="J123" i="34" s="1"/>
  <c r="D125" i="34"/>
  <c r="D149" i="34"/>
  <c r="J149" i="34" s="1"/>
  <c r="D245" i="34"/>
  <c r="J245" i="34" s="1"/>
  <c r="D234" i="34"/>
  <c r="J234" i="34" s="1"/>
  <c r="D121" i="34"/>
  <c r="D178" i="34"/>
  <c r="J178" i="34" s="1"/>
  <c r="D242" i="34"/>
  <c r="J242" i="34" s="1"/>
  <c r="D165" i="34"/>
  <c r="J165" i="34" s="1"/>
  <c r="D261" i="34"/>
  <c r="D202" i="34"/>
  <c r="J202" i="34" s="1"/>
  <c r="D157" i="34"/>
  <c r="J157" i="34" s="1"/>
  <c r="D221" i="34"/>
  <c r="J221" i="34" s="1"/>
  <c r="D285" i="34"/>
  <c r="J285" i="34" s="1"/>
  <c r="D137" i="34"/>
  <c r="J137" i="34" s="1"/>
  <c r="D153" i="34"/>
  <c r="D169" i="34"/>
  <c r="J169" i="34" s="1"/>
  <c r="D185" i="34"/>
  <c r="D201" i="34"/>
  <c r="D217" i="34"/>
  <c r="J217" i="34" s="1"/>
  <c r="D233" i="34"/>
  <c r="J233" i="34" s="1"/>
  <c r="D249" i="34"/>
  <c r="J249" i="34" s="1"/>
  <c r="D265" i="34"/>
  <c r="D281" i="34"/>
  <c r="D225" i="34"/>
  <c r="J225" i="34" s="1"/>
  <c r="D186" i="34"/>
  <c r="J186" i="34" s="1"/>
  <c r="D162" i="34"/>
  <c r="D226" i="34"/>
  <c r="J226" i="34" s="1"/>
  <c r="D290" i="34"/>
  <c r="J290" i="34" s="1"/>
  <c r="D170" i="34"/>
  <c r="J170" i="34" s="1"/>
  <c r="D141" i="34"/>
  <c r="J141" i="34" s="1"/>
  <c r="D205" i="34"/>
  <c r="J205" i="34" s="1"/>
  <c r="D134" i="34"/>
  <c r="J134" i="34" s="1"/>
  <c r="D166" i="34"/>
  <c r="J166" i="34" s="1"/>
  <c r="D198" i="34"/>
  <c r="D230" i="34"/>
  <c r="D262" i="34"/>
  <c r="D122" i="34"/>
  <c r="J122" i="34" s="1"/>
  <c r="D250" i="34"/>
  <c r="D130" i="34"/>
  <c r="J130" i="34" s="1"/>
  <c r="D194" i="34"/>
  <c r="J194" i="34" s="1"/>
  <c r="D258" i="34"/>
  <c r="J258" i="34" s="1"/>
  <c r="D197" i="34"/>
  <c r="D277" i="34"/>
  <c r="J277" i="34" s="1"/>
  <c r="D218" i="34"/>
  <c r="J218" i="34" s="1"/>
  <c r="D173" i="34"/>
  <c r="J173" i="34" s="1"/>
  <c r="D237" i="34"/>
  <c r="J237" i="34" s="1"/>
  <c r="D126" i="34"/>
  <c r="J126" i="34" s="1"/>
  <c r="D142" i="34"/>
  <c r="J142" i="34" s="1"/>
  <c r="D158" i="34"/>
  <c r="D174" i="34"/>
  <c r="J174" i="34" s="1"/>
  <c r="D190" i="34"/>
  <c r="J190" i="34" s="1"/>
  <c r="D206" i="34"/>
  <c r="J206" i="34" s="1"/>
  <c r="D222" i="34"/>
  <c r="J222" i="34" s="1"/>
  <c r="D238" i="34"/>
  <c r="J238" i="34" s="1"/>
  <c r="D254" i="34"/>
  <c r="J254" i="34" s="1"/>
  <c r="D270" i="34"/>
  <c r="J270" i="34" s="1"/>
  <c r="D286" i="34"/>
  <c r="D138" i="34"/>
  <c r="D282" i="34"/>
  <c r="D146" i="34"/>
  <c r="J146" i="34" s="1"/>
  <c r="D210" i="34"/>
  <c r="D274" i="34"/>
  <c r="J274" i="34" s="1"/>
  <c r="D213" i="34"/>
  <c r="J213" i="34" s="1"/>
  <c r="D154" i="34"/>
  <c r="J154" i="34" s="1"/>
  <c r="D266" i="34"/>
  <c r="J266" i="34" s="1"/>
  <c r="D189" i="34"/>
  <c r="D253" i="34"/>
  <c r="D129" i="34"/>
  <c r="J129" i="34" s="1"/>
  <c r="D145" i="34"/>
  <c r="J145" i="34" s="1"/>
  <c r="D161" i="34"/>
  <c r="J161" i="34" s="1"/>
  <c r="D177" i="34"/>
  <c r="J177" i="34" s="1"/>
  <c r="D193" i="34"/>
  <c r="J193" i="34" s="1"/>
  <c r="D209" i="34"/>
  <c r="D241" i="34"/>
  <c r="J241" i="34" s="1"/>
  <c r="D257" i="34"/>
  <c r="D273" i="34"/>
  <c r="J273" i="34" s="1"/>
  <c r="D289" i="34"/>
  <c r="D133" i="34"/>
  <c r="J133" i="34" s="1"/>
  <c r="D181" i="34"/>
  <c r="J181" i="34" s="1"/>
  <c r="D229" i="34"/>
  <c r="J229" i="34" s="1"/>
  <c r="D269" i="34"/>
  <c r="D150" i="34"/>
  <c r="D182" i="34"/>
  <c r="J182" i="34" s="1"/>
  <c r="D214" i="34"/>
  <c r="J214" i="34" s="1"/>
  <c r="D246" i="34"/>
  <c r="J246" i="34" s="1"/>
  <c r="D278" i="34"/>
  <c r="J292" i="34"/>
  <c r="J267" i="34"/>
  <c r="J121" i="34"/>
  <c r="J210" i="34"/>
  <c r="J281" i="34"/>
  <c r="J163" i="34"/>
  <c r="J196" i="34"/>
  <c r="J128" i="34"/>
  <c r="J162" i="34"/>
  <c r="J209" i="34"/>
  <c r="J239" i="34"/>
  <c r="J208" i="34"/>
  <c r="J265" i="34"/>
  <c r="J230" i="34"/>
  <c r="J197" i="34"/>
  <c r="J132" i="34"/>
  <c r="J189" i="34"/>
  <c r="J198" i="34"/>
  <c r="J150" i="34"/>
  <c r="J276" i="34"/>
  <c r="J278" i="34"/>
  <c r="J264" i="34"/>
  <c r="J201" i="34"/>
  <c r="J153" i="34"/>
  <c r="J262" i="34"/>
  <c r="J158" i="34"/>
  <c r="J185" i="34"/>
  <c r="J125" i="34"/>
  <c r="J188" i="34"/>
  <c r="J219" i="34"/>
  <c r="D118" i="34"/>
  <c r="J118" i="34" s="1"/>
  <c r="J200" i="34"/>
  <c r="J257" i="34"/>
  <c r="J250" i="34"/>
  <c r="J286" i="34"/>
  <c r="J192" i="34"/>
  <c r="J282" i="34"/>
  <c r="J275" i="34"/>
  <c r="J269" i="34"/>
  <c r="J261" i="34"/>
  <c r="J253" i="34"/>
  <c r="J243" i="34"/>
  <c r="J138" i="34"/>
  <c r="J289" i="34"/>
  <c r="J143" i="34"/>
  <c r="J175" i="34"/>
  <c r="J97" i="36"/>
  <c r="N97" i="36" s="1"/>
  <c r="D97" i="37"/>
  <c r="I91" i="37"/>
  <c r="M91" i="37" s="1"/>
  <c r="C91" i="38"/>
  <c r="D94" i="37"/>
  <c r="J94" i="36"/>
  <c r="N94" i="36" s="1"/>
  <c r="D97" i="38" l="1"/>
  <c r="J97" i="37"/>
  <c r="N97" i="37" s="1"/>
  <c r="C91" i="39"/>
  <c r="I91" i="38"/>
  <c r="M91" i="38" s="1"/>
  <c r="D94" i="38"/>
  <c r="J94" i="37"/>
  <c r="N94" i="37" s="1"/>
  <c r="J97" i="38" l="1"/>
  <c r="N97" i="38" s="1"/>
  <c r="D97" i="39"/>
  <c r="C91" i="40"/>
  <c r="I91" i="39"/>
  <c r="M91" i="39" s="1"/>
  <c r="J94" i="38"/>
  <c r="N94" i="38" s="1"/>
  <c r="D94" i="39"/>
  <c r="D97" i="40" l="1"/>
  <c r="J97" i="39"/>
  <c r="N97" i="39" s="1"/>
  <c r="I91" i="40"/>
  <c r="M91" i="40" s="1"/>
  <c r="C91" i="41"/>
  <c r="J94" i="39"/>
  <c r="N94" i="39" s="1"/>
  <c r="D94" i="40"/>
  <c r="D97" i="41" l="1"/>
  <c r="J97" i="40"/>
  <c r="N97" i="40" s="1"/>
  <c r="I91" i="41"/>
  <c r="M91" i="41" s="1"/>
  <c r="C91" i="42"/>
  <c r="D94" i="41"/>
  <c r="J94" i="40"/>
  <c r="N94" i="40" s="1"/>
  <c r="J97" i="41" l="1"/>
  <c r="N97" i="41" s="1"/>
  <c r="D97" i="42"/>
  <c r="C91" i="43"/>
  <c r="I91" i="42"/>
  <c r="M91" i="42" s="1"/>
  <c r="J94" i="41"/>
  <c r="N94" i="41" s="1"/>
  <c r="D94" i="42"/>
  <c r="D97" i="43" l="1"/>
  <c r="J97" i="42"/>
  <c r="N97" i="42" s="1"/>
  <c r="I91" i="43"/>
  <c r="M91" i="43" s="1"/>
  <c r="C91" i="44"/>
  <c r="D94" i="43"/>
  <c r="J94" i="42"/>
  <c r="N94" i="42" s="1"/>
  <c r="J97" i="43" l="1"/>
  <c r="N97" i="43" s="1"/>
  <c r="D97" i="44"/>
  <c r="I91" i="44"/>
  <c r="M91" i="44" s="1"/>
  <c r="C91" i="45"/>
  <c r="D94" i="44"/>
  <c r="J94" i="43"/>
  <c r="N94" i="43" s="1"/>
  <c r="D97" i="45" l="1"/>
  <c r="J97" i="44"/>
  <c r="N97" i="44" s="1"/>
  <c r="C91" i="46"/>
  <c r="I91" i="45"/>
  <c r="M91" i="45" s="1"/>
  <c r="D94" i="45"/>
  <c r="J94" i="44"/>
  <c r="N94" i="44" s="1"/>
  <c r="J97" i="45" l="1"/>
  <c r="N97" i="45" s="1"/>
  <c r="D97" i="46"/>
  <c r="I91" i="46"/>
  <c r="M91" i="46" s="1"/>
  <c r="C91" i="47"/>
  <c r="J94" i="45"/>
  <c r="N94" i="45" s="1"/>
  <c r="D94" i="46"/>
  <c r="J97" i="46" l="1"/>
  <c r="N97" i="46" s="1"/>
  <c r="D97" i="47"/>
  <c r="I91" i="47"/>
  <c r="M91" i="47" s="1"/>
  <c r="C91" i="48"/>
  <c r="I91" i="48" s="1"/>
  <c r="J94" i="46"/>
  <c r="N94" i="46" s="1"/>
  <c r="D94" i="47"/>
  <c r="J97" i="47" l="1"/>
  <c r="N97" i="47" s="1"/>
  <c r="D97" i="48"/>
  <c r="J97" i="48" s="1"/>
  <c r="M91" i="48"/>
  <c r="A122" i="31"/>
  <c r="D94" i="48"/>
  <c r="J94" i="48" s="1"/>
  <c r="J94" i="47"/>
  <c r="N94" i="47" s="1"/>
  <c r="B128" i="31" l="1"/>
  <c r="D128" i="31" s="1"/>
  <c r="N97" i="48"/>
  <c r="N94" i="48"/>
  <c r="B125" i="31"/>
  <c r="D125" i="31" s="1"/>
  <c r="F128" i="35" l="1"/>
  <c r="M128" i="34"/>
  <c r="H128" i="35" l="1"/>
  <c r="F128" i="36"/>
  <c r="I128" i="35"/>
  <c r="M128" i="35" s="1"/>
  <c r="F128" i="37" l="1"/>
  <c r="I128" i="36"/>
  <c r="M128" i="36" s="1"/>
  <c r="G128" i="35"/>
  <c r="G128" i="36" s="1"/>
  <c r="G128" i="37" s="1"/>
  <c r="G128" i="38" s="1"/>
  <c r="G128" i="39" s="1"/>
  <c r="G128" i="40" s="1"/>
  <c r="G128" i="41" s="1"/>
  <c r="G128" i="42" s="1"/>
  <c r="G128" i="43" s="1"/>
  <c r="G128" i="44" s="1"/>
  <c r="G128" i="45" s="1"/>
  <c r="G128" i="46" s="1"/>
  <c r="G128" i="47" s="1"/>
  <c r="G128" i="48" s="1"/>
  <c r="N128" i="34"/>
  <c r="K128" i="35"/>
  <c r="H128" i="36"/>
  <c r="H128" i="37" l="1"/>
  <c r="K128" i="36"/>
  <c r="F128" i="38"/>
  <c r="I128" i="37"/>
  <c r="M128" i="37" s="1"/>
  <c r="F128" i="39" l="1"/>
  <c r="I128" i="38"/>
  <c r="M128" i="38" s="1"/>
  <c r="K128" i="37"/>
  <c r="H128" i="38"/>
  <c r="H128" i="39" l="1"/>
  <c r="K128" i="38"/>
  <c r="F193" i="35"/>
  <c r="M193" i="34"/>
  <c r="F128" i="40"/>
  <c r="I128" i="39"/>
  <c r="M128" i="39" s="1"/>
  <c r="G193" i="35" l="1"/>
  <c r="G193" i="36" s="1"/>
  <c r="G193" i="37" s="1"/>
  <c r="G193" i="38" s="1"/>
  <c r="G193" i="39" s="1"/>
  <c r="G193" i="40" s="1"/>
  <c r="G193" i="41" s="1"/>
  <c r="G193" i="42" s="1"/>
  <c r="G193" i="43" s="1"/>
  <c r="G193" i="44" s="1"/>
  <c r="G193" i="45" s="1"/>
  <c r="G193" i="46" s="1"/>
  <c r="G193" i="47" s="1"/>
  <c r="G193" i="48" s="1"/>
  <c r="N193" i="34"/>
  <c r="F193" i="36"/>
  <c r="I193" i="35"/>
  <c r="M193" i="35" s="1"/>
  <c r="F128" i="41"/>
  <c r="I128" i="40"/>
  <c r="M128" i="40" s="1"/>
  <c r="K128" i="39"/>
  <c r="H128" i="40"/>
  <c r="H193" i="35"/>
  <c r="H193" i="36" l="1"/>
  <c r="K193" i="35"/>
  <c r="H128" i="41"/>
  <c r="K128" i="40"/>
  <c r="F193" i="37"/>
  <c r="I193" i="36"/>
  <c r="M193" i="36" s="1"/>
  <c r="F128" i="42"/>
  <c r="I128" i="41"/>
  <c r="M128" i="41" s="1"/>
  <c r="C179" i="35" l="1"/>
  <c r="C177" i="35"/>
  <c r="F128" i="43"/>
  <c r="I128" i="42"/>
  <c r="M128" i="42" s="1"/>
  <c r="H128" i="42"/>
  <c r="K128" i="41"/>
  <c r="C178" i="35"/>
  <c r="F193" i="38"/>
  <c r="I193" i="37"/>
  <c r="M193" i="37" s="1"/>
  <c r="H193" i="37"/>
  <c r="K193" i="36"/>
  <c r="F178" i="35"/>
  <c r="F178" i="36" s="1"/>
  <c r="F178" i="37" s="1"/>
  <c r="F178" i="38" s="1"/>
  <c r="F178" i="39" s="1"/>
  <c r="F178" i="40" s="1"/>
  <c r="F178" i="41" s="1"/>
  <c r="F178" i="42" s="1"/>
  <c r="F178" i="43" s="1"/>
  <c r="F178" i="44" s="1"/>
  <c r="F178" i="45" s="1"/>
  <c r="F178" i="46" s="1"/>
  <c r="F178" i="47" s="1"/>
  <c r="F178" i="48" s="1"/>
  <c r="H128" i="43" l="1"/>
  <c r="K128" i="42"/>
  <c r="F128" i="44"/>
  <c r="I128" i="43"/>
  <c r="M128" i="43" s="1"/>
  <c r="M178" i="34"/>
  <c r="H193" i="38"/>
  <c r="K193" i="37"/>
  <c r="F193" i="39"/>
  <c r="I193" i="38"/>
  <c r="M193" i="38" s="1"/>
  <c r="C177" i="36"/>
  <c r="C178" i="36"/>
  <c r="I178" i="35"/>
  <c r="M178" i="35" s="1"/>
  <c r="C179" i="36"/>
  <c r="K128" i="43" l="1"/>
  <c r="H128" i="44"/>
  <c r="I178" i="36"/>
  <c r="M178" i="36" s="1"/>
  <c r="C178" i="37"/>
  <c r="C177" i="37"/>
  <c r="H193" i="39"/>
  <c r="K193" i="38"/>
  <c r="F128" i="45"/>
  <c r="I128" i="44"/>
  <c r="M128" i="44" s="1"/>
  <c r="I193" i="39"/>
  <c r="M193" i="39" s="1"/>
  <c r="F193" i="40"/>
  <c r="C179" i="37"/>
  <c r="K128" i="44" l="1"/>
  <c r="H128" i="45"/>
  <c r="C179" i="38"/>
  <c r="F128" i="46"/>
  <c r="I128" i="45"/>
  <c r="M128" i="45" s="1"/>
  <c r="C177" i="38"/>
  <c r="F193" i="41"/>
  <c r="I193" i="40"/>
  <c r="M193" i="40" s="1"/>
  <c r="I178" i="37"/>
  <c r="M178" i="37" s="1"/>
  <c r="C178" i="38"/>
  <c r="H193" i="40"/>
  <c r="K193" i="39"/>
  <c r="H193" i="41" l="1"/>
  <c r="K193" i="40"/>
  <c r="F193" i="42"/>
  <c r="I193" i="41"/>
  <c r="M193" i="41" s="1"/>
  <c r="C178" i="39"/>
  <c r="I178" i="38"/>
  <c r="M178" i="38" s="1"/>
  <c r="F259" i="35"/>
  <c r="M259" i="34"/>
  <c r="H128" i="46"/>
  <c r="K128" i="45"/>
  <c r="F128" i="47"/>
  <c r="I128" i="46"/>
  <c r="M128" i="46" s="1"/>
  <c r="C177" i="39"/>
  <c r="C179" i="39"/>
  <c r="I259" i="35" l="1"/>
  <c r="M259" i="35" s="1"/>
  <c r="F259" i="36"/>
  <c r="C179" i="40"/>
  <c r="F193" i="43"/>
  <c r="I193" i="42"/>
  <c r="M193" i="42" s="1"/>
  <c r="H259" i="35"/>
  <c r="F128" i="48"/>
  <c r="I128" i="48" s="1"/>
  <c r="I128" i="47"/>
  <c r="M128" i="47" s="1"/>
  <c r="K128" i="46"/>
  <c r="H128" i="47"/>
  <c r="I178" i="39"/>
  <c r="M178" i="39" s="1"/>
  <c r="C178" i="40"/>
  <c r="C177" i="40"/>
  <c r="H193" i="42"/>
  <c r="K193" i="41"/>
  <c r="H193" i="43" l="1"/>
  <c r="K193" i="42"/>
  <c r="F193" i="44"/>
  <c r="I193" i="43"/>
  <c r="M193" i="43" s="1"/>
  <c r="F259" i="37"/>
  <c r="I259" i="36"/>
  <c r="M259" i="36" s="1"/>
  <c r="G259" i="35"/>
  <c r="G259" i="36" s="1"/>
  <c r="G259" i="37" s="1"/>
  <c r="G259" i="38" s="1"/>
  <c r="G259" i="39" s="1"/>
  <c r="G259" i="40" s="1"/>
  <c r="G259" i="41" s="1"/>
  <c r="G259" i="42" s="1"/>
  <c r="G259" i="43" s="1"/>
  <c r="G259" i="44" s="1"/>
  <c r="G259" i="45" s="1"/>
  <c r="G259" i="46" s="1"/>
  <c r="G259" i="47" s="1"/>
  <c r="G259" i="48" s="1"/>
  <c r="N259" i="34"/>
  <c r="K128" i="47"/>
  <c r="H128" i="48"/>
  <c r="K128" i="48" s="1"/>
  <c r="M128" i="48"/>
  <c r="A159" i="31"/>
  <c r="K259" i="35"/>
  <c r="H259" i="36"/>
  <c r="I178" i="40"/>
  <c r="M178" i="40" s="1"/>
  <c r="C178" i="41"/>
  <c r="C179" i="41"/>
  <c r="C177" i="41"/>
  <c r="F259" i="38" l="1"/>
  <c r="I259" i="37"/>
  <c r="M259" i="37" s="1"/>
  <c r="C179" i="42"/>
  <c r="C178" i="42"/>
  <c r="I178" i="41"/>
  <c r="M178" i="41" s="1"/>
  <c r="K259" i="36"/>
  <c r="H259" i="37"/>
  <c r="C177" i="42"/>
  <c r="I193" i="44"/>
  <c r="M193" i="44" s="1"/>
  <c r="F193" i="45"/>
  <c r="K193" i="43"/>
  <c r="H193" i="44"/>
  <c r="I193" i="45" l="1"/>
  <c r="M193" i="45" s="1"/>
  <c r="F193" i="46"/>
  <c r="C177" i="43"/>
  <c r="I178" i="42"/>
  <c r="M178" i="42" s="1"/>
  <c r="C178" i="43"/>
  <c r="C179" i="43"/>
  <c r="I259" i="38"/>
  <c r="M259" i="38" s="1"/>
  <c r="F259" i="39"/>
  <c r="K259" i="37"/>
  <c r="H259" i="38"/>
  <c r="K193" i="44"/>
  <c r="H193" i="45"/>
  <c r="F255" i="35"/>
  <c r="M255" i="34"/>
  <c r="K259" i="38" l="1"/>
  <c r="H259" i="39"/>
  <c r="C177" i="44"/>
  <c r="H193" i="46"/>
  <c r="K193" i="45"/>
  <c r="C178" i="44"/>
  <c r="I178" i="43"/>
  <c r="M178" i="43" s="1"/>
  <c r="I193" i="46"/>
  <c r="M193" i="46" s="1"/>
  <c r="F193" i="47"/>
  <c r="F259" i="40"/>
  <c r="I259" i="39"/>
  <c r="M259" i="39" s="1"/>
  <c r="F255" i="36"/>
  <c r="I255" i="35"/>
  <c r="M255" i="35" s="1"/>
  <c r="C179" i="44"/>
  <c r="F255" i="37" l="1"/>
  <c r="I255" i="36"/>
  <c r="M255" i="36" s="1"/>
  <c r="I259" i="40"/>
  <c r="M259" i="40" s="1"/>
  <c r="F259" i="41"/>
  <c r="C178" i="45"/>
  <c r="I178" i="44"/>
  <c r="M178" i="44" s="1"/>
  <c r="H193" i="47"/>
  <c r="K193" i="46"/>
  <c r="I193" i="47"/>
  <c r="M193" i="47" s="1"/>
  <c r="F193" i="48"/>
  <c r="I193" i="48" s="1"/>
  <c r="H259" i="40"/>
  <c r="K259" i="39"/>
  <c r="C179" i="45"/>
  <c r="C177" i="45"/>
  <c r="H259" i="41" l="1"/>
  <c r="K259" i="40"/>
  <c r="I255" i="37"/>
  <c r="M255" i="37" s="1"/>
  <c r="F255" i="38"/>
  <c r="I259" i="41"/>
  <c r="M259" i="41" s="1"/>
  <c r="F259" i="42"/>
  <c r="A224" i="31"/>
  <c r="M193" i="48"/>
  <c r="C179" i="46"/>
  <c r="I178" i="45"/>
  <c r="M178" i="45" s="1"/>
  <c r="C178" i="46"/>
  <c r="C177" i="46"/>
  <c r="H193" i="48"/>
  <c r="K193" i="48" s="1"/>
  <c r="K193" i="47"/>
  <c r="C177" i="47" l="1"/>
  <c r="I178" i="46"/>
  <c r="M178" i="46" s="1"/>
  <c r="C178" i="47"/>
  <c r="F255" i="39"/>
  <c r="I255" i="38"/>
  <c r="M255" i="38" s="1"/>
  <c r="H259" i="42"/>
  <c r="K259" i="41"/>
  <c r="F259" i="43"/>
  <c r="I259" i="42"/>
  <c r="M259" i="42" s="1"/>
  <c r="C179" i="47"/>
  <c r="K259" i="42" l="1"/>
  <c r="H259" i="43"/>
  <c r="C177" i="48"/>
  <c r="I178" i="47"/>
  <c r="M178" i="47" s="1"/>
  <c r="C178" i="48"/>
  <c r="I178" i="48" s="1"/>
  <c r="F259" i="44"/>
  <c r="I259" i="43"/>
  <c r="M259" i="43" s="1"/>
  <c r="I255" i="39"/>
  <c r="M255" i="39" s="1"/>
  <c r="F255" i="40"/>
  <c r="C179" i="48"/>
  <c r="M178" i="48" l="1"/>
  <c r="A209" i="31"/>
  <c r="F255" i="41"/>
  <c r="I255" i="40"/>
  <c r="M255" i="40" s="1"/>
  <c r="H259" i="44"/>
  <c r="K259" i="43"/>
  <c r="F259" i="45"/>
  <c r="I259" i="44"/>
  <c r="M259" i="44" s="1"/>
  <c r="F259" i="46" l="1"/>
  <c r="I259" i="45"/>
  <c r="M259" i="45" s="1"/>
  <c r="K259" i="44"/>
  <c r="H259" i="45"/>
  <c r="F255" i="42"/>
  <c r="I255" i="41"/>
  <c r="M255" i="41" s="1"/>
  <c r="F137" i="35" l="1"/>
  <c r="M137" i="34"/>
  <c r="M156" i="34"/>
  <c r="F156" i="35"/>
  <c r="M159" i="34"/>
  <c r="F159" i="35"/>
  <c r="F161" i="35"/>
  <c r="M161" i="34"/>
  <c r="M166" i="34"/>
  <c r="F166" i="35"/>
  <c r="F179" i="35"/>
  <c r="M179" i="34"/>
  <c r="F192" i="35"/>
  <c r="M192" i="34"/>
  <c r="M206" i="34"/>
  <c r="F206" i="35"/>
  <c r="C212" i="35"/>
  <c r="M218" i="34"/>
  <c r="F218" i="35"/>
  <c r="F220" i="35"/>
  <c r="M220" i="34"/>
  <c r="M225" i="34"/>
  <c r="F225" i="35"/>
  <c r="F247" i="35"/>
  <c r="M247" i="34"/>
  <c r="F249" i="35"/>
  <c r="M249" i="34"/>
  <c r="M251" i="34"/>
  <c r="F251" i="35"/>
  <c r="F258" i="35"/>
  <c r="M258" i="34"/>
  <c r="M261" i="34"/>
  <c r="F261" i="35"/>
  <c r="M273" i="34"/>
  <c r="F273" i="35"/>
  <c r="M276" i="34"/>
  <c r="F276" i="35"/>
  <c r="F280" i="35"/>
  <c r="M280" i="34"/>
  <c r="M289" i="34"/>
  <c r="F289" i="35"/>
  <c r="M291" i="34"/>
  <c r="F291" i="35"/>
  <c r="F129" i="35"/>
  <c r="M129" i="34"/>
  <c r="F132" i="35"/>
  <c r="M132" i="34"/>
  <c r="F134" i="35"/>
  <c r="M134" i="34"/>
  <c r="M136" i="34"/>
  <c r="F136" i="35"/>
  <c r="F138" i="35"/>
  <c r="M138" i="34"/>
  <c r="F146" i="35"/>
  <c r="M146" i="34"/>
  <c r="F151" i="35"/>
  <c r="M151" i="34"/>
  <c r="M163" i="34"/>
  <c r="F163" i="35"/>
  <c r="M165" i="34"/>
  <c r="F165" i="35"/>
  <c r="M168" i="34"/>
  <c r="F168" i="35"/>
  <c r="F170" i="35"/>
  <c r="M170" i="34"/>
  <c r="M176" i="34"/>
  <c r="F176" i="35"/>
  <c r="M196" i="34"/>
  <c r="F196" i="35"/>
  <c r="F198" i="35"/>
  <c r="M198" i="34"/>
  <c r="M209" i="34"/>
  <c r="F209" i="35"/>
  <c r="M227" i="34"/>
  <c r="F227" i="35"/>
  <c r="F229" i="35"/>
  <c r="M229" i="34"/>
  <c r="F254" i="35"/>
  <c r="M254" i="34"/>
  <c r="M256" i="34"/>
  <c r="F256" i="35"/>
  <c r="M263" i="34"/>
  <c r="F263" i="35"/>
  <c r="F265" i="35"/>
  <c r="M265" i="34"/>
  <c r="M268" i="34"/>
  <c r="F268" i="35"/>
  <c r="M281" i="34"/>
  <c r="F281" i="35"/>
  <c r="M118" i="34"/>
  <c r="F118" i="35"/>
  <c r="M119" i="34"/>
  <c r="F119" i="35"/>
  <c r="M120" i="34"/>
  <c r="F120" i="35"/>
  <c r="M121" i="34"/>
  <c r="F121" i="35"/>
  <c r="F122" i="35"/>
  <c r="M122" i="34"/>
  <c r="F123" i="35"/>
  <c r="M123" i="34"/>
  <c r="M125" i="34"/>
  <c r="F125" i="35"/>
  <c r="M140" i="34"/>
  <c r="F140" i="35"/>
  <c r="M141" i="34"/>
  <c r="F141" i="35"/>
  <c r="F142" i="35"/>
  <c r="M142" i="34"/>
  <c r="M157" i="34"/>
  <c r="F157" i="35"/>
  <c r="F158" i="35"/>
  <c r="M158" i="34"/>
  <c r="F169" i="35"/>
  <c r="F169" i="36" s="1"/>
  <c r="F169" i="37" s="1"/>
  <c r="F169" i="38" s="1"/>
  <c r="F169" i="39" s="1"/>
  <c r="F169" i="40" s="1"/>
  <c r="F169" i="41" s="1"/>
  <c r="F169" i="42" s="1"/>
  <c r="F169" i="43" s="1"/>
  <c r="F169" i="44" s="1"/>
  <c r="F169" i="45" s="1"/>
  <c r="F169" i="46" s="1"/>
  <c r="F169" i="47" s="1"/>
  <c r="F169" i="48" s="1"/>
  <c r="F171" i="35"/>
  <c r="M171" i="34"/>
  <c r="M172" i="34"/>
  <c r="F172" i="35"/>
  <c r="F173" i="35"/>
  <c r="M173" i="34"/>
  <c r="M174" i="34"/>
  <c r="F174" i="35"/>
  <c r="M181" i="34"/>
  <c r="F181" i="35"/>
  <c r="M182" i="34"/>
  <c r="F182" i="35"/>
  <c r="F183" i="35"/>
  <c r="M183" i="34"/>
  <c r="F186" i="35"/>
  <c r="M186" i="34"/>
  <c r="F187" i="35"/>
  <c r="M187" i="34"/>
  <c r="F200" i="35"/>
  <c r="M200" i="34"/>
  <c r="M201" i="34"/>
  <c r="F201" i="35"/>
  <c r="F202" i="35"/>
  <c r="M202" i="34"/>
  <c r="F203" i="35"/>
  <c r="M203" i="34"/>
  <c r="M208" i="34"/>
  <c r="F208" i="35"/>
  <c r="F210" i="35"/>
  <c r="M210" i="34"/>
  <c r="M213" i="34"/>
  <c r="F213" i="35"/>
  <c r="F214" i="35"/>
  <c r="M214" i="34"/>
  <c r="F215" i="35"/>
  <c r="M215" i="34"/>
  <c r="F216" i="35"/>
  <c r="M216" i="34"/>
  <c r="M217" i="34"/>
  <c r="F217" i="35"/>
  <c r="M230" i="34"/>
  <c r="F230" i="35"/>
  <c r="M231" i="34"/>
  <c r="F231" i="35"/>
  <c r="M232" i="34"/>
  <c r="F232" i="35"/>
  <c r="F238" i="35"/>
  <c r="M238" i="34"/>
  <c r="M239" i="34"/>
  <c r="F239" i="35"/>
  <c r="F240" i="35"/>
  <c r="M240" i="34"/>
  <c r="M241" i="34"/>
  <c r="F241" i="35"/>
  <c r="M242" i="34"/>
  <c r="F242" i="35"/>
  <c r="M243" i="34"/>
  <c r="F243" i="35"/>
  <c r="M244" i="34"/>
  <c r="F244" i="35"/>
  <c r="F246" i="35"/>
  <c r="M246" i="34"/>
  <c r="F266" i="35"/>
  <c r="M266" i="34"/>
  <c r="M270" i="34"/>
  <c r="F270" i="35"/>
  <c r="M271" i="34"/>
  <c r="F271" i="35"/>
  <c r="F282" i="35"/>
  <c r="M282" i="34"/>
  <c r="M283" i="34"/>
  <c r="F283" i="35"/>
  <c r="F284" i="35"/>
  <c r="M284" i="34"/>
  <c r="F127" i="35"/>
  <c r="M127" i="34"/>
  <c r="F160" i="35"/>
  <c r="M160" i="34"/>
  <c r="M185" i="34"/>
  <c r="F185" i="35"/>
  <c r="F190" i="35"/>
  <c r="M190" i="34"/>
  <c r="C191" i="35"/>
  <c r="F194" i="35"/>
  <c r="M194" i="34"/>
  <c r="F211" i="35"/>
  <c r="M211" i="34"/>
  <c r="M219" i="34"/>
  <c r="F219" i="35"/>
  <c r="F224" i="35"/>
  <c r="M224" i="34"/>
  <c r="M248" i="34"/>
  <c r="F248" i="35"/>
  <c r="M250" i="34"/>
  <c r="F250" i="35"/>
  <c r="M252" i="34"/>
  <c r="F252" i="35"/>
  <c r="F260" i="35"/>
  <c r="M260" i="34"/>
  <c r="F267" i="35"/>
  <c r="M267" i="34"/>
  <c r="M274" i="34"/>
  <c r="F274" i="35"/>
  <c r="F275" i="35"/>
  <c r="M275" i="34"/>
  <c r="F290" i="35"/>
  <c r="M290" i="34"/>
  <c r="M292" i="34"/>
  <c r="F292" i="35"/>
  <c r="K259" i="45"/>
  <c r="H259" i="46"/>
  <c r="C126" i="35"/>
  <c r="F130" i="35"/>
  <c r="M130" i="34"/>
  <c r="F133" i="35"/>
  <c r="M133" i="34"/>
  <c r="M135" i="34"/>
  <c r="F135" i="35"/>
  <c r="F139" i="35"/>
  <c r="M139" i="34"/>
  <c r="M145" i="34"/>
  <c r="F145" i="35"/>
  <c r="M152" i="34"/>
  <c r="F152" i="35"/>
  <c r="M162" i="34"/>
  <c r="F162" i="35"/>
  <c r="F164" i="35"/>
  <c r="M164" i="34"/>
  <c r="M167" i="34"/>
  <c r="F167" i="35"/>
  <c r="C169" i="35"/>
  <c r="M180" i="34"/>
  <c r="F180" i="35"/>
  <c r="F195" i="35"/>
  <c r="M195" i="34"/>
  <c r="M197" i="34"/>
  <c r="F197" i="35"/>
  <c r="F199" i="35"/>
  <c r="M199" i="34"/>
  <c r="M207" i="34"/>
  <c r="F207" i="35"/>
  <c r="F212" i="35"/>
  <c r="F212" i="36" s="1"/>
  <c r="F212" i="37" s="1"/>
  <c r="F212" i="38" s="1"/>
  <c r="F212" i="39" s="1"/>
  <c r="F212" i="40" s="1"/>
  <c r="F212" i="41" s="1"/>
  <c r="F212" i="42" s="1"/>
  <c r="F212" i="43" s="1"/>
  <c r="F212" i="44" s="1"/>
  <c r="F212" i="45" s="1"/>
  <c r="F212" i="46" s="1"/>
  <c r="F212" i="47" s="1"/>
  <c r="F212" i="48" s="1"/>
  <c r="M226" i="34"/>
  <c r="F226" i="35"/>
  <c r="M228" i="34"/>
  <c r="F228" i="35"/>
  <c r="M236" i="34"/>
  <c r="F236" i="35"/>
  <c r="F253" i="35"/>
  <c r="M253" i="34"/>
  <c r="M257" i="34"/>
  <c r="F257" i="35"/>
  <c r="M262" i="34"/>
  <c r="F262" i="35"/>
  <c r="F264" i="35"/>
  <c r="M264" i="34"/>
  <c r="M269" i="34"/>
  <c r="F269" i="35"/>
  <c r="M124" i="34"/>
  <c r="F124" i="35"/>
  <c r="F131" i="35"/>
  <c r="M131" i="34"/>
  <c r="F143" i="35"/>
  <c r="M143" i="34"/>
  <c r="F144" i="35"/>
  <c r="M144" i="34"/>
  <c r="M147" i="34"/>
  <c r="F147" i="35"/>
  <c r="F148" i="35"/>
  <c r="M148" i="34"/>
  <c r="M149" i="34"/>
  <c r="F149" i="35"/>
  <c r="M150" i="34"/>
  <c r="F150" i="35"/>
  <c r="M153" i="34"/>
  <c r="F153" i="35"/>
  <c r="M154" i="34"/>
  <c r="F154" i="35"/>
  <c r="F155" i="35"/>
  <c r="M155" i="34"/>
  <c r="F175" i="35"/>
  <c r="M175" i="34"/>
  <c r="F184" i="35"/>
  <c r="M184" i="34"/>
  <c r="F188" i="35"/>
  <c r="M188" i="34"/>
  <c r="F189" i="35"/>
  <c r="M189" i="34"/>
  <c r="G191" i="35"/>
  <c r="G191" i="36" s="1"/>
  <c r="G191" i="37" s="1"/>
  <c r="G191" i="38" s="1"/>
  <c r="G191" i="39" s="1"/>
  <c r="G191" i="40" s="1"/>
  <c r="G191" i="41" s="1"/>
  <c r="G191" i="42" s="1"/>
  <c r="G191" i="43" s="1"/>
  <c r="G191" i="44" s="1"/>
  <c r="G191" i="45" s="1"/>
  <c r="G191" i="46" s="1"/>
  <c r="G191" i="47" s="1"/>
  <c r="G191" i="48" s="1"/>
  <c r="M204" i="34"/>
  <c r="F204" i="35"/>
  <c r="F205" i="35"/>
  <c r="M205" i="34"/>
  <c r="F221" i="35"/>
  <c r="M221" i="34"/>
  <c r="F222" i="35"/>
  <c r="M222" i="34"/>
  <c r="F223" i="35"/>
  <c r="M223" i="34"/>
  <c r="M233" i="34"/>
  <c r="F233" i="35"/>
  <c r="F234" i="35"/>
  <c r="M234" i="34"/>
  <c r="F235" i="35"/>
  <c r="M235" i="34"/>
  <c r="M272" i="34"/>
  <c r="F272" i="35"/>
  <c r="M277" i="34"/>
  <c r="F277" i="35"/>
  <c r="C278" i="35"/>
  <c r="F279" i="35"/>
  <c r="M279" i="34"/>
  <c r="F285" i="35"/>
  <c r="M285" i="34"/>
  <c r="F286" i="35"/>
  <c r="M286" i="34"/>
  <c r="M287" i="34"/>
  <c r="F287" i="35"/>
  <c r="M288" i="34"/>
  <c r="F288" i="35"/>
  <c r="I255" i="42"/>
  <c r="M255" i="42" s="1"/>
  <c r="F255" i="43"/>
  <c r="F259" i="47"/>
  <c r="I259" i="46"/>
  <c r="M259" i="46" s="1"/>
  <c r="M245" i="34"/>
  <c r="F245" i="35"/>
  <c r="F191" i="35"/>
  <c r="F191" i="36" s="1"/>
  <c r="F191" i="37" s="1"/>
  <c r="F191" i="38" s="1"/>
  <c r="F191" i="39" s="1"/>
  <c r="F191" i="40" s="1"/>
  <c r="F191" i="41" s="1"/>
  <c r="F191" i="42" s="1"/>
  <c r="F191" i="43" s="1"/>
  <c r="F191" i="44" s="1"/>
  <c r="F191" i="45" s="1"/>
  <c r="F191" i="46" s="1"/>
  <c r="F191" i="47" s="1"/>
  <c r="F191" i="48" s="1"/>
  <c r="F126" i="35"/>
  <c r="F126" i="36" s="1"/>
  <c r="F126" i="37" s="1"/>
  <c r="F126" i="38" s="1"/>
  <c r="F126" i="39" s="1"/>
  <c r="F126" i="40" s="1"/>
  <c r="F126" i="41" s="1"/>
  <c r="F126" i="42" s="1"/>
  <c r="F126" i="43" s="1"/>
  <c r="F126" i="44" s="1"/>
  <c r="F126" i="45" s="1"/>
  <c r="F126" i="46" s="1"/>
  <c r="F126" i="47" s="1"/>
  <c r="F126" i="48" s="1"/>
  <c r="F278" i="35"/>
  <c r="F278" i="36" s="1"/>
  <c r="F278" i="37" s="1"/>
  <c r="F278" i="38" s="1"/>
  <c r="F278" i="39" s="1"/>
  <c r="F278" i="40" s="1"/>
  <c r="F278" i="41" s="1"/>
  <c r="F278" i="42" s="1"/>
  <c r="F278" i="43" s="1"/>
  <c r="F278" i="44" s="1"/>
  <c r="F278" i="45" s="1"/>
  <c r="F278" i="46" s="1"/>
  <c r="F278" i="47" s="1"/>
  <c r="F278" i="48" s="1"/>
  <c r="M212" i="34" l="1"/>
  <c r="M169" i="34"/>
  <c r="G154" i="35"/>
  <c r="G154" i="36" s="1"/>
  <c r="G154" i="37" s="1"/>
  <c r="G154" i="38" s="1"/>
  <c r="G154" i="39" s="1"/>
  <c r="G154" i="40" s="1"/>
  <c r="G154" i="41" s="1"/>
  <c r="G154" i="42" s="1"/>
  <c r="G154" i="43" s="1"/>
  <c r="G154" i="44" s="1"/>
  <c r="G154" i="45" s="1"/>
  <c r="G154" i="46" s="1"/>
  <c r="G154" i="47" s="1"/>
  <c r="G154" i="48" s="1"/>
  <c r="N154" i="34"/>
  <c r="G166" i="35"/>
  <c r="G166" i="36" s="1"/>
  <c r="G166" i="37" s="1"/>
  <c r="G166" i="38" s="1"/>
  <c r="G166" i="39" s="1"/>
  <c r="G166" i="40" s="1"/>
  <c r="G166" i="41" s="1"/>
  <c r="G166" i="42" s="1"/>
  <c r="G166" i="43" s="1"/>
  <c r="G166" i="44" s="1"/>
  <c r="G166" i="45" s="1"/>
  <c r="G166" i="46" s="1"/>
  <c r="G166" i="47" s="1"/>
  <c r="G166" i="48" s="1"/>
  <c r="N166" i="34"/>
  <c r="G127" i="35"/>
  <c r="G127" i="36" s="1"/>
  <c r="G127" i="37" s="1"/>
  <c r="G127" i="38" s="1"/>
  <c r="G127" i="39" s="1"/>
  <c r="G127" i="40" s="1"/>
  <c r="G127" i="41" s="1"/>
  <c r="G127" i="42" s="1"/>
  <c r="G127" i="43" s="1"/>
  <c r="G127" i="44" s="1"/>
  <c r="G127" i="45" s="1"/>
  <c r="G127" i="46" s="1"/>
  <c r="G127" i="47" s="1"/>
  <c r="G127" i="48" s="1"/>
  <c r="N127" i="34"/>
  <c r="G188" i="35"/>
  <c r="G188" i="36" s="1"/>
  <c r="G188" i="37" s="1"/>
  <c r="G188" i="38" s="1"/>
  <c r="G188" i="39" s="1"/>
  <c r="G188" i="40" s="1"/>
  <c r="G188" i="41" s="1"/>
  <c r="G188" i="42" s="1"/>
  <c r="G188" i="43" s="1"/>
  <c r="G188" i="44" s="1"/>
  <c r="G188" i="45" s="1"/>
  <c r="G188" i="46" s="1"/>
  <c r="G188" i="47" s="1"/>
  <c r="G188" i="48" s="1"/>
  <c r="N188" i="34"/>
  <c r="G204" i="35"/>
  <c r="G204" i="36" s="1"/>
  <c r="G204" i="37" s="1"/>
  <c r="G204" i="38" s="1"/>
  <c r="G204" i="39" s="1"/>
  <c r="G204" i="40" s="1"/>
  <c r="G204" i="41" s="1"/>
  <c r="G204" i="42" s="1"/>
  <c r="G204" i="43" s="1"/>
  <c r="G204" i="44" s="1"/>
  <c r="G204" i="45" s="1"/>
  <c r="G204" i="46" s="1"/>
  <c r="G204" i="47" s="1"/>
  <c r="G204" i="48" s="1"/>
  <c r="N204" i="34"/>
  <c r="G270" i="35"/>
  <c r="G270" i="36" s="1"/>
  <c r="G270" i="37" s="1"/>
  <c r="G270" i="38" s="1"/>
  <c r="G270" i="39" s="1"/>
  <c r="G270" i="40" s="1"/>
  <c r="G270" i="41" s="1"/>
  <c r="G270" i="42" s="1"/>
  <c r="G270" i="43" s="1"/>
  <c r="G270" i="44" s="1"/>
  <c r="G270" i="45" s="1"/>
  <c r="G270" i="46" s="1"/>
  <c r="G270" i="47" s="1"/>
  <c r="G270" i="48" s="1"/>
  <c r="N270" i="34"/>
  <c r="G119" i="35"/>
  <c r="G119" i="36" s="1"/>
  <c r="G119" i="37" s="1"/>
  <c r="G119" i="38" s="1"/>
  <c r="G119" i="39" s="1"/>
  <c r="G119" i="40" s="1"/>
  <c r="G119" i="41" s="1"/>
  <c r="G119" i="42" s="1"/>
  <c r="G119" i="43" s="1"/>
  <c r="G119" i="44" s="1"/>
  <c r="G119" i="45" s="1"/>
  <c r="G119" i="46" s="1"/>
  <c r="G119" i="47" s="1"/>
  <c r="G119" i="48" s="1"/>
  <c r="N119" i="34"/>
  <c r="G253" i="35"/>
  <c r="G253" i="36" s="1"/>
  <c r="G253" i="37" s="1"/>
  <c r="G253" i="38" s="1"/>
  <c r="G253" i="39" s="1"/>
  <c r="G253" i="40" s="1"/>
  <c r="G253" i="41" s="1"/>
  <c r="G253" i="42" s="1"/>
  <c r="G253" i="43" s="1"/>
  <c r="G253" i="44" s="1"/>
  <c r="G253" i="45" s="1"/>
  <c r="G253" i="46" s="1"/>
  <c r="G253" i="47" s="1"/>
  <c r="G253" i="48" s="1"/>
  <c r="N253" i="34"/>
  <c r="G136" i="35"/>
  <c r="G136" i="36" s="1"/>
  <c r="G136" i="37" s="1"/>
  <c r="G136" i="38" s="1"/>
  <c r="G136" i="39" s="1"/>
  <c r="G136" i="40" s="1"/>
  <c r="G136" i="41" s="1"/>
  <c r="G136" i="42" s="1"/>
  <c r="G136" i="43" s="1"/>
  <c r="G136" i="44" s="1"/>
  <c r="G136" i="45" s="1"/>
  <c r="G136" i="46" s="1"/>
  <c r="G136" i="47" s="1"/>
  <c r="G136" i="48" s="1"/>
  <c r="N136" i="34"/>
  <c r="G133" i="35"/>
  <c r="G133" i="36" s="1"/>
  <c r="G133" i="37" s="1"/>
  <c r="G133" i="38" s="1"/>
  <c r="G133" i="39" s="1"/>
  <c r="G133" i="40" s="1"/>
  <c r="G133" i="41" s="1"/>
  <c r="G133" i="42" s="1"/>
  <c r="G133" i="43" s="1"/>
  <c r="G133" i="44" s="1"/>
  <c r="G133" i="45" s="1"/>
  <c r="G133" i="46" s="1"/>
  <c r="G133" i="47" s="1"/>
  <c r="G133" i="48" s="1"/>
  <c r="N133" i="34"/>
  <c r="H270" i="35"/>
  <c r="H241" i="35"/>
  <c r="I222" i="35"/>
  <c r="M222" i="35" s="1"/>
  <c r="F222" i="36"/>
  <c r="H217" i="35"/>
  <c r="H213" i="35"/>
  <c r="H208" i="35"/>
  <c r="H203" i="35"/>
  <c r="F153" i="36"/>
  <c r="I153" i="35"/>
  <c r="M153" i="35" s="1"/>
  <c r="F147" i="36"/>
  <c r="I147" i="35"/>
  <c r="M147" i="35" s="1"/>
  <c r="F228" i="36"/>
  <c r="I228" i="35"/>
  <c r="M228" i="35" s="1"/>
  <c r="I199" i="35"/>
  <c r="M199" i="35" s="1"/>
  <c r="F199" i="36"/>
  <c r="F135" i="36"/>
  <c r="I135" i="35"/>
  <c r="M135" i="35" s="1"/>
  <c r="H279" i="35"/>
  <c r="H272" i="35"/>
  <c r="H204" i="35"/>
  <c r="H149" i="35"/>
  <c r="H281" i="35"/>
  <c r="H268" i="35"/>
  <c r="H263" i="35"/>
  <c r="H257" i="35"/>
  <c r="H253" i="35"/>
  <c r="H245" i="35"/>
  <c r="H236" i="35"/>
  <c r="H227" i="35"/>
  <c r="I216" i="35"/>
  <c r="M216" i="35" s="1"/>
  <c r="F216" i="36"/>
  <c r="I202" i="35"/>
  <c r="M202" i="35" s="1"/>
  <c r="F202" i="36"/>
  <c r="F200" i="36"/>
  <c r="I200" i="35"/>
  <c r="M200" i="35" s="1"/>
  <c r="H196" i="35"/>
  <c r="F183" i="36"/>
  <c r="I183" i="35"/>
  <c r="M183" i="35" s="1"/>
  <c r="H176" i="35"/>
  <c r="F157" i="36"/>
  <c r="I157" i="35"/>
  <c r="M157" i="35" s="1"/>
  <c r="F140" i="36"/>
  <c r="I140" i="35"/>
  <c r="M140" i="35" s="1"/>
  <c r="I121" i="35"/>
  <c r="M121" i="35" s="1"/>
  <c r="F121" i="36"/>
  <c r="F176" i="36"/>
  <c r="I176" i="35"/>
  <c r="M176" i="35" s="1"/>
  <c r="F168" i="36"/>
  <c r="I168" i="35"/>
  <c r="M168" i="35" s="1"/>
  <c r="H287" i="35"/>
  <c r="I280" i="35"/>
  <c r="M280" i="35" s="1"/>
  <c r="F280" i="36"/>
  <c r="I247" i="35"/>
  <c r="M247" i="35" s="1"/>
  <c r="F247" i="36"/>
  <c r="H235" i="35"/>
  <c r="H223" i="35"/>
  <c r="F220" i="36"/>
  <c r="I220" i="35"/>
  <c r="M220" i="35" s="1"/>
  <c r="F206" i="36"/>
  <c r="I206" i="35"/>
  <c r="M206" i="35" s="1"/>
  <c r="I159" i="35"/>
  <c r="M159" i="35" s="1"/>
  <c r="F159" i="36"/>
  <c r="G236" i="35"/>
  <c r="G236" i="36" s="1"/>
  <c r="G236" i="37" s="1"/>
  <c r="G236" i="38" s="1"/>
  <c r="G236" i="39" s="1"/>
  <c r="G236" i="40" s="1"/>
  <c r="G236" i="41" s="1"/>
  <c r="G236" i="42" s="1"/>
  <c r="G236" i="43" s="1"/>
  <c r="G236" i="44" s="1"/>
  <c r="G236" i="45" s="1"/>
  <c r="G236" i="46" s="1"/>
  <c r="G236" i="47" s="1"/>
  <c r="G236" i="48" s="1"/>
  <c r="N236" i="34"/>
  <c r="G267" i="35"/>
  <c r="G267" i="36" s="1"/>
  <c r="G267" i="37" s="1"/>
  <c r="G267" i="38" s="1"/>
  <c r="G267" i="39" s="1"/>
  <c r="G267" i="40" s="1"/>
  <c r="G267" i="41" s="1"/>
  <c r="G267" i="42" s="1"/>
  <c r="G267" i="43" s="1"/>
  <c r="G267" i="44" s="1"/>
  <c r="G267" i="45" s="1"/>
  <c r="G267" i="46" s="1"/>
  <c r="G267" i="47" s="1"/>
  <c r="G267" i="48" s="1"/>
  <c r="N267" i="34"/>
  <c r="G167" i="35"/>
  <c r="G167" i="36" s="1"/>
  <c r="G167" i="37" s="1"/>
  <c r="G167" i="38" s="1"/>
  <c r="G167" i="39" s="1"/>
  <c r="G167" i="40" s="1"/>
  <c r="G167" i="41" s="1"/>
  <c r="G167" i="42" s="1"/>
  <c r="G167" i="43" s="1"/>
  <c r="G167" i="44" s="1"/>
  <c r="G167" i="45" s="1"/>
  <c r="G167" i="46" s="1"/>
  <c r="G167" i="47" s="1"/>
  <c r="G167" i="48" s="1"/>
  <c r="N167" i="34"/>
  <c r="G175" i="35"/>
  <c r="G175" i="36" s="1"/>
  <c r="G175" i="37" s="1"/>
  <c r="G175" i="38" s="1"/>
  <c r="G175" i="39" s="1"/>
  <c r="G175" i="40" s="1"/>
  <c r="G175" i="41" s="1"/>
  <c r="G175" i="42" s="1"/>
  <c r="G175" i="43" s="1"/>
  <c r="G175" i="44" s="1"/>
  <c r="G175" i="45" s="1"/>
  <c r="G175" i="46" s="1"/>
  <c r="G175" i="47" s="1"/>
  <c r="G175" i="48" s="1"/>
  <c r="N175" i="34"/>
  <c r="G143" i="35"/>
  <c r="G143" i="36" s="1"/>
  <c r="G143" i="37" s="1"/>
  <c r="G143" i="38" s="1"/>
  <c r="G143" i="39" s="1"/>
  <c r="G143" i="40" s="1"/>
  <c r="G143" i="41" s="1"/>
  <c r="G143" i="42" s="1"/>
  <c r="G143" i="43" s="1"/>
  <c r="G143" i="44" s="1"/>
  <c r="G143" i="45" s="1"/>
  <c r="G143" i="46" s="1"/>
  <c r="G143" i="47" s="1"/>
  <c r="G143" i="48" s="1"/>
  <c r="N143" i="34"/>
  <c r="F285" i="36"/>
  <c r="I285" i="35"/>
  <c r="M285" i="35" s="1"/>
  <c r="F279" i="36"/>
  <c r="I279" i="35"/>
  <c r="M279" i="35" s="1"/>
  <c r="I204" i="35"/>
  <c r="M204" i="35" s="1"/>
  <c r="F204" i="36"/>
  <c r="F188" i="36"/>
  <c r="I188" i="35"/>
  <c r="M188" i="35" s="1"/>
  <c r="H186" i="35"/>
  <c r="F184" i="36"/>
  <c r="I184" i="35"/>
  <c r="M184" i="35" s="1"/>
  <c r="H182" i="35"/>
  <c r="F175" i="36"/>
  <c r="I175" i="35"/>
  <c r="M175" i="35" s="1"/>
  <c r="H173" i="35"/>
  <c r="H171" i="35"/>
  <c r="I155" i="35"/>
  <c r="M155" i="35" s="1"/>
  <c r="F155" i="36"/>
  <c r="I143" i="35"/>
  <c r="M143" i="35" s="1"/>
  <c r="F143" i="36"/>
  <c r="H141" i="35"/>
  <c r="I131" i="35"/>
  <c r="M131" i="35" s="1"/>
  <c r="F131" i="36"/>
  <c r="H125" i="35"/>
  <c r="H123" i="35"/>
  <c r="H121" i="35"/>
  <c r="H119" i="35"/>
  <c r="H292" i="35"/>
  <c r="H280" i="35"/>
  <c r="H274" i="35"/>
  <c r="I264" i="35"/>
  <c r="M264" i="35" s="1"/>
  <c r="F264" i="36"/>
  <c r="H260" i="35"/>
  <c r="I253" i="35"/>
  <c r="M253" i="35" s="1"/>
  <c r="F253" i="36"/>
  <c r="H248" i="35"/>
  <c r="H225" i="35"/>
  <c r="F197" i="36"/>
  <c r="I197" i="35"/>
  <c r="M197" i="35" s="1"/>
  <c r="I180" i="35"/>
  <c r="M180" i="35" s="1"/>
  <c r="F180" i="36"/>
  <c r="C169" i="36"/>
  <c r="I169" i="35"/>
  <c r="M169" i="35" s="1"/>
  <c r="I164" i="35"/>
  <c r="M164" i="35" s="1"/>
  <c r="F164" i="36"/>
  <c r="H160" i="35"/>
  <c r="F139" i="36"/>
  <c r="I139" i="35"/>
  <c r="M139" i="35" s="1"/>
  <c r="I130" i="35"/>
  <c r="M130" i="35" s="1"/>
  <c r="F130" i="36"/>
  <c r="K259" i="46"/>
  <c r="H259" i="47"/>
  <c r="F274" i="36"/>
  <c r="I274" i="35"/>
  <c r="M274" i="35" s="1"/>
  <c r="I250" i="35"/>
  <c r="M250" i="35" s="1"/>
  <c r="F250" i="36"/>
  <c r="N191" i="34"/>
  <c r="I190" i="35"/>
  <c r="M190" i="35" s="1"/>
  <c r="F190" i="36"/>
  <c r="H178" i="35"/>
  <c r="H155" i="35"/>
  <c r="F271" i="36"/>
  <c r="I271" i="35"/>
  <c r="M271" i="35" s="1"/>
  <c r="I244" i="35"/>
  <c r="M244" i="35" s="1"/>
  <c r="F244" i="36"/>
  <c r="I242" i="35"/>
  <c r="M242" i="35" s="1"/>
  <c r="F242" i="36"/>
  <c r="F232" i="36"/>
  <c r="I232" i="35"/>
  <c r="M232" i="35" s="1"/>
  <c r="F230" i="36"/>
  <c r="I230" i="35"/>
  <c r="M230" i="35" s="1"/>
  <c r="I217" i="35"/>
  <c r="M217" i="35" s="1"/>
  <c r="F217" i="36"/>
  <c r="F213" i="36"/>
  <c r="I213" i="35"/>
  <c r="M213" i="35" s="1"/>
  <c r="I201" i="35"/>
  <c r="M201" i="35" s="1"/>
  <c r="F201" i="36"/>
  <c r="I182" i="35"/>
  <c r="M182" i="35" s="1"/>
  <c r="F182" i="36"/>
  <c r="H167" i="35"/>
  <c r="H164" i="35"/>
  <c r="H162" i="35"/>
  <c r="H151" i="35"/>
  <c r="H145" i="35"/>
  <c r="I142" i="35"/>
  <c r="M142" i="35" s="1"/>
  <c r="F142" i="36"/>
  <c r="H138" i="35"/>
  <c r="H136" i="35"/>
  <c r="H134" i="35"/>
  <c r="H132" i="35"/>
  <c r="H130" i="35"/>
  <c r="H126" i="35"/>
  <c r="I123" i="35"/>
  <c r="M123" i="35" s="1"/>
  <c r="F123" i="36"/>
  <c r="H290" i="35"/>
  <c r="H275" i="35"/>
  <c r="F265" i="36"/>
  <c r="I265" i="35"/>
  <c r="M265" i="35" s="1"/>
  <c r="H261" i="35"/>
  <c r="H252" i="35"/>
  <c r="H249" i="35"/>
  <c r="H211" i="35"/>
  <c r="H206" i="35"/>
  <c r="I198" i="35"/>
  <c r="M198" i="35" s="1"/>
  <c r="F198" i="36"/>
  <c r="H194" i="35"/>
  <c r="H190" i="35"/>
  <c r="H185" i="35"/>
  <c r="H161" i="35"/>
  <c r="I151" i="35"/>
  <c r="M151" i="35" s="1"/>
  <c r="F151" i="36"/>
  <c r="I138" i="35"/>
  <c r="M138" i="35" s="1"/>
  <c r="F138" i="36"/>
  <c r="I134" i="35"/>
  <c r="M134" i="35" s="1"/>
  <c r="F134" i="36"/>
  <c r="I129" i="35"/>
  <c r="M129" i="35" s="1"/>
  <c r="F129" i="36"/>
  <c r="F289" i="36"/>
  <c r="I289" i="35"/>
  <c r="M289" i="35" s="1"/>
  <c r="I273" i="35"/>
  <c r="M273" i="35" s="1"/>
  <c r="F273" i="36"/>
  <c r="I225" i="35"/>
  <c r="M225" i="35" s="1"/>
  <c r="F225" i="36"/>
  <c r="I218" i="35"/>
  <c r="M218" i="35" s="1"/>
  <c r="F218" i="36"/>
  <c r="C212" i="36"/>
  <c r="I212" i="35"/>
  <c r="M212" i="35" s="1"/>
  <c r="H189" i="35"/>
  <c r="H184" i="35"/>
  <c r="H175" i="35"/>
  <c r="H148" i="35"/>
  <c r="H144" i="35"/>
  <c r="G233" i="35"/>
  <c r="G233" i="36" s="1"/>
  <c r="G233" i="37" s="1"/>
  <c r="G233" i="38" s="1"/>
  <c r="G233" i="39" s="1"/>
  <c r="G233" i="40" s="1"/>
  <c r="G233" i="41" s="1"/>
  <c r="G233" i="42" s="1"/>
  <c r="G233" i="43" s="1"/>
  <c r="G233" i="44" s="1"/>
  <c r="G233" i="45" s="1"/>
  <c r="G233" i="46" s="1"/>
  <c r="G233" i="47" s="1"/>
  <c r="G233" i="48" s="1"/>
  <c r="N233" i="34"/>
  <c r="G208" i="35"/>
  <c r="G208" i="36" s="1"/>
  <c r="G208" i="37" s="1"/>
  <c r="G208" i="38" s="1"/>
  <c r="G208" i="39" s="1"/>
  <c r="G208" i="40" s="1"/>
  <c r="G208" i="41" s="1"/>
  <c r="G208" i="42" s="1"/>
  <c r="G208" i="43" s="1"/>
  <c r="G208" i="44" s="1"/>
  <c r="G208" i="45" s="1"/>
  <c r="G208" i="46" s="1"/>
  <c r="G208" i="47" s="1"/>
  <c r="G208" i="48" s="1"/>
  <c r="N208" i="34"/>
  <c r="G273" i="35"/>
  <c r="G273" i="36" s="1"/>
  <c r="G273" i="37" s="1"/>
  <c r="G273" i="38" s="1"/>
  <c r="G273" i="39" s="1"/>
  <c r="G273" i="40" s="1"/>
  <c r="G273" i="41" s="1"/>
  <c r="G273" i="42" s="1"/>
  <c r="G273" i="43" s="1"/>
  <c r="G273" i="44" s="1"/>
  <c r="G273" i="45" s="1"/>
  <c r="G273" i="46" s="1"/>
  <c r="G273" i="47" s="1"/>
  <c r="G273" i="48" s="1"/>
  <c r="N273" i="34"/>
  <c r="G140" i="35"/>
  <c r="G140" i="36" s="1"/>
  <c r="G140" i="37" s="1"/>
  <c r="G140" i="38" s="1"/>
  <c r="G140" i="39" s="1"/>
  <c r="G140" i="40" s="1"/>
  <c r="G140" i="41" s="1"/>
  <c r="G140" i="42" s="1"/>
  <c r="G140" i="43" s="1"/>
  <c r="G140" i="44" s="1"/>
  <c r="G140" i="45" s="1"/>
  <c r="G140" i="46" s="1"/>
  <c r="G140" i="47" s="1"/>
  <c r="G140" i="48" s="1"/>
  <c r="N140" i="34"/>
  <c r="G279" i="35"/>
  <c r="G279" i="36" s="1"/>
  <c r="G279" i="37" s="1"/>
  <c r="G279" i="38" s="1"/>
  <c r="G279" i="39" s="1"/>
  <c r="G279" i="40" s="1"/>
  <c r="G279" i="41" s="1"/>
  <c r="G279" i="42" s="1"/>
  <c r="G279" i="43" s="1"/>
  <c r="G279" i="44" s="1"/>
  <c r="G279" i="45" s="1"/>
  <c r="G279" i="46" s="1"/>
  <c r="G279" i="47" s="1"/>
  <c r="G279" i="48" s="1"/>
  <c r="N279" i="34"/>
  <c r="G211" i="35"/>
  <c r="G211" i="36" s="1"/>
  <c r="G211" i="37" s="1"/>
  <c r="G211" i="38" s="1"/>
  <c r="G211" i="39" s="1"/>
  <c r="G211" i="40" s="1"/>
  <c r="G211" i="41" s="1"/>
  <c r="G211" i="42" s="1"/>
  <c r="G211" i="43" s="1"/>
  <c r="G211" i="44" s="1"/>
  <c r="G211" i="45" s="1"/>
  <c r="G211" i="46" s="1"/>
  <c r="G211" i="47" s="1"/>
  <c r="G211" i="48" s="1"/>
  <c r="N211" i="34"/>
  <c r="G268" i="35"/>
  <c r="G268" i="36" s="1"/>
  <c r="G268" i="37" s="1"/>
  <c r="G268" i="38" s="1"/>
  <c r="G268" i="39" s="1"/>
  <c r="G268" i="40" s="1"/>
  <c r="G268" i="41" s="1"/>
  <c r="G268" i="42" s="1"/>
  <c r="G268" i="43" s="1"/>
  <c r="G268" i="44" s="1"/>
  <c r="G268" i="45" s="1"/>
  <c r="G268" i="46" s="1"/>
  <c r="G268" i="47" s="1"/>
  <c r="G268" i="48" s="1"/>
  <c r="N268" i="34"/>
  <c r="G207" i="35"/>
  <c r="G207" i="36" s="1"/>
  <c r="G207" i="37" s="1"/>
  <c r="G207" i="38" s="1"/>
  <c r="G207" i="39" s="1"/>
  <c r="G207" i="40" s="1"/>
  <c r="G207" i="41" s="1"/>
  <c r="G207" i="42" s="1"/>
  <c r="G207" i="43" s="1"/>
  <c r="G207" i="44" s="1"/>
  <c r="G207" i="45" s="1"/>
  <c r="G207" i="46" s="1"/>
  <c r="G207" i="47" s="1"/>
  <c r="G207" i="48" s="1"/>
  <c r="N207" i="34"/>
  <c r="F255" i="44"/>
  <c r="I255" i="43"/>
  <c r="M255" i="43" s="1"/>
  <c r="F288" i="36"/>
  <c r="I288" i="35"/>
  <c r="M288" i="35" s="1"/>
  <c r="H271" i="35"/>
  <c r="H244" i="35"/>
  <c r="H242" i="35"/>
  <c r="H240" i="35"/>
  <c r="H238" i="35"/>
  <c r="I234" i="35"/>
  <c r="M234" i="35" s="1"/>
  <c r="F234" i="36"/>
  <c r="H232" i="35"/>
  <c r="H230" i="35"/>
  <c r="F223" i="36"/>
  <c r="I223" i="35"/>
  <c r="M223" i="35" s="1"/>
  <c r="F221" i="36"/>
  <c r="I221" i="35"/>
  <c r="M221" i="35" s="1"/>
  <c r="H216" i="35"/>
  <c r="H214" i="35"/>
  <c r="H210" i="35"/>
  <c r="H202" i="35"/>
  <c r="H200" i="35"/>
  <c r="F154" i="36"/>
  <c r="I154" i="35"/>
  <c r="M154" i="35" s="1"/>
  <c r="F150" i="36"/>
  <c r="I150" i="35"/>
  <c r="M150" i="35" s="1"/>
  <c r="I124" i="35"/>
  <c r="M124" i="35" s="1"/>
  <c r="F124" i="36"/>
  <c r="I262" i="35"/>
  <c r="M262" i="35" s="1"/>
  <c r="F262" i="36"/>
  <c r="F257" i="36"/>
  <c r="I257" i="35"/>
  <c r="M257" i="35" s="1"/>
  <c r="F236" i="36"/>
  <c r="I236" i="35"/>
  <c r="M236" i="35" s="1"/>
  <c r="I226" i="35"/>
  <c r="M226" i="35" s="1"/>
  <c r="F226" i="36"/>
  <c r="H191" i="35"/>
  <c r="I167" i="35"/>
  <c r="M167" i="35" s="1"/>
  <c r="F167" i="36"/>
  <c r="I162" i="35"/>
  <c r="M162" i="35" s="1"/>
  <c r="F162" i="36"/>
  <c r="I152" i="35"/>
  <c r="M152" i="35" s="1"/>
  <c r="F152" i="36"/>
  <c r="M126" i="34"/>
  <c r="I290" i="35"/>
  <c r="M290" i="35" s="1"/>
  <c r="F290" i="36"/>
  <c r="H286" i="35"/>
  <c r="H277" i="35"/>
  <c r="F260" i="36"/>
  <c r="I260" i="35"/>
  <c r="M260" i="35" s="1"/>
  <c r="H234" i="35"/>
  <c r="H221" i="35"/>
  <c r="F211" i="36"/>
  <c r="I211" i="35"/>
  <c r="M211" i="35" s="1"/>
  <c r="H205" i="35"/>
  <c r="M191" i="34"/>
  <c r="F185" i="36"/>
  <c r="I185" i="35"/>
  <c r="M185" i="35" s="1"/>
  <c r="H153" i="35"/>
  <c r="H150" i="35"/>
  <c r="H147" i="35"/>
  <c r="H143" i="35"/>
  <c r="I127" i="35"/>
  <c r="M127" i="35" s="1"/>
  <c r="F127" i="36"/>
  <c r="F284" i="36"/>
  <c r="I284" i="35"/>
  <c r="M284" i="35" s="1"/>
  <c r="F282" i="36"/>
  <c r="I282" i="35"/>
  <c r="M282" i="35" s="1"/>
  <c r="H269" i="35"/>
  <c r="F266" i="36"/>
  <c r="I266" i="35"/>
  <c r="M266" i="35" s="1"/>
  <c r="H264" i="35"/>
  <c r="H262" i="35"/>
  <c r="H256" i="35"/>
  <c r="H254" i="35"/>
  <c r="I246" i="35"/>
  <c r="M246" i="35" s="1"/>
  <c r="F246" i="36"/>
  <c r="F240" i="36"/>
  <c r="I240" i="35"/>
  <c r="M240" i="35" s="1"/>
  <c r="F238" i="36"/>
  <c r="I238" i="35"/>
  <c r="M238" i="35" s="1"/>
  <c r="H228" i="35"/>
  <c r="H226" i="35"/>
  <c r="F215" i="36"/>
  <c r="I215" i="35"/>
  <c r="M215" i="35" s="1"/>
  <c r="F210" i="36"/>
  <c r="I210" i="35"/>
  <c r="M210" i="35" s="1"/>
  <c r="H209" i="35"/>
  <c r="F203" i="36"/>
  <c r="I203" i="35"/>
  <c r="M203" i="35" s="1"/>
  <c r="H199" i="35"/>
  <c r="H197" i="35"/>
  <c r="H195" i="35"/>
  <c r="F187" i="36"/>
  <c r="I187" i="35"/>
  <c r="M187" i="35" s="1"/>
  <c r="H180" i="35"/>
  <c r="F173" i="36"/>
  <c r="I173" i="35"/>
  <c r="M173" i="35" s="1"/>
  <c r="F171" i="36"/>
  <c r="I171" i="35"/>
  <c r="M171" i="35" s="1"/>
  <c r="I141" i="35"/>
  <c r="M141" i="35" s="1"/>
  <c r="F141" i="36"/>
  <c r="I125" i="35"/>
  <c r="M125" i="35" s="1"/>
  <c r="F125" i="36"/>
  <c r="I120" i="35"/>
  <c r="M120" i="35" s="1"/>
  <c r="F120" i="36"/>
  <c r="I118" i="35"/>
  <c r="M118" i="35" s="1"/>
  <c r="F118" i="36"/>
  <c r="F281" i="36"/>
  <c r="I281" i="35"/>
  <c r="M281" i="35" s="1"/>
  <c r="F268" i="36"/>
  <c r="I268" i="35"/>
  <c r="M268" i="35" s="1"/>
  <c r="F263" i="36"/>
  <c r="I263" i="35"/>
  <c r="M263" i="35" s="1"/>
  <c r="F229" i="36"/>
  <c r="I229" i="35"/>
  <c r="M229" i="35" s="1"/>
  <c r="H224" i="35"/>
  <c r="H218" i="35"/>
  <c r="I209" i="35"/>
  <c r="M209" i="35" s="1"/>
  <c r="F209" i="36"/>
  <c r="I196" i="35"/>
  <c r="M196" i="35" s="1"/>
  <c r="F196" i="36"/>
  <c r="F163" i="36"/>
  <c r="I163" i="35"/>
  <c r="M163" i="35" s="1"/>
  <c r="I136" i="35"/>
  <c r="M136" i="35" s="1"/>
  <c r="F136" i="36"/>
  <c r="H285" i="35"/>
  <c r="H278" i="35"/>
  <c r="I258" i="35"/>
  <c r="M258" i="35" s="1"/>
  <c r="F258" i="36"/>
  <c r="F249" i="36"/>
  <c r="I249" i="35"/>
  <c r="M249" i="35" s="1"/>
  <c r="H237" i="35"/>
  <c r="H233" i="35"/>
  <c r="H222" i="35"/>
  <c r="I166" i="35"/>
  <c r="M166" i="35" s="1"/>
  <c r="F166" i="36"/>
  <c r="I156" i="35"/>
  <c r="M156" i="35" s="1"/>
  <c r="F156" i="36"/>
  <c r="G206" i="35"/>
  <c r="G206" i="36" s="1"/>
  <c r="G206" i="37" s="1"/>
  <c r="G206" i="38" s="1"/>
  <c r="G206" i="39" s="1"/>
  <c r="G206" i="40" s="1"/>
  <c r="G206" i="41" s="1"/>
  <c r="G206" i="42" s="1"/>
  <c r="G206" i="43" s="1"/>
  <c r="G206" i="44" s="1"/>
  <c r="G206" i="45" s="1"/>
  <c r="G206" i="46" s="1"/>
  <c r="G206" i="47" s="1"/>
  <c r="G206" i="48" s="1"/>
  <c r="N206" i="34"/>
  <c r="G159" i="35"/>
  <c r="G159" i="36" s="1"/>
  <c r="G159" i="37" s="1"/>
  <c r="G159" i="38" s="1"/>
  <c r="G159" i="39" s="1"/>
  <c r="G159" i="40" s="1"/>
  <c r="G159" i="41" s="1"/>
  <c r="G159" i="42" s="1"/>
  <c r="G159" i="43" s="1"/>
  <c r="G159" i="44" s="1"/>
  <c r="G159" i="45" s="1"/>
  <c r="G159" i="46" s="1"/>
  <c r="G159" i="47" s="1"/>
  <c r="G159" i="48" s="1"/>
  <c r="N159" i="34"/>
  <c r="G246" i="35"/>
  <c r="G246" i="36" s="1"/>
  <c r="G246" i="37" s="1"/>
  <c r="G246" i="38" s="1"/>
  <c r="G246" i="39" s="1"/>
  <c r="G246" i="40" s="1"/>
  <c r="G246" i="41" s="1"/>
  <c r="G246" i="42" s="1"/>
  <c r="G246" i="43" s="1"/>
  <c r="G246" i="44" s="1"/>
  <c r="G246" i="45" s="1"/>
  <c r="G246" i="46" s="1"/>
  <c r="G246" i="47" s="1"/>
  <c r="G246" i="48" s="1"/>
  <c r="N246" i="34"/>
  <c r="G200" i="35"/>
  <c r="G200" i="36" s="1"/>
  <c r="G200" i="37" s="1"/>
  <c r="G200" i="38" s="1"/>
  <c r="G200" i="39" s="1"/>
  <c r="G200" i="40" s="1"/>
  <c r="G200" i="41" s="1"/>
  <c r="G200" i="42" s="1"/>
  <c r="G200" i="43" s="1"/>
  <c r="G200" i="44" s="1"/>
  <c r="G200" i="45" s="1"/>
  <c r="G200" i="46" s="1"/>
  <c r="G200" i="47" s="1"/>
  <c r="G200" i="48" s="1"/>
  <c r="N200" i="34"/>
  <c r="G247" i="35"/>
  <c r="G247" i="36" s="1"/>
  <c r="G247" i="37" s="1"/>
  <c r="G247" i="38" s="1"/>
  <c r="G247" i="39" s="1"/>
  <c r="G247" i="40" s="1"/>
  <c r="G247" i="41" s="1"/>
  <c r="G247" i="42" s="1"/>
  <c r="G247" i="43" s="1"/>
  <c r="G247" i="44" s="1"/>
  <c r="G247" i="45" s="1"/>
  <c r="G247" i="46" s="1"/>
  <c r="G247" i="47" s="1"/>
  <c r="G247" i="48" s="1"/>
  <c r="N247" i="34"/>
  <c r="G151" i="35"/>
  <c r="G151" i="36" s="1"/>
  <c r="G151" i="37" s="1"/>
  <c r="G151" i="38" s="1"/>
  <c r="G151" i="39" s="1"/>
  <c r="G151" i="40" s="1"/>
  <c r="G151" i="41" s="1"/>
  <c r="G151" i="42" s="1"/>
  <c r="G151" i="43" s="1"/>
  <c r="G151" i="44" s="1"/>
  <c r="G151" i="45" s="1"/>
  <c r="G151" i="46" s="1"/>
  <c r="G151" i="47" s="1"/>
  <c r="G151" i="48" s="1"/>
  <c r="N151" i="34"/>
  <c r="G266" i="35"/>
  <c r="G266" i="36" s="1"/>
  <c r="G266" i="37" s="1"/>
  <c r="G266" i="38" s="1"/>
  <c r="G266" i="39" s="1"/>
  <c r="G266" i="40" s="1"/>
  <c r="G266" i="41" s="1"/>
  <c r="G266" i="42" s="1"/>
  <c r="G266" i="43" s="1"/>
  <c r="G266" i="44" s="1"/>
  <c r="G266" i="45" s="1"/>
  <c r="G266" i="46" s="1"/>
  <c r="G266" i="47" s="1"/>
  <c r="G266" i="48" s="1"/>
  <c r="N266" i="34"/>
  <c r="G195" i="35"/>
  <c r="G195" i="36" s="1"/>
  <c r="G195" i="37" s="1"/>
  <c r="G195" i="38" s="1"/>
  <c r="G195" i="39" s="1"/>
  <c r="G195" i="40" s="1"/>
  <c r="G195" i="41" s="1"/>
  <c r="G195" i="42" s="1"/>
  <c r="G195" i="43" s="1"/>
  <c r="G195" i="44" s="1"/>
  <c r="G195" i="45" s="1"/>
  <c r="G195" i="46" s="1"/>
  <c r="G195" i="47" s="1"/>
  <c r="G195" i="48" s="1"/>
  <c r="N195" i="34"/>
  <c r="G157" i="35"/>
  <c r="G157" i="36" s="1"/>
  <c r="G157" i="37" s="1"/>
  <c r="G157" i="38" s="1"/>
  <c r="G157" i="39" s="1"/>
  <c r="G157" i="40" s="1"/>
  <c r="G157" i="41" s="1"/>
  <c r="G157" i="42" s="1"/>
  <c r="G157" i="43" s="1"/>
  <c r="G157" i="44" s="1"/>
  <c r="G157" i="45" s="1"/>
  <c r="G157" i="46" s="1"/>
  <c r="G157" i="47" s="1"/>
  <c r="G157" i="48" s="1"/>
  <c r="N157" i="34"/>
  <c r="G276" i="35"/>
  <c r="G276" i="36" s="1"/>
  <c r="G276" i="37" s="1"/>
  <c r="G276" i="38" s="1"/>
  <c r="G276" i="39" s="1"/>
  <c r="G276" i="40" s="1"/>
  <c r="G276" i="41" s="1"/>
  <c r="G276" i="42" s="1"/>
  <c r="G276" i="43" s="1"/>
  <c r="G276" i="44" s="1"/>
  <c r="G276" i="45" s="1"/>
  <c r="G276" i="46" s="1"/>
  <c r="G276" i="47" s="1"/>
  <c r="G276" i="48" s="1"/>
  <c r="N276" i="34"/>
  <c r="I287" i="35"/>
  <c r="M287" i="35" s="1"/>
  <c r="F287" i="36"/>
  <c r="C278" i="36"/>
  <c r="I278" i="35"/>
  <c r="M278" i="35" s="1"/>
  <c r="H266" i="35"/>
  <c r="H246" i="35"/>
  <c r="H243" i="35"/>
  <c r="H239" i="35"/>
  <c r="I235" i="35"/>
  <c r="M235" i="35" s="1"/>
  <c r="F235" i="36"/>
  <c r="H231" i="35"/>
  <c r="H215" i="35"/>
  <c r="I205" i="35"/>
  <c r="M205" i="35" s="1"/>
  <c r="F205" i="36"/>
  <c r="H201" i="35"/>
  <c r="F149" i="36"/>
  <c r="I149" i="35"/>
  <c r="M149" i="35" s="1"/>
  <c r="F269" i="36"/>
  <c r="I269" i="35"/>
  <c r="M269" i="35" s="1"/>
  <c r="F195" i="36"/>
  <c r="I195" i="35"/>
  <c r="M195" i="35" s="1"/>
  <c r="H177" i="35"/>
  <c r="I145" i="35"/>
  <c r="M145" i="35" s="1"/>
  <c r="F145" i="36"/>
  <c r="H288" i="35"/>
  <c r="F275" i="36"/>
  <c r="I275" i="35"/>
  <c r="M275" i="35" s="1"/>
  <c r="F267" i="36"/>
  <c r="I267" i="35"/>
  <c r="M267" i="35" s="1"/>
  <c r="F224" i="36"/>
  <c r="I224" i="35"/>
  <c r="M224" i="35" s="1"/>
  <c r="F194" i="36"/>
  <c r="I194" i="35"/>
  <c r="M194" i="35" s="1"/>
  <c r="H131" i="35"/>
  <c r="H124" i="35"/>
  <c r="H265" i="35"/>
  <c r="H255" i="35"/>
  <c r="H229" i="35"/>
  <c r="F214" i="36"/>
  <c r="I214" i="35"/>
  <c r="M214" i="35" s="1"/>
  <c r="H212" i="35"/>
  <c r="H207" i="35"/>
  <c r="H198" i="35"/>
  <c r="F186" i="36"/>
  <c r="I186" i="35"/>
  <c r="M186" i="35" s="1"/>
  <c r="H170" i="35"/>
  <c r="F119" i="36"/>
  <c r="I119" i="35"/>
  <c r="M119" i="35" s="1"/>
  <c r="I256" i="35"/>
  <c r="M256" i="35" s="1"/>
  <c r="F256" i="36"/>
  <c r="H220" i="35"/>
  <c r="F165" i="36"/>
  <c r="I165" i="35"/>
  <c r="M165" i="35" s="1"/>
  <c r="G272" i="35"/>
  <c r="G272" i="36" s="1"/>
  <c r="G272" i="37" s="1"/>
  <c r="G272" i="38" s="1"/>
  <c r="G272" i="39" s="1"/>
  <c r="G272" i="40" s="1"/>
  <c r="G272" i="41" s="1"/>
  <c r="G272" i="42" s="1"/>
  <c r="G272" i="43" s="1"/>
  <c r="G272" i="44" s="1"/>
  <c r="G272" i="45" s="1"/>
  <c r="G272" i="46" s="1"/>
  <c r="G272" i="47" s="1"/>
  <c r="G272" i="48" s="1"/>
  <c r="N272" i="34"/>
  <c r="G210" i="35"/>
  <c r="G210" i="36" s="1"/>
  <c r="G210" i="37" s="1"/>
  <c r="G210" i="38" s="1"/>
  <c r="G210" i="39" s="1"/>
  <c r="G210" i="40" s="1"/>
  <c r="G210" i="41" s="1"/>
  <c r="G210" i="42" s="1"/>
  <c r="G210" i="43" s="1"/>
  <c r="G210" i="44" s="1"/>
  <c r="G210" i="45" s="1"/>
  <c r="G210" i="46" s="1"/>
  <c r="G210" i="47" s="1"/>
  <c r="G210" i="48" s="1"/>
  <c r="N210" i="34"/>
  <c r="G184" i="35"/>
  <c r="G184" i="36" s="1"/>
  <c r="G184" i="37" s="1"/>
  <c r="G184" i="38" s="1"/>
  <c r="G184" i="39" s="1"/>
  <c r="G184" i="40" s="1"/>
  <c r="G184" i="41" s="1"/>
  <c r="G184" i="42" s="1"/>
  <c r="G184" i="43" s="1"/>
  <c r="G184" i="44" s="1"/>
  <c r="G184" i="45" s="1"/>
  <c r="G184" i="46" s="1"/>
  <c r="G184" i="47" s="1"/>
  <c r="G184" i="48" s="1"/>
  <c r="N184" i="34"/>
  <c r="G224" i="35"/>
  <c r="G224" i="36" s="1"/>
  <c r="G224" i="37" s="1"/>
  <c r="G224" i="38" s="1"/>
  <c r="G224" i="39" s="1"/>
  <c r="G224" i="40" s="1"/>
  <c r="G224" i="41" s="1"/>
  <c r="G224" i="42" s="1"/>
  <c r="G224" i="43" s="1"/>
  <c r="G224" i="44" s="1"/>
  <c r="G224" i="45" s="1"/>
  <c r="G224" i="46" s="1"/>
  <c r="G224" i="47" s="1"/>
  <c r="G224" i="48" s="1"/>
  <c r="N224" i="34"/>
  <c r="G180" i="35"/>
  <c r="G180" i="36" s="1"/>
  <c r="G180" i="37" s="1"/>
  <c r="G180" i="38" s="1"/>
  <c r="G180" i="39" s="1"/>
  <c r="G180" i="40" s="1"/>
  <c r="G180" i="41" s="1"/>
  <c r="G180" i="42" s="1"/>
  <c r="G180" i="43" s="1"/>
  <c r="G180" i="44" s="1"/>
  <c r="G180" i="45" s="1"/>
  <c r="G180" i="46" s="1"/>
  <c r="G180" i="47" s="1"/>
  <c r="G180" i="48" s="1"/>
  <c r="N180" i="34"/>
  <c r="G282" i="35"/>
  <c r="G282" i="36" s="1"/>
  <c r="G282" i="37" s="1"/>
  <c r="G282" i="38" s="1"/>
  <c r="G282" i="39" s="1"/>
  <c r="G282" i="40" s="1"/>
  <c r="G282" i="41" s="1"/>
  <c r="G282" i="42" s="1"/>
  <c r="G282" i="43" s="1"/>
  <c r="G282" i="44" s="1"/>
  <c r="G282" i="45" s="1"/>
  <c r="G282" i="46" s="1"/>
  <c r="G282" i="47" s="1"/>
  <c r="G282" i="48" s="1"/>
  <c r="N282" i="34"/>
  <c r="G255" i="35"/>
  <c r="G255" i="36" s="1"/>
  <c r="G255" i="37" s="1"/>
  <c r="G255" i="38" s="1"/>
  <c r="G255" i="39" s="1"/>
  <c r="G255" i="40" s="1"/>
  <c r="G255" i="41" s="1"/>
  <c r="G255" i="42" s="1"/>
  <c r="G255" i="43" s="1"/>
  <c r="G255" i="44" s="1"/>
  <c r="G255" i="45" s="1"/>
  <c r="G255" i="46" s="1"/>
  <c r="G255" i="47" s="1"/>
  <c r="G255" i="48" s="1"/>
  <c r="N255" i="34"/>
  <c r="G181" i="35"/>
  <c r="G181" i="36" s="1"/>
  <c r="G181" i="37" s="1"/>
  <c r="G181" i="38" s="1"/>
  <c r="G181" i="39" s="1"/>
  <c r="G181" i="40" s="1"/>
  <c r="G181" i="41" s="1"/>
  <c r="G181" i="42" s="1"/>
  <c r="G181" i="43" s="1"/>
  <c r="G181" i="44" s="1"/>
  <c r="G181" i="45" s="1"/>
  <c r="G181" i="46" s="1"/>
  <c r="G181" i="47" s="1"/>
  <c r="G181" i="48" s="1"/>
  <c r="N181" i="34"/>
  <c r="H283" i="35"/>
  <c r="F277" i="36"/>
  <c r="I277" i="35"/>
  <c r="M277" i="35" s="1"/>
  <c r="H157" i="35"/>
  <c r="G138" i="35"/>
  <c r="G138" i="36" s="1"/>
  <c r="G138" i="37" s="1"/>
  <c r="G138" i="38" s="1"/>
  <c r="G138" i="39" s="1"/>
  <c r="G138" i="40" s="1"/>
  <c r="G138" i="41" s="1"/>
  <c r="G138" i="42" s="1"/>
  <c r="G138" i="43" s="1"/>
  <c r="G138" i="44" s="1"/>
  <c r="G138" i="45" s="1"/>
  <c r="G138" i="46" s="1"/>
  <c r="G138" i="47" s="1"/>
  <c r="G138" i="48" s="1"/>
  <c r="N138" i="34"/>
  <c r="G289" i="35"/>
  <c r="G289" i="36" s="1"/>
  <c r="G289" i="37" s="1"/>
  <c r="G289" i="38" s="1"/>
  <c r="G289" i="39" s="1"/>
  <c r="G289" i="40" s="1"/>
  <c r="G289" i="41" s="1"/>
  <c r="G289" i="42" s="1"/>
  <c r="G289" i="43" s="1"/>
  <c r="G289" i="44" s="1"/>
  <c r="G289" i="45" s="1"/>
  <c r="G289" i="46" s="1"/>
  <c r="G289" i="47" s="1"/>
  <c r="G289" i="48" s="1"/>
  <c r="N289" i="34"/>
  <c r="G262" i="35"/>
  <c r="G262" i="36" s="1"/>
  <c r="G262" i="37" s="1"/>
  <c r="G262" i="38" s="1"/>
  <c r="G262" i="39" s="1"/>
  <c r="G262" i="40" s="1"/>
  <c r="G262" i="41" s="1"/>
  <c r="G262" i="42" s="1"/>
  <c r="G262" i="43" s="1"/>
  <c r="G262" i="44" s="1"/>
  <c r="G262" i="45" s="1"/>
  <c r="G262" i="46" s="1"/>
  <c r="G262" i="47" s="1"/>
  <c r="G262" i="48" s="1"/>
  <c r="N262" i="34"/>
  <c r="G156" i="35"/>
  <c r="G156" i="36" s="1"/>
  <c r="G156" i="37" s="1"/>
  <c r="G156" i="38" s="1"/>
  <c r="G156" i="39" s="1"/>
  <c r="G156" i="40" s="1"/>
  <c r="G156" i="41" s="1"/>
  <c r="G156" i="42" s="1"/>
  <c r="G156" i="43" s="1"/>
  <c r="G156" i="44" s="1"/>
  <c r="G156" i="45" s="1"/>
  <c r="G156" i="46" s="1"/>
  <c r="G156" i="47" s="1"/>
  <c r="G156" i="48" s="1"/>
  <c r="N156" i="34"/>
  <c r="G124" i="35"/>
  <c r="G124" i="36" s="1"/>
  <c r="G124" i="37" s="1"/>
  <c r="G124" i="38" s="1"/>
  <c r="G124" i="39" s="1"/>
  <c r="G124" i="40" s="1"/>
  <c r="G124" i="41" s="1"/>
  <c r="G124" i="42" s="1"/>
  <c r="G124" i="43" s="1"/>
  <c r="G124" i="44" s="1"/>
  <c r="G124" i="45" s="1"/>
  <c r="G124" i="46" s="1"/>
  <c r="G124" i="47" s="1"/>
  <c r="G124" i="48" s="1"/>
  <c r="N124" i="34"/>
  <c r="G162" i="35"/>
  <c r="G162" i="36" s="1"/>
  <c r="G162" i="37" s="1"/>
  <c r="G162" i="38" s="1"/>
  <c r="G162" i="39" s="1"/>
  <c r="G162" i="40" s="1"/>
  <c r="G162" i="41" s="1"/>
  <c r="G162" i="42" s="1"/>
  <c r="G162" i="43" s="1"/>
  <c r="G162" i="44" s="1"/>
  <c r="G162" i="45" s="1"/>
  <c r="G162" i="46" s="1"/>
  <c r="G162" i="47" s="1"/>
  <c r="G162" i="48" s="1"/>
  <c r="N162" i="34"/>
  <c r="G171" i="35"/>
  <c r="G171" i="36" s="1"/>
  <c r="G171" i="37" s="1"/>
  <c r="G171" i="38" s="1"/>
  <c r="G171" i="39" s="1"/>
  <c r="G171" i="40" s="1"/>
  <c r="G171" i="41" s="1"/>
  <c r="G171" i="42" s="1"/>
  <c r="G171" i="43" s="1"/>
  <c r="G171" i="44" s="1"/>
  <c r="G171" i="45" s="1"/>
  <c r="G171" i="46" s="1"/>
  <c r="G171" i="47" s="1"/>
  <c r="G171" i="48" s="1"/>
  <c r="N171" i="34"/>
  <c r="I259" i="47"/>
  <c r="M259" i="47" s="1"/>
  <c r="F259" i="48"/>
  <c r="I259" i="48" s="1"/>
  <c r="I286" i="35"/>
  <c r="M286" i="35" s="1"/>
  <c r="F286" i="36"/>
  <c r="H284" i="35"/>
  <c r="H282" i="35"/>
  <c r="M278" i="34"/>
  <c r="I272" i="35"/>
  <c r="M272" i="35" s="1"/>
  <c r="F272" i="36"/>
  <c r="I233" i="35"/>
  <c r="M233" i="35" s="1"/>
  <c r="F233" i="36"/>
  <c r="F189" i="36"/>
  <c r="I189" i="35"/>
  <c r="M189" i="35" s="1"/>
  <c r="H187" i="35"/>
  <c r="H183" i="35"/>
  <c r="H181" i="35"/>
  <c r="H174" i="35"/>
  <c r="H172" i="35"/>
  <c r="H169" i="35"/>
  <c r="H158" i="35"/>
  <c r="I148" i="35"/>
  <c r="M148" i="35" s="1"/>
  <c r="F148" i="36"/>
  <c r="F144" i="36"/>
  <c r="I144" i="35"/>
  <c r="M144" i="35" s="1"/>
  <c r="H142" i="35"/>
  <c r="H140" i="35"/>
  <c r="H122" i="35"/>
  <c r="H120" i="35"/>
  <c r="H118" i="35"/>
  <c r="H289" i="35"/>
  <c r="H276" i="35"/>
  <c r="H267" i="35"/>
  <c r="H251" i="35"/>
  <c r="H219" i="35"/>
  <c r="I207" i="35"/>
  <c r="M207" i="35" s="1"/>
  <c r="F207" i="36"/>
  <c r="H137" i="35"/>
  <c r="I133" i="35"/>
  <c r="M133" i="35" s="1"/>
  <c r="F133" i="36"/>
  <c r="H127" i="35"/>
  <c r="I126" i="35"/>
  <c r="M126" i="35" s="1"/>
  <c r="C126" i="36"/>
  <c r="I292" i="35"/>
  <c r="M292" i="35" s="1"/>
  <c r="F292" i="36"/>
  <c r="I252" i="35"/>
  <c r="M252" i="35" s="1"/>
  <c r="F252" i="36"/>
  <c r="I248" i="35"/>
  <c r="M248" i="35" s="1"/>
  <c r="F248" i="36"/>
  <c r="F219" i="36"/>
  <c r="I219" i="35"/>
  <c r="M219" i="35" s="1"/>
  <c r="I191" i="35"/>
  <c r="M191" i="35" s="1"/>
  <c r="C191" i="36"/>
  <c r="F160" i="36"/>
  <c r="I160" i="35"/>
  <c r="M160" i="35" s="1"/>
  <c r="H154" i="35"/>
  <c r="I283" i="35"/>
  <c r="M283" i="35" s="1"/>
  <c r="F283" i="36"/>
  <c r="I270" i="35"/>
  <c r="M270" i="35" s="1"/>
  <c r="F270" i="36"/>
  <c r="I243" i="35"/>
  <c r="M243" i="35" s="1"/>
  <c r="F243" i="36"/>
  <c r="F241" i="36"/>
  <c r="I241" i="35"/>
  <c r="M241" i="35" s="1"/>
  <c r="I239" i="35"/>
  <c r="M239" i="35" s="1"/>
  <c r="F239" i="36"/>
  <c r="I231" i="35"/>
  <c r="M231" i="35" s="1"/>
  <c r="F231" i="36"/>
  <c r="F208" i="36"/>
  <c r="I208" i="35"/>
  <c r="M208" i="35" s="1"/>
  <c r="I181" i="35"/>
  <c r="M181" i="35" s="1"/>
  <c r="F181" i="36"/>
  <c r="F174" i="36"/>
  <c r="I174" i="35"/>
  <c r="M174" i="35" s="1"/>
  <c r="F172" i="36"/>
  <c r="I172" i="35"/>
  <c r="M172" i="35" s="1"/>
  <c r="H168" i="35"/>
  <c r="H165" i="35"/>
  <c r="H163" i="35"/>
  <c r="I158" i="35"/>
  <c r="M158" i="35" s="1"/>
  <c r="F158" i="36"/>
  <c r="H152" i="35"/>
  <c r="H146" i="35"/>
  <c r="H139" i="35"/>
  <c r="H135" i="35"/>
  <c r="H133" i="35"/>
  <c r="H129" i="35"/>
  <c r="F122" i="36"/>
  <c r="I122" i="35"/>
  <c r="M122" i="35" s="1"/>
  <c r="H291" i="35"/>
  <c r="H273" i="35"/>
  <c r="H258" i="35"/>
  <c r="F254" i="36"/>
  <c r="I254" i="35"/>
  <c r="M254" i="35" s="1"/>
  <c r="H250" i="35"/>
  <c r="H247" i="35"/>
  <c r="I227" i="35"/>
  <c r="M227" i="35" s="1"/>
  <c r="F227" i="36"/>
  <c r="H192" i="35"/>
  <c r="H179" i="35"/>
  <c r="I170" i="35"/>
  <c r="M170" i="35" s="1"/>
  <c r="F170" i="36"/>
  <c r="H166" i="35"/>
  <c r="H159" i="35"/>
  <c r="H156" i="35"/>
  <c r="F146" i="36"/>
  <c r="I146" i="35"/>
  <c r="M146" i="35" s="1"/>
  <c r="F132" i="36"/>
  <c r="I132" i="35"/>
  <c r="M132" i="35" s="1"/>
  <c r="F291" i="36"/>
  <c r="I291" i="35"/>
  <c r="M291" i="35" s="1"/>
  <c r="I276" i="35"/>
  <c r="M276" i="35" s="1"/>
  <c r="F276" i="36"/>
  <c r="F261" i="36"/>
  <c r="I261" i="35"/>
  <c r="M261" i="35" s="1"/>
  <c r="I251" i="35"/>
  <c r="M251" i="35" s="1"/>
  <c r="F251" i="36"/>
  <c r="I192" i="35"/>
  <c r="M192" i="35" s="1"/>
  <c r="F192" i="36"/>
  <c r="H188" i="35"/>
  <c r="F179" i="36"/>
  <c r="I179" i="35"/>
  <c r="M179" i="35" s="1"/>
  <c r="F161" i="36"/>
  <c r="I161" i="35"/>
  <c r="M161" i="35" s="1"/>
  <c r="I137" i="35"/>
  <c r="M137" i="35" s="1"/>
  <c r="F137" i="36"/>
  <c r="F245" i="36"/>
  <c r="I245" i="35"/>
  <c r="M245" i="35" s="1"/>
  <c r="G226" i="35"/>
  <c r="G226" i="36" s="1"/>
  <c r="G226" i="37" s="1"/>
  <c r="G226" i="38" s="1"/>
  <c r="G226" i="39" s="1"/>
  <c r="G226" i="40" s="1"/>
  <c r="G226" i="41" s="1"/>
  <c r="G226" i="42" s="1"/>
  <c r="G226" i="43" s="1"/>
  <c r="G226" i="44" s="1"/>
  <c r="G226" i="45" s="1"/>
  <c r="G226" i="46" s="1"/>
  <c r="G226" i="47" s="1"/>
  <c r="G226" i="48" s="1"/>
  <c r="N226" i="34"/>
  <c r="G185" i="35"/>
  <c r="G185" i="36" s="1"/>
  <c r="G185" i="37" s="1"/>
  <c r="G185" i="38" s="1"/>
  <c r="G185" i="39" s="1"/>
  <c r="G185" i="40" s="1"/>
  <c r="G185" i="41" s="1"/>
  <c r="G185" i="42" s="1"/>
  <c r="G185" i="43" s="1"/>
  <c r="G185" i="44" s="1"/>
  <c r="G185" i="45" s="1"/>
  <c r="G185" i="46" s="1"/>
  <c r="G185" i="47" s="1"/>
  <c r="G185" i="48" s="1"/>
  <c r="N185" i="34"/>
  <c r="G126" i="35"/>
  <c r="G126" i="36" s="1"/>
  <c r="G126" i="37" s="1"/>
  <c r="G126" i="38" s="1"/>
  <c r="G126" i="39" s="1"/>
  <c r="G126" i="40" s="1"/>
  <c r="G126" i="41" s="1"/>
  <c r="G126" i="42" s="1"/>
  <c r="G126" i="43" s="1"/>
  <c r="G126" i="44" s="1"/>
  <c r="G126" i="45" s="1"/>
  <c r="G126" i="46" s="1"/>
  <c r="G126" i="47" s="1"/>
  <c r="G126" i="48" s="1"/>
  <c r="G278" i="35"/>
  <c r="G278" i="36" s="1"/>
  <c r="G278" i="37" s="1"/>
  <c r="G278" i="38" s="1"/>
  <c r="G278" i="39" s="1"/>
  <c r="G278" i="40" s="1"/>
  <c r="G278" i="41" s="1"/>
  <c r="G278" i="42" s="1"/>
  <c r="G278" i="43" s="1"/>
  <c r="G278" i="44" s="1"/>
  <c r="G278" i="45" s="1"/>
  <c r="G278" i="46" s="1"/>
  <c r="G278" i="47" s="1"/>
  <c r="G278" i="48" s="1"/>
  <c r="G212" i="35"/>
  <c r="G212" i="36" s="1"/>
  <c r="G212" i="37" s="1"/>
  <c r="G212" i="38" s="1"/>
  <c r="G212" i="39" s="1"/>
  <c r="G212" i="40" s="1"/>
  <c r="G212" i="41" s="1"/>
  <c r="G212" i="42" s="1"/>
  <c r="G212" i="43" s="1"/>
  <c r="G212" i="44" s="1"/>
  <c r="G212" i="45" s="1"/>
  <c r="G212" i="46" s="1"/>
  <c r="G212" i="47" s="1"/>
  <c r="G212" i="48" s="1"/>
  <c r="G169" i="35"/>
  <c r="G169" i="36" s="1"/>
  <c r="G169" i="37" s="1"/>
  <c r="G169" i="38" s="1"/>
  <c r="G169" i="39" s="1"/>
  <c r="G169" i="40" s="1"/>
  <c r="G169" i="41" s="1"/>
  <c r="G169" i="42" s="1"/>
  <c r="G169" i="43" s="1"/>
  <c r="G169" i="44" s="1"/>
  <c r="G169" i="45" s="1"/>
  <c r="G169" i="46" s="1"/>
  <c r="G169" i="47" s="1"/>
  <c r="G169" i="48" s="1"/>
  <c r="N169" i="34" l="1"/>
  <c r="G125" i="35"/>
  <c r="G125" i="36" s="1"/>
  <c r="G125" i="37" s="1"/>
  <c r="G125" i="38" s="1"/>
  <c r="G125" i="39" s="1"/>
  <c r="G125" i="40" s="1"/>
  <c r="G125" i="41" s="1"/>
  <c r="G125" i="42" s="1"/>
  <c r="G125" i="43" s="1"/>
  <c r="G125" i="44" s="1"/>
  <c r="G125" i="45" s="1"/>
  <c r="G125" i="46" s="1"/>
  <c r="G125" i="47" s="1"/>
  <c r="G125" i="48" s="1"/>
  <c r="N125" i="34"/>
  <c r="G172" i="35"/>
  <c r="G172" i="36" s="1"/>
  <c r="G172" i="37" s="1"/>
  <c r="G172" i="38" s="1"/>
  <c r="G172" i="39" s="1"/>
  <c r="G172" i="40" s="1"/>
  <c r="G172" i="41" s="1"/>
  <c r="G172" i="42" s="1"/>
  <c r="G172" i="43" s="1"/>
  <c r="G172" i="44" s="1"/>
  <c r="G172" i="45" s="1"/>
  <c r="G172" i="46" s="1"/>
  <c r="G172" i="47" s="1"/>
  <c r="G172" i="48" s="1"/>
  <c r="N172" i="34"/>
  <c r="G225" i="35"/>
  <c r="G225" i="36" s="1"/>
  <c r="G225" i="37" s="1"/>
  <c r="G225" i="38" s="1"/>
  <c r="G225" i="39" s="1"/>
  <c r="G225" i="40" s="1"/>
  <c r="G225" i="41" s="1"/>
  <c r="G225" i="42" s="1"/>
  <c r="G225" i="43" s="1"/>
  <c r="G225" i="44" s="1"/>
  <c r="G225" i="45" s="1"/>
  <c r="G225" i="46" s="1"/>
  <c r="G225" i="47" s="1"/>
  <c r="G225" i="48" s="1"/>
  <c r="N225" i="34"/>
  <c r="G118" i="35"/>
  <c r="G118" i="36" s="1"/>
  <c r="G118" i="37" s="1"/>
  <c r="G118" i="38" s="1"/>
  <c r="G118" i="39" s="1"/>
  <c r="G118" i="40" s="1"/>
  <c r="G118" i="41" s="1"/>
  <c r="G118" i="42" s="1"/>
  <c r="G118" i="43" s="1"/>
  <c r="G118" i="44" s="1"/>
  <c r="G118" i="45" s="1"/>
  <c r="G118" i="46" s="1"/>
  <c r="G118" i="47" s="1"/>
  <c r="G118" i="48" s="1"/>
  <c r="N118" i="34"/>
  <c r="G217" i="35"/>
  <c r="G217" i="36" s="1"/>
  <c r="G217" i="37" s="1"/>
  <c r="G217" i="38" s="1"/>
  <c r="G217" i="39" s="1"/>
  <c r="G217" i="40" s="1"/>
  <c r="G217" i="41" s="1"/>
  <c r="G217" i="42" s="1"/>
  <c r="G217" i="43" s="1"/>
  <c r="G217" i="44" s="1"/>
  <c r="G217" i="45" s="1"/>
  <c r="G217" i="46" s="1"/>
  <c r="G217" i="47" s="1"/>
  <c r="G217" i="48" s="1"/>
  <c r="N217" i="34"/>
  <c r="G215" i="35"/>
  <c r="G215" i="36" s="1"/>
  <c r="G215" i="37" s="1"/>
  <c r="G215" i="38" s="1"/>
  <c r="G215" i="39" s="1"/>
  <c r="G215" i="40" s="1"/>
  <c r="G215" i="41" s="1"/>
  <c r="G215" i="42" s="1"/>
  <c r="G215" i="43" s="1"/>
  <c r="G215" i="44" s="1"/>
  <c r="G215" i="45" s="1"/>
  <c r="G215" i="46" s="1"/>
  <c r="G215" i="47" s="1"/>
  <c r="G215" i="48" s="1"/>
  <c r="N215" i="34"/>
  <c r="G163" i="35"/>
  <c r="G163" i="36" s="1"/>
  <c r="G163" i="37" s="1"/>
  <c r="G163" i="38" s="1"/>
  <c r="G163" i="39" s="1"/>
  <c r="G163" i="40" s="1"/>
  <c r="G163" i="41" s="1"/>
  <c r="G163" i="42" s="1"/>
  <c r="G163" i="43" s="1"/>
  <c r="G163" i="44" s="1"/>
  <c r="G163" i="45" s="1"/>
  <c r="G163" i="46" s="1"/>
  <c r="G163" i="47" s="1"/>
  <c r="G163" i="48" s="1"/>
  <c r="N163" i="34"/>
  <c r="G209" i="35"/>
  <c r="G209" i="36" s="1"/>
  <c r="G209" i="37" s="1"/>
  <c r="G209" i="38" s="1"/>
  <c r="G209" i="39" s="1"/>
  <c r="G209" i="40" s="1"/>
  <c r="G209" i="41" s="1"/>
  <c r="G209" i="42" s="1"/>
  <c r="G209" i="43" s="1"/>
  <c r="G209" i="44" s="1"/>
  <c r="G209" i="45" s="1"/>
  <c r="G209" i="46" s="1"/>
  <c r="G209" i="47" s="1"/>
  <c r="G209" i="48" s="1"/>
  <c r="N209" i="34"/>
  <c r="G274" i="35"/>
  <c r="G274" i="36" s="1"/>
  <c r="G274" i="37" s="1"/>
  <c r="G274" i="38" s="1"/>
  <c r="G274" i="39" s="1"/>
  <c r="G274" i="40" s="1"/>
  <c r="G274" i="41" s="1"/>
  <c r="G274" i="42" s="1"/>
  <c r="G274" i="43" s="1"/>
  <c r="G274" i="44" s="1"/>
  <c r="G274" i="45" s="1"/>
  <c r="G274" i="46" s="1"/>
  <c r="G274" i="47" s="1"/>
  <c r="G274" i="48" s="1"/>
  <c r="N274" i="34"/>
  <c r="G144" i="35"/>
  <c r="G144" i="36" s="1"/>
  <c r="G144" i="37" s="1"/>
  <c r="G144" i="38" s="1"/>
  <c r="G144" i="39" s="1"/>
  <c r="G144" i="40" s="1"/>
  <c r="G144" i="41" s="1"/>
  <c r="G144" i="42" s="1"/>
  <c r="G144" i="43" s="1"/>
  <c r="G144" i="44" s="1"/>
  <c r="G144" i="45" s="1"/>
  <c r="G144" i="46" s="1"/>
  <c r="G144" i="47" s="1"/>
  <c r="G144" i="48" s="1"/>
  <c r="N144" i="34"/>
  <c r="G168" i="35"/>
  <c r="G168" i="36" s="1"/>
  <c r="G168" i="37" s="1"/>
  <c r="G168" i="38" s="1"/>
  <c r="G168" i="39" s="1"/>
  <c r="G168" i="40" s="1"/>
  <c r="G168" i="41" s="1"/>
  <c r="G168" i="42" s="1"/>
  <c r="G168" i="43" s="1"/>
  <c r="G168" i="44" s="1"/>
  <c r="G168" i="45" s="1"/>
  <c r="G168" i="46" s="1"/>
  <c r="G168" i="47" s="1"/>
  <c r="G168" i="48" s="1"/>
  <c r="N168" i="34"/>
  <c r="G182" i="35"/>
  <c r="G182" i="36" s="1"/>
  <c r="G182" i="37" s="1"/>
  <c r="G182" i="38" s="1"/>
  <c r="G182" i="39" s="1"/>
  <c r="G182" i="40" s="1"/>
  <c r="G182" i="41" s="1"/>
  <c r="G182" i="42" s="1"/>
  <c r="G182" i="43" s="1"/>
  <c r="G182" i="44" s="1"/>
  <c r="G182" i="45" s="1"/>
  <c r="G182" i="46" s="1"/>
  <c r="G182" i="47" s="1"/>
  <c r="G182" i="48" s="1"/>
  <c r="N182" i="34"/>
  <c r="G160" i="35"/>
  <c r="G160" i="36" s="1"/>
  <c r="G160" i="37" s="1"/>
  <c r="G160" i="38" s="1"/>
  <c r="G160" i="39" s="1"/>
  <c r="G160" i="40" s="1"/>
  <c r="G160" i="41" s="1"/>
  <c r="G160" i="42" s="1"/>
  <c r="G160" i="43" s="1"/>
  <c r="G160" i="44" s="1"/>
  <c r="G160" i="45" s="1"/>
  <c r="G160" i="46" s="1"/>
  <c r="G160" i="47" s="1"/>
  <c r="G160" i="48" s="1"/>
  <c r="N160" i="34"/>
  <c r="G149" i="35"/>
  <c r="G149" i="36" s="1"/>
  <c r="G149" i="37" s="1"/>
  <c r="G149" i="38" s="1"/>
  <c r="G149" i="39" s="1"/>
  <c r="G149" i="40" s="1"/>
  <c r="G149" i="41" s="1"/>
  <c r="G149" i="42" s="1"/>
  <c r="G149" i="43" s="1"/>
  <c r="G149" i="44" s="1"/>
  <c r="G149" i="45" s="1"/>
  <c r="G149" i="46" s="1"/>
  <c r="G149" i="47" s="1"/>
  <c r="G149" i="48" s="1"/>
  <c r="N149" i="34"/>
  <c r="G221" i="35"/>
  <c r="G221" i="36" s="1"/>
  <c r="G221" i="37" s="1"/>
  <c r="G221" i="38" s="1"/>
  <c r="G221" i="39" s="1"/>
  <c r="G221" i="40" s="1"/>
  <c r="G221" i="41" s="1"/>
  <c r="G221" i="42" s="1"/>
  <c r="G221" i="43" s="1"/>
  <c r="G221" i="44" s="1"/>
  <c r="G221" i="45" s="1"/>
  <c r="G221" i="46" s="1"/>
  <c r="G221" i="47" s="1"/>
  <c r="G221" i="48" s="1"/>
  <c r="N221" i="34"/>
  <c r="G139" i="35"/>
  <c r="G139" i="36" s="1"/>
  <c r="G139" i="37" s="1"/>
  <c r="G139" i="38" s="1"/>
  <c r="G139" i="39" s="1"/>
  <c r="G139" i="40" s="1"/>
  <c r="G139" i="41" s="1"/>
  <c r="G139" i="42" s="1"/>
  <c r="G139" i="43" s="1"/>
  <c r="G139" i="44" s="1"/>
  <c r="G139" i="45" s="1"/>
  <c r="G139" i="46" s="1"/>
  <c r="G139" i="47" s="1"/>
  <c r="G139" i="48" s="1"/>
  <c r="N139" i="34"/>
  <c r="G132" i="35"/>
  <c r="G132" i="36" s="1"/>
  <c r="G132" i="37" s="1"/>
  <c r="G132" i="38" s="1"/>
  <c r="G132" i="39" s="1"/>
  <c r="G132" i="40" s="1"/>
  <c r="G132" i="41" s="1"/>
  <c r="G132" i="42" s="1"/>
  <c r="G132" i="43" s="1"/>
  <c r="G132" i="44" s="1"/>
  <c r="G132" i="45" s="1"/>
  <c r="G132" i="46" s="1"/>
  <c r="G132" i="47" s="1"/>
  <c r="G132" i="48" s="1"/>
  <c r="N132" i="34"/>
  <c r="G218" i="35"/>
  <c r="G218" i="36" s="1"/>
  <c r="G218" i="37" s="1"/>
  <c r="G218" i="38" s="1"/>
  <c r="G218" i="39" s="1"/>
  <c r="G218" i="40" s="1"/>
  <c r="G218" i="41" s="1"/>
  <c r="G218" i="42" s="1"/>
  <c r="G218" i="43" s="1"/>
  <c r="G218" i="44" s="1"/>
  <c r="G218" i="45" s="1"/>
  <c r="G218" i="46" s="1"/>
  <c r="G218" i="47" s="1"/>
  <c r="G218" i="48" s="1"/>
  <c r="N218" i="34"/>
  <c r="F251" i="37"/>
  <c r="I251" i="36"/>
  <c r="M251" i="36" s="1"/>
  <c r="F276" i="37"/>
  <c r="I276" i="36"/>
  <c r="M276" i="36" s="1"/>
  <c r="F170" i="37"/>
  <c r="I170" i="36"/>
  <c r="M170" i="36" s="1"/>
  <c r="K179" i="35"/>
  <c r="H179" i="36"/>
  <c r="F227" i="37"/>
  <c r="I227" i="36"/>
  <c r="M227" i="36" s="1"/>
  <c r="H258" i="36"/>
  <c r="K258" i="35"/>
  <c r="H133" i="36"/>
  <c r="K133" i="35"/>
  <c r="F158" i="37"/>
  <c r="I158" i="36"/>
  <c r="M158" i="36" s="1"/>
  <c r="F181" i="37"/>
  <c r="I181" i="36"/>
  <c r="M181" i="36" s="1"/>
  <c r="I231" i="36"/>
  <c r="M231" i="36" s="1"/>
  <c r="F231" i="37"/>
  <c r="F243" i="37"/>
  <c r="I243" i="36"/>
  <c r="M243" i="36" s="1"/>
  <c r="C191" i="37"/>
  <c r="I191" i="36"/>
  <c r="M191" i="36" s="1"/>
  <c r="F252" i="37"/>
  <c r="I252" i="36"/>
  <c r="M252" i="36" s="1"/>
  <c r="I292" i="36"/>
  <c r="M292" i="36" s="1"/>
  <c r="F292" i="37"/>
  <c r="H137" i="36"/>
  <c r="K137" i="35"/>
  <c r="H169" i="36"/>
  <c r="K169" i="35"/>
  <c r="H187" i="36"/>
  <c r="K187" i="35"/>
  <c r="H288" i="36"/>
  <c r="K288" i="35"/>
  <c r="F235" i="37"/>
  <c r="I235" i="36"/>
  <c r="M235" i="36" s="1"/>
  <c r="F287" i="37"/>
  <c r="I287" i="36"/>
  <c r="M287" i="36" s="1"/>
  <c r="H180" i="36"/>
  <c r="K180" i="35"/>
  <c r="F210" i="37"/>
  <c r="I210" i="36"/>
  <c r="M210" i="36" s="1"/>
  <c r="F238" i="37"/>
  <c r="I238" i="36"/>
  <c r="M238" i="36" s="1"/>
  <c r="F284" i="37"/>
  <c r="I284" i="36"/>
  <c r="M284" i="36" s="1"/>
  <c r="H153" i="36"/>
  <c r="K153" i="35"/>
  <c r="F185" i="37"/>
  <c r="I185" i="36"/>
  <c r="M185" i="36" s="1"/>
  <c r="H221" i="36"/>
  <c r="K221" i="35"/>
  <c r="H277" i="36"/>
  <c r="K277" i="35"/>
  <c r="H191" i="36"/>
  <c r="K191" i="35"/>
  <c r="F257" i="37"/>
  <c r="I257" i="36"/>
  <c r="M257" i="36" s="1"/>
  <c r="H216" i="36"/>
  <c r="K216" i="35"/>
  <c r="H240" i="36"/>
  <c r="K240" i="35"/>
  <c r="F218" i="37"/>
  <c r="I218" i="36"/>
  <c r="M218" i="36" s="1"/>
  <c r="H161" i="36"/>
  <c r="K161" i="35"/>
  <c r="H206" i="36"/>
  <c r="K206" i="35"/>
  <c r="H252" i="36"/>
  <c r="K252" i="35"/>
  <c r="H126" i="36"/>
  <c r="K126" i="35"/>
  <c r="H136" i="36"/>
  <c r="K136" i="35"/>
  <c r="F142" i="37"/>
  <c r="I142" i="36"/>
  <c r="M142" i="36" s="1"/>
  <c r="H162" i="36"/>
  <c r="K162" i="35"/>
  <c r="I182" i="36"/>
  <c r="M182" i="36" s="1"/>
  <c r="F182" i="37"/>
  <c r="I201" i="36"/>
  <c r="M201" i="36" s="1"/>
  <c r="F201" i="37"/>
  <c r="F274" i="37"/>
  <c r="I274" i="36"/>
  <c r="M274" i="36" s="1"/>
  <c r="F130" i="37"/>
  <c r="I130" i="36"/>
  <c r="M130" i="36" s="1"/>
  <c r="H182" i="36"/>
  <c r="K182" i="35"/>
  <c r="H186" i="36"/>
  <c r="K186" i="35"/>
  <c r="G131" i="35"/>
  <c r="G131" i="36" s="1"/>
  <c r="G131" i="37" s="1"/>
  <c r="G131" i="38" s="1"/>
  <c r="G131" i="39" s="1"/>
  <c r="G131" i="40" s="1"/>
  <c r="G131" i="41" s="1"/>
  <c r="G131" i="42" s="1"/>
  <c r="G131" i="43" s="1"/>
  <c r="G131" i="44" s="1"/>
  <c r="G131" i="45" s="1"/>
  <c r="G131" i="46" s="1"/>
  <c r="G131" i="47" s="1"/>
  <c r="G131" i="48" s="1"/>
  <c r="N131" i="34"/>
  <c r="I206" i="36"/>
  <c r="M206" i="36" s="1"/>
  <c r="F206" i="37"/>
  <c r="H235" i="36"/>
  <c r="K235" i="35"/>
  <c r="F176" i="37"/>
  <c r="I176" i="36"/>
  <c r="M176" i="36" s="1"/>
  <c r="I200" i="36"/>
  <c r="M200" i="36" s="1"/>
  <c r="F200" i="37"/>
  <c r="G237" i="35"/>
  <c r="G237" i="36" s="1"/>
  <c r="G237" i="37" s="1"/>
  <c r="G237" i="38" s="1"/>
  <c r="G237" i="39" s="1"/>
  <c r="G237" i="40" s="1"/>
  <c r="G237" i="41" s="1"/>
  <c r="G237" i="42" s="1"/>
  <c r="G237" i="43" s="1"/>
  <c r="G237" i="44" s="1"/>
  <c r="G237" i="45" s="1"/>
  <c r="G237" i="46" s="1"/>
  <c r="G237" i="47" s="1"/>
  <c r="G237" i="48" s="1"/>
  <c r="N237" i="34"/>
  <c r="G275" i="35"/>
  <c r="G275" i="36" s="1"/>
  <c r="G275" i="37" s="1"/>
  <c r="G275" i="38" s="1"/>
  <c r="G275" i="39" s="1"/>
  <c r="G275" i="40" s="1"/>
  <c r="G275" i="41" s="1"/>
  <c r="G275" i="42" s="1"/>
  <c r="G275" i="43" s="1"/>
  <c r="G275" i="44" s="1"/>
  <c r="G275" i="45" s="1"/>
  <c r="G275" i="46" s="1"/>
  <c r="G275" i="47" s="1"/>
  <c r="G275" i="48" s="1"/>
  <c r="N275" i="34"/>
  <c r="G141" i="35"/>
  <c r="G141" i="36" s="1"/>
  <c r="G141" i="37" s="1"/>
  <c r="G141" i="38" s="1"/>
  <c r="G141" i="39" s="1"/>
  <c r="G141" i="40" s="1"/>
  <c r="G141" i="41" s="1"/>
  <c r="G141" i="42" s="1"/>
  <c r="G141" i="43" s="1"/>
  <c r="G141" i="44" s="1"/>
  <c r="G141" i="45" s="1"/>
  <c r="G141" i="46" s="1"/>
  <c r="G141" i="47" s="1"/>
  <c r="G141" i="48" s="1"/>
  <c r="N141" i="34"/>
  <c r="G189" i="35"/>
  <c r="G189" i="36" s="1"/>
  <c r="G189" i="37" s="1"/>
  <c r="G189" i="38" s="1"/>
  <c r="G189" i="39" s="1"/>
  <c r="G189" i="40" s="1"/>
  <c r="G189" i="41" s="1"/>
  <c r="G189" i="42" s="1"/>
  <c r="G189" i="43" s="1"/>
  <c r="G189" i="44" s="1"/>
  <c r="G189" i="45" s="1"/>
  <c r="G189" i="46" s="1"/>
  <c r="G189" i="47" s="1"/>
  <c r="G189" i="48" s="1"/>
  <c r="N189" i="34"/>
  <c r="G290" i="35"/>
  <c r="G290" i="36" s="1"/>
  <c r="G290" i="37" s="1"/>
  <c r="G290" i="38" s="1"/>
  <c r="G290" i="39" s="1"/>
  <c r="G290" i="40" s="1"/>
  <c r="G290" i="41" s="1"/>
  <c r="G290" i="42" s="1"/>
  <c r="G290" i="43" s="1"/>
  <c r="G290" i="44" s="1"/>
  <c r="G290" i="45" s="1"/>
  <c r="G290" i="46" s="1"/>
  <c r="G290" i="47" s="1"/>
  <c r="G290" i="48" s="1"/>
  <c r="N290" i="34"/>
  <c r="G251" i="35"/>
  <c r="G251" i="36" s="1"/>
  <c r="G251" i="37" s="1"/>
  <c r="G251" i="38" s="1"/>
  <c r="G251" i="39" s="1"/>
  <c r="G251" i="40" s="1"/>
  <c r="G251" i="41" s="1"/>
  <c r="G251" i="42" s="1"/>
  <c r="G251" i="43" s="1"/>
  <c r="G251" i="44" s="1"/>
  <c r="G251" i="45" s="1"/>
  <c r="G251" i="46" s="1"/>
  <c r="G251" i="47" s="1"/>
  <c r="G251" i="48" s="1"/>
  <c r="N251" i="34"/>
  <c r="G239" i="35"/>
  <c r="G239" i="36" s="1"/>
  <c r="G239" i="37" s="1"/>
  <c r="G239" i="38" s="1"/>
  <c r="G239" i="39" s="1"/>
  <c r="G239" i="40" s="1"/>
  <c r="G239" i="41" s="1"/>
  <c r="G239" i="42" s="1"/>
  <c r="G239" i="43" s="1"/>
  <c r="G239" i="44" s="1"/>
  <c r="G239" i="45" s="1"/>
  <c r="G239" i="46" s="1"/>
  <c r="G239" i="47" s="1"/>
  <c r="G239" i="48" s="1"/>
  <c r="N239" i="34"/>
  <c r="G261" i="35"/>
  <c r="G261" i="36" s="1"/>
  <c r="G261" i="37" s="1"/>
  <c r="G261" i="38" s="1"/>
  <c r="G261" i="39" s="1"/>
  <c r="G261" i="40" s="1"/>
  <c r="G261" i="41" s="1"/>
  <c r="G261" i="42" s="1"/>
  <c r="G261" i="43" s="1"/>
  <c r="G261" i="44" s="1"/>
  <c r="G261" i="45" s="1"/>
  <c r="G261" i="46" s="1"/>
  <c r="G261" i="47" s="1"/>
  <c r="G261" i="48" s="1"/>
  <c r="N261" i="34"/>
  <c r="G120" i="35"/>
  <c r="G120" i="36" s="1"/>
  <c r="G120" i="37" s="1"/>
  <c r="G120" i="38" s="1"/>
  <c r="G120" i="39" s="1"/>
  <c r="G120" i="40" s="1"/>
  <c r="G120" i="41" s="1"/>
  <c r="G120" i="42" s="1"/>
  <c r="G120" i="43" s="1"/>
  <c r="G120" i="44" s="1"/>
  <c r="G120" i="45" s="1"/>
  <c r="G120" i="46" s="1"/>
  <c r="G120" i="47" s="1"/>
  <c r="G120" i="48" s="1"/>
  <c r="N120" i="34"/>
  <c r="G192" i="35"/>
  <c r="G192" i="36" s="1"/>
  <c r="G192" i="37" s="1"/>
  <c r="G192" i="38" s="1"/>
  <c r="G192" i="39" s="1"/>
  <c r="G192" i="40" s="1"/>
  <c r="G192" i="41" s="1"/>
  <c r="G192" i="42" s="1"/>
  <c r="G192" i="43" s="1"/>
  <c r="G192" i="44" s="1"/>
  <c r="G192" i="45" s="1"/>
  <c r="G192" i="46" s="1"/>
  <c r="G192" i="47" s="1"/>
  <c r="G192" i="48" s="1"/>
  <c r="N192" i="34"/>
  <c r="G244" i="35"/>
  <c r="G244" i="36" s="1"/>
  <c r="G244" i="37" s="1"/>
  <c r="G244" i="38" s="1"/>
  <c r="G244" i="39" s="1"/>
  <c r="G244" i="40" s="1"/>
  <c r="G244" i="41" s="1"/>
  <c r="G244" i="42" s="1"/>
  <c r="G244" i="43" s="1"/>
  <c r="G244" i="44" s="1"/>
  <c r="G244" i="45" s="1"/>
  <c r="G244" i="46" s="1"/>
  <c r="G244" i="47" s="1"/>
  <c r="G244" i="48" s="1"/>
  <c r="N244" i="34"/>
  <c r="G174" i="35"/>
  <c r="G174" i="36" s="1"/>
  <c r="G174" i="37" s="1"/>
  <c r="G174" i="38" s="1"/>
  <c r="G174" i="39" s="1"/>
  <c r="G174" i="40" s="1"/>
  <c r="G174" i="41" s="1"/>
  <c r="G174" i="42" s="1"/>
  <c r="G174" i="43" s="1"/>
  <c r="G174" i="44" s="1"/>
  <c r="G174" i="45" s="1"/>
  <c r="G174" i="46" s="1"/>
  <c r="G174" i="47" s="1"/>
  <c r="G174" i="48" s="1"/>
  <c r="N174" i="34"/>
  <c r="G229" i="35"/>
  <c r="G229" i="36" s="1"/>
  <c r="G229" i="37" s="1"/>
  <c r="G229" i="38" s="1"/>
  <c r="G229" i="39" s="1"/>
  <c r="G229" i="40" s="1"/>
  <c r="G229" i="41" s="1"/>
  <c r="G229" i="42" s="1"/>
  <c r="G229" i="43" s="1"/>
  <c r="G229" i="44" s="1"/>
  <c r="G229" i="45" s="1"/>
  <c r="G229" i="46" s="1"/>
  <c r="G229" i="47" s="1"/>
  <c r="G229" i="48" s="1"/>
  <c r="N229" i="34"/>
  <c r="G179" i="35"/>
  <c r="G179" i="36" s="1"/>
  <c r="G179" i="37" s="1"/>
  <c r="G179" i="38" s="1"/>
  <c r="G179" i="39" s="1"/>
  <c r="G179" i="40" s="1"/>
  <c r="G179" i="41" s="1"/>
  <c r="G179" i="42" s="1"/>
  <c r="G179" i="43" s="1"/>
  <c r="G179" i="44" s="1"/>
  <c r="G179" i="45" s="1"/>
  <c r="G179" i="46" s="1"/>
  <c r="G179" i="47" s="1"/>
  <c r="G179" i="48" s="1"/>
  <c r="N179" i="34"/>
  <c r="G265" i="35"/>
  <c r="G265" i="36" s="1"/>
  <c r="G265" i="37" s="1"/>
  <c r="G265" i="38" s="1"/>
  <c r="G265" i="39" s="1"/>
  <c r="G265" i="40" s="1"/>
  <c r="G265" i="41" s="1"/>
  <c r="G265" i="42" s="1"/>
  <c r="G265" i="43" s="1"/>
  <c r="G265" i="44" s="1"/>
  <c r="G265" i="45" s="1"/>
  <c r="G265" i="46" s="1"/>
  <c r="G265" i="47" s="1"/>
  <c r="G265" i="48" s="1"/>
  <c r="N265" i="34"/>
  <c r="G220" i="35"/>
  <c r="G220" i="36" s="1"/>
  <c r="G220" i="37" s="1"/>
  <c r="G220" i="38" s="1"/>
  <c r="G220" i="39" s="1"/>
  <c r="G220" i="40" s="1"/>
  <c r="G220" i="41" s="1"/>
  <c r="G220" i="42" s="1"/>
  <c r="G220" i="43" s="1"/>
  <c r="G220" i="44" s="1"/>
  <c r="G220" i="45" s="1"/>
  <c r="G220" i="46" s="1"/>
  <c r="G220" i="47" s="1"/>
  <c r="G220" i="48" s="1"/>
  <c r="N220" i="34"/>
  <c r="G254" i="35"/>
  <c r="G254" i="36" s="1"/>
  <c r="G254" i="37" s="1"/>
  <c r="G254" i="38" s="1"/>
  <c r="G254" i="39" s="1"/>
  <c r="G254" i="40" s="1"/>
  <c r="G254" i="41" s="1"/>
  <c r="G254" i="42" s="1"/>
  <c r="G254" i="43" s="1"/>
  <c r="G254" i="44" s="1"/>
  <c r="G254" i="45" s="1"/>
  <c r="G254" i="46" s="1"/>
  <c r="G254" i="47" s="1"/>
  <c r="G254" i="48" s="1"/>
  <c r="N254" i="34"/>
  <c r="G178" i="35"/>
  <c r="G178" i="36" s="1"/>
  <c r="G178" i="37" s="1"/>
  <c r="G178" i="38" s="1"/>
  <c r="G178" i="39" s="1"/>
  <c r="G178" i="40" s="1"/>
  <c r="G178" i="41" s="1"/>
  <c r="G178" i="42" s="1"/>
  <c r="G178" i="43" s="1"/>
  <c r="G178" i="44" s="1"/>
  <c r="G178" i="45" s="1"/>
  <c r="G178" i="46" s="1"/>
  <c r="G178" i="47" s="1"/>
  <c r="G178" i="48" s="1"/>
  <c r="N178" i="34"/>
  <c r="G121" i="35"/>
  <c r="G121" i="36" s="1"/>
  <c r="G121" i="37" s="1"/>
  <c r="G121" i="38" s="1"/>
  <c r="G121" i="39" s="1"/>
  <c r="G121" i="40" s="1"/>
  <c r="G121" i="41" s="1"/>
  <c r="G121" i="42" s="1"/>
  <c r="G121" i="43" s="1"/>
  <c r="G121" i="44" s="1"/>
  <c r="G121" i="45" s="1"/>
  <c r="G121" i="46" s="1"/>
  <c r="G121" i="47" s="1"/>
  <c r="G121" i="48" s="1"/>
  <c r="N121" i="34"/>
  <c r="G158" i="35"/>
  <c r="G158" i="36" s="1"/>
  <c r="G158" i="37" s="1"/>
  <c r="G158" i="38" s="1"/>
  <c r="G158" i="39" s="1"/>
  <c r="G158" i="40" s="1"/>
  <c r="G158" i="41" s="1"/>
  <c r="G158" i="42" s="1"/>
  <c r="G158" i="43" s="1"/>
  <c r="G158" i="44" s="1"/>
  <c r="G158" i="45" s="1"/>
  <c r="G158" i="46" s="1"/>
  <c r="G158" i="47" s="1"/>
  <c r="G158" i="48" s="1"/>
  <c r="N158" i="34"/>
  <c r="G201" i="35"/>
  <c r="G201" i="36" s="1"/>
  <c r="G201" i="37" s="1"/>
  <c r="G201" i="38" s="1"/>
  <c r="G201" i="39" s="1"/>
  <c r="G201" i="40" s="1"/>
  <c r="G201" i="41" s="1"/>
  <c r="G201" i="42" s="1"/>
  <c r="G201" i="43" s="1"/>
  <c r="G201" i="44" s="1"/>
  <c r="G201" i="45" s="1"/>
  <c r="G201" i="46" s="1"/>
  <c r="G201" i="47" s="1"/>
  <c r="G201" i="48" s="1"/>
  <c r="N201" i="34"/>
  <c r="G286" i="35"/>
  <c r="G286" i="36" s="1"/>
  <c r="G286" i="37" s="1"/>
  <c r="G286" i="38" s="1"/>
  <c r="G286" i="39" s="1"/>
  <c r="G286" i="40" s="1"/>
  <c r="G286" i="41" s="1"/>
  <c r="G286" i="42" s="1"/>
  <c r="G286" i="43" s="1"/>
  <c r="G286" i="44" s="1"/>
  <c r="G286" i="45" s="1"/>
  <c r="G286" i="46" s="1"/>
  <c r="G286" i="47" s="1"/>
  <c r="G286" i="48" s="1"/>
  <c r="N286" i="34"/>
  <c r="G245" i="35"/>
  <c r="G245" i="36" s="1"/>
  <c r="G245" i="37" s="1"/>
  <c r="G245" i="38" s="1"/>
  <c r="G245" i="39" s="1"/>
  <c r="G245" i="40" s="1"/>
  <c r="G245" i="41" s="1"/>
  <c r="G245" i="42" s="1"/>
  <c r="G245" i="43" s="1"/>
  <c r="G245" i="44" s="1"/>
  <c r="G245" i="45" s="1"/>
  <c r="G245" i="46" s="1"/>
  <c r="G245" i="47" s="1"/>
  <c r="G245" i="48" s="1"/>
  <c r="N245" i="34"/>
  <c r="G146" i="35"/>
  <c r="G146" i="36" s="1"/>
  <c r="G146" i="37" s="1"/>
  <c r="G146" i="38" s="1"/>
  <c r="G146" i="39" s="1"/>
  <c r="G146" i="40" s="1"/>
  <c r="G146" i="41" s="1"/>
  <c r="G146" i="42" s="1"/>
  <c r="G146" i="43" s="1"/>
  <c r="G146" i="44" s="1"/>
  <c r="G146" i="45" s="1"/>
  <c r="G146" i="46" s="1"/>
  <c r="G146" i="47" s="1"/>
  <c r="G146" i="48" s="1"/>
  <c r="N146" i="34"/>
  <c r="G260" i="35"/>
  <c r="G260" i="36" s="1"/>
  <c r="G260" i="37" s="1"/>
  <c r="G260" i="38" s="1"/>
  <c r="G260" i="39" s="1"/>
  <c r="G260" i="40" s="1"/>
  <c r="G260" i="41" s="1"/>
  <c r="G260" i="42" s="1"/>
  <c r="G260" i="43" s="1"/>
  <c r="G260" i="44" s="1"/>
  <c r="G260" i="45" s="1"/>
  <c r="G260" i="46" s="1"/>
  <c r="G260" i="47" s="1"/>
  <c r="G260" i="48" s="1"/>
  <c r="N260" i="34"/>
  <c r="G232" i="35"/>
  <c r="G232" i="36" s="1"/>
  <c r="G232" i="37" s="1"/>
  <c r="G232" i="38" s="1"/>
  <c r="G232" i="39" s="1"/>
  <c r="G232" i="40" s="1"/>
  <c r="G232" i="41" s="1"/>
  <c r="G232" i="42" s="1"/>
  <c r="G232" i="43" s="1"/>
  <c r="G232" i="44" s="1"/>
  <c r="G232" i="45" s="1"/>
  <c r="G232" i="46" s="1"/>
  <c r="G232" i="47" s="1"/>
  <c r="G232" i="48" s="1"/>
  <c r="N232" i="34"/>
  <c r="G238" i="35"/>
  <c r="G238" i="36" s="1"/>
  <c r="G238" i="37" s="1"/>
  <c r="G238" i="38" s="1"/>
  <c r="G238" i="39" s="1"/>
  <c r="G238" i="40" s="1"/>
  <c r="G238" i="41" s="1"/>
  <c r="G238" i="42" s="1"/>
  <c r="G238" i="43" s="1"/>
  <c r="G238" i="44" s="1"/>
  <c r="G238" i="45" s="1"/>
  <c r="G238" i="46" s="1"/>
  <c r="G238" i="47" s="1"/>
  <c r="G238" i="48" s="1"/>
  <c r="N238" i="34"/>
  <c r="G152" i="35"/>
  <c r="G152" i="36" s="1"/>
  <c r="G152" i="37" s="1"/>
  <c r="G152" i="38" s="1"/>
  <c r="G152" i="39" s="1"/>
  <c r="G152" i="40" s="1"/>
  <c r="G152" i="41" s="1"/>
  <c r="G152" i="42" s="1"/>
  <c r="G152" i="43" s="1"/>
  <c r="G152" i="44" s="1"/>
  <c r="G152" i="45" s="1"/>
  <c r="G152" i="46" s="1"/>
  <c r="G152" i="47" s="1"/>
  <c r="G152" i="48" s="1"/>
  <c r="N152" i="34"/>
  <c r="G183" i="35"/>
  <c r="G183" i="36" s="1"/>
  <c r="G183" i="37" s="1"/>
  <c r="G183" i="38" s="1"/>
  <c r="G183" i="39" s="1"/>
  <c r="G183" i="40" s="1"/>
  <c r="G183" i="41" s="1"/>
  <c r="G183" i="42" s="1"/>
  <c r="G183" i="43" s="1"/>
  <c r="G183" i="44" s="1"/>
  <c r="G183" i="45" s="1"/>
  <c r="G183" i="46" s="1"/>
  <c r="G183" i="47" s="1"/>
  <c r="G183" i="48" s="1"/>
  <c r="N183" i="34"/>
  <c r="G287" i="35"/>
  <c r="G287" i="36" s="1"/>
  <c r="G287" i="37" s="1"/>
  <c r="G287" i="38" s="1"/>
  <c r="G287" i="39" s="1"/>
  <c r="G287" i="40" s="1"/>
  <c r="G287" i="41" s="1"/>
  <c r="G287" i="42" s="1"/>
  <c r="G287" i="43" s="1"/>
  <c r="G287" i="44" s="1"/>
  <c r="G287" i="45" s="1"/>
  <c r="G287" i="46" s="1"/>
  <c r="G287" i="47" s="1"/>
  <c r="G287" i="48" s="1"/>
  <c r="N287" i="34"/>
  <c r="G219" i="35"/>
  <c r="G219" i="36" s="1"/>
  <c r="G219" i="37" s="1"/>
  <c r="G219" i="38" s="1"/>
  <c r="G219" i="39" s="1"/>
  <c r="G219" i="40" s="1"/>
  <c r="G219" i="41" s="1"/>
  <c r="G219" i="42" s="1"/>
  <c r="G219" i="43" s="1"/>
  <c r="G219" i="44" s="1"/>
  <c r="G219" i="45" s="1"/>
  <c r="G219" i="46" s="1"/>
  <c r="G219" i="47" s="1"/>
  <c r="G219" i="48" s="1"/>
  <c r="N219" i="34"/>
  <c r="G257" i="35"/>
  <c r="G257" i="36" s="1"/>
  <c r="G257" i="37" s="1"/>
  <c r="G257" i="38" s="1"/>
  <c r="G257" i="39" s="1"/>
  <c r="G257" i="40" s="1"/>
  <c r="G257" i="41" s="1"/>
  <c r="G257" i="42" s="1"/>
  <c r="G257" i="43" s="1"/>
  <c r="G257" i="44" s="1"/>
  <c r="G257" i="45" s="1"/>
  <c r="G257" i="46" s="1"/>
  <c r="G257" i="47" s="1"/>
  <c r="G257" i="48" s="1"/>
  <c r="N257" i="34"/>
  <c r="G269" i="35"/>
  <c r="G269" i="36" s="1"/>
  <c r="G269" i="37" s="1"/>
  <c r="G269" i="38" s="1"/>
  <c r="G269" i="39" s="1"/>
  <c r="G269" i="40" s="1"/>
  <c r="G269" i="41" s="1"/>
  <c r="G269" i="42" s="1"/>
  <c r="G269" i="43" s="1"/>
  <c r="G269" i="44" s="1"/>
  <c r="G269" i="45" s="1"/>
  <c r="G269" i="46" s="1"/>
  <c r="G269" i="47" s="1"/>
  <c r="G269" i="48" s="1"/>
  <c r="N269" i="34"/>
  <c r="G197" i="35"/>
  <c r="G197" i="36" s="1"/>
  <c r="G197" i="37" s="1"/>
  <c r="G197" i="38" s="1"/>
  <c r="G197" i="39" s="1"/>
  <c r="G197" i="40" s="1"/>
  <c r="G197" i="41" s="1"/>
  <c r="G197" i="42" s="1"/>
  <c r="G197" i="43" s="1"/>
  <c r="G197" i="44" s="1"/>
  <c r="G197" i="45" s="1"/>
  <c r="G197" i="46" s="1"/>
  <c r="G197" i="47" s="1"/>
  <c r="G197" i="48" s="1"/>
  <c r="N197" i="34"/>
  <c r="G243" i="35"/>
  <c r="G243" i="36" s="1"/>
  <c r="G243" i="37" s="1"/>
  <c r="G243" i="38" s="1"/>
  <c r="G243" i="39" s="1"/>
  <c r="G243" i="40" s="1"/>
  <c r="G243" i="41" s="1"/>
  <c r="G243" i="42" s="1"/>
  <c r="G243" i="43" s="1"/>
  <c r="G243" i="44" s="1"/>
  <c r="G243" i="45" s="1"/>
  <c r="G243" i="46" s="1"/>
  <c r="G243" i="47" s="1"/>
  <c r="G243" i="48" s="1"/>
  <c r="N243" i="34"/>
  <c r="G277" i="35"/>
  <c r="G277" i="36" s="1"/>
  <c r="G277" i="37" s="1"/>
  <c r="G277" i="38" s="1"/>
  <c r="G277" i="39" s="1"/>
  <c r="G277" i="40" s="1"/>
  <c r="G277" i="41" s="1"/>
  <c r="G277" i="42" s="1"/>
  <c r="G277" i="43" s="1"/>
  <c r="G277" i="44" s="1"/>
  <c r="G277" i="45" s="1"/>
  <c r="G277" i="46" s="1"/>
  <c r="G277" i="47" s="1"/>
  <c r="G277" i="48" s="1"/>
  <c r="N277" i="34"/>
  <c r="G148" i="35"/>
  <c r="G148" i="36" s="1"/>
  <c r="G148" i="37" s="1"/>
  <c r="G148" i="38" s="1"/>
  <c r="G148" i="39" s="1"/>
  <c r="G148" i="40" s="1"/>
  <c r="G148" i="41" s="1"/>
  <c r="G148" i="42" s="1"/>
  <c r="G148" i="43" s="1"/>
  <c r="G148" i="44" s="1"/>
  <c r="G148" i="45" s="1"/>
  <c r="G148" i="46" s="1"/>
  <c r="G148" i="47" s="1"/>
  <c r="G148" i="48" s="1"/>
  <c r="N148" i="34"/>
  <c r="G271" i="35"/>
  <c r="G271" i="36" s="1"/>
  <c r="G271" i="37" s="1"/>
  <c r="G271" i="38" s="1"/>
  <c r="G271" i="39" s="1"/>
  <c r="G271" i="40" s="1"/>
  <c r="G271" i="41" s="1"/>
  <c r="G271" i="42" s="1"/>
  <c r="G271" i="43" s="1"/>
  <c r="G271" i="44" s="1"/>
  <c r="G271" i="45" s="1"/>
  <c r="G271" i="46" s="1"/>
  <c r="G271" i="47" s="1"/>
  <c r="G271" i="48" s="1"/>
  <c r="N271" i="34"/>
  <c r="G288" i="35"/>
  <c r="G288" i="36" s="1"/>
  <c r="G288" i="37" s="1"/>
  <c r="G288" i="38" s="1"/>
  <c r="G288" i="39" s="1"/>
  <c r="G288" i="40" s="1"/>
  <c r="G288" i="41" s="1"/>
  <c r="G288" i="42" s="1"/>
  <c r="G288" i="43" s="1"/>
  <c r="G288" i="44" s="1"/>
  <c r="G288" i="45" s="1"/>
  <c r="G288" i="46" s="1"/>
  <c r="G288" i="47" s="1"/>
  <c r="G288" i="48" s="1"/>
  <c r="N288" i="34"/>
  <c r="G205" i="35"/>
  <c r="G205" i="36" s="1"/>
  <c r="G205" i="37" s="1"/>
  <c r="G205" i="38" s="1"/>
  <c r="G205" i="39" s="1"/>
  <c r="G205" i="40" s="1"/>
  <c r="G205" i="41" s="1"/>
  <c r="G205" i="42" s="1"/>
  <c r="G205" i="43" s="1"/>
  <c r="G205" i="44" s="1"/>
  <c r="G205" i="45" s="1"/>
  <c r="G205" i="46" s="1"/>
  <c r="G205" i="47" s="1"/>
  <c r="G205" i="48" s="1"/>
  <c r="N205" i="34"/>
  <c r="G252" i="35"/>
  <c r="G252" i="36" s="1"/>
  <c r="G252" i="37" s="1"/>
  <c r="G252" i="38" s="1"/>
  <c r="G252" i="39" s="1"/>
  <c r="G252" i="40" s="1"/>
  <c r="G252" i="41" s="1"/>
  <c r="G252" i="42" s="1"/>
  <c r="G252" i="43" s="1"/>
  <c r="G252" i="44" s="1"/>
  <c r="G252" i="45" s="1"/>
  <c r="G252" i="46" s="1"/>
  <c r="G252" i="47" s="1"/>
  <c r="G252" i="48" s="1"/>
  <c r="N252" i="34"/>
  <c r="G164" i="35"/>
  <c r="G164" i="36" s="1"/>
  <c r="G164" i="37" s="1"/>
  <c r="G164" i="38" s="1"/>
  <c r="G164" i="39" s="1"/>
  <c r="G164" i="40" s="1"/>
  <c r="G164" i="41" s="1"/>
  <c r="G164" i="42" s="1"/>
  <c r="G164" i="43" s="1"/>
  <c r="G164" i="44" s="1"/>
  <c r="G164" i="45" s="1"/>
  <c r="G164" i="46" s="1"/>
  <c r="G164" i="47" s="1"/>
  <c r="G164" i="48" s="1"/>
  <c r="N164" i="34"/>
  <c r="G230" i="35"/>
  <c r="G230" i="36" s="1"/>
  <c r="G230" i="37" s="1"/>
  <c r="G230" i="38" s="1"/>
  <c r="G230" i="39" s="1"/>
  <c r="G230" i="40" s="1"/>
  <c r="G230" i="41" s="1"/>
  <c r="G230" i="42" s="1"/>
  <c r="G230" i="43" s="1"/>
  <c r="G230" i="44" s="1"/>
  <c r="G230" i="45" s="1"/>
  <c r="G230" i="46" s="1"/>
  <c r="G230" i="47" s="1"/>
  <c r="G230" i="48" s="1"/>
  <c r="N230" i="34"/>
  <c r="G147" i="35"/>
  <c r="G147" i="36" s="1"/>
  <c r="G147" i="37" s="1"/>
  <c r="G147" i="38" s="1"/>
  <c r="G147" i="39" s="1"/>
  <c r="G147" i="40" s="1"/>
  <c r="G147" i="41" s="1"/>
  <c r="G147" i="42" s="1"/>
  <c r="G147" i="43" s="1"/>
  <c r="G147" i="44" s="1"/>
  <c r="G147" i="45" s="1"/>
  <c r="G147" i="46" s="1"/>
  <c r="G147" i="47" s="1"/>
  <c r="G147" i="48" s="1"/>
  <c r="N147" i="34"/>
  <c r="G280" i="35"/>
  <c r="G280" i="36" s="1"/>
  <c r="G280" i="37" s="1"/>
  <c r="G280" i="38" s="1"/>
  <c r="G280" i="39" s="1"/>
  <c r="G280" i="40" s="1"/>
  <c r="G280" i="41" s="1"/>
  <c r="G280" i="42" s="1"/>
  <c r="G280" i="43" s="1"/>
  <c r="G280" i="44" s="1"/>
  <c r="G280" i="45" s="1"/>
  <c r="G280" i="46" s="1"/>
  <c r="G280" i="47" s="1"/>
  <c r="G280" i="48" s="1"/>
  <c r="N280" i="34"/>
  <c r="K188" i="35"/>
  <c r="H188" i="36"/>
  <c r="N212" i="34"/>
  <c r="F261" i="37"/>
  <c r="I261" i="36"/>
  <c r="M261" i="36" s="1"/>
  <c r="F132" i="37"/>
  <c r="I132" i="36"/>
  <c r="M132" i="36" s="1"/>
  <c r="H247" i="36"/>
  <c r="K247" i="35"/>
  <c r="F254" i="37"/>
  <c r="I254" i="36"/>
  <c r="M254" i="36" s="1"/>
  <c r="F122" i="37"/>
  <c r="I122" i="36"/>
  <c r="M122" i="36" s="1"/>
  <c r="H139" i="36"/>
  <c r="K139" i="35"/>
  <c r="H168" i="36"/>
  <c r="K168" i="35"/>
  <c r="F172" i="37"/>
  <c r="I172" i="36"/>
  <c r="M172" i="36" s="1"/>
  <c r="I241" i="36"/>
  <c r="M241" i="36" s="1"/>
  <c r="F241" i="37"/>
  <c r="F160" i="37"/>
  <c r="I160" i="36"/>
  <c r="M160" i="36" s="1"/>
  <c r="F207" i="37"/>
  <c r="I207" i="36"/>
  <c r="M207" i="36" s="1"/>
  <c r="H122" i="36"/>
  <c r="K122" i="35"/>
  <c r="H140" i="36"/>
  <c r="K140" i="35"/>
  <c r="F272" i="37"/>
  <c r="I272" i="36"/>
  <c r="M272" i="36" s="1"/>
  <c r="H282" i="36"/>
  <c r="K282" i="35"/>
  <c r="H170" i="36"/>
  <c r="K170" i="35"/>
  <c r="H255" i="36"/>
  <c r="K255" i="35"/>
  <c r="H124" i="36"/>
  <c r="K124" i="35"/>
  <c r="F194" i="37"/>
  <c r="I194" i="36"/>
  <c r="M194" i="36" s="1"/>
  <c r="F224" i="37"/>
  <c r="I224" i="36"/>
  <c r="M224" i="36" s="1"/>
  <c r="F275" i="37"/>
  <c r="I275" i="36"/>
  <c r="M275" i="36" s="1"/>
  <c r="I195" i="36"/>
  <c r="M195" i="36" s="1"/>
  <c r="F195" i="37"/>
  <c r="F269" i="37"/>
  <c r="I269" i="36"/>
  <c r="M269" i="36" s="1"/>
  <c r="H201" i="36"/>
  <c r="K201" i="35"/>
  <c r="F156" i="37"/>
  <c r="I156" i="36"/>
  <c r="M156" i="36" s="1"/>
  <c r="H233" i="36"/>
  <c r="K233" i="35"/>
  <c r="H278" i="36"/>
  <c r="K278" i="35"/>
  <c r="F136" i="37"/>
  <c r="I136" i="36"/>
  <c r="M136" i="36" s="1"/>
  <c r="F209" i="37"/>
  <c r="I209" i="36"/>
  <c r="M209" i="36" s="1"/>
  <c r="H224" i="36"/>
  <c r="K224" i="35"/>
  <c r="F118" i="37"/>
  <c r="I118" i="36"/>
  <c r="M118" i="36" s="1"/>
  <c r="F125" i="37"/>
  <c r="I125" i="36"/>
  <c r="M125" i="36" s="1"/>
  <c r="H199" i="36"/>
  <c r="K199" i="35"/>
  <c r="F246" i="37"/>
  <c r="I246" i="36"/>
  <c r="M246" i="36" s="1"/>
  <c r="H256" i="36"/>
  <c r="K256" i="35"/>
  <c r="H264" i="36"/>
  <c r="K264" i="35"/>
  <c r="H269" i="36"/>
  <c r="K269" i="35"/>
  <c r="K147" i="35"/>
  <c r="H147" i="36"/>
  <c r="F211" i="37"/>
  <c r="I211" i="36"/>
  <c r="M211" i="36" s="1"/>
  <c r="I152" i="36"/>
  <c r="M152" i="36" s="1"/>
  <c r="F152" i="37"/>
  <c r="F167" i="37"/>
  <c r="I167" i="36"/>
  <c r="M167" i="36" s="1"/>
  <c r="F124" i="37"/>
  <c r="I124" i="36"/>
  <c r="M124" i="36" s="1"/>
  <c r="H200" i="36"/>
  <c r="K200" i="35"/>
  <c r="H230" i="36"/>
  <c r="K230" i="35"/>
  <c r="F234" i="37"/>
  <c r="I234" i="36"/>
  <c r="M234" i="36" s="1"/>
  <c r="H244" i="36"/>
  <c r="K244" i="35"/>
  <c r="F288" i="37"/>
  <c r="I288" i="36"/>
  <c r="M288" i="36" s="1"/>
  <c r="H144" i="36"/>
  <c r="K144" i="35"/>
  <c r="H189" i="36"/>
  <c r="K189" i="35"/>
  <c r="C212" i="37"/>
  <c r="I212" i="36"/>
  <c r="M212" i="36" s="1"/>
  <c r="H190" i="36"/>
  <c r="K190" i="35"/>
  <c r="H211" i="36"/>
  <c r="K211" i="35"/>
  <c r="H290" i="36"/>
  <c r="K290" i="35"/>
  <c r="H130" i="36"/>
  <c r="K130" i="35"/>
  <c r="H134" i="36"/>
  <c r="K134" i="35"/>
  <c r="H164" i="36"/>
  <c r="K164" i="35"/>
  <c r="F232" i="37"/>
  <c r="I232" i="36"/>
  <c r="M232" i="36" s="1"/>
  <c r="F271" i="37"/>
  <c r="I271" i="36"/>
  <c r="M271" i="36" s="1"/>
  <c r="N126" i="34"/>
  <c r="F139" i="37"/>
  <c r="I139" i="36"/>
  <c r="M139" i="36" s="1"/>
  <c r="F197" i="37"/>
  <c r="I197" i="36"/>
  <c r="M197" i="36" s="1"/>
  <c r="H248" i="36"/>
  <c r="K248" i="35"/>
  <c r="K125" i="35"/>
  <c r="H125" i="36"/>
  <c r="F175" i="37"/>
  <c r="I175" i="36"/>
  <c r="M175" i="36" s="1"/>
  <c r="F184" i="37"/>
  <c r="I184" i="36"/>
  <c r="M184" i="36" s="1"/>
  <c r="I188" i="36"/>
  <c r="M188" i="36" s="1"/>
  <c r="F188" i="37"/>
  <c r="F279" i="37"/>
  <c r="I279" i="36"/>
  <c r="M279" i="36" s="1"/>
  <c r="I159" i="36"/>
  <c r="M159" i="36" s="1"/>
  <c r="F159" i="37"/>
  <c r="F280" i="37"/>
  <c r="I280" i="36"/>
  <c r="M280" i="36" s="1"/>
  <c r="F121" i="37"/>
  <c r="I121" i="36"/>
  <c r="M121" i="36" s="1"/>
  <c r="F216" i="37"/>
  <c r="I216" i="36"/>
  <c r="M216" i="36" s="1"/>
  <c r="K236" i="35"/>
  <c r="H236" i="36"/>
  <c r="K253" i="35"/>
  <c r="H253" i="36"/>
  <c r="H149" i="36"/>
  <c r="K149" i="35"/>
  <c r="H217" i="36"/>
  <c r="K217" i="35"/>
  <c r="H270" i="36"/>
  <c r="K270" i="35"/>
  <c r="G223" i="35"/>
  <c r="G223" i="36" s="1"/>
  <c r="G223" i="37" s="1"/>
  <c r="G223" i="38" s="1"/>
  <c r="G223" i="39" s="1"/>
  <c r="G223" i="40" s="1"/>
  <c r="G223" i="41" s="1"/>
  <c r="G223" i="42" s="1"/>
  <c r="G223" i="43" s="1"/>
  <c r="G223" i="44" s="1"/>
  <c r="G223" i="45" s="1"/>
  <c r="G223" i="46" s="1"/>
  <c r="G223" i="47" s="1"/>
  <c r="G223" i="48" s="1"/>
  <c r="N223" i="34"/>
  <c r="G213" i="35"/>
  <c r="G213" i="36" s="1"/>
  <c r="G213" i="37" s="1"/>
  <c r="G213" i="38" s="1"/>
  <c r="G213" i="39" s="1"/>
  <c r="G213" i="40" s="1"/>
  <c r="G213" i="41" s="1"/>
  <c r="G213" i="42" s="1"/>
  <c r="G213" i="43" s="1"/>
  <c r="G213" i="44" s="1"/>
  <c r="G213" i="45" s="1"/>
  <c r="G213" i="46" s="1"/>
  <c r="G213" i="47" s="1"/>
  <c r="G213" i="48" s="1"/>
  <c r="N213" i="34"/>
  <c r="H159" i="36"/>
  <c r="K159" i="35"/>
  <c r="K192" i="35"/>
  <c r="H192" i="36"/>
  <c r="H250" i="36"/>
  <c r="K250" i="35"/>
  <c r="H129" i="36"/>
  <c r="K129" i="35"/>
  <c r="F283" i="37"/>
  <c r="I283" i="36"/>
  <c r="M283" i="36" s="1"/>
  <c r="H267" i="36"/>
  <c r="K267" i="35"/>
  <c r="H118" i="36"/>
  <c r="K118" i="35"/>
  <c r="H183" i="36"/>
  <c r="K183" i="35"/>
  <c r="H220" i="36"/>
  <c r="K220" i="35"/>
  <c r="H198" i="36"/>
  <c r="K198" i="35"/>
  <c r="F281" i="37"/>
  <c r="I281" i="36"/>
  <c r="M281" i="36" s="1"/>
  <c r="F187" i="37"/>
  <c r="I187" i="36"/>
  <c r="M187" i="36" s="1"/>
  <c r="H228" i="36"/>
  <c r="K228" i="35"/>
  <c r="F290" i="37"/>
  <c r="I290" i="36"/>
  <c r="M290" i="36" s="1"/>
  <c r="F154" i="37"/>
  <c r="I154" i="36"/>
  <c r="M154" i="36" s="1"/>
  <c r="F151" i="37"/>
  <c r="I151" i="36"/>
  <c r="M151" i="36" s="1"/>
  <c r="H155" i="36"/>
  <c r="K155" i="35"/>
  <c r="F253" i="37"/>
  <c r="I253" i="36"/>
  <c r="M253" i="36" s="1"/>
  <c r="K119" i="35"/>
  <c r="H119" i="36"/>
  <c r="F143" i="37"/>
  <c r="I143" i="36"/>
  <c r="M143" i="36" s="1"/>
  <c r="K223" i="35"/>
  <c r="H223" i="36"/>
  <c r="H281" i="36"/>
  <c r="K281" i="35"/>
  <c r="H272" i="36"/>
  <c r="K272" i="35"/>
  <c r="K208" i="35"/>
  <c r="H208" i="36"/>
  <c r="H241" i="36"/>
  <c r="K241" i="35"/>
  <c r="G155" i="35"/>
  <c r="G155" i="36" s="1"/>
  <c r="G155" i="37" s="1"/>
  <c r="G155" i="38" s="1"/>
  <c r="G155" i="39" s="1"/>
  <c r="G155" i="40" s="1"/>
  <c r="G155" i="41" s="1"/>
  <c r="G155" i="42" s="1"/>
  <c r="G155" i="43" s="1"/>
  <c r="G155" i="44" s="1"/>
  <c r="G155" i="45" s="1"/>
  <c r="G155" i="46" s="1"/>
  <c r="G155" i="47" s="1"/>
  <c r="G155" i="48" s="1"/>
  <c r="N155" i="34"/>
  <c r="G170" i="35"/>
  <c r="G170" i="36" s="1"/>
  <c r="G170" i="37" s="1"/>
  <c r="G170" i="38" s="1"/>
  <c r="G170" i="39" s="1"/>
  <c r="G170" i="40" s="1"/>
  <c r="G170" i="41" s="1"/>
  <c r="G170" i="42" s="1"/>
  <c r="G170" i="43" s="1"/>
  <c r="G170" i="44" s="1"/>
  <c r="G170" i="45" s="1"/>
  <c r="G170" i="46" s="1"/>
  <c r="G170" i="47" s="1"/>
  <c r="G170" i="48" s="1"/>
  <c r="N170" i="34"/>
  <c r="G227" i="35"/>
  <c r="G227" i="36" s="1"/>
  <c r="G227" i="37" s="1"/>
  <c r="G227" i="38" s="1"/>
  <c r="G227" i="39" s="1"/>
  <c r="G227" i="40" s="1"/>
  <c r="G227" i="41" s="1"/>
  <c r="G227" i="42" s="1"/>
  <c r="G227" i="43" s="1"/>
  <c r="G227" i="44" s="1"/>
  <c r="G227" i="45" s="1"/>
  <c r="G227" i="46" s="1"/>
  <c r="G227" i="47" s="1"/>
  <c r="G227" i="48" s="1"/>
  <c r="N227" i="34"/>
  <c r="G242" i="35"/>
  <c r="G242" i="36" s="1"/>
  <c r="G242" i="37" s="1"/>
  <c r="G242" i="38" s="1"/>
  <c r="G242" i="39" s="1"/>
  <c r="G242" i="40" s="1"/>
  <c r="G242" i="41" s="1"/>
  <c r="G242" i="42" s="1"/>
  <c r="G242" i="43" s="1"/>
  <c r="G242" i="44" s="1"/>
  <c r="G242" i="45" s="1"/>
  <c r="G242" i="46" s="1"/>
  <c r="G242" i="47" s="1"/>
  <c r="G242" i="48" s="1"/>
  <c r="N242" i="34"/>
  <c r="G122" i="35"/>
  <c r="G122" i="36" s="1"/>
  <c r="G122" i="37" s="1"/>
  <c r="G122" i="38" s="1"/>
  <c r="G122" i="39" s="1"/>
  <c r="G122" i="40" s="1"/>
  <c r="G122" i="41" s="1"/>
  <c r="G122" i="42" s="1"/>
  <c r="G122" i="43" s="1"/>
  <c r="G122" i="44" s="1"/>
  <c r="G122" i="45" s="1"/>
  <c r="G122" i="46" s="1"/>
  <c r="G122" i="47" s="1"/>
  <c r="G122" i="48" s="1"/>
  <c r="N122" i="34"/>
  <c r="G202" i="35"/>
  <c r="G202" i="36" s="1"/>
  <c r="G202" i="37" s="1"/>
  <c r="G202" i="38" s="1"/>
  <c r="G202" i="39" s="1"/>
  <c r="G202" i="40" s="1"/>
  <c r="G202" i="41" s="1"/>
  <c r="G202" i="42" s="1"/>
  <c r="G202" i="43" s="1"/>
  <c r="G202" i="44" s="1"/>
  <c r="G202" i="45" s="1"/>
  <c r="G202" i="46" s="1"/>
  <c r="G202" i="47" s="1"/>
  <c r="G202" i="48" s="1"/>
  <c r="N202" i="34"/>
  <c r="G292" i="35"/>
  <c r="G292" i="36" s="1"/>
  <c r="G292" i="37" s="1"/>
  <c r="G292" i="38" s="1"/>
  <c r="G292" i="39" s="1"/>
  <c r="G292" i="40" s="1"/>
  <c r="G292" i="41" s="1"/>
  <c r="G292" i="42" s="1"/>
  <c r="G292" i="43" s="1"/>
  <c r="G292" i="44" s="1"/>
  <c r="G292" i="45" s="1"/>
  <c r="G292" i="46" s="1"/>
  <c r="G292" i="47" s="1"/>
  <c r="G292" i="48" s="1"/>
  <c r="N292" i="34"/>
  <c r="G263" i="35"/>
  <c r="G263" i="36" s="1"/>
  <c r="G263" i="37" s="1"/>
  <c r="G263" i="38" s="1"/>
  <c r="G263" i="39" s="1"/>
  <c r="G263" i="40" s="1"/>
  <c r="G263" i="41" s="1"/>
  <c r="G263" i="42" s="1"/>
  <c r="G263" i="43" s="1"/>
  <c r="G263" i="44" s="1"/>
  <c r="G263" i="45" s="1"/>
  <c r="G263" i="46" s="1"/>
  <c r="G263" i="47" s="1"/>
  <c r="G263" i="48" s="1"/>
  <c r="N263" i="34"/>
  <c r="G137" i="35"/>
  <c r="G137" i="36" s="1"/>
  <c r="G137" i="37" s="1"/>
  <c r="G137" i="38" s="1"/>
  <c r="G137" i="39" s="1"/>
  <c r="G137" i="40" s="1"/>
  <c r="G137" i="41" s="1"/>
  <c r="G137" i="42" s="1"/>
  <c r="G137" i="43" s="1"/>
  <c r="G137" i="44" s="1"/>
  <c r="G137" i="45" s="1"/>
  <c r="G137" i="46" s="1"/>
  <c r="G137" i="47" s="1"/>
  <c r="G137" i="48" s="1"/>
  <c r="N137" i="34"/>
  <c r="G214" i="35"/>
  <c r="G214" i="36" s="1"/>
  <c r="G214" i="37" s="1"/>
  <c r="G214" i="38" s="1"/>
  <c r="G214" i="39" s="1"/>
  <c r="G214" i="40" s="1"/>
  <c r="G214" i="41" s="1"/>
  <c r="G214" i="42" s="1"/>
  <c r="G214" i="43" s="1"/>
  <c r="G214" i="44" s="1"/>
  <c r="G214" i="45" s="1"/>
  <c r="G214" i="46" s="1"/>
  <c r="G214" i="47" s="1"/>
  <c r="G214" i="48" s="1"/>
  <c r="N214" i="34"/>
  <c r="G134" i="35"/>
  <c r="G134" i="36" s="1"/>
  <c r="G134" i="37" s="1"/>
  <c r="G134" i="38" s="1"/>
  <c r="G134" i="39" s="1"/>
  <c r="G134" i="40" s="1"/>
  <c r="G134" i="41" s="1"/>
  <c r="G134" i="42" s="1"/>
  <c r="G134" i="43" s="1"/>
  <c r="G134" i="44" s="1"/>
  <c r="G134" i="45" s="1"/>
  <c r="G134" i="46" s="1"/>
  <c r="G134" i="47" s="1"/>
  <c r="G134" i="48" s="1"/>
  <c r="N134" i="34"/>
  <c r="G256" i="35"/>
  <c r="G256" i="36" s="1"/>
  <c r="G256" i="37" s="1"/>
  <c r="G256" i="38" s="1"/>
  <c r="G256" i="39" s="1"/>
  <c r="G256" i="40" s="1"/>
  <c r="G256" i="41" s="1"/>
  <c r="G256" i="42" s="1"/>
  <c r="G256" i="43" s="1"/>
  <c r="G256" i="44" s="1"/>
  <c r="G256" i="45" s="1"/>
  <c r="G256" i="46" s="1"/>
  <c r="G256" i="47" s="1"/>
  <c r="G256" i="48" s="1"/>
  <c r="N256" i="34"/>
  <c r="G165" i="35"/>
  <c r="G165" i="36" s="1"/>
  <c r="G165" i="37" s="1"/>
  <c r="G165" i="38" s="1"/>
  <c r="G165" i="39" s="1"/>
  <c r="G165" i="40" s="1"/>
  <c r="G165" i="41" s="1"/>
  <c r="G165" i="42" s="1"/>
  <c r="G165" i="43" s="1"/>
  <c r="G165" i="44" s="1"/>
  <c r="G165" i="45" s="1"/>
  <c r="G165" i="46" s="1"/>
  <c r="G165" i="47" s="1"/>
  <c r="G165" i="48" s="1"/>
  <c r="N165" i="34"/>
  <c r="G177" i="35"/>
  <c r="G177" i="36" s="1"/>
  <c r="G177" i="37" s="1"/>
  <c r="G177" i="38" s="1"/>
  <c r="G177" i="39" s="1"/>
  <c r="G177" i="40" s="1"/>
  <c r="G177" i="41" s="1"/>
  <c r="G177" i="42" s="1"/>
  <c r="G177" i="43" s="1"/>
  <c r="G177" i="44" s="1"/>
  <c r="G177" i="45" s="1"/>
  <c r="G177" i="46" s="1"/>
  <c r="G177" i="47" s="1"/>
  <c r="G177" i="48" s="1"/>
  <c r="N177" i="34"/>
  <c r="G250" i="35"/>
  <c r="G250" i="36" s="1"/>
  <c r="G250" i="37" s="1"/>
  <c r="G250" i="38" s="1"/>
  <c r="G250" i="39" s="1"/>
  <c r="G250" i="40" s="1"/>
  <c r="G250" i="41" s="1"/>
  <c r="G250" i="42" s="1"/>
  <c r="G250" i="43" s="1"/>
  <c r="G250" i="44" s="1"/>
  <c r="G250" i="45" s="1"/>
  <c r="G250" i="46" s="1"/>
  <c r="G250" i="47" s="1"/>
  <c r="G250" i="48" s="1"/>
  <c r="N250" i="34"/>
  <c r="G130" i="35"/>
  <c r="G130" i="36" s="1"/>
  <c r="G130" i="37" s="1"/>
  <c r="G130" i="38" s="1"/>
  <c r="G130" i="39" s="1"/>
  <c r="G130" i="40" s="1"/>
  <c r="G130" i="41" s="1"/>
  <c r="G130" i="42" s="1"/>
  <c r="G130" i="43" s="1"/>
  <c r="G130" i="44" s="1"/>
  <c r="G130" i="45" s="1"/>
  <c r="G130" i="46" s="1"/>
  <c r="G130" i="47" s="1"/>
  <c r="G130" i="48" s="1"/>
  <c r="N130" i="34"/>
  <c r="G222" i="35"/>
  <c r="G222" i="36" s="1"/>
  <c r="G222" i="37" s="1"/>
  <c r="G222" i="38" s="1"/>
  <c r="G222" i="39" s="1"/>
  <c r="G222" i="40" s="1"/>
  <c r="G222" i="41" s="1"/>
  <c r="G222" i="42" s="1"/>
  <c r="G222" i="43" s="1"/>
  <c r="G222" i="44" s="1"/>
  <c r="G222" i="45" s="1"/>
  <c r="G222" i="46" s="1"/>
  <c r="G222" i="47" s="1"/>
  <c r="G222" i="48" s="1"/>
  <c r="N222" i="34"/>
  <c r="G150" i="35"/>
  <c r="G150" i="36" s="1"/>
  <c r="G150" i="37" s="1"/>
  <c r="G150" i="38" s="1"/>
  <c r="G150" i="39" s="1"/>
  <c r="G150" i="40" s="1"/>
  <c r="G150" i="41" s="1"/>
  <c r="G150" i="42" s="1"/>
  <c r="G150" i="43" s="1"/>
  <c r="G150" i="44" s="1"/>
  <c r="G150" i="45" s="1"/>
  <c r="G150" i="46" s="1"/>
  <c r="G150" i="47" s="1"/>
  <c r="G150" i="48" s="1"/>
  <c r="N150" i="34"/>
  <c r="G187" i="35"/>
  <c r="G187" i="36" s="1"/>
  <c r="G187" i="37" s="1"/>
  <c r="G187" i="38" s="1"/>
  <c r="G187" i="39" s="1"/>
  <c r="G187" i="40" s="1"/>
  <c r="G187" i="41" s="1"/>
  <c r="G187" i="42" s="1"/>
  <c r="G187" i="43" s="1"/>
  <c r="G187" i="44" s="1"/>
  <c r="G187" i="45" s="1"/>
  <c r="G187" i="46" s="1"/>
  <c r="G187" i="47" s="1"/>
  <c r="G187" i="48" s="1"/>
  <c r="N187" i="34"/>
  <c r="G241" i="35"/>
  <c r="G241" i="36" s="1"/>
  <c r="G241" i="37" s="1"/>
  <c r="G241" i="38" s="1"/>
  <c r="G241" i="39" s="1"/>
  <c r="G241" i="40" s="1"/>
  <c r="G241" i="41" s="1"/>
  <c r="G241" i="42" s="1"/>
  <c r="G241" i="43" s="1"/>
  <c r="G241" i="44" s="1"/>
  <c r="G241" i="45" s="1"/>
  <c r="G241" i="46" s="1"/>
  <c r="G241" i="47" s="1"/>
  <c r="G241" i="48" s="1"/>
  <c r="N241" i="34"/>
  <c r="G258" i="35"/>
  <c r="G258" i="36" s="1"/>
  <c r="G258" i="37" s="1"/>
  <c r="G258" i="38" s="1"/>
  <c r="G258" i="39" s="1"/>
  <c r="G258" i="40" s="1"/>
  <c r="G258" i="41" s="1"/>
  <c r="G258" i="42" s="1"/>
  <c r="G258" i="43" s="1"/>
  <c r="G258" i="44" s="1"/>
  <c r="G258" i="45" s="1"/>
  <c r="G258" i="46" s="1"/>
  <c r="G258" i="47" s="1"/>
  <c r="G258" i="48" s="1"/>
  <c r="N258" i="34"/>
  <c r="G228" i="35"/>
  <c r="G228" i="36" s="1"/>
  <c r="G228" i="37" s="1"/>
  <c r="G228" i="38" s="1"/>
  <c r="G228" i="39" s="1"/>
  <c r="G228" i="40" s="1"/>
  <c r="G228" i="41" s="1"/>
  <c r="G228" i="42" s="1"/>
  <c r="G228" i="43" s="1"/>
  <c r="G228" i="44" s="1"/>
  <c r="G228" i="45" s="1"/>
  <c r="G228" i="46" s="1"/>
  <c r="G228" i="47" s="1"/>
  <c r="G228" i="48" s="1"/>
  <c r="N228" i="34"/>
  <c r="G145" i="35"/>
  <c r="G145" i="36" s="1"/>
  <c r="G145" i="37" s="1"/>
  <c r="G145" i="38" s="1"/>
  <c r="G145" i="39" s="1"/>
  <c r="G145" i="40" s="1"/>
  <c r="G145" i="41" s="1"/>
  <c r="G145" i="42" s="1"/>
  <c r="G145" i="43" s="1"/>
  <c r="G145" i="44" s="1"/>
  <c r="G145" i="45" s="1"/>
  <c r="G145" i="46" s="1"/>
  <c r="G145" i="47" s="1"/>
  <c r="G145" i="48" s="1"/>
  <c r="N145" i="34"/>
  <c r="G153" i="35"/>
  <c r="G153" i="36" s="1"/>
  <c r="G153" i="37" s="1"/>
  <c r="G153" i="38" s="1"/>
  <c r="G153" i="39" s="1"/>
  <c r="G153" i="40" s="1"/>
  <c r="G153" i="41" s="1"/>
  <c r="G153" i="42" s="1"/>
  <c r="G153" i="43" s="1"/>
  <c r="G153" i="44" s="1"/>
  <c r="G153" i="45" s="1"/>
  <c r="G153" i="46" s="1"/>
  <c r="G153" i="47" s="1"/>
  <c r="G153" i="48" s="1"/>
  <c r="N153" i="34"/>
  <c r="G281" i="35"/>
  <c r="G281" i="36" s="1"/>
  <c r="G281" i="37" s="1"/>
  <c r="G281" i="38" s="1"/>
  <c r="G281" i="39" s="1"/>
  <c r="G281" i="40" s="1"/>
  <c r="G281" i="41" s="1"/>
  <c r="G281" i="42" s="1"/>
  <c r="G281" i="43" s="1"/>
  <c r="G281" i="44" s="1"/>
  <c r="G281" i="45" s="1"/>
  <c r="G281" i="46" s="1"/>
  <c r="G281" i="47" s="1"/>
  <c r="G281" i="48" s="1"/>
  <c r="N281" i="34"/>
  <c r="G129" i="35"/>
  <c r="G129" i="36" s="1"/>
  <c r="G129" i="37" s="1"/>
  <c r="G129" i="38" s="1"/>
  <c r="G129" i="39" s="1"/>
  <c r="G129" i="40" s="1"/>
  <c r="G129" i="41" s="1"/>
  <c r="G129" i="42" s="1"/>
  <c r="G129" i="43" s="1"/>
  <c r="G129" i="44" s="1"/>
  <c r="G129" i="45" s="1"/>
  <c r="G129" i="46" s="1"/>
  <c r="G129" i="47" s="1"/>
  <c r="G129" i="48" s="1"/>
  <c r="N129" i="34"/>
  <c r="G186" i="35"/>
  <c r="G186" i="36" s="1"/>
  <c r="G186" i="37" s="1"/>
  <c r="G186" i="38" s="1"/>
  <c r="G186" i="39" s="1"/>
  <c r="G186" i="40" s="1"/>
  <c r="G186" i="41" s="1"/>
  <c r="G186" i="42" s="1"/>
  <c r="G186" i="43" s="1"/>
  <c r="G186" i="44" s="1"/>
  <c r="G186" i="45" s="1"/>
  <c r="G186" i="46" s="1"/>
  <c r="G186" i="47" s="1"/>
  <c r="G186" i="48" s="1"/>
  <c r="N186" i="34"/>
  <c r="F137" i="37"/>
  <c r="I137" i="36"/>
  <c r="M137" i="36" s="1"/>
  <c r="F192" i="37"/>
  <c r="I192" i="36"/>
  <c r="M192" i="36" s="1"/>
  <c r="F291" i="37"/>
  <c r="I291" i="36"/>
  <c r="M291" i="36" s="1"/>
  <c r="I146" i="36"/>
  <c r="M146" i="36" s="1"/>
  <c r="F146" i="37"/>
  <c r="H152" i="36"/>
  <c r="K152" i="35"/>
  <c r="H165" i="36"/>
  <c r="K165" i="35"/>
  <c r="F174" i="37"/>
  <c r="I174" i="36"/>
  <c r="M174" i="36" s="1"/>
  <c r="F208" i="37"/>
  <c r="I208" i="36"/>
  <c r="M208" i="36" s="1"/>
  <c r="H154" i="36"/>
  <c r="K154" i="35"/>
  <c r="F219" i="37"/>
  <c r="I219" i="36"/>
  <c r="M219" i="36" s="1"/>
  <c r="H127" i="36"/>
  <c r="K127" i="35"/>
  <c r="K219" i="35"/>
  <c r="H219" i="36"/>
  <c r="F148" i="37"/>
  <c r="I148" i="36"/>
  <c r="M148" i="36" s="1"/>
  <c r="H181" i="36"/>
  <c r="K181" i="35"/>
  <c r="I233" i="36"/>
  <c r="M233" i="36" s="1"/>
  <c r="F233" i="37"/>
  <c r="H284" i="36"/>
  <c r="K284" i="35"/>
  <c r="H157" i="36"/>
  <c r="K157" i="35"/>
  <c r="H283" i="36"/>
  <c r="K283" i="35"/>
  <c r="F165" i="37"/>
  <c r="I165" i="36"/>
  <c r="M165" i="36" s="1"/>
  <c r="I119" i="36"/>
  <c r="M119" i="36" s="1"/>
  <c r="F119" i="37"/>
  <c r="F186" i="37"/>
  <c r="I186" i="36"/>
  <c r="M186" i="36" s="1"/>
  <c r="F214" i="37"/>
  <c r="I214" i="36"/>
  <c r="M214" i="36" s="1"/>
  <c r="H265" i="36"/>
  <c r="K265" i="35"/>
  <c r="H131" i="36"/>
  <c r="K131" i="35"/>
  <c r="F267" i="37"/>
  <c r="I267" i="36"/>
  <c r="M267" i="36" s="1"/>
  <c r="H177" i="36"/>
  <c r="K177" i="35"/>
  <c r="F149" i="37"/>
  <c r="I149" i="36"/>
  <c r="M149" i="36" s="1"/>
  <c r="H215" i="36"/>
  <c r="K215" i="35"/>
  <c r="K243" i="35"/>
  <c r="H243" i="36"/>
  <c r="C278" i="37"/>
  <c r="I278" i="36"/>
  <c r="M278" i="36" s="1"/>
  <c r="F166" i="37"/>
  <c r="I166" i="36"/>
  <c r="M166" i="36" s="1"/>
  <c r="H222" i="36"/>
  <c r="K222" i="35"/>
  <c r="F258" i="37"/>
  <c r="I258" i="36"/>
  <c r="M258" i="36" s="1"/>
  <c r="F196" i="37"/>
  <c r="I196" i="36"/>
  <c r="M196" i="36" s="1"/>
  <c r="F120" i="37"/>
  <c r="I120" i="36"/>
  <c r="M120" i="36" s="1"/>
  <c r="F141" i="37"/>
  <c r="I141" i="36"/>
  <c r="M141" i="36" s="1"/>
  <c r="K197" i="35"/>
  <c r="H197" i="36"/>
  <c r="H209" i="36"/>
  <c r="K209" i="35"/>
  <c r="H254" i="36"/>
  <c r="K254" i="35"/>
  <c r="H262" i="36"/>
  <c r="K262" i="35"/>
  <c r="F127" i="37"/>
  <c r="I127" i="36"/>
  <c r="M127" i="36" s="1"/>
  <c r="H150" i="36"/>
  <c r="K150" i="35"/>
  <c r="H205" i="36"/>
  <c r="K205" i="35"/>
  <c r="F260" i="37"/>
  <c r="I260" i="36"/>
  <c r="M260" i="36" s="1"/>
  <c r="F162" i="37"/>
  <c r="I162" i="36"/>
  <c r="M162" i="36" s="1"/>
  <c r="F226" i="37"/>
  <c r="I226" i="36"/>
  <c r="M226" i="36" s="1"/>
  <c r="F262" i="37"/>
  <c r="I262" i="36"/>
  <c r="M262" i="36" s="1"/>
  <c r="H242" i="36"/>
  <c r="K242" i="35"/>
  <c r="K271" i="35"/>
  <c r="H271" i="36"/>
  <c r="N278" i="34"/>
  <c r="F255" i="45"/>
  <c r="I255" i="44"/>
  <c r="M255" i="44" s="1"/>
  <c r="F289" i="37"/>
  <c r="I289" i="36"/>
  <c r="M289" i="36" s="1"/>
  <c r="K185" i="35"/>
  <c r="H185" i="36"/>
  <c r="H194" i="36"/>
  <c r="K194" i="35"/>
  <c r="F265" i="37"/>
  <c r="I265" i="36"/>
  <c r="M265" i="36" s="1"/>
  <c r="H275" i="36"/>
  <c r="K275" i="35"/>
  <c r="K151" i="35"/>
  <c r="H151" i="36"/>
  <c r="F213" i="37"/>
  <c r="I213" i="36"/>
  <c r="M213" i="36" s="1"/>
  <c r="F230" i="37"/>
  <c r="I230" i="36"/>
  <c r="M230" i="36" s="1"/>
  <c r="I250" i="36"/>
  <c r="M250" i="36" s="1"/>
  <c r="F250" i="37"/>
  <c r="H259" i="48"/>
  <c r="K259" i="48" s="1"/>
  <c r="K259" i="47"/>
  <c r="H160" i="36"/>
  <c r="K160" i="35"/>
  <c r="C169" i="37"/>
  <c r="I169" i="36"/>
  <c r="M169" i="36" s="1"/>
  <c r="H280" i="36"/>
  <c r="K280" i="35"/>
  <c r="H123" i="36"/>
  <c r="K123" i="35"/>
  <c r="I285" i="36"/>
  <c r="M285" i="36" s="1"/>
  <c r="F285" i="37"/>
  <c r="F247" i="37"/>
  <c r="I247" i="36"/>
  <c r="M247" i="36" s="1"/>
  <c r="K196" i="35"/>
  <c r="H196" i="36"/>
  <c r="F202" i="37"/>
  <c r="I202" i="36"/>
  <c r="M202" i="36" s="1"/>
  <c r="H268" i="36"/>
  <c r="K268" i="35"/>
  <c r="H204" i="36"/>
  <c r="K204" i="35"/>
  <c r="F199" i="37"/>
  <c r="I199" i="36"/>
  <c r="M199" i="36" s="1"/>
  <c r="H213" i="36"/>
  <c r="K213" i="35"/>
  <c r="F222" i="37"/>
  <c r="I222" i="36"/>
  <c r="M222" i="36" s="1"/>
  <c r="G264" i="35"/>
  <c r="G264" i="36" s="1"/>
  <c r="G264" i="37" s="1"/>
  <c r="G264" i="38" s="1"/>
  <c r="G264" i="39" s="1"/>
  <c r="G264" i="40" s="1"/>
  <c r="G264" i="41" s="1"/>
  <c r="G264" i="42" s="1"/>
  <c r="G264" i="43" s="1"/>
  <c r="G264" i="44" s="1"/>
  <c r="G264" i="45" s="1"/>
  <c r="G264" i="46" s="1"/>
  <c r="G264" i="47" s="1"/>
  <c r="G264" i="48" s="1"/>
  <c r="N264" i="34"/>
  <c r="G234" i="35"/>
  <c r="G234" i="36" s="1"/>
  <c r="G234" i="37" s="1"/>
  <c r="G234" i="38" s="1"/>
  <c r="G234" i="39" s="1"/>
  <c r="G234" i="40" s="1"/>
  <c r="G234" i="41" s="1"/>
  <c r="G234" i="42" s="1"/>
  <c r="G234" i="43" s="1"/>
  <c r="G234" i="44" s="1"/>
  <c r="G234" i="45" s="1"/>
  <c r="G234" i="46" s="1"/>
  <c r="G234" i="47" s="1"/>
  <c r="G234" i="48" s="1"/>
  <c r="N234" i="34"/>
  <c r="G135" i="35"/>
  <c r="G135" i="36" s="1"/>
  <c r="G135" i="37" s="1"/>
  <c r="G135" i="38" s="1"/>
  <c r="G135" i="39" s="1"/>
  <c r="G135" i="40" s="1"/>
  <c r="G135" i="41" s="1"/>
  <c r="G135" i="42" s="1"/>
  <c r="G135" i="43" s="1"/>
  <c r="G135" i="44" s="1"/>
  <c r="G135" i="45" s="1"/>
  <c r="G135" i="46" s="1"/>
  <c r="G135" i="47" s="1"/>
  <c r="G135" i="48" s="1"/>
  <c r="N135" i="34"/>
  <c r="G283" i="35"/>
  <c r="G283" i="36" s="1"/>
  <c r="G283" i="37" s="1"/>
  <c r="G283" i="38" s="1"/>
  <c r="G283" i="39" s="1"/>
  <c r="G283" i="40" s="1"/>
  <c r="G283" i="41" s="1"/>
  <c r="G283" i="42" s="1"/>
  <c r="G283" i="43" s="1"/>
  <c r="G283" i="44" s="1"/>
  <c r="G283" i="45" s="1"/>
  <c r="G283" i="46" s="1"/>
  <c r="G283" i="47" s="1"/>
  <c r="G283" i="48" s="1"/>
  <c r="N283" i="34"/>
  <c r="G196" i="35"/>
  <c r="G196" i="36" s="1"/>
  <c r="G196" i="37" s="1"/>
  <c r="G196" i="38" s="1"/>
  <c r="G196" i="39" s="1"/>
  <c r="G196" i="40" s="1"/>
  <c r="G196" i="41" s="1"/>
  <c r="G196" i="42" s="1"/>
  <c r="G196" i="43" s="1"/>
  <c r="G196" i="44" s="1"/>
  <c r="G196" i="45" s="1"/>
  <c r="G196" i="46" s="1"/>
  <c r="G196" i="47" s="1"/>
  <c r="G196" i="48" s="1"/>
  <c r="N196" i="34"/>
  <c r="G199" i="35"/>
  <c r="G199" i="36" s="1"/>
  <c r="G199" i="37" s="1"/>
  <c r="G199" i="38" s="1"/>
  <c r="G199" i="39" s="1"/>
  <c r="G199" i="40" s="1"/>
  <c r="G199" i="41" s="1"/>
  <c r="G199" i="42" s="1"/>
  <c r="G199" i="43" s="1"/>
  <c r="G199" i="44" s="1"/>
  <c r="G199" i="45" s="1"/>
  <c r="G199" i="46" s="1"/>
  <c r="G199" i="47" s="1"/>
  <c r="G199" i="48" s="1"/>
  <c r="N199" i="34"/>
  <c r="H291" i="36"/>
  <c r="K291" i="35"/>
  <c r="F239" i="37"/>
  <c r="I239" i="36"/>
  <c r="M239" i="36" s="1"/>
  <c r="F270" i="37"/>
  <c r="I270" i="36"/>
  <c r="M270" i="36" s="1"/>
  <c r="H276" i="36"/>
  <c r="K276" i="35"/>
  <c r="I144" i="36"/>
  <c r="M144" i="36" s="1"/>
  <c r="F144" i="37"/>
  <c r="K174" i="35"/>
  <c r="H174" i="36"/>
  <c r="F277" i="37"/>
  <c r="I277" i="36"/>
  <c r="M277" i="36" s="1"/>
  <c r="F256" i="37"/>
  <c r="I256" i="36"/>
  <c r="M256" i="36" s="1"/>
  <c r="K207" i="35"/>
  <c r="H207" i="36"/>
  <c r="F205" i="37"/>
  <c r="I205" i="36"/>
  <c r="M205" i="36" s="1"/>
  <c r="F249" i="37"/>
  <c r="I249" i="36"/>
  <c r="M249" i="36" s="1"/>
  <c r="F268" i="37"/>
  <c r="I268" i="36"/>
  <c r="M268" i="36" s="1"/>
  <c r="F173" i="37"/>
  <c r="I173" i="36"/>
  <c r="M173" i="36" s="1"/>
  <c r="K195" i="35"/>
  <c r="H195" i="36"/>
  <c r="F236" i="37"/>
  <c r="I236" i="36"/>
  <c r="M236" i="36" s="1"/>
  <c r="F221" i="37"/>
  <c r="I221" i="36"/>
  <c r="M221" i="36" s="1"/>
  <c r="K148" i="35"/>
  <c r="H148" i="36"/>
  <c r="H184" i="36"/>
  <c r="K184" i="35"/>
  <c r="I225" i="36"/>
  <c r="M225" i="36" s="1"/>
  <c r="F225" i="37"/>
  <c r="I134" i="36"/>
  <c r="M134" i="36" s="1"/>
  <c r="F134" i="37"/>
  <c r="H132" i="36"/>
  <c r="K132" i="35"/>
  <c r="K167" i="35"/>
  <c r="H167" i="36"/>
  <c r="F242" i="37"/>
  <c r="I242" i="36"/>
  <c r="M242" i="36" s="1"/>
  <c r="I190" i="36"/>
  <c r="M190" i="36" s="1"/>
  <c r="F190" i="37"/>
  <c r="F264" i="37"/>
  <c r="I264" i="36"/>
  <c r="M264" i="36" s="1"/>
  <c r="F131" i="37"/>
  <c r="I131" i="36"/>
  <c r="M131" i="36" s="1"/>
  <c r="K173" i="35"/>
  <c r="H173" i="36"/>
  <c r="F204" i="37"/>
  <c r="I204" i="36"/>
  <c r="M204" i="36" s="1"/>
  <c r="F140" i="37"/>
  <c r="I140" i="36"/>
  <c r="M140" i="36" s="1"/>
  <c r="H176" i="36"/>
  <c r="K176" i="35"/>
  <c r="H263" i="36"/>
  <c r="K263" i="35"/>
  <c r="F135" i="37"/>
  <c r="I135" i="36"/>
  <c r="M135" i="36" s="1"/>
  <c r="F228" i="37"/>
  <c r="I228" i="36"/>
  <c r="M228" i="36" s="1"/>
  <c r="F153" i="37"/>
  <c r="I153" i="36"/>
  <c r="M153" i="36" s="1"/>
  <c r="G142" i="35"/>
  <c r="G142" i="36" s="1"/>
  <c r="G142" i="37" s="1"/>
  <c r="G142" i="38" s="1"/>
  <c r="G142" i="39" s="1"/>
  <c r="G142" i="40" s="1"/>
  <c r="G142" i="41" s="1"/>
  <c r="G142" i="42" s="1"/>
  <c r="G142" i="43" s="1"/>
  <c r="G142" i="44" s="1"/>
  <c r="G142" i="45" s="1"/>
  <c r="G142" i="46" s="1"/>
  <c r="G142" i="47" s="1"/>
  <c r="G142" i="48" s="1"/>
  <c r="N142" i="34"/>
  <c r="G284" i="35"/>
  <c r="G284" i="36" s="1"/>
  <c r="G284" i="37" s="1"/>
  <c r="G284" i="38" s="1"/>
  <c r="G284" i="39" s="1"/>
  <c r="G284" i="40" s="1"/>
  <c r="G284" i="41" s="1"/>
  <c r="G284" i="42" s="1"/>
  <c r="G284" i="43" s="1"/>
  <c r="G284" i="44" s="1"/>
  <c r="G284" i="45" s="1"/>
  <c r="G284" i="46" s="1"/>
  <c r="G284" i="47" s="1"/>
  <c r="G284" i="48" s="1"/>
  <c r="N284" i="34"/>
  <c r="G173" i="35"/>
  <c r="G173" i="36" s="1"/>
  <c r="G173" i="37" s="1"/>
  <c r="G173" i="38" s="1"/>
  <c r="G173" i="39" s="1"/>
  <c r="G173" i="40" s="1"/>
  <c r="G173" i="41" s="1"/>
  <c r="G173" i="42" s="1"/>
  <c r="G173" i="43" s="1"/>
  <c r="G173" i="44" s="1"/>
  <c r="G173" i="45" s="1"/>
  <c r="G173" i="46" s="1"/>
  <c r="G173" i="47" s="1"/>
  <c r="G173" i="48" s="1"/>
  <c r="N173" i="34"/>
  <c r="G231" i="35"/>
  <c r="G231" i="36" s="1"/>
  <c r="G231" i="37" s="1"/>
  <c r="G231" i="38" s="1"/>
  <c r="G231" i="39" s="1"/>
  <c r="G231" i="40" s="1"/>
  <c r="G231" i="41" s="1"/>
  <c r="G231" i="42" s="1"/>
  <c r="G231" i="43" s="1"/>
  <c r="G231" i="44" s="1"/>
  <c r="G231" i="45" s="1"/>
  <c r="G231" i="46" s="1"/>
  <c r="G231" i="47" s="1"/>
  <c r="G231" i="48" s="1"/>
  <c r="N231" i="34"/>
  <c r="G194" i="35"/>
  <c r="G194" i="36" s="1"/>
  <c r="G194" i="37" s="1"/>
  <c r="G194" i="38" s="1"/>
  <c r="G194" i="39" s="1"/>
  <c r="G194" i="40" s="1"/>
  <c r="G194" i="41" s="1"/>
  <c r="G194" i="42" s="1"/>
  <c r="G194" i="43" s="1"/>
  <c r="G194" i="44" s="1"/>
  <c r="G194" i="45" s="1"/>
  <c r="G194" i="46" s="1"/>
  <c r="G194" i="47" s="1"/>
  <c r="G194" i="48" s="1"/>
  <c r="N194" i="34"/>
  <c r="G203" i="35"/>
  <c r="G203" i="36" s="1"/>
  <c r="G203" i="37" s="1"/>
  <c r="G203" i="38" s="1"/>
  <c r="G203" i="39" s="1"/>
  <c r="G203" i="40" s="1"/>
  <c r="G203" i="41" s="1"/>
  <c r="G203" i="42" s="1"/>
  <c r="G203" i="43" s="1"/>
  <c r="G203" i="44" s="1"/>
  <c r="G203" i="45" s="1"/>
  <c r="G203" i="46" s="1"/>
  <c r="G203" i="47" s="1"/>
  <c r="G203" i="48" s="1"/>
  <c r="N203" i="34"/>
  <c r="G161" i="35"/>
  <c r="G161" i="36" s="1"/>
  <c r="G161" i="37" s="1"/>
  <c r="G161" i="38" s="1"/>
  <c r="G161" i="39" s="1"/>
  <c r="G161" i="40" s="1"/>
  <c r="G161" i="41" s="1"/>
  <c r="G161" i="42" s="1"/>
  <c r="G161" i="43" s="1"/>
  <c r="G161" i="44" s="1"/>
  <c r="G161" i="45" s="1"/>
  <c r="G161" i="46" s="1"/>
  <c r="G161" i="47" s="1"/>
  <c r="G161" i="48" s="1"/>
  <c r="N161" i="34"/>
  <c r="G123" i="35"/>
  <c r="G123" i="36" s="1"/>
  <c r="G123" i="37" s="1"/>
  <c r="G123" i="38" s="1"/>
  <c r="G123" i="39" s="1"/>
  <c r="G123" i="40" s="1"/>
  <c r="G123" i="41" s="1"/>
  <c r="G123" i="42" s="1"/>
  <c r="G123" i="43" s="1"/>
  <c r="G123" i="44" s="1"/>
  <c r="G123" i="45" s="1"/>
  <c r="G123" i="46" s="1"/>
  <c r="G123" i="47" s="1"/>
  <c r="G123" i="48" s="1"/>
  <c r="N123" i="34"/>
  <c r="G235" i="35"/>
  <c r="G235" i="36" s="1"/>
  <c r="G235" i="37" s="1"/>
  <c r="G235" i="38" s="1"/>
  <c r="G235" i="39" s="1"/>
  <c r="G235" i="40" s="1"/>
  <c r="G235" i="41" s="1"/>
  <c r="G235" i="42" s="1"/>
  <c r="G235" i="43" s="1"/>
  <c r="G235" i="44" s="1"/>
  <c r="G235" i="45" s="1"/>
  <c r="G235" i="46" s="1"/>
  <c r="G235" i="47" s="1"/>
  <c r="G235" i="48" s="1"/>
  <c r="N235" i="34"/>
  <c r="G198" i="35"/>
  <c r="G198" i="36" s="1"/>
  <c r="G198" i="37" s="1"/>
  <c r="G198" i="38" s="1"/>
  <c r="G198" i="39" s="1"/>
  <c r="G198" i="40" s="1"/>
  <c r="G198" i="41" s="1"/>
  <c r="G198" i="42" s="1"/>
  <c r="G198" i="43" s="1"/>
  <c r="G198" i="44" s="1"/>
  <c r="G198" i="45" s="1"/>
  <c r="G198" i="46" s="1"/>
  <c r="G198" i="47" s="1"/>
  <c r="G198" i="48" s="1"/>
  <c r="N198" i="34"/>
  <c r="G291" i="35"/>
  <c r="G291" i="36" s="1"/>
  <c r="G291" i="37" s="1"/>
  <c r="G291" i="38" s="1"/>
  <c r="G291" i="39" s="1"/>
  <c r="G291" i="40" s="1"/>
  <c r="G291" i="41" s="1"/>
  <c r="G291" i="42" s="1"/>
  <c r="G291" i="43" s="1"/>
  <c r="G291" i="44" s="1"/>
  <c r="G291" i="45" s="1"/>
  <c r="G291" i="46" s="1"/>
  <c r="G291" i="47" s="1"/>
  <c r="G291" i="48" s="1"/>
  <c r="N291" i="34"/>
  <c r="G216" i="35"/>
  <c r="G216" i="36" s="1"/>
  <c r="G216" i="37" s="1"/>
  <c r="G216" i="38" s="1"/>
  <c r="G216" i="39" s="1"/>
  <c r="G216" i="40" s="1"/>
  <c r="G216" i="41" s="1"/>
  <c r="G216" i="42" s="1"/>
  <c r="G216" i="43" s="1"/>
  <c r="G216" i="44" s="1"/>
  <c r="G216" i="45" s="1"/>
  <c r="G216" i="46" s="1"/>
  <c r="G216" i="47" s="1"/>
  <c r="G216" i="48" s="1"/>
  <c r="N216" i="34"/>
  <c r="G176" i="35"/>
  <c r="G176" i="36" s="1"/>
  <c r="G176" i="37" s="1"/>
  <c r="G176" i="38" s="1"/>
  <c r="G176" i="39" s="1"/>
  <c r="G176" i="40" s="1"/>
  <c r="G176" i="41" s="1"/>
  <c r="G176" i="42" s="1"/>
  <c r="G176" i="43" s="1"/>
  <c r="G176" i="44" s="1"/>
  <c r="G176" i="45" s="1"/>
  <c r="G176" i="46" s="1"/>
  <c r="G176" i="47" s="1"/>
  <c r="G176" i="48" s="1"/>
  <c r="N176" i="34"/>
  <c r="G190" i="35"/>
  <c r="G190" i="36" s="1"/>
  <c r="G190" i="37" s="1"/>
  <c r="G190" i="38" s="1"/>
  <c r="G190" i="39" s="1"/>
  <c r="G190" i="40" s="1"/>
  <c r="G190" i="41" s="1"/>
  <c r="G190" i="42" s="1"/>
  <c r="G190" i="43" s="1"/>
  <c r="G190" i="44" s="1"/>
  <c r="G190" i="45" s="1"/>
  <c r="G190" i="46" s="1"/>
  <c r="G190" i="47" s="1"/>
  <c r="G190" i="48" s="1"/>
  <c r="N190" i="34"/>
  <c r="G285" i="35"/>
  <c r="G285" i="36" s="1"/>
  <c r="G285" i="37" s="1"/>
  <c r="G285" i="38" s="1"/>
  <c r="G285" i="39" s="1"/>
  <c r="G285" i="40" s="1"/>
  <c r="G285" i="41" s="1"/>
  <c r="G285" i="42" s="1"/>
  <c r="G285" i="43" s="1"/>
  <c r="G285" i="44" s="1"/>
  <c r="G285" i="45" s="1"/>
  <c r="G285" i="46" s="1"/>
  <c r="G285" i="47" s="1"/>
  <c r="G285" i="48" s="1"/>
  <c r="N285" i="34"/>
  <c r="F161" i="37"/>
  <c r="I161" i="36"/>
  <c r="M161" i="36" s="1"/>
  <c r="F179" i="37"/>
  <c r="I179" i="36"/>
  <c r="M179" i="36" s="1"/>
  <c r="H156" i="36"/>
  <c r="K156" i="35"/>
  <c r="H166" i="36"/>
  <c r="K166" i="35"/>
  <c r="K273" i="35"/>
  <c r="H273" i="36"/>
  <c r="K135" i="35"/>
  <c r="H135" i="36"/>
  <c r="H146" i="36"/>
  <c r="K146" i="35"/>
  <c r="H163" i="36"/>
  <c r="K163" i="35"/>
  <c r="F248" i="37"/>
  <c r="I248" i="36"/>
  <c r="M248" i="36" s="1"/>
  <c r="C126" i="37"/>
  <c r="I126" i="36"/>
  <c r="M126" i="36" s="1"/>
  <c r="F133" i="37"/>
  <c r="I133" i="36"/>
  <c r="M133" i="36" s="1"/>
  <c r="H251" i="36"/>
  <c r="K251" i="35"/>
  <c r="H289" i="36"/>
  <c r="K289" i="35"/>
  <c r="H120" i="36"/>
  <c r="K120" i="35"/>
  <c r="H142" i="36"/>
  <c r="K142" i="35"/>
  <c r="H158" i="36"/>
  <c r="K158" i="35"/>
  <c r="H172" i="36"/>
  <c r="K172" i="35"/>
  <c r="F189" i="37"/>
  <c r="I189" i="36"/>
  <c r="M189" i="36" s="1"/>
  <c r="F286" i="37"/>
  <c r="I286" i="36"/>
  <c r="M286" i="36" s="1"/>
  <c r="M259" i="48"/>
  <c r="A290" i="31"/>
  <c r="H212" i="36"/>
  <c r="K212" i="35"/>
  <c r="H229" i="36"/>
  <c r="K229" i="35"/>
  <c r="F145" i="37"/>
  <c r="I145" i="36"/>
  <c r="M145" i="36" s="1"/>
  <c r="H231" i="36"/>
  <c r="K231" i="35"/>
  <c r="H239" i="36"/>
  <c r="K239" i="35"/>
  <c r="H246" i="36"/>
  <c r="K246" i="35"/>
  <c r="H266" i="36"/>
  <c r="K266" i="35"/>
  <c r="H237" i="36"/>
  <c r="K237" i="35"/>
  <c r="H285" i="36"/>
  <c r="K285" i="35"/>
  <c r="F163" i="37"/>
  <c r="I163" i="36"/>
  <c r="M163" i="36" s="1"/>
  <c r="H218" i="36"/>
  <c r="K218" i="35"/>
  <c r="F229" i="37"/>
  <c r="I229" i="36"/>
  <c r="M229" i="36" s="1"/>
  <c r="F263" i="37"/>
  <c r="I263" i="36"/>
  <c r="M263" i="36" s="1"/>
  <c r="F171" i="37"/>
  <c r="I171" i="36"/>
  <c r="M171" i="36" s="1"/>
  <c r="I203" i="36"/>
  <c r="M203" i="36" s="1"/>
  <c r="F203" i="37"/>
  <c r="F215" i="37"/>
  <c r="I215" i="36"/>
  <c r="M215" i="36" s="1"/>
  <c r="H226" i="36"/>
  <c r="K226" i="35"/>
  <c r="F240" i="37"/>
  <c r="I240" i="36"/>
  <c r="M240" i="36" s="1"/>
  <c r="F266" i="37"/>
  <c r="I266" i="36"/>
  <c r="M266" i="36" s="1"/>
  <c r="F282" i="37"/>
  <c r="I282" i="36"/>
  <c r="M282" i="36" s="1"/>
  <c r="H143" i="36"/>
  <c r="K143" i="35"/>
  <c r="H234" i="36"/>
  <c r="K234" i="35"/>
  <c r="H286" i="36"/>
  <c r="K286" i="35"/>
  <c r="F150" i="37"/>
  <c r="I150" i="36"/>
  <c r="M150" i="36" s="1"/>
  <c r="H202" i="36"/>
  <c r="K202" i="35"/>
  <c r="H210" i="36"/>
  <c r="K210" i="35"/>
  <c r="H214" i="36"/>
  <c r="K214" i="35"/>
  <c r="F223" i="37"/>
  <c r="I223" i="36"/>
  <c r="M223" i="36" s="1"/>
  <c r="H232" i="36"/>
  <c r="K232" i="35"/>
  <c r="H238" i="36"/>
  <c r="K238" i="35"/>
  <c r="H175" i="36"/>
  <c r="K175" i="35"/>
  <c r="F273" i="37"/>
  <c r="I273" i="36"/>
  <c r="M273" i="36" s="1"/>
  <c r="F129" i="37"/>
  <c r="I129" i="36"/>
  <c r="M129" i="36" s="1"/>
  <c r="F138" i="37"/>
  <c r="I138" i="36"/>
  <c r="M138" i="36" s="1"/>
  <c r="I198" i="36"/>
  <c r="M198" i="36" s="1"/>
  <c r="F198" i="37"/>
  <c r="K249" i="35"/>
  <c r="H249" i="36"/>
  <c r="H261" i="36"/>
  <c r="K261" i="35"/>
  <c r="F123" i="37"/>
  <c r="I123" i="36"/>
  <c r="M123" i="36" s="1"/>
  <c r="K138" i="35"/>
  <c r="H138" i="36"/>
  <c r="H145" i="36"/>
  <c r="K145" i="35"/>
  <c r="I217" i="36"/>
  <c r="M217" i="36" s="1"/>
  <c r="F217" i="37"/>
  <c r="F244" i="37"/>
  <c r="I244" i="36"/>
  <c r="M244" i="36" s="1"/>
  <c r="K178" i="35"/>
  <c r="H178" i="36"/>
  <c r="F164" i="37"/>
  <c r="I164" i="36"/>
  <c r="M164" i="36" s="1"/>
  <c r="F180" i="37"/>
  <c r="I180" i="36"/>
  <c r="M180" i="36" s="1"/>
  <c r="H225" i="36"/>
  <c r="K225" i="35"/>
  <c r="H260" i="36"/>
  <c r="K260" i="35"/>
  <c r="H274" i="36"/>
  <c r="K274" i="35"/>
  <c r="H292" i="36"/>
  <c r="K292" i="35"/>
  <c r="H121" i="36"/>
  <c r="K121" i="35"/>
  <c r="H141" i="36"/>
  <c r="K141" i="35"/>
  <c r="F155" i="37"/>
  <c r="I155" i="36"/>
  <c r="M155" i="36" s="1"/>
  <c r="H171" i="36"/>
  <c r="K171" i="35"/>
  <c r="F220" i="37"/>
  <c r="I220" i="36"/>
  <c r="M220" i="36" s="1"/>
  <c r="H287" i="36"/>
  <c r="K287" i="35"/>
  <c r="F168" i="37"/>
  <c r="I168" i="36"/>
  <c r="M168" i="36" s="1"/>
  <c r="F157" i="37"/>
  <c r="I157" i="36"/>
  <c r="M157" i="36" s="1"/>
  <c r="F183" i="37"/>
  <c r="I183" i="36"/>
  <c r="M183" i="36" s="1"/>
  <c r="H227" i="36"/>
  <c r="K227" i="35"/>
  <c r="H245" i="36"/>
  <c r="K245" i="35"/>
  <c r="H257" i="36"/>
  <c r="K257" i="35"/>
  <c r="H279" i="36"/>
  <c r="K279" i="35"/>
  <c r="I147" i="36"/>
  <c r="M147" i="36" s="1"/>
  <c r="F147" i="37"/>
  <c r="H203" i="36"/>
  <c r="K203" i="35"/>
  <c r="G249" i="35"/>
  <c r="G249" i="36" s="1"/>
  <c r="G249" i="37" s="1"/>
  <c r="G249" i="38" s="1"/>
  <c r="G249" i="39" s="1"/>
  <c r="G249" i="40" s="1"/>
  <c r="G249" i="41" s="1"/>
  <c r="G249" i="42" s="1"/>
  <c r="G249" i="43" s="1"/>
  <c r="G249" i="44" s="1"/>
  <c r="G249" i="45" s="1"/>
  <c r="G249" i="46" s="1"/>
  <c r="G249" i="47" s="1"/>
  <c r="G249" i="48" s="1"/>
  <c r="N249" i="34"/>
  <c r="G248" i="35"/>
  <c r="G248" i="36" s="1"/>
  <c r="G248" i="37" s="1"/>
  <c r="G248" i="38" s="1"/>
  <c r="G248" i="39" s="1"/>
  <c r="G248" i="40" s="1"/>
  <c r="G248" i="41" s="1"/>
  <c r="G248" i="42" s="1"/>
  <c r="G248" i="43" s="1"/>
  <c r="G248" i="44" s="1"/>
  <c r="G248" i="45" s="1"/>
  <c r="G248" i="46" s="1"/>
  <c r="G248" i="47" s="1"/>
  <c r="G248" i="48" s="1"/>
  <c r="N248" i="34"/>
  <c r="I245" i="36"/>
  <c r="M245" i="36" s="1"/>
  <c r="F245" i="37"/>
  <c r="G240" i="35"/>
  <c r="G240" i="36" s="1"/>
  <c r="G240" i="37" s="1"/>
  <c r="G240" i="38" s="1"/>
  <c r="G240" i="39" s="1"/>
  <c r="G240" i="40" s="1"/>
  <c r="G240" i="41" s="1"/>
  <c r="G240" i="42" s="1"/>
  <c r="G240" i="43" s="1"/>
  <c r="G240" i="44" s="1"/>
  <c r="G240" i="45" s="1"/>
  <c r="G240" i="46" s="1"/>
  <c r="G240" i="47" s="1"/>
  <c r="G240" i="48" s="1"/>
  <c r="N240" i="34"/>
  <c r="K141" i="36" l="1"/>
  <c r="H141" i="37"/>
  <c r="I244" i="37"/>
  <c r="M244" i="37" s="1"/>
  <c r="F244" i="38"/>
  <c r="I123" i="37"/>
  <c r="M123" i="37" s="1"/>
  <c r="F123" i="38"/>
  <c r="F129" i="38"/>
  <c r="I129" i="37"/>
  <c r="M129" i="37" s="1"/>
  <c r="I266" i="37"/>
  <c r="M266" i="37" s="1"/>
  <c r="F266" i="38"/>
  <c r="K285" i="36"/>
  <c r="H285" i="37"/>
  <c r="I153" i="37"/>
  <c r="M153" i="37" s="1"/>
  <c r="F153" i="38"/>
  <c r="I264" i="37"/>
  <c r="M264" i="37" s="1"/>
  <c r="F264" i="38"/>
  <c r="K123" i="36"/>
  <c r="H123" i="37"/>
  <c r="C169" i="38"/>
  <c r="I169" i="37"/>
  <c r="M169" i="37" s="1"/>
  <c r="I226" i="37"/>
  <c r="M226" i="37" s="1"/>
  <c r="F226" i="38"/>
  <c r="K262" i="36"/>
  <c r="H262" i="37"/>
  <c r="K215" i="36"/>
  <c r="H215" i="37"/>
  <c r="H265" i="37"/>
  <c r="K265" i="36"/>
  <c r="I233" i="37"/>
  <c r="M233" i="37" s="1"/>
  <c r="F233" i="38"/>
  <c r="H267" i="37"/>
  <c r="K267" i="36"/>
  <c r="K129" i="36"/>
  <c r="H129" i="37"/>
  <c r="K134" i="36"/>
  <c r="H134" i="37"/>
  <c r="I132" i="37"/>
  <c r="M132" i="37" s="1"/>
  <c r="F132" i="38"/>
  <c r="H279" i="37"/>
  <c r="K279" i="36"/>
  <c r="K257" i="36"/>
  <c r="H257" i="37"/>
  <c r="K227" i="36"/>
  <c r="H227" i="37"/>
  <c r="F157" i="38"/>
  <c r="I157" i="37"/>
  <c r="M157" i="37" s="1"/>
  <c r="K287" i="36"/>
  <c r="H287" i="37"/>
  <c r="I220" i="37"/>
  <c r="M220" i="37" s="1"/>
  <c r="F220" i="38"/>
  <c r="K178" i="36"/>
  <c r="H178" i="37"/>
  <c r="H249" i="37"/>
  <c r="K249" i="36"/>
  <c r="F198" i="38"/>
  <c r="I198" i="37"/>
  <c r="M198" i="37" s="1"/>
  <c r="H266" i="37"/>
  <c r="K266" i="36"/>
  <c r="H239" i="37"/>
  <c r="K239" i="36"/>
  <c r="I145" i="37"/>
  <c r="M145" i="37" s="1"/>
  <c r="F145" i="38"/>
  <c r="K212" i="36"/>
  <c r="H212" i="37"/>
  <c r="K158" i="36"/>
  <c r="H158" i="37"/>
  <c r="K289" i="36"/>
  <c r="H289" i="37"/>
  <c r="K251" i="36"/>
  <c r="H251" i="37"/>
  <c r="I133" i="37"/>
  <c r="M133" i="37" s="1"/>
  <c r="F133" i="38"/>
  <c r="I248" i="37"/>
  <c r="M248" i="37" s="1"/>
  <c r="F248" i="38"/>
  <c r="K146" i="36"/>
  <c r="H146" i="37"/>
  <c r="K166" i="36"/>
  <c r="H166" i="37"/>
  <c r="F161" i="38"/>
  <c r="I161" i="37"/>
  <c r="M161" i="37" s="1"/>
  <c r="H173" i="37"/>
  <c r="K173" i="36"/>
  <c r="I190" i="37"/>
  <c r="M190" i="37" s="1"/>
  <c r="F190" i="38"/>
  <c r="K167" i="36"/>
  <c r="H167" i="37"/>
  <c r="I134" i="37"/>
  <c r="M134" i="37" s="1"/>
  <c r="F134" i="38"/>
  <c r="F225" i="38"/>
  <c r="I225" i="37"/>
  <c r="M225" i="37" s="1"/>
  <c r="K148" i="36"/>
  <c r="H148" i="37"/>
  <c r="I236" i="37"/>
  <c r="M236" i="37" s="1"/>
  <c r="F236" i="38"/>
  <c r="I173" i="37"/>
  <c r="M173" i="37" s="1"/>
  <c r="F173" i="38"/>
  <c r="I268" i="37"/>
  <c r="M268" i="37" s="1"/>
  <c r="F268" i="38"/>
  <c r="I249" i="37"/>
  <c r="M249" i="37" s="1"/>
  <c r="F249" i="38"/>
  <c r="I144" i="37"/>
  <c r="M144" i="37" s="1"/>
  <c r="F144" i="38"/>
  <c r="I250" i="37"/>
  <c r="M250" i="37" s="1"/>
  <c r="F250" i="38"/>
  <c r="K151" i="36"/>
  <c r="H151" i="37"/>
  <c r="I255" i="45"/>
  <c r="M255" i="45" s="1"/>
  <c r="F255" i="46"/>
  <c r="K243" i="36"/>
  <c r="H243" i="37"/>
  <c r="H181" i="37"/>
  <c r="K181" i="36"/>
  <c r="F208" i="38"/>
  <c r="I208" i="37"/>
  <c r="M208" i="37" s="1"/>
  <c r="K165" i="36"/>
  <c r="H165" i="37"/>
  <c r="I291" i="37"/>
  <c r="M291" i="37" s="1"/>
  <c r="F291" i="38"/>
  <c r="I192" i="37"/>
  <c r="M192" i="37" s="1"/>
  <c r="F192" i="38"/>
  <c r="H241" i="37"/>
  <c r="K241" i="36"/>
  <c r="K272" i="36"/>
  <c r="H272" i="37"/>
  <c r="I151" i="37"/>
  <c r="M151" i="37" s="1"/>
  <c r="F151" i="38"/>
  <c r="K192" i="36"/>
  <c r="H192" i="37"/>
  <c r="H236" i="37"/>
  <c r="K236" i="36"/>
  <c r="I184" i="37"/>
  <c r="M184" i="37" s="1"/>
  <c r="F184" i="38"/>
  <c r="I197" i="37"/>
  <c r="M197" i="37" s="1"/>
  <c r="F197" i="38"/>
  <c r="I234" i="37"/>
  <c r="M234" i="37" s="1"/>
  <c r="F234" i="38"/>
  <c r="H200" i="37"/>
  <c r="K200" i="36"/>
  <c r="I211" i="37"/>
  <c r="M211" i="37" s="1"/>
  <c r="F211" i="38"/>
  <c r="H264" i="37"/>
  <c r="K264" i="36"/>
  <c r="I246" i="37"/>
  <c r="M246" i="37" s="1"/>
  <c r="F246" i="38"/>
  <c r="F125" i="38"/>
  <c r="I125" i="37"/>
  <c r="M125" i="37" s="1"/>
  <c r="K224" i="36"/>
  <c r="H224" i="37"/>
  <c r="K278" i="36"/>
  <c r="H278" i="37"/>
  <c r="F156" i="38"/>
  <c r="I156" i="37"/>
  <c r="M156" i="37" s="1"/>
  <c r="H201" i="37"/>
  <c r="K201" i="36"/>
  <c r="I269" i="37"/>
  <c r="M269" i="37" s="1"/>
  <c r="F269" i="38"/>
  <c r="F275" i="38"/>
  <c r="I275" i="37"/>
  <c r="M275" i="37" s="1"/>
  <c r="F194" i="38"/>
  <c r="I194" i="37"/>
  <c r="M194" i="37" s="1"/>
  <c r="K124" i="36"/>
  <c r="H124" i="37"/>
  <c r="K182" i="36"/>
  <c r="H182" i="37"/>
  <c r="I274" i="37"/>
  <c r="M274" i="37" s="1"/>
  <c r="F274" i="38"/>
  <c r="I142" i="37"/>
  <c r="M142" i="37" s="1"/>
  <c r="F142" i="38"/>
  <c r="H126" i="37"/>
  <c r="K126" i="36"/>
  <c r="K206" i="36"/>
  <c r="H206" i="37"/>
  <c r="K216" i="36"/>
  <c r="H216" i="37"/>
  <c r="K191" i="36"/>
  <c r="H191" i="37"/>
  <c r="K221" i="36"/>
  <c r="H221" i="37"/>
  <c r="K153" i="36"/>
  <c r="H153" i="37"/>
  <c r="F238" i="38"/>
  <c r="I238" i="37"/>
  <c r="M238" i="37" s="1"/>
  <c r="H180" i="37"/>
  <c r="K180" i="36"/>
  <c r="I287" i="37"/>
  <c r="M287" i="37" s="1"/>
  <c r="F287" i="38"/>
  <c r="H288" i="37"/>
  <c r="K288" i="36"/>
  <c r="F292" i="38"/>
  <c r="I292" i="37"/>
  <c r="M292" i="37" s="1"/>
  <c r="I231" i="37"/>
  <c r="M231" i="37" s="1"/>
  <c r="F231" i="38"/>
  <c r="K179" i="36"/>
  <c r="H179" i="37"/>
  <c r="K260" i="36"/>
  <c r="H260" i="37"/>
  <c r="K234" i="36"/>
  <c r="H234" i="37"/>
  <c r="F215" i="38"/>
  <c r="I215" i="37"/>
  <c r="M215" i="37" s="1"/>
  <c r="H135" i="37"/>
  <c r="K135" i="36"/>
  <c r="K213" i="36"/>
  <c r="H213" i="37"/>
  <c r="I213" i="37"/>
  <c r="M213" i="37" s="1"/>
  <c r="F213" i="38"/>
  <c r="K242" i="36"/>
  <c r="H242" i="37"/>
  <c r="I260" i="37"/>
  <c r="M260" i="37" s="1"/>
  <c r="F260" i="38"/>
  <c r="K209" i="36"/>
  <c r="H209" i="37"/>
  <c r="I258" i="37"/>
  <c r="M258" i="37" s="1"/>
  <c r="F258" i="38"/>
  <c r="I278" i="37"/>
  <c r="M278" i="37" s="1"/>
  <c r="C278" i="38"/>
  <c r="I149" i="37"/>
  <c r="M149" i="37" s="1"/>
  <c r="F149" i="38"/>
  <c r="K208" i="36"/>
  <c r="H208" i="37"/>
  <c r="K149" i="36"/>
  <c r="H149" i="37"/>
  <c r="H211" i="37"/>
  <c r="K211" i="36"/>
  <c r="K144" i="36"/>
  <c r="H144" i="37"/>
  <c r="F195" i="38"/>
  <c r="I195" i="37"/>
  <c r="M195" i="37" s="1"/>
  <c r="K282" i="36"/>
  <c r="H282" i="37"/>
  <c r="H122" i="37"/>
  <c r="K122" i="36"/>
  <c r="I160" i="37"/>
  <c r="M160" i="37" s="1"/>
  <c r="F160" i="38"/>
  <c r="I122" i="37"/>
  <c r="M122" i="37" s="1"/>
  <c r="F122" i="38"/>
  <c r="K235" i="36"/>
  <c r="H235" i="37"/>
  <c r="H203" i="37"/>
  <c r="K203" i="36"/>
  <c r="K245" i="36"/>
  <c r="H245" i="37"/>
  <c r="I183" i="37"/>
  <c r="M183" i="37" s="1"/>
  <c r="F183" i="38"/>
  <c r="I168" i="37"/>
  <c r="M168" i="37" s="1"/>
  <c r="F168" i="38"/>
  <c r="I217" i="37"/>
  <c r="M217" i="37" s="1"/>
  <c r="F217" i="38"/>
  <c r="H138" i="37"/>
  <c r="K138" i="36"/>
  <c r="I203" i="37"/>
  <c r="M203" i="37" s="1"/>
  <c r="F203" i="38"/>
  <c r="K246" i="36"/>
  <c r="H246" i="37"/>
  <c r="H231" i="37"/>
  <c r="K231" i="36"/>
  <c r="H229" i="37"/>
  <c r="K229" i="36"/>
  <c r="I286" i="37"/>
  <c r="M286" i="37" s="1"/>
  <c r="F286" i="38"/>
  <c r="I189" i="37"/>
  <c r="M189" i="37" s="1"/>
  <c r="F189" i="38"/>
  <c r="H172" i="37"/>
  <c r="K172" i="36"/>
  <c r="H142" i="37"/>
  <c r="K142" i="36"/>
  <c r="K120" i="36"/>
  <c r="H120" i="37"/>
  <c r="I126" i="37"/>
  <c r="M126" i="37" s="1"/>
  <c r="C126" i="38"/>
  <c r="K163" i="36"/>
  <c r="H163" i="37"/>
  <c r="K156" i="36"/>
  <c r="H156" i="37"/>
  <c r="F179" i="38"/>
  <c r="I179" i="37"/>
  <c r="M179" i="37" s="1"/>
  <c r="F221" i="38"/>
  <c r="I221" i="37"/>
  <c r="M221" i="37" s="1"/>
  <c r="H207" i="37"/>
  <c r="K207" i="36"/>
  <c r="K174" i="36"/>
  <c r="H174" i="37"/>
  <c r="H196" i="37"/>
  <c r="K196" i="36"/>
  <c r="I285" i="37"/>
  <c r="M285" i="37" s="1"/>
  <c r="F285" i="38"/>
  <c r="K185" i="36"/>
  <c r="H185" i="37"/>
  <c r="K271" i="36"/>
  <c r="H271" i="37"/>
  <c r="K197" i="36"/>
  <c r="H197" i="37"/>
  <c r="I119" i="37"/>
  <c r="M119" i="37" s="1"/>
  <c r="F119" i="38"/>
  <c r="H283" i="37"/>
  <c r="K283" i="36"/>
  <c r="H157" i="37"/>
  <c r="K157" i="36"/>
  <c r="K284" i="36"/>
  <c r="H284" i="37"/>
  <c r="I148" i="37"/>
  <c r="M148" i="37" s="1"/>
  <c r="F148" i="38"/>
  <c r="K127" i="36"/>
  <c r="H127" i="37"/>
  <c r="I219" i="37"/>
  <c r="M219" i="37" s="1"/>
  <c r="F219" i="38"/>
  <c r="H154" i="37"/>
  <c r="K154" i="36"/>
  <c r="F174" i="38"/>
  <c r="I174" i="37"/>
  <c r="M174" i="37" s="1"/>
  <c r="K152" i="36"/>
  <c r="H152" i="37"/>
  <c r="I137" i="37"/>
  <c r="M137" i="37" s="1"/>
  <c r="F137" i="38"/>
  <c r="K281" i="36"/>
  <c r="H281" i="37"/>
  <c r="F143" i="38"/>
  <c r="I143" i="37"/>
  <c r="M143" i="37" s="1"/>
  <c r="I253" i="37"/>
  <c r="M253" i="37" s="1"/>
  <c r="F253" i="38"/>
  <c r="H155" i="37"/>
  <c r="K155" i="36"/>
  <c r="K253" i="36"/>
  <c r="H253" i="37"/>
  <c r="I159" i="37"/>
  <c r="M159" i="37" s="1"/>
  <c r="F159" i="38"/>
  <c r="I279" i="37"/>
  <c r="M279" i="37" s="1"/>
  <c r="F279" i="38"/>
  <c r="I175" i="37"/>
  <c r="M175" i="37" s="1"/>
  <c r="F175" i="38"/>
  <c r="K248" i="36"/>
  <c r="H248" i="37"/>
  <c r="F139" i="38"/>
  <c r="I139" i="37"/>
  <c r="M139" i="37" s="1"/>
  <c r="F288" i="38"/>
  <c r="I288" i="37"/>
  <c r="M288" i="37" s="1"/>
  <c r="H244" i="37"/>
  <c r="K244" i="36"/>
  <c r="H230" i="37"/>
  <c r="K230" i="36"/>
  <c r="I124" i="37"/>
  <c r="M124" i="37" s="1"/>
  <c r="F124" i="38"/>
  <c r="I167" i="37"/>
  <c r="M167" i="37" s="1"/>
  <c r="F167" i="38"/>
  <c r="K269" i="36"/>
  <c r="H269" i="37"/>
  <c r="H256" i="37"/>
  <c r="K256" i="36"/>
  <c r="K199" i="36"/>
  <c r="H199" i="37"/>
  <c r="I118" i="37"/>
  <c r="M118" i="37" s="1"/>
  <c r="F118" i="38"/>
  <c r="F209" i="38"/>
  <c r="I209" i="37"/>
  <c r="M209" i="37" s="1"/>
  <c r="I136" i="37"/>
  <c r="M136" i="37" s="1"/>
  <c r="F136" i="38"/>
  <c r="H233" i="37"/>
  <c r="K233" i="36"/>
  <c r="I224" i="37"/>
  <c r="M224" i="37" s="1"/>
  <c r="F224" i="38"/>
  <c r="K255" i="36"/>
  <c r="H255" i="37"/>
  <c r="K170" i="36"/>
  <c r="H170" i="37"/>
  <c r="I241" i="37"/>
  <c r="M241" i="37" s="1"/>
  <c r="F241" i="38"/>
  <c r="I200" i="37"/>
  <c r="M200" i="37" s="1"/>
  <c r="F200" i="38"/>
  <c r="I206" i="37"/>
  <c r="M206" i="37" s="1"/>
  <c r="F206" i="38"/>
  <c r="K186" i="36"/>
  <c r="H186" i="37"/>
  <c r="I130" i="37"/>
  <c r="M130" i="37" s="1"/>
  <c r="F130" i="38"/>
  <c r="H162" i="37"/>
  <c r="K162" i="36"/>
  <c r="H136" i="37"/>
  <c r="K136" i="36"/>
  <c r="H252" i="37"/>
  <c r="K252" i="36"/>
  <c r="K161" i="36"/>
  <c r="H161" i="37"/>
  <c r="I218" i="37"/>
  <c r="M218" i="37" s="1"/>
  <c r="F218" i="38"/>
  <c r="K240" i="36"/>
  <c r="H240" i="37"/>
  <c r="F257" i="38"/>
  <c r="I257" i="37"/>
  <c r="M257" i="37" s="1"/>
  <c r="H277" i="37"/>
  <c r="K277" i="36"/>
  <c r="I185" i="37"/>
  <c r="M185" i="37" s="1"/>
  <c r="F185" i="38"/>
  <c r="F284" i="38"/>
  <c r="I284" i="37"/>
  <c r="M284" i="37" s="1"/>
  <c r="F210" i="38"/>
  <c r="I210" i="37"/>
  <c r="M210" i="37" s="1"/>
  <c r="F235" i="38"/>
  <c r="I235" i="37"/>
  <c r="M235" i="37" s="1"/>
  <c r="K171" i="36"/>
  <c r="H171" i="37"/>
  <c r="K292" i="36"/>
  <c r="H292" i="37"/>
  <c r="I180" i="37"/>
  <c r="M180" i="37" s="1"/>
  <c r="F180" i="38"/>
  <c r="H145" i="37"/>
  <c r="K145" i="36"/>
  <c r="I273" i="37"/>
  <c r="M273" i="37" s="1"/>
  <c r="F273" i="38"/>
  <c r="K232" i="36"/>
  <c r="H232" i="37"/>
  <c r="K210" i="36"/>
  <c r="H210" i="37"/>
  <c r="I150" i="37"/>
  <c r="M150" i="37" s="1"/>
  <c r="F150" i="38"/>
  <c r="K143" i="36"/>
  <c r="H143" i="37"/>
  <c r="K218" i="36"/>
  <c r="H218" i="37"/>
  <c r="I163" i="37"/>
  <c r="M163" i="37" s="1"/>
  <c r="F163" i="38"/>
  <c r="I135" i="37"/>
  <c r="M135" i="37" s="1"/>
  <c r="F135" i="38"/>
  <c r="F140" i="38"/>
  <c r="I140" i="37"/>
  <c r="M140" i="37" s="1"/>
  <c r="K195" i="36"/>
  <c r="H195" i="37"/>
  <c r="I205" i="37"/>
  <c r="M205" i="37" s="1"/>
  <c r="F205" i="38"/>
  <c r="F277" i="38"/>
  <c r="I277" i="37"/>
  <c r="M277" i="37" s="1"/>
  <c r="I270" i="37"/>
  <c r="M270" i="37" s="1"/>
  <c r="F270" i="38"/>
  <c r="I239" i="37"/>
  <c r="M239" i="37" s="1"/>
  <c r="F239" i="38"/>
  <c r="I199" i="37"/>
  <c r="M199" i="37" s="1"/>
  <c r="F199" i="38"/>
  <c r="F202" i="38"/>
  <c r="I202" i="37"/>
  <c r="M202" i="37" s="1"/>
  <c r="H275" i="37"/>
  <c r="K275" i="36"/>
  <c r="H194" i="37"/>
  <c r="K194" i="36"/>
  <c r="H150" i="37"/>
  <c r="K150" i="36"/>
  <c r="F166" i="38"/>
  <c r="I166" i="37"/>
  <c r="M166" i="37" s="1"/>
  <c r="I267" i="37"/>
  <c r="M267" i="37" s="1"/>
  <c r="F267" i="38"/>
  <c r="I186" i="37"/>
  <c r="M186" i="37" s="1"/>
  <c r="F186" i="38"/>
  <c r="I165" i="37"/>
  <c r="M165" i="37" s="1"/>
  <c r="F165" i="38"/>
  <c r="H217" i="37"/>
  <c r="K217" i="36"/>
  <c r="I121" i="37"/>
  <c r="M121" i="37" s="1"/>
  <c r="F121" i="38"/>
  <c r="I280" i="37"/>
  <c r="M280" i="37" s="1"/>
  <c r="F280" i="38"/>
  <c r="I188" i="37"/>
  <c r="M188" i="37" s="1"/>
  <c r="F188" i="38"/>
  <c r="K290" i="36"/>
  <c r="H290" i="37"/>
  <c r="H189" i="37"/>
  <c r="K189" i="36"/>
  <c r="F172" i="38"/>
  <c r="I172" i="37"/>
  <c r="M172" i="37" s="1"/>
  <c r="H139" i="37"/>
  <c r="K139" i="36"/>
  <c r="K247" i="36"/>
  <c r="H247" i="37"/>
  <c r="I201" i="37"/>
  <c r="M201" i="37" s="1"/>
  <c r="F201" i="38"/>
  <c r="K187" i="36"/>
  <c r="H187" i="37"/>
  <c r="I191" i="37"/>
  <c r="M191" i="37" s="1"/>
  <c r="C191" i="38"/>
  <c r="F181" i="38"/>
  <c r="I181" i="37"/>
  <c r="M181" i="37" s="1"/>
  <c r="I158" i="37"/>
  <c r="M158" i="37" s="1"/>
  <c r="F158" i="38"/>
  <c r="K258" i="36"/>
  <c r="H258" i="37"/>
  <c r="F276" i="38"/>
  <c r="I276" i="37"/>
  <c r="M276" i="37" s="1"/>
  <c r="F147" i="38"/>
  <c r="I147" i="37"/>
  <c r="M147" i="37" s="1"/>
  <c r="I155" i="37"/>
  <c r="M155" i="37" s="1"/>
  <c r="F155" i="38"/>
  <c r="K121" i="36"/>
  <c r="H121" i="37"/>
  <c r="K274" i="36"/>
  <c r="H274" i="37"/>
  <c r="K225" i="36"/>
  <c r="H225" i="37"/>
  <c r="F164" i="38"/>
  <c r="I164" i="37"/>
  <c r="M164" i="37" s="1"/>
  <c r="H261" i="37"/>
  <c r="K261" i="36"/>
  <c r="F138" i="38"/>
  <c r="I138" i="37"/>
  <c r="M138" i="37" s="1"/>
  <c r="K175" i="36"/>
  <c r="H175" i="37"/>
  <c r="K238" i="36"/>
  <c r="H238" i="37"/>
  <c r="F223" i="38"/>
  <c r="I223" i="37"/>
  <c r="M223" i="37" s="1"/>
  <c r="K214" i="36"/>
  <c r="H214" i="37"/>
  <c r="K202" i="36"/>
  <c r="H202" i="37"/>
  <c r="H286" i="37"/>
  <c r="K286" i="36"/>
  <c r="F282" i="38"/>
  <c r="I282" i="37"/>
  <c r="M282" i="37" s="1"/>
  <c r="I240" i="37"/>
  <c r="M240" i="37" s="1"/>
  <c r="F240" i="38"/>
  <c r="K226" i="36"/>
  <c r="H226" i="37"/>
  <c r="F171" i="38"/>
  <c r="I171" i="37"/>
  <c r="M171" i="37" s="1"/>
  <c r="F263" i="38"/>
  <c r="I263" i="37"/>
  <c r="M263" i="37" s="1"/>
  <c r="I229" i="37"/>
  <c r="M229" i="37" s="1"/>
  <c r="F229" i="38"/>
  <c r="H237" i="37"/>
  <c r="K237" i="36"/>
  <c r="H273" i="37"/>
  <c r="K273" i="36"/>
  <c r="F228" i="38"/>
  <c r="I228" i="37"/>
  <c r="M228" i="37" s="1"/>
  <c r="H263" i="37"/>
  <c r="K263" i="36"/>
  <c r="K176" i="36"/>
  <c r="H176" i="37"/>
  <c r="I204" i="37"/>
  <c r="M204" i="37" s="1"/>
  <c r="F204" i="38"/>
  <c r="I131" i="37"/>
  <c r="M131" i="37" s="1"/>
  <c r="F131" i="38"/>
  <c r="I242" i="37"/>
  <c r="M242" i="37" s="1"/>
  <c r="F242" i="38"/>
  <c r="K132" i="36"/>
  <c r="H132" i="37"/>
  <c r="K184" i="36"/>
  <c r="H184" i="37"/>
  <c r="I256" i="37"/>
  <c r="M256" i="37" s="1"/>
  <c r="F256" i="38"/>
  <c r="K276" i="36"/>
  <c r="H276" i="37"/>
  <c r="K291" i="36"/>
  <c r="H291" i="37"/>
  <c r="I222" i="37"/>
  <c r="M222" i="37" s="1"/>
  <c r="F222" i="38"/>
  <c r="H204" i="37"/>
  <c r="K204" i="36"/>
  <c r="K268" i="36"/>
  <c r="H268" i="37"/>
  <c r="F247" i="38"/>
  <c r="I247" i="37"/>
  <c r="M247" i="37" s="1"/>
  <c r="K280" i="36"/>
  <c r="H280" i="37"/>
  <c r="K160" i="36"/>
  <c r="H160" i="37"/>
  <c r="I230" i="37"/>
  <c r="M230" i="37" s="1"/>
  <c r="F230" i="38"/>
  <c r="I265" i="37"/>
  <c r="M265" i="37" s="1"/>
  <c r="F265" i="38"/>
  <c r="I289" i="37"/>
  <c r="M289" i="37" s="1"/>
  <c r="F289" i="38"/>
  <c r="I262" i="37"/>
  <c r="M262" i="37" s="1"/>
  <c r="F262" i="38"/>
  <c r="I162" i="37"/>
  <c r="M162" i="37" s="1"/>
  <c r="F162" i="38"/>
  <c r="K205" i="36"/>
  <c r="H205" i="37"/>
  <c r="I127" i="37"/>
  <c r="M127" i="37" s="1"/>
  <c r="F127" i="38"/>
  <c r="K254" i="36"/>
  <c r="H254" i="37"/>
  <c r="F141" i="38"/>
  <c r="I141" i="37"/>
  <c r="M141" i="37" s="1"/>
  <c r="I120" i="37"/>
  <c r="M120" i="37" s="1"/>
  <c r="F120" i="38"/>
  <c r="I196" i="37"/>
  <c r="M196" i="37" s="1"/>
  <c r="F196" i="38"/>
  <c r="K222" i="36"/>
  <c r="H222" i="37"/>
  <c r="H177" i="37"/>
  <c r="K177" i="36"/>
  <c r="K131" i="36"/>
  <c r="H131" i="37"/>
  <c r="F214" i="38"/>
  <c r="I214" i="37"/>
  <c r="M214" i="37" s="1"/>
  <c r="H219" i="37"/>
  <c r="K219" i="36"/>
  <c r="F146" i="38"/>
  <c r="I146" i="37"/>
  <c r="M146" i="37" s="1"/>
  <c r="H223" i="37"/>
  <c r="K223" i="36"/>
  <c r="K119" i="36"/>
  <c r="H119" i="37"/>
  <c r="I154" i="37"/>
  <c r="M154" i="37" s="1"/>
  <c r="F154" i="38"/>
  <c r="I290" i="37"/>
  <c r="M290" i="37" s="1"/>
  <c r="F290" i="38"/>
  <c r="K228" i="36"/>
  <c r="H228" i="37"/>
  <c r="I187" i="37"/>
  <c r="M187" i="37" s="1"/>
  <c r="F187" i="38"/>
  <c r="I281" i="37"/>
  <c r="M281" i="37" s="1"/>
  <c r="F281" i="38"/>
  <c r="H198" i="37"/>
  <c r="K198" i="36"/>
  <c r="H220" i="37"/>
  <c r="K220" i="36"/>
  <c r="K183" i="36"/>
  <c r="H183" i="37"/>
  <c r="H118" i="37"/>
  <c r="K118" i="36"/>
  <c r="F283" i="38"/>
  <c r="I283" i="37"/>
  <c r="M283" i="37" s="1"/>
  <c r="K250" i="36"/>
  <c r="H250" i="37"/>
  <c r="K159" i="36"/>
  <c r="H159" i="37"/>
  <c r="K270" i="36"/>
  <c r="H270" i="37"/>
  <c r="F216" i="38"/>
  <c r="I216" i="37"/>
  <c r="M216" i="37" s="1"/>
  <c r="H125" i="37"/>
  <c r="K125" i="36"/>
  <c r="F271" i="38"/>
  <c r="I271" i="37"/>
  <c r="M271" i="37" s="1"/>
  <c r="I232" i="37"/>
  <c r="M232" i="37" s="1"/>
  <c r="F232" i="38"/>
  <c r="K164" i="36"/>
  <c r="H164" i="37"/>
  <c r="H130" i="37"/>
  <c r="K130" i="36"/>
  <c r="K190" i="36"/>
  <c r="H190" i="37"/>
  <c r="I212" i="37"/>
  <c r="M212" i="37" s="1"/>
  <c r="C212" i="38"/>
  <c r="I152" i="37"/>
  <c r="M152" i="37" s="1"/>
  <c r="F152" i="38"/>
  <c r="K147" i="36"/>
  <c r="H147" i="37"/>
  <c r="I272" i="37"/>
  <c r="M272" i="37" s="1"/>
  <c r="F272" i="38"/>
  <c r="K140" i="36"/>
  <c r="H140" i="37"/>
  <c r="I207" i="37"/>
  <c r="M207" i="37" s="1"/>
  <c r="F207" i="38"/>
  <c r="H168" i="37"/>
  <c r="K168" i="36"/>
  <c r="F254" i="38"/>
  <c r="I254" i="37"/>
  <c r="M254" i="37" s="1"/>
  <c r="I261" i="37"/>
  <c r="M261" i="37" s="1"/>
  <c r="F261" i="38"/>
  <c r="K188" i="36"/>
  <c r="H188" i="37"/>
  <c r="I176" i="37"/>
  <c r="M176" i="37" s="1"/>
  <c r="F176" i="38"/>
  <c r="I182" i="37"/>
  <c r="M182" i="37" s="1"/>
  <c r="F182" i="38"/>
  <c r="K169" i="36"/>
  <c r="H169" i="37"/>
  <c r="K137" i="36"/>
  <c r="H137" i="37"/>
  <c r="I252" i="37"/>
  <c r="M252" i="37" s="1"/>
  <c r="F252" i="38"/>
  <c r="I243" i="37"/>
  <c r="M243" i="37" s="1"/>
  <c r="F243" i="38"/>
  <c r="K133" i="36"/>
  <c r="H133" i="37"/>
  <c r="F227" i="38"/>
  <c r="I227" i="37"/>
  <c r="M227" i="37" s="1"/>
  <c r="F170" i="38"/>
  <c r="I170" i="37"/>
  <c r="M170" i="37" s="1"/>
  <c r="I251" i="37"/>
  <c r="M251" i="37" s="1"/>
  <c r="F251" i="38"/>
  <c r="I245" i="37"/>
  <c r="M245" i="37" s="1"/>
  <c r="F245" i="38"/>
  <c r="F177" i="35" l="1"/>
  <c r="M177" i="34"/>
  <c r="P8" i="34" s="1" a="1"/>
  <c r="F297" i="34"/>
  <c r="I170" i="38"/>
  <c r="M170" i="38" s="1"/>
  <c r="F170" i="39"/>
  <c r="F146" i="39"/>
  <c r="I146" i="38"/>
  <c r="M146" i="38" s="1"/>
  <c r="H219" i="38"/>
  <c r="K219" i="37"/>
  <c r="I214" i="38"/>
  <c r="M214" i="38" s="1"/>
  <c r="F214" i="39"/>
  <c r="K177" i="37"/>
  <c r="H177" i="38"/>
  <c r="F247" i="39"/>
  <c r="I247" i="38"/>
  <c r="M247" i="38" s="1"/>
  <c r="H273" i="38"/>
  <c r="K273" i="37"/>
  <c r="F171" i="39"/>
  <c r="I171" i="38"/>
  <c r="M171" i="38" s="1"/>
  <c r="H261" i="38"/>
  <c r="K261" i="37"/>
  <c r="F147" i="39"/>
  <c r="I147" i="38"/>
  <c r="M147" i="38" s="1"/>
  <c r="F181" i="39"/>
  <c r="I181" i="38"/>
  <c r="M181" i="38" s="1"/>
  <c r="I172" i="38"/>
  <c r="M172" i="38" s="1"/>
  <c r="F172" i="39"/>
  <c r="H194" i="38"/>
  <c r="K194" i="37"/>
  <c r="F209" i="39"/>
  <c r="I209" i="38"/>
  <c r="M209" i="38" s="1"/>
  <c r="K154" i="37"/>
  <c r="H154" i="38"/>
  <c r="H229" i="38"/>
  <c r="K229" i="37"/>
  <c r="I195" i="38"/>
  <c r="M195" i="38" s="1"/>
  <c r="F195" i="39"/>
  <c r="I215" i="38"/>
  <c r="M215" i="38" s="1"/>
  <c r="F215" i="39"/>
  <c r="F292" i="39"/>
  <c r="I292" i="38"/>
  <c r="M292" i="38" s="1"/>
  <c r="F238" i="39"/>
  <c r="I238" i="38"/>
  <c r="M238" i="38" s="1"/>
  <c r="H126" i="38"/>
  <c r="K126" i="37"/>
  <c r="F125" i="39"/>
  <c r="I125" i="38"/>
  <c r="M125" i="38" s="1"/>
  <c r="K236" i="37"/>
  <c r="H236" i="38"/>
  <c r="I252" i="38"/>
  <c r="M252" i="38" s="1"/>
  <c r="F252" i="39"/>
  <c r="I182" i="38"/>
  <c r="M182" i="38" s="1"/>
  <c r="F182" i="39"/>
  <c r="H188" i="38"/>
  <c r="K188" i="37"/>
  <c r="H140" i="38"/>
  <c r="K140" i="37"/>
  <c r="I212" i="38"/>
  <c r="M212" i="38" s="1"/>
  <c r="C212" i="39"/>
  <c r="K250" i="37"/>
  <c r="H250" i="38"/>
  <c r="I290" i="38"/>
  <c r="M290" i="38" s="1"/>
  <c r="F290" i="39"/>
  <c r="F227" i="39"/>
  <c r="I227" i="38"/>
  <c r="M227" i="38" s="1"/>
  <c r="I254" i="38"/>
  <c r="M254" i="38" s="1"/>
  <c r="F254" i="39"/>
  <c r="F271" i="39"/>
  <c r="I271" i="38"/>
  <c r="M271" i="38" s="1"/>
  <c r="K118" i="37"/>
  <c r="H118" i="38"/>
  <c r="F141" i="39"/>
  <c r="I141" i="38"/>
  <c r="M141" i="38" s="1"/>
  <c r="H237" i="38"/>
  <c r="K237" i="37"/>
  <c r="H133" i="38"/>
  <c r="K133" i="37"/>
  <c r="I243" i="38"/>
  <c r="M243" i="38" s="1"/>
  <c r="F243" i="39"/>
  <c r="H137" i="38"/>
  <c r="K137" i="37"/>
  <c r="I176" i="38"/>
  <c r="M176" i="38" s="1"/>
  <c r="F176" i="39"/>
  <c r="I261" i="38"/>
  <c r="M261" i="38" s="1"/>
  <c r="F261" i="39"/>
  <c r="F207" i="39"/>
  <c r="I207" i="38"/>
  <c r="M207" i="38" s="1"/>
  <c r="F272" i="39"/>
  <c r="I272" i="38"/>
  <c r="M272" i="38" s="1"/>
  <c r="K147" i="37"/>
  <c r="H147" i="38"/>
  <c r="F232" i="39"/>
  <c r="I232" i="38"/>
  <c r="M232" i="38" s="1"/>
  <c r="H270" i="38"/>
  <c r="K270" i="37"/>
  <c r="H159" i="38"/>
  <c r="K159" i="37"/>
  <c r="H183" i="38"/>
  <c r="K183" i="37"/>
  <c r="F281" i="39"/>
  <c r="I281" i="38"/>
  <c r="M281" i="38" s="1"/>
  <c r="K228" i="37"/>
  <c r="H228" i="38"/>
  <c r="F154" i="39"/>
  <c r="I154" i="38"/>
  <c r="M154" i="38" s="1"/>
  <c r="H119" i="38"/>
  <c r="K119" i="37"/>
  <c r="H131" i="38"/>
  <c r="K131" i="37"/>
  <c r="K222" i="37"/>
  <c r="H222" i="38"/>
  <c r="I120" i="38"/>
  <c r="M120" i="38" s="1"/>
  <c r="F120" i="39"/>
  <c r="K254" i="37"/>
  <c r="H254" i="38"/>
  <c r="H205" i="38"/>
  <c r="K205" i="37"/>
  <c r="I262" i="38"/>
  <c r="M262" i="38" s="1"/>
  <c r="F262" i="39"/>
  <c r="H268" i="38"/>
  <c r="K268" i="37"/>
  <c r="K276" i="37"/>
  <c r="H276" i="38"/>
  <c r="F256" i="39"/>
  <c r="I256" i="38"/>
  <c r="M256" i="38" s="1"/>
  <c r="I242" i="38"/>
  <c r="M242" i="38" s="1"/>
  <c r="F242" i="39"/>
  <c r="F204" i="39"/>
  <c r="I204" i="38"/>
  <c r="M204" i="38" s="1"/>
  <c r="I229" i="38"/>
  <c r="M229" i="38" s="1"/>
  <c r="F229" i="39"/>
  <c r="H226" i="38"/>
  <c r="K226" i="37"/>
  <c r="K214" i="37"/>
  <c r="H214" i="38"/>
  <c r="K238" i="37"/>
  <c r="H238" i="38"/>
  <c r="K274" i="37"/>
  <c r="H274" i="38"/>
  <c r="F155" i="39"/>
  <c r="I155" i="38"/>
  <c r="M155" i="38" s="1"/>
  <c r="K258" i="37"/>
  <c r="H258" i="38"/>
  <c r="F201" i="39"/>
  <c r="I201" i="38"/>
  <c r="M201" i="38" s="1"/>
  <c r="K247" i="37"/>
  <c r="H247" i="38"/>
  <c r="H290" i="38"/>
  <c r="K290" i="37"/>
  <c r="F280" i="39"/>
  <c r="I280" i="38"/>
  <c r="M280" i="38" s="1"/>
  <c r="F186" i="39"/>
  <c r="I186" i="38"/>
  <c r="M186" i="38" s="1"/>
  <c r="F267" i="39"/>
  <c r="I267" i="38"/>
  <c r="M267" i="38" s="1"/>
  <c r="F199" i="39"/>
  <c r="I199" i="38"/>
  <c r="M199" i="38" s="1"/>
  <c r="I239" i="38"/>
  <c r="M239" i="38" s="1"/>
  <c r="F239" i="39"/>
  <c r="F205" i="39"/>
  <c r="I205" i="38"/>
  <c r="M205" i="38" s="1"/>
  <c r="I135" i="38"/>
  <c r="M135" i="38" s="1"/>
  <c r="F135" i="39"/>
  <c r="H218" i="38"/>
  <c r="K218" i="37"/>
  <c r="H143" i="38"/>
  <c r="K143" i="37"/>
  <c r="F150" i="39"/>
  <c r="I150" i="38"/>
  <c r="M150" i="38" s="1"/>
  <c r="K232" i="37"/>
  <c r="H232" i="38"/>
  <c r="I273" i="38"/>
  <c r="M273" i="38" s="1"/>
  <c r="F273" i="39"/>
  <c r="I180" i="38"/>
  <c r="M180" i="38" s="1"/>
  <c r="F180" i="39"/>
  <c r="H171" i="38"/>
  <c r="K171" i="37"/>
  <c r="F185" i="39"/>
  <c r="I185" i="38"/>
  <c r="M185" i="38" s="1"/>
  <c r="K240" i="37"/>
  <c r="H240" i="38"/>
  <c r="K161" i="37"/>
  <c r="H161" i="38"/>
  <c r="I130" i="38"/>
  <c r="M130" i="38" s="1"/>
  <c r="F130" i="39"/>
  <c r="F206" i="39"/>
  <c r="I206" i="38"/>
  <c r="M206" i="38" s="1"/>
  <c r="F118" i="39"/>
  <c r="I118" i="38"/>
  <c r="M118" i="38" s="1"/>
  <c r="K199" i="37"/>
  <c r="H199" i="38"/>
  <c r="K269" i="37"/>
  <c r="H269" i="38"/>
  <c r="F124" i="39"/>
  <c r="I124" i="38"/>
  <c r="M124" i="38" s="1"/>
  <c r="H248" i="38"/>
  <c r="K248" i="37"/>
  <c r="I253" i="38"/>
  <c r="M253" i="38" s="1"/>
  <c r="F253" i="39"/>
  <c r="H127" i="38"/>
  <c r="K127" i="37"/>
  <c r="F119" i="39"/>
  <c r="I119" i="38"/>
  <c r="M119" i="38" s="1"/>
  <c r="K271" i="37"/>
  <c r="H271" i="38"/>
  <c r="K185" i="37"/>
  <c r="H185" i="38"/>
  <c r="F285" i="39"/>
  <c r="I285" i="38"/>
  <c r="M285" i="38" s="1"/>
  <c r="K156" i="37"/>
  <c r="H156" i="38"/>
  <c r="C126" i="39"/>
  <c r="I126" i="38"/>
  <c r="M126" i="38" s="1"/>
  <c r="I189" i="38"/>
  <c r="M189" i="38" s="1"/>
  <c r="F189" i="39"/>
  <c r="H246" i="38"/>
  <c r="K246" i="37"/>
  <c r="F203" i="39"/>
  <c r="I203" i="38"/>
  <c r="M203" i="38" s="1"/>
  <c r="H245" i="38"/>
  <c r="K245" i="37"/>
  <c r="F122" i="39"/>
  <c r="I122" i="38"/>
  <c r="M122" i="38" s="1"/>
  <c r="F160" i="39"/>
  <c r="I160" i="38"/>
  <c r="M160" i="38" s="1"/>
  <c r="K282" i="37"/>
  <c r="H282" i="38"/>
  <c r="K144" i="37"/>
  <c r="H144" i="38"/>
  <c r="K208" i="37"/>
  <c r="H208" i="38"/>
  <c r="I278" i="38"/>
  <c r="M278" i="38" s="1"/>
  <c r="C278" i="39"/>
  <c r="K209" i="37"/>
  <c r="H209" i="38"/>
  <c r="H242" i="38"/>
  <c r="K242" i="37"/>
  <c r="K213" i="37"/>
  <c r="H213" i="38"/>
  <c r="K179" i="37"/>
  <c r="H179" i="38"/>
  <c r="H221" i="38"/>
  <c r="K221" i="37"/>
  <c r="I274" i="38"/>
  <c r="M274" i="38" s="1"/>
  <c r="F274" i="39"/>
  <c r="F269" i="39"/>
  <c r="I269" i="38"/>
  <c r="M269" i="38" s="1"/>
  <c r="K278" i="37"/>
  <c r="H278" i="38"/>
  <c r="F234" i="39"/>
  <c r="I234" i="38"/>
  <c r="M234" i="38" s="1"/>
  <c r="F197" i="39"/>
  <c r="I197" i="38"/>
  <c r="M197" i="38" s="1"/>
  <c r="H192" i="38"/>
  <c r="K192" i="37"/>
  <c r="K272" i="37"/>
  <c r="H272" i="38"/>
  <c r="I192" i="38"/>
  <c r="M192" i="38" s="1"/>
  <c r="F192" i="39"/>
  <c r="H165" i="38"/>
  <c r="K165" i="37"/>
  <c r="I255" i="46"/>
  <c r="M255" i="46" s="1"/>
  <c r="F255" i="47"/>
  <c r="K151" i="37"/>
  <c r="H151" i="38"/>
  <c r="I249" i="38"/>
  <c r="M249" i="38" s="1"/>
  <c r="F249" i="39"/>
  <c r="I173" i="38"/>
  <c r="M173" i="38" s="1"/>
  <c r="F173" i="39"/>
  <c r="I236" i="38"/>
  <c r="M236" i="38" s="1"/>
  <c r="F236" i="39"/>
  <c r="H167" i="38"/>
  <c r="K167" i="37"/>
  <c r="K146" i="37"/>
  <c r="H146" i="38"/>
  <c r="F248" i="39"/>
  <c r="I248" i="38"/>
  <c r="M248" i="38" s="1"/>
  <c r="K251" i="37"/>
  <c r="H251" i="38"/>
  <c r="F145" i="39"/>
  <c r="I145" i="38"/>
  <c r="M145" i="38" s="1"/>
  <c r="K178" i="37"/>
  <c r="H178" i="38"/>
  <c r="H287" i="38"/>
  <c r="K287" i="37"/>
  <c r="K257" i="37"/>
  <c r="H257" i="38"/>
  <c r="I226" i="38"/>
  <c r="M226" i="38" s="1"/>
  <c r="F226" i="39"/>
  <c r="F264" i="39"/>
  <c r="I264" i="38"/>
  <c r="M264" i="38" s="1"/>
  <c r="I153" i="38"/>
  <c r="M153" i="38" s="1"/>
  <c r="F153" i="39"/>
  <c r="H285" i="38"/>
  <c r="K285" i="37"/>
  <c r="I244" i="38"/>
  <c r="M244" i="38" s="1"/>
  <c r="F244" i="39"/>
  <c r="K220" i="37"/>
  <c r="H220" i="38"/>
  <c r="H263" i="38"/>
  <c r="K263" i="37"/>
  <c r="H244" i="38"/>
  <c r="K244" i="37"/>
  <c r="I174" i="38"/>
  <c r="M174" i="38" s="1"/>
  <c r="F174" i="39"/>
  <c r="K283" i="37"/>
  <c r="H283" i="38"/>
  <c r="H142" i="38"/>
  <c r="K142" i="37"/>
  <c r="H135" i="38"/>
  <c r="K135" i="37"/>
  <c r="F194" i="39"/>
  <c r="I194" i="38"/>
  <c r="M194" i="38" s="1"/>
  <c r="H266" i="38"/>
  <c r="K266" i="37"/>
  <c r="I198" i="38"/>
  <c r="M198" i="38" s="1"/>
  <c r="F198" i="39"/>
  <c r="H190" i="38"/>
  <c r="K190" i="37"/>
  <c r="H164" i="38"/>
  <c r="K164" i="37"/>
  <c r="I187" i="38"/>
  <c r="M187" i="38" s="1"/>
  <c r="F187" i="39"/>
  <c r="I196" i="38"/>
  <c r="M196" i="38" s="1"/>
  <c r="F196" i="39"/>
  <c r="F127" i="39"/>
  <c r="I127" i="38"/>
  <c r="M127" i="38" s="1"/>
  <c r="I162" i="38"/>
  <c r="M162" i="38" s="1"/>
  <c r="F162" i="39"/>
  <c r="I289" i="38"/>
  <c r="M289" i="38" s="1"/>
  <c r="F289" i="39"/>
  <c r="F265" i="39"/>
  <c r="I265" i="38"/>
  <c r="M265" i="38" s="1"/>
  <c r="F230" i="39"/>
  <c r="I230" i="38"/>
  <c r="M230" i="38" s="1"/>
  <c r="H160" i="38"/>
  <c r="K160" i="37"/>
  <c r="H280" i="38"/>
  <c r="K280" i="37"/>
  <c r="I222" i="38"/>
  <c r="M222" i="38" s="1"/>
  <c r="F222" i="39"/>
  <c r="K291" i="37"/>
  <c r="H291" i="38"/>
  <c r="H184" i="38"/>
  <c r="K184" i="37"/>
  <c r="H132" i="38"/>
  <c r="K132" i="37"/>
  <c r="I131" i="38"/>
  <c r="M131" i="38" s="1"/>
  <c r="F131" i="39"/>
  <c r="H176" i="38"/>
  <c r="K176" i="37"/>
  <c r="F240" i="39"/>
  <c r="I240" i="38"/>
  <c r="M240" i="38" s="1"/>
  <c r="H202" i="38"/>
  <c r="K202" i="37"/>
  <c r="H175" i="38"/>
  <c r="K175" i="37"/>
  <c r="K225" i="37"/>
  <c r="H225" i="38"/>
  <c r="H121" i="38"/>
  <c r="K121" i="37"/>
  <c r="F158" i="39"/>
  <c r="I158" i="38"/>
  <c r="M158" i="38" s="1"/>
  <c r="C191" i="39"/>
  <c r="I191" i="38"/>
  <c r="M191" i="38" s="1"/>
  <c r="K187" i="37"/>
  <c r="H187" i="38"/>
  <c r="I188" i="38"/>
  <c r="M188" i="38" s="1"/>
  <c r="F188" i="39"/>
  <c r="I121" i="38"/>
  <c r="M121" i="38" s="1"/>
  <c r="F121" i="39"/>
  <c r="F165" i="39"/>
  <c r="I165" i="38"/>
  <c r="M165" i="38" s="1"/>
  <c r="F270" i="39"/>
  <c r="I270" i="38"/>
  <c r="M270" i="38" s="1"/>
  <c r="K195" i="37"/>
  <c r="H195" i="38"/>
  <c r="F163" i="39"/>
  <c r="I163" i="38"/>
  <c r="M163" i="38" s="1"/>
  <c r="K210" i="37"/>
  <c r="H210" i="38"/>
  <c r="H292" i="38"/>
  <c r="K292" i="37"/>
  <c r="I218" i="38"/>
  <c r="M218" i="38" s="1"/>
  <c r="F218" i="39"/>
  <c r="K186" i="37"/>
  <c r="H186" i="38"/>
  <c r="I200" i="38"/>
  <c r="M200" i="38" s="1"/>
  <c r="F200" i="39"/>
  <c r="I241" i="38"/>
  <c r="M241" i="38" s="1"/>
  <c r="F241" i="39"/>
  <c r="K170" i="37"/>
  <c r="H170" i="38"/>
  <c r="K255" i="37"/>
  <c r="H255" i="38"/>
  <c r="I224" i="38"/>
  <c r="M224" i="38" s="1"/>
  <c r="F224" i="39"/>
  <c r="I136" i="38"/>
  <c r="M136" i="38" s="1"/>
  <c r="F136" i="39"/>
  <c r="I167" i="38"/>
  <c r="M167" i="38" s="1"/>
  <c r="F167" i="39"/>
  <c r="I175" i="38"/>
  <c r="M175" i="38" s="1"/>
  <c r="F175" i="39"/>
  <c r="F279" i="39"/>
  <c r="I279" i="38"/>
  <c r="M279" i="38" s="1"/>
  <c r="F159" i="39"/>
  <c r="I159" i="38"/>
  <c r="M159" i="38" s="1"/>
  <c r="K253" i="37"/>
  <c r="H253" i="38"/>
  <c r="K281" i="37"/>
  <c r="H281" i="38"/>
  <c r="F137" i="39"/>
  <c r="I137" i="38"/>
  <c r="M137" i="38" s="1"/>
  <c r="H152" i="38"/>
  <c r="K152" i="37"/>
  <c r="I219" i="38"/>
  <c r="M219" i="38" s="1"/>
  <c r="F219" i="39"/>
  <c r="F148" i="39"/>
  <c r="I148" i="38"/>
  <c r="M148" i="38" s="1"/>
  <c r="K284" i="37"/>
  <c r="H284" i="38"/>
  <c r="H197" i="38"/>
  <c r="K197" i="37"/>
  <c r="H174" i="38"/>
  <c r="K174" i="37"/>
  <c r="K163" i="37"/>
  <c r="H163" i="38"/>
  <c r="H120" i="38"/>
  <c r="K120" i="37"/>
  <c r="I286" i="38"/>
  <c r="M286" i="38" s="1"/>
  <c r="F286" i="39"/>
  <c r="F217" i="39"/>
  <c r="I217" i="38"/>
  <c r="M217" i="38" s="1"/>
  <c r="F168" i="39"/>
  <c r="I168" i="38"/>
  <c r="M168" i="38" s="1"/>
  <c r="F183" i="39"/>
  <c r="I183" i="38"/>
  <c r="M183" i="38" s="1"/>
  <c r="K235" i="37"/>
  <c r="H235" i="38"/>
  <c r="H149" i="38"/>
  <c r="K149" i="37"/>
  <c r="F149" i="39"/>
  <c r="I149" i="38"/>
  <c r="M149" i="38" s="1"/>
  <c r="F258" i="39"/>
  <c r="I258" i="38"/>
  <c r="M258" i="38" s="1"/>
  <c r="F260" i="39"/>
  <c r="I260" i="38"/>
  <c r="M260" i="38" s="1"/>
  <c r="F213" i="39"/>
  <c r="I213" i="38"/>
  <c r="M213" i="38" s="1"/>
  <c r="H234" i="38"/>
  <c r="K234" i="37"/>
  <c r="H260" i="38"/>
  <c r="K260" i="37"/>
  <c r="I231" i="38"/>
  <c r="M231" i="38" s="1"/>
  <c r="F231" i="39"/>
  <c r="I287" i="38"/>
  <c r="M287" i="38" s="1"/>
  <c r="F287" i="39"/>
  <c r="K153" i="37"/>
  <c r="H153" i="38"/>
  <c r="H191" i="38"/>
  <c r="K191" i="37"/>
  <c r="H216" i="38"/>
  <c r="K216" i="37"/>
  <c r="H206" i="38"/>
  <c r="K206" i="37"/>
  <c r="F142" i="39"/>
  <c r="I142" i="38"/>
  <c r="M142" i="38" s="1"/>
  <c r="H182" i="38"/>
  <c r="K182" i="37"/>
  <c r="K124" i="37"/>
  <c r="H124" i="38"/>
  <c r="H224" i="38"/>
  <c r="K224" i="37"/>
  <c r="F246" i="39"/>
  <c r="I246" i="38"/>
  <c r="M246" i="38" s="1"/>
  <c r="F211" i="39"/>
  <c r="I211" i="38"/>
  <c r="M211" i="38" s="1"/>
  <c r="F184" i="39"/>
  <c r="I184" i="38"/>
  <c r="M184" i="38" s="1"/>
  <c r="F151" i="39"/>
  <c r="I151" i="38"/>
  <c r="M151" i="38" s="1"/>
  <c r="I291" i="38"/>
  <c r="M291" i="38" s="1"/>
  <c r="F291" i="39"/>
  <c r="H243" i="38"/>
  <c r="K243" i="37"/>
  <c r="F250" i="39"/>
  <c r="I250" i="38"/>
  <c r="M250" i="38" s="1"/>
  <c r="F144" i="39"/>
  <c r="I144" i="38"/>
  <c r="M144" i="38" s="1"/>
  <c r="I268" i="38"/>
  <c r="M268" i="38" s="1"/>
  <c r="F268" i="39"/>
  <c r="K148" i="37"/>
  <c r="H148" i="38"/>
  <c r="I134" i="38"/>
  <c r="M134" i="38" s="1"/>
  <c r="F134" i="39"/>
  <c r="I190" i="38"/>
  <c r="M190" i="38" s="1"/>
  <c r="F190" i="39"/>
  <c r="H166" i="38"/>
  <c r="K166" i="37"/>
  <c r="F133" i="39"/>
  <c r="I133" i="38"/>
  <c r="M133" i="38" s="1"/>
  <c r="K289" i="37"/>
  <c r="H289" i="38"/>
  <c r="K158" i="37"/>
  <c r="H158" i="38"/>
  <c r="H212" i="38"/>
  <c r="K212" i="37"/>
  <c r="I220" i="38"/>
  <c r="M220" i="38" s="1"/>
  <c r="F220" i="39"/>
  <c r="H227" i="38"/>
  <c r="K227" i="37"/>
  <c r="I132" i="38"/>
  <c r="M132" i="38" s="1"/>
  <c r="F132" i="39"/>
  <c r="K134" i="37"/>
  <c r="H134" i="38"/>
  <c r="H129" i="38"/>
  <c r="K129" i="37"/>
  <c r="F233" i="39"/>
  <c r="I233" i="38"/>
  <c r="M233" i="38" s="1"/>
  <c r="H215" i="38"/>
  <c r="K215" i="37"/>
  <c r="K262" i="37"/>
  <c r="H262" i="38"/>
  <c r="H123" i="38"/>
  <c r="K123" i="37"/>
  <c r="I266" i="38"/>
  <c r="M266" i="38" s="1"/>
  <c r="F266" i="39"/>
  <c r="F123" i="39"/>
  <c r="I123" i="38"/>
  <c r="M123" i="38" s="1"/>
  <c r="H141" i="38"/>
  <c r="K141" i="37"/>
  <c r="K168" i="37"/>
  <c r="H168" i="38"/>
  <c r="F216" i="39"/>
  <c r="I216" i="38"/>
  <c r="M216" i="38" s="1"/>
  <c r="F283" i="39"/>
  <c r="I283" i="38"/>
  <c r="M283" i="38" s="1"/>
  <c r="F282" i="39"/>
  <c r="I282" i="38"/>
  <c r="M282" i="38" s="1"/>
  <c r="F164" i="39"/>
  <c r="I164" i="38"/>
  <c r="M164" i="38" s="1"/>
  <c r="H189" i="38"/>
  <c r="K189" i="37"/>
  <c r="I210" i="38"/>
  <c r="M210" i="38" s="1"/>
  <c r="F210" i="39"/>
  <c r="F257" i="39"/>
  <c r="I257" i="38"/>
  <c r="M257" i="38" s="1"/>
  <c r="K136" i="37"/>
  <c r="H136" i="38"/>
  <c r="K233" i="37"/>
  <c r="H233" i="38"/>
  <c r="H203" i="38"/>
  <c r="K203" i="37"/>
  <c r="K264" i="37"/>
  <c r="H264" i="38"/>
  <c r="I225" i="38"/>
  <c r="M225" i="38" s="1"/>
  <c r="F225" i="39"/>
  <c r="H173" i="38"/>
  <c r="K173" i="37"/>
  <c r="F157" i="39"/>
  <c r="I157" i="38"/>
  <c r="M157" i="38" s="1"/>
  <c r="H267" i="38"/>
  <c r="K267" i="37"/>
  <c r="H265" i="38"/>
  <c r="K265" i="37"/>
  <c r="C169" i="39"/>
  <c r="I169" i="38"/>
  <c r="M169" i="38" s="1"/>
  <c r="I129" i="38"/>
  <c r="M129" i="38" s="1"/>
  <c r="F129" i="39"/>
  <c r="F251" i="39"/>
  <c r="I251" i="38"/>
  <c r="M251" i="38" s="1"/>
  <c r="H169" i="38"/>
  <c r="K169" i="37"/>
  <c r="F152" i="39"/>
  <c r="I152" i="38"/>
  <c r="M152" i="38" s="1"/>
  <c r="K130" i="37"/>
  <c r="H130" i="38"/>
  <c r="H125" i="38"/>
  <c r="K125" i="37"/>
  <c r="H198" i="38"/>
  <c r="K198" i="37"/>
  <c r="K223" i="37"/>
  <c r="H223" i="38"/>
  <c r="K204" i="37"/>
  <c r="H204" i="38"/>
  <c r="I228" i="38"/>
  <c r="M228" i="38" s="1"/>
  <c r="F228" i="39"/>
  <c r="F263" i="39"/>
  <c r="I263" i="38"/>
  <c r="M263" i="38" s="1"/>
  <c r="K286" i="37"/>
  <c r="H286" i="38"/>
  <c r="F223" i="39"/>
  <c r="I223" i="38"/>
  <c r="M223" i="38" s="1"/>
  <c r="F138" i="39"/>
  <c r="I138" i="38"/>
  <c r="M138" i="38" s="1"/>
  <c r="F276" i="39"/>
  <c r="I276" i="38"/>
  <c r="M276" i="38" s="1"/>
  <c r="K139" i="37"/>
  <c r="H139" i="38"/>
  <c r="H217" i="38"/>
  <c r="K217" i="37"/>
  <c r="F166" i="39"/>
  <c r="I166" i="38"/>
  <c r="M166" i="38" s="1"/>
  <c r="K150" i="37"/>
  <c r="H150" i="38"/>
  <c r="H275" i="38"/>
  <c r="K275" i="37"/>
  <c r="I202" i="38"/>
  <c r="M202" i="38" s="1"/>
  <c r="F202" i="39"/>
  <c r="F277" i="39"/>
  <c r="I277" i="38"/>
  <c r="M277" i="38" s="1"/>
  <c r="I140" i="38"/>
  <c r="M140" i="38" s="1"/>
  <c r="F140" i="39"/>
  <c r="H145" i="38"/>
  <c r="K145" i="37"/>
  <c r="F235" i="39"/>
  <c r="I235" i="38"/>
  <c r="M235" i="38" s="1"/>
  <c r="I284" i="38"/>
  <c r="M284" i="38" s="1"/>
  <c r="F284" i="39"/>
  <c r="H277" i="38"/>
  <c r="K277" i="37"/>
  <c r="H252" i="38"/>
  <c r="K252" i="37"/>
  <c r="K162" i="37"/>
  <c r="H162" i="38"/>
  <c r="K256" i="37"/>
  <c r="H256" i="38"/>
  <c r="K230" i="37"/>
  <c r="H230" i="38"/>
  <c r="F288" i="39"/>
  <c r="I288" i="38"/>
  <c r="M288" i="38" s="1"/>
  <c r="I139" i="38"/>
  <c r="M139" i="38" s="1"/>
  <c r="F139" i="39"/>
  <c r="K155" i="37"/>
  <c r="H155" i="38"/>
  <c r="F143" i="39"/>
  <c r="I143" i="38"/>
  <c r="M143" i="38" s="1"/>
  <c r="K157" i="37"/>
  <c r="H157" i="38"/>
  <c r="H196" i="38"/>
  <c r="K196" i="37"/>
  <c r="H207" i="38"/>
  <c r="K207" i="37"/>
  <c r="F221" i="39"/>
  <c r="I221" i="38"/>
  <c r="M221" i="38" s="1"/>
  <c r="F179" i="39"/>
  <c r="I179" i="38"/>
  <c r="M179" i="38" s="1"/>
  <c r="K172" i="37"/>
  <c r="H172" i="38"/>
  <c r="K231" i="37"/>
  <c r="H231" i="38"/>
  <c r="K138" i="37"/>
  <c r="H138" i="38"/>
  <c r="H122" i="38"/>
  <c r="K122" i="37"/>
  <c r="K211" i="37"/>
  <c r="H211" i="38"/>
  <c r="K288" i="37"/>
  <c r="H288" i="38"/>
  <c r="K180" i="37"/>
  <c r="H180" i="38"/>
  <c r="F275" i="39"/>
  <c r="I275" i="38"/>
  <c r="M275" i="38" s="1"/>
  <c r="H201" i="38"/>
  <c r="K201" i="37"/>
  <c r="I156" i="38"/>
  <c r="M156" i="38" s="1"/>
  <c r="F156" i="39"/>
  <c r="K200" i="37"/>
  <c r="H200" i="38"/>
  <c r="H241" i="38"/>
  <c r="K241" i="37"/>
  <c r="I208" i="38"/>
  <c r="M208" i="38" s="1"/>
  <c r="F208" i="39"/>
  <c r="K181" i="37"/>
  <c r="H181" i="38"/>
  <c r="I161" i="38"/>
  <c r="M161" i="38" s="1"/>
  <c r="F161" i="39"/>
  <c r="H239" i="38"/>
  <c r="K239" i="37"/>
  <c r="K249" i="37"/>
  <c r="H249" i="38"/>
  <c r="K279" i="37"/>
  <c r="H279" i="38"/>
  <c r="F245" i="39"/>
  <c r="I245" i="38"/>
  <c r="M245" i="38" s="1"/>
  <c r="I156" i="39" l="1"/>
  <c r="M156" i="39" s="1"/>
  <c r="F156" i="40"/>
  <c r="K288" i="38"/>
  <c r="H288" i="39"/>
  <c r="K138" i="38"/>
  <c r="H138" i="39"/>
  <c r="K157" i="38"/>
  <c r="H157" i="39"/>
  <c r="H162" i="39"/>
  <c r="K162" i="38"/>
  <c r="K150" i="38"/>
  <c r="H150" i="39"/>
  <c r="H134" i="39"/>
  <c r="K134" i="38"/>
  <c r="K289" i="38"/>
  <c r="H289" i="39"/>
  <c r="I190" i="39"/>
  <c r="M190" i="39" s="1"/>
  <c r="F190" i="40"/>
  <c r="K148" i="38"/>
  <c r="H148" i="39"/>
  <c r="H124" i="39"/>
  <c r="K124" i="38"/>
  <c r="F231" i="40"/>
  <c r="I231" i="39"/>
  <c r="M231" i="39" s="1"/>
  <c r="F241" i="40"/>
  <c r="I241" i="39"/>
  <c r="M241" i="39" s="1"/>
  <c r="K186" i="38"/>
  <c r="H186" i="39"/>
  <c r="I188" i="39"/>
  <c r="M188" i="39" s="1"/>
  <c r="F188" i="40"/>
  <c r="I196" i="39"/>
  <c r="M196" i="39" s="1"/>
  <c r="F196" i="40"/>
  <c r="I187" i="39"/>
  <c r="M187" i="39" s="1"/>
  <c r="F187" i="40"/>
  <c r="K220" i="38"/>
  <c r="H220" i="39"/>
  <c r="K272" i="38"/>
  <c r="H272" i="39"/>
  <c r="K278" i="38"/>
  <c r="H278" i="39"/>
  <c r="K213" i="38"/>
  <c r="H213" i="39"/>
  <c r="K208" i="38"/>
  <c r="H208" i="39"/>
  <c r="F189" i="40"/>
  <c r="I189" i="39"/>
  <c r="M189" i="39" s="1"/>
  <c r="K271" i="38"/>
  <c r="H271" i="39"/>
  <c r="I180" i="39"/>
  <c r="M180" i="39" s="1"/>
  <c r="F180" i="40"/>
  <c r="H232" i="39"/>
  <c r="K232" i="38"/>
  <c r="I135" i="39"/>
  <c r="M135" i="39" s="1"/>
  <c r="F135" i="40"/>
  <c r="H247" i="39"/>
  <c r="K247" i="38"/>
  <c r="K214" i="38"/>
  <c r="H214" i="39"/>
  <c r="F242" i="40"/>
  <c r="I242" i="39"/>
  <c r="M242" i="39" s="1"/>
  <c r="I120" i="39"/>
  <c r="M120" i="39" s="1"/>
  <c r="F120" i="40"/>
  <c r="K228" i="38"/>
  <c r="H228" i="39"/>
  <c r="I261" i="39"/>
  <c r="M261" i="39" s="1"/>
  <c r="F261" i="40"/>
  <c r="H200" i="39"/>
  <c r="K200" i="38"/>
  <c r="K180" i="38"/>
  <c r="H180" i="39"/>
  <c r="K211" i="38"/>
  <c r="H211" i="39"/>
  <c r="K230" i="38"/>
  <c r="H230" i="39"/>
  <c r="K256" i="38"/>
  <c r="H256" i="39"/>
  <c r="K201" i="38"/>
  <c r="H201" i="39"/>
  <c r="F179" i="40"/>
  <c r="I179" i="39"/>
  <c r="M179" i="39" s="1"/>
  <c r="H207" i="39"/>
  <c r="K207" i="38"/>
  <c r="K196" i="38"/>
  <c r="H196" i="39"/>
  <c r="I143" i="39"/>
  <c r="M143" i="39" s="1"/>
  <c r="F143" i="40"/>
  <c r="K252" i="38"/>
  <c r="H252" i="39"/>
  <c r="H277" i="39"/>
  <c r="K277" i="38"/>
  <c r="K145" i="38"/>
  <c r="H145" i="39"/>
  <c r="I166" i="39"/>
  <c r="M166" i="39" s="1"/>
  <c r="F166" i="40"/>
  <c r="H217" i="39"/>
  <c r="K217" i="38"/>
  <c r="F276" i="40"/>
  <c r="I276" i="39"/>
  <c r="M276" i="39" s="1"/>
  <c r="F263" i="40"/>
  <c r="I263" i="39"/>
  <c r="M263" i="39" s="1"/>
  <c r="K125" i="38"/>
  <c r="H125" i="39"/>
  <c r="F152" i="40"/>
  <c r="I152" i="39"/>
  <c r="M152" i="39" s="1"/>
  <c r="H169" i="39"/>
  <c r="K169" i="38"/>
  <c r="C169" i="40"/>
  <c r="I169" i="39"/>
  <c r="M169" i="39" s="1"/>
  <c r="K267" i="38"/>
  <c r="H267" i="39"/>
  <c r="I157" i="39"/>
  <c r="M157" i="39" s="1"/>
  <c r="F157" i="40"/>
  <c r="H173" i="39"/>
  <c r="K173" i="38"/>
  <c r="K203" i="38"/>
  <c r="H203" i="39"/>
  <c r="I216" i="39"/>
  <c r="M216" i="39" s="1"/>
  <c r="F216" i="40"/>
  <c r="I123" i="39"/>
  <c r="M123" i="39" s="1"/>
  <c r="F123" i="40"/>
  <c r="I233" i="39"/>
  <c r="M233" i="39" s="1"/>
  <c r="F233" i="40"/>
  <c r="K129" i="38"/>
  <c r="H129" i="39"/>
  <c r="K227" i="38"/>
  <c r="H227" i="39"/>
  <c r="I133" i="39"/>
  <c r="M133" i="39" s="1"/>
  <c r="F133" i="40"/>
  <c r="H166" i="39"/>
  <c r="K166" i="38"/>
  <c r="I250" i="39"/>
  <c r="M250" i="39" s="1"/>
  <c r="F250" i="40"/>
  <c r="I151" i="39"/>
  <c r="M151" i="39" s="1"/>
  <c r="F151" i="40"/>
  <c r="F211" i="40"/>
  <c r="I211" i="39"/>
  <c r="M211" i="39" s="1"/>
  <c r="H224" i="39"/>
  <c r="K224" i="38"/>
  <c r="I142" i="39"/>
  <c r="M142" i="39" s="1"/>
  <c r="F142" i="40"/>
  <c r="H191" i="39"/>
  <c r="K191" i="38"/>
  <c r="H234" i="39"/>
  <c r="K234" i="38"/>
  <c r="I260" i="39"/>
  <c r="M260" i="39" s="1"/>
  <c r="F260" i="40"/>
  <c r="I149" i="39"/>
  <c r="M149" i="39" s="1"/>
  <c r="F149" i="40"/>
  <c r="H149" i="39"/>
  <c r="K149" i="38"/>
  <c r="F168" i="40"/>
  <c r="I168" i="39"/>
  <c r="M168" i="39" s="1"/>
  <c r="I217" i="39"/>
  <c r="M217" i="39" s="1"/>
  <c r="F217" i="40"/>
  <c r="H120" i="39"/>
  <c r="K120" i="38"/>
  <c r="H174" i="39"/>
  <c r="K174" i="38"/>
  <c r="I137" i="39"/>
  <c r="M137" i="39" s="1"/>
  <c r="F137" i="40"/>
  <c r="I279" i="39"/>
  <c r="M279" i="39" s="1"/>
  <c r="F279" i="40"/>
  <c r="F163" i="40"/>
  <c r="I163" i="39"/>
  <c r="M163" i="39" s="1"/>
  <c r="F270" i="40"/>
  <c r="I270" i="39"/>
  <c r="M270" i="39" s="1"/>
  <c r="I191" i="39"/>
  <c r="M191" i="39" s="1"/>
  <c r="C191" i="40"/>
  <c r="K202" i="38"/>
  <c r="H202" i="39"/>
  <c r="H184" i="39"/>
  <c r="K184" i="38"/>
  <c r="H160" i="39"/>
  <c r="K160" i="38"/>
  <c r="I265" i="39"/>
  <c r="M265" i="39" s="1"/>
  <c r="F265" i="40"/>
  <c r="I127" i="39"/>
  <c r="M127" i="39" s="1"/>
  <c r="F127" i="40"/>
  <c r="H190" i="39"/>
  <c r="K190" i="38"/>
  <c r="F194" i="40"/>
  <c r="I194" i="39"/>
  <c r="M194" i="39" s="1"/>
  <c r="K263" i="38"/>
  <c r="H263" i="39"/>
  <c r="I145" i="39"/>
  <c r="M145" i="39" s="1"/>
  <c r="F145" i="40"/>
  <c r="F197" i="40"/>
  <c r="I197" i="39"/>
  <c r="M197" i="39" s="1"/>
  <c r="F269" i="40"/>
  <c r="I269" i="39"/>
  <c r="M269" i="39" s="1"/>
  <c r="K242" i="38"/>
  <c r="H242" i="39"/>
  <c r="I160" i="39"/>
  <c r="M160" i="39" s="1"/>
  <c r="F160" i="40"/>
  <c r="K246" i="38"/>
  <c r="H246" i="39"/>
  <c r="C126" i="40"/>
  <c r="I126" i="39"/>
  <c r="M126" i="39" s="1"/>
  <c r="I285" i="39"/>
  <c r="M285" i="39" s="1"/>
  <c r="F285" i="40"/>
  <c r="I119" i="39"/>
  <c r="M119" i="39" s="1"/>
  <c r="F119" i="40"/>
  <c r="K127" i="38"/>
  <c r="H127" i="39"/>
  <c r="I118" i="39"/>
  <c r="M118" i="39" s="1"/>
  <c r="F118" i="40"/>
  <c r="H171" i="39"/>
  <c r="K171" i="38"/>
  <c r="I150" i="39"/>
  <c r="M150" i="39" s="1"/>
  <c r="F150" i="40"/>
  <c r="H218" i="39"/>
  <c r="K218" i="38"/>
  <c r="F267" i="40"/>
  <c r="I267" i="39"/>
  <c r="M267" i="39" s="1"/>
  <c r="K290" i="38"/>
  <c r="H290" i="39"/>
  <c r="I201" i="39"/>
  <c r="M201" i="39" s="1"/>
  <c r="F201" i="40"/>
  <c r="F155" i="40"/>
  <c r="I155" i="39"/>
  <c r="M155" i="39" s="1"/>
  <c r="H226" i="39"/>
  <c r="K226" i="38"/>
  <c r="I256" i="39"/>
  <c r="M256" i="39" s="1"/>
  <c r="F256" i="40"/>
  <c r="K268" i="38"/>
  <c r="H268" i="39"/>
  <c r="H131" i="39"/>
  <c r="K131" i="38"/>
  <c r="F154" i="40"/>
  <c r="I154" i="39"/>
  <c r="M154" i="39" s="1"/>
  <c r="I281" i="39"/>
  <c r="M281" i="39" s="1"/>
  <c r="F281" i="40"/>
  <c r="H159" i="39"/>
  <c r="K159" i="38"/>
  <c r="I207" i="39"/>
  <c r="M207" i="39" s="1"/>
  <c r="F207" i="40"/>
  <c r="H237" i="39"/>
  <c r="K237" i="38"/>
  <c r="F271" i="40"/>
  <c r="I271" i="39"/>
  <c r="M271" i="39" s="1"/>
  <c r="I227" i="39"/>
  <c r="M227" i="39" s="1"/>
  <c r="F227" i="40"/>
  <c r="K140" i="38"/>
  <c r="H140" i="39"/>
  <c r="I125" i="39"/>
  <c r="M125" i="39" s="1"/>
  <c r="F125" i="40"/>
  <c r="H126" i="39"/>
  <c r="K126" i="38"/>
  <c r="I181" i="39"/>
  <c r="M181" i="39" s="1"/>
  <c r="F181" i="40"/>
  <c r="H261" i="39"/>
  <c r="K261" i="38"/>
  <c r="F171" i="40"/>
  <c r="I171" i="39"/>
  <c r="M171" i="39" s="1"/>
  <c r="F247" i="40"/>
  <c r="I247" i="39"/>
  <c r="M247" i="39" s="1"/>
  <c r="F146" i="40"/>
  <c r="I146" i="39"/>
  <c r="M146" i="39" s="1"/>
  <c r="K249" i="38"/>
  <c r="H249" i="39"/>
  <c r="H181" i="39"/>
  <c r="K181" i="38"/>
  <c r="H155" i="39"/>
  <c r="K155" i="38"/>
  <c r="I284" i="39"/>
  <c r="M284" i="39" s="1"/>
  <c r="F284" i="40"/>
  <c r="I202" i="39"/>
  <c r="M202" i="39" s="1"/>
  <c r="F202" i="40"/>
  <c r="H130" i="39"/>
  <c r="K130" i="38"/>
  <c r="F136" i="40"/>
  <c r="I136" i="39"/>
  <c r="M136" i="39" s="1"/>
  <c r="H187" i="39"/>
  <c r="K187" i="38"/>
  <c r="I222" i="39"/>
  <c r="M222" i="39" s="1"/>
  <c r="F222" i="40"/>
  <c r="F289" i="40"/>
  <c r="I289" i="39"/>
  <c r="M289" i="39" s="1"/>
  <c r="K283" i="38"/>
  <c r="H283" i="39"/>
  <c r="I173" i="39"/>
  <c r="M173" i="39" s="1"/>
  <c r="F173" i="40"/>
  <c r="K209" i="38"/>
  <c r="H209" i="39"/>
  <c r="H199" i="39"/>
  <c r="K199" i="38"/>
  <c r="K161" i="38"/>
  <c r="H161" i="39"/>
  <c r="I239" i="39"/>
  <c r="M239" i="39" s="1"/>
  <c r="F239" i="40"/>
  <c r="K258" i="38"/>
  <c r="H258" i="39"/>
  <c r="F229" i="40"/>
  <c r="I229" i="39"/>
  <c r="M229" i="39" s="1"/>
  <c r="I290" i="39"/>
  <c r="M290" i="39" s="1"/>
  <c r="F290" i="40"/>
  <c r="I252" i="39"/>
  <c r="M252" i="39" s="1"/>
  <c r="F252" i="40"/>
  <c r="H236" i="39"/>
  <c r="K236" i="38"/>
  <c r="F195" i="40"/>
  <c r="I195" i="39"/>
  <c r="M195" i="39" s="1"/>
  <c r="I172" i="39"/>
  <c r="M172" i="39" s="1"/>
  <c r="F172" i="40"/>
  <c r="H177" i="39"/>
  <c r="K177" i="38"/>
  <c r="K239" i="38"/>
  <c r="H239" i="39"/>
  <c r="K241" i="38"/>
  <c r="H241" i="39"/>
  <c r="I275" i="39"/>
  <c r="M275" i="39" s="1"/>
  <c r="F275" i="40"/>
  <c r="H122" i="39"/>
  <c r="K122" i="38"/>
  <c r="F221" i="40"/>
  <c r="I221" i="39"/>
  <c r="M221" i="39" s="1"/>
  <c r="F288" i="40"/>
  <c r="I288" i="39"/>
  <c r="M288" i="39" s="1"/>
  <c r="F235" i="40"/>
  <c r="I235" i="39"/>
  <c r="M235" i="39" s="1"/>
  <c r="I277" i="39"/>
  <c r="M277" i="39" s="1"/>
  <c r="F277" i="40"/>
  <c r="H275" i="39"/>
  <c r="K275" i="38"/>
  <c r="I138" i="39"/>
  <c r="M138" i="39" s="1"/>
  <c r="F138" i="40"/>
  <c r="I223" i="39"/>
  <c r="M223" i="39" s="1"/>
  <c r="F223" i="40"/>
  <c r="K198" i="38"/>
  <c r="H198" i="39"/>
  <c r="I251" i="39"/>
  <c r="M251" i="39" s="1"/>
  <c r="F251" i="40"/>
  <c r="K265" i="38"/>
  <c r="H265" i="39"/>
  <c r="F257" i="40"/>
  <c r="I257" i="39"/>
  <c r="M257" i="39" s="1"/>
  <c r="K189" i="38"/>
  <c r="H189" i="39"/>
  <c r="I164" i="39"/>
  <c r="M164" i="39" s="1"/>
  <c r="F164" i="40"/>
  <c r="F282" i="40"/>
  <c r="I282" i="39"/>
  <c r="M282" i="39" s="1"/>
  <c r="I283" i="39"/>
  <c r="M283" i="39" s="1"/>
  <c r="F283" i="40"/>
  <c r="H141" i="39"/>
  <c r="K141" i="38"/>
  <c r="H123" i="39"/>
  <c r="K123" i="38"/>
  <c r="H215" i="39"/>
  <c r="K215" i="38"/>
  <c r="H212" i="39"/>
  <c r="K212" i="38"/>
  <c r="F144" i="40"/>
  <c r="I144" i="39"/>
  <c r="M144" i="39" s="1"/>
  <c r="K243" i="38"/>
  <c r="H243" i="39"/>
  <c r="I184" i="39"/>
  <c r="M184" i="39" s="1"/>
  <c r="F184" i="40"/>
  <c r="I246" i="39"/>
  <c r="M246" i="39" s="1"/>
  <c r="F246" i="40"/>
  <c r="K182" i="38"/>
  <c r="H182" i="39"/>
  <c r="K206" i="38"/>
  <c r="H206" i="39"/>
  <c r="K216" i="38"/>
  <c r="H216" i="39"/>
  <c r="K260" i="38"/>
  <c r="H260" i="39"/>
  <c r="I213" i="39"/>
  <c r="M213" i="39" s="1"/>
  <c r="F213" i="40"/>
  <c r="I258" i="39"/>
  <c r="M258" i="39" s="1"/>
  <c r="F258" i="40"/>
  <c r="I183" i="39"/>
  <c r="M183" i="39" s="1"/>
  <c r="F183" i="40"/>
  <c r="H197" i="39"/>
  <c r="K197" i="38"/>
  <c r="F148" i="40"/>
  <c r="I148" i="39"/>
  <c r="M148" i="39" s="1"/>
  <c r="K152" i="38"/>
  <c r="H152" i="39"/>
  <c r="I159" i="39"/>
  <c r="M159" i="39" s="1"/>
  <c r="F159" i="40"/>
  <c r="H292" i="39"/>
  <c r="K292" i="38"/>
  <c r="I165" i="39"/>
  <c r="M165" i="39" s="1"/>
  <c r="F165" i="40"/>
  <c r="I158" i="39"/>
  <c r="M158" i="39" s="1"/>
  <c r="F158" i="40"/>
  <c r="K121" i="38"/>
  <c r="H121" i="39"/>
  <c r="K175" i="38"/>
  <c r="H175" i="39"/>
  <c r="I240" i="39"/>
  <c r="M240" i="39" s="1"/>
  <c r="F240" i="40"/>
  <c r="K176" i="38"/>
  <c r="H176" i="39"/>
  <c r="K132" i="38"/>
  <c r="H132" i="39"/>
  <c r="K280" i="38"/>
  <c r="H280" i="39"/>
  <c r="F230" i="40"/>
  <c r="I230" i="39"/>
  <c r="M230" i="39" s="1"/>
  <c r="H164" i="39"/>
  <c r="K164" i="38"/>
  <c r="H266" i="39"/>
  <c r="K266" i="38"/>
  <c r="K135" i="38"/>
  <c r="H135" i="39"/>
  <c r="K142" i="38"/>
  <c r="H142" i="39"/>
  <c r="K244" i="38"/>
  <c r="H244" i="39"/>
  <c r="K285" i="38"/>
  <c r="H285" i="39"/>
  <c r="I264" i="39"/>
  <c r="M264" i="39" s="1"/>
  <c r="F264" i="40"/>
  <c r="K287" i="38"/>
  <c r="H287" i="39"/>
  <c r="I248" i="39"/>
  <c r="M248" i="39" s="1"/>
  <c r="F248" i="40"/>
  <c r="K167" i="38"/>
  <c r="H167" i="39"/>
  <c r="H165" i="39"/>
  <c r="K165" i="38"/>
  <c r="K192" i="38"/>
  <c r="H192" i="39"/>
  <c r="I234" i="39"/>
  <c r="M234" i="39" s="1"/>
  <c r="F234" i="40"/>
  <c r="K221" i="38"/>
  <c r="H221" i="39"/>
  <c r="I122" i="39"/>
  <c r="M122" i="39" s="1"/>
  <c r="F122" i="40"/>
  <c r="K245" i="38"/>
  <c r="H245" i="39"/>
  <c r="I203" i="39"/>
  <c r="M203" i="39" s="1"/>
  <c r="F203" i="40"/>
  <c r="H248" i="39"/>
  <c r="K248" i="38"/>
  <c r="F124" i="40"/>
  <c r="I124" i="39"/>
  <c r="M124" i="39" s="1"/>
  <c r="I206" i="39"/>
  <c r="M206" i="39" s="1"/>
  <c r="F206" i="40"/>
  <c r="F185" i="40"/>
  <c r="I185" i="39"/>
  <c r="M185" i="39" s="1"/>
  <c r="K143" i="38"/>
  <c r="H143" i="39"/>
  <c r="F205" i="40"/>
  <c r="I205" i="39"/>
  <c r="M205" i="39" s="1"/>
  <c r="I199" i="39"/>
  <c r="M199" i="39" s="1"/>
  <c r="F199" i="40"/>
  <c r="F186" i="40"/>
  <c r="I186" i="39"/>
  <c r="M186" i="39" s="1"/>
  <c r="F280" i="40"/>
  <c r="I280" i="39"/>
  <c r="M280" i="39" s="1"/>
  <c r="I204" i="39"/>
  <c r="M204" i="39" s="1"/>
  <c r="F204" i="40"/>
  <c r="K205" i="38"/>
  <c r="H205" i="39"/>
  <c r="H119" i="39"/>
  <c r="K119" i="38"/>
  <c r="H183" i="39"/>
  <c r="K183" i="38"/>
  <c r="H270" i="39"/>
  <c r="K270" i="38"/>
  <c r="F232" i="40"/>
  <c r="I232" i="39"/>
  <c r="M232" i="39" s="1"/>
  <c r="I272" i="39"/>
  <c r="M272" i="39" s="1"/>
  <c r="F272" i="40"/>
  <c r="K137" i="38"/>
  <c r="H137" i="39"/>
  <c r="H133" i="39"/>
  <c r="K133" i="38"/>
  <c r="I141" i="39"/>
  <c r="M141" i="39" s="1"/>
  <c r="F141" i="40"/>
  <c r="K188" i="38"/>
  <c r="H188" i="39"/>
  <c r="I238" i="39"/>
  <c r="M238" i="39" s="1"/>
  <c r="F238" i="40"/>
  <c r="I292" i="39"/>
  <c r="M292" i="39" s="1"/>
  <c r="F292" i="40"/>
  <c r="H229" i="39"/>
  <c r="K229" i="38"/>
  <c r="I209" i="39"/>
  <c r="M209" i="39" s="1"/>
  <c r="F209" i="40"/>
  <c r="H194" i="39"/>
  <c r="K194" i="38"/>
  <c r="I147" i="39"/>
  <c r="M147" i="39" s="1"/>
  <c r="F147" i="40"/>
  <c r="K273" i="38"/>
  <c r="H273" i="39"/>
  <c r="K219" i="38"/>
  <c r="H219" i="39"/>
  <c r="Q12" i="34"/>
  <c r="Q8" i="34"/>
  <c r="P16" i="34" s="1"/>
  <c r="P8" i="34"/>
  <c r="P15" i="34" s="1"/>
  <c r="Q15" i="34" s="1"/>
  <c r="P12" i="34"/>
  <c r="P11" i="34"/>
  <c r="Q10" i="34"/>
  <c r="P9" i="34"/>
  <c r="P10" i="34"/>
  <c r="Q9" i="34"/>
  <c r="Q11" i="34"/>
  <c r="I208" i="39"/>
  <c r="M208" i="39" s="1"/>
  <c r="F208" i="40"/>
  <c r="K231" i="38"/>
  <c r="H231" i="39"/>
  <c r="F225" i="40"/>
  <c r="I225" i="39"/>
  <c r="M225" i="39" s="1"/>
  <c r="K264" i="38"/>
  <c r="H264" i="39"/>
  <c r="H153" i="39"/>
  <c r="K153" i="38"/>
  <c r="F286" i="40"/>
  <c r="I286" i="39"/>
  <c r="M286" i="39" s="1"/>
  <c r="K281" i="38"/>
  <c r="H281" i="39"/>
  <c r="I175" i="39"/>
  <c r="M175" i="39" s="1"/>
  <c r="F175" i="40"/>
  <c r="K255" i="38"/>
  <c r="H255" i="39"/>
  <c r="F162" i="40"/>
  <c r="I162" i="39"/>
  <c r="M162" i="39" s="1"/>
  <c r="H282" i="39"/>
  <c r="K282" i="38"/>
  <c r="F253" i="40"/>
  <c r="I253" i="39"/>
  <c r="M253" i="39" s="1"/>
  <c r="H274" i="39"/>
  <c r="K274" i="38"/>
  <c r="K279" i="38"/>
  <c r="H279" i="39"/>
  <c r="F161" i="40"/>
  <c r="I161" i="39"/>
  <c r="M161" i="39" s="1"/>
  <c r="H172" i="39"/>
  <c r="K172" i="38"/>
  <c r="F139" i="40"/>
  <c r="I139" i="39"/>
  <c r="M139" i="39" s="1"/>
  <c r="I140" i="39"/>
  <c r="M140" i="39" s="1"/>
  <c r="F140" i="40"/>
  <c r="K139" i="38"/>
  <c r="H139" i="39"/>
  <c r="H286" i="39"/>
  <c r="K286" i="38"/>
  <c r="F228" i="40"/>
  <c r="I228" i="39"/>
  <c r="M228" i="39" s="1"/>
  <c r="K204" i="38"/>
  <c r="H204" i="39"/>
  <c r="H223" i="39"/>
  <c r="K223" i="38"/>
  <c r="I129" i="39"/>
  <c r="M129" i="39" s="1"/>
  <c r="F129" i="40"/>
  <c r="K233" i="38"/>
  <c r="H233" i="39"/>
  <c r="H136" i="39"/>
  <c r="K136" i="38"/>
  <c r="I210" i="39"/>
  <c r="M210" i="39" s="1"/>
  <c r="F210" i="40"/>
  <c r="K168" i="38"/>
  <c r="H168" i="39"/>
  <c r="I266" i="39"/>
  <c r="M266" i="39" s="1"/>
  <c r="F266" i="40"/>
  <c r="H262" i="39"/>
  <c r="K262" i="38"/>
  <c r="I132" i="39"/>
  <c r="M132" i="39" s="1"/>
  <c r="F132" i="40"/>
  <c r="F220" i="40"/>
  <c r="I220" i="39"/>
  <c r="M220" i="39" s="1"/>
  <c r="H158" i="39"/>
  <c r="K158" i="38"/>
  <c r="I134" i="39"/>
  <c r="M134" i="39" s="1"/>
  <c r="F134" i="40"/>
  <c r="F268" i="40"/>
  <c r="I268" i="39"/>
  <c r="M268" i="39" s="1"/>
  <c r="F291" i="40"/>
  <c r="I291" i="39"/>
  <c r="M291" i="39" s="1"/>
  <c r="F287" i="40"/>
  <c r="I287" i="39"/>
  <c r="M287" i="39" s="1"/>
  <c r="K235" i="38"/>
  <c r="H235" i="39"/>
  <c r="H163" i="39"/>
  <c r="K163" i="38"/>
  <c r="K284" i="38"/>
  <c r="H284" i="39"/>
  <c r="I219" i="39"/>
  <c r="M219" i="39" s="1"/>
  <c r="F219" i="40"/>
  <c r="K253" i="38"/>
  <c r="H253" i="39"/>
  <c r="I167" i="39"/>
  <c r="M167" i="39" s="1"/>
  <c r="F167" i="40"/>
  <c r="I224" i="39"/>
  <c r="M224" i="39" s="1"/>
  <c r="F224" i="40"/>
  <c r="H170" i="39"/>
  <c r="K170" i="38"/>
  <c r="F200" i="40"/>
  <c r="I200" i="39"/>
  <c r="M200" i="39" s="1"/>
  <c r="I218" i="39"/>
  <c r="M218" i="39" s="1"/>
  <c r="F218" i="40"/>
  <c r="K210" i="38"/>
  <c r="H210" i="39"/>
  <c r="K195" i="38"/>
  <c r="H195" i="39"/>
  <c r="I121" i="39"/>
  <c r="M121" i="39" s="1"/>
  <c r="F121" i="40"/>
  <c r="H225" i="39"/>
  <c r="K225" i="38"/>
  <c r="F131" i="40"/>
  <c r="I131" i="39"/>
  <c r="M131" i="39" s="1"/>
  <c r="H291" i="39"/>
  <c r="K291" i="38"/>
  <c r="I198" i="39"/>
  <c r="M198" i="39" s="1"/>
  <c r="F198" i="40"/>
  <c r="I174" i="39"/>
  <c r="M174" i="39" s="1"/>
  <c r="F174" i="40"/>
  <c r="I244" i="39"/>
  <c r="M244" i="39" s="1"/>
  <c r="F244" i="40"/>
  <c r="I153" i="39"/>
  <c r="M153" i="39" s="1"/>
  <c r="F153" i="40"/>
  <c r="I226" i="39"/>
  <c r="M226" i="39" s="1"/>
  <c r="F226" i="40"/>
  <c r="K257" i="38"/>
  <c r="H257" i="39"/>
  <c r="H178" i="39"/>
  <c r="K178" i="38"/>
  <c r="H251" i="39"/>
  <c r="K251" i="38"/>
  <c r="K146" i="38"/>
  <c r="H146" i="39"/>
  <c r="I236" i="39"/>
  <c r="M236" i="39" s="1"/>
  <c r="F236" i="40"/>
  <c r="I249" i="39"/>
  <c r="M249" i="39" s="1"/>
  <c r="F249" i="40"/>
  <c r="H151" i="39"/>
  <c r="K151" i="38"/>
  <c r="I255" i="47"/>
  <c r="M255" i="47" s="1"/>
  <c r="F255" i="48"/>
  <c r="I255" i="48" s="1"/>
  <c r="F192" i="40"/>
  <c r="I192" i="39"/>
  <c r="M192" i="39" s="1"/>
  <c r="I274" i="39"/>
  <c r="M274" i="39" s="1"/>
  <c r="F274" i="40"/>
  <c r="H179" i="39"/>
  <c r="K179" i="38"/>
  <c r="C278" i="40"/>
  <c r="I278" i="39"/>
  <c r="M278" i="39" s="1"/>
  <c r="H144" i="39"/>
  <c r="K144" i="38"/>
  <c r="K156" i="38"/>
  <c r="H156" i="39"/>
  <c r="K185" i="38"/>
  <c r="H185" i="39"/>
  <c r="K269" i="38"/>
  <c r="H269" i="39"/>
  <c r="F130" i="40"/>
  <c r="I130" i="39"/>
  <c r="M130" i="39" s="1"/>
  <c r="H240" i="39"/>
  <c r="K240" i="38"/>
  <c r="I273" i="39"/>
  <c r="M273" i="39" s="1"/>
  <c r="F273" i="40"/>
  <c r="K238" i="38"/>
  <c r="H238" i="39"/>
  <c r="K276" i="38"/>
  <c r="H276" i="39"/>
  <c r="F262" i="40"/>
  <c r="I262" i="39"/>
  <c r="M262" i="39" s="1"/>
  <c r="H254" i="39"/>
  <c r="K254" i="38"/>
  <c r="K222" i="38"/>
  <c r="H222" i="39"/>
  <c r="H147" i="39"/>
  <c r="K147" i="38"/>
  <c r="I176" i="39"/>
  <c r="M176" i="39" s="1"/>
  <c r="F176" i="40"/>
  <c r="I243" i="39"/>
  <c r="M243" i="39" s="1"/>
  <c r="F243" i="40"/>
  <c r="K118" i="38"/>
  <c r="H118" i="39"/>
  <c r="F254" i="40"/>
  <c r="I254" i="39"/>
  <c r="M254" i="39" s="1"/>
  <c r="H250" i="39"/>
  <c r="K250" i="38"/>
  <c r="C212" i="40"/>
  <c r="I212" i="39"/>
  <c r="M212" i="39" s="1"/>
  <c r="I182" i="39"/>
  <c r="M182" i="39" s="1"/>
  <c r="F182" i="40"/>
  <c r="F215" i="40"/>
  <c r="I215" i="39"/>
  <c r="M215" i="39" s="1"/>
  <c r="H154" i="39"/>
  <c r="K154" i="38"/>
  <c r="I214" i="39"/>
  <c r="M214" i="39" s="1"/>
  <c r="F214" i="40"/>
  <c r="I170" i="39"/>
  <c r="M170" i="39" s="1"/>
  <c r="F170" i="40"/>
  <c r="F177" i="36"/>
  <c r="I177" i="35"/>
  <c r="M177" i="35" s="1"/>
  <c r="I245" i="39"/>
  <c r="M245" i="39" s="1"/>
  <c r="F245" i="40"/>
  <c r="H154" i="40" l="1"/>
  <c r="K154" i="39"/>
  <c r="H254" i="40"/>
  <c r="K254" i="39"/>
  <c r="F130" i="41"/>
  <c r="I130" i="40"/>
  <c r="M130" i="40" s="1"/>
  <c r="H144" i="40"/>
  <c r="K144" i="39"/>
  <c r="I131" i="40"/>
  <c r="M131" i="40" s="1"/>
  <c r="F131" i="41"/>
  <c r="H163" i="40"/>
  <c r="K163" i="39"/>
  <c r="F287" i="41"/>
  <c r="I287" i="40"/>
  <c r="M287" i="40" s="1"/>
  <c r="F220" i="41"/>
  <c r="I220" i="40"/>
  <c r="M220" i="40" s="1"/>
  <c r="H262" i="40"/>
  <c r="K262" i="39"/>
  <c r="F228" i="41"/>
  <c r="I228" i="40"/>
  <c r="M228" i="40" s="1"/>
  <c r="I161" i="40"/>
  <c r="M161" i="40" s="1"/>
  <c r="F161" i="41"/>
  <c r="F253" i="41"/>
  <c r="I253" i="40"/>
  <c r="M253" i="40" s="1"/>
  <c r="H194" i="40"/>
  <c r="K194" i="39"/>
  <c r="H229" i="40"/>
  <c r="K229" i="39"/>
  <c r="F186" i="41"/>
  <c r="I186" i="40"/>
  <c r="M186" i="40" s="1"/>
  <c r="I124" i="40"/>
  <c r="M124" i="40" s="1"/>
  <c r="F124" i="41"/>
  <c r="K165" i="39"/>
  <c r="H165" i="40"/>
  <c r="F148" i="41"/>
  <c r="I148" i="40"/>
  <c r="M148" i="40" s="1"/>
  <c r="K236" i="39"/>
  <c r="H236" i="40"/>
  <c r="K199" i="39"/>
  <c r="H199" i="40"/>
  <c r="K130" i="39"/>
  <c r="H130" i="40"/>
  <c r="H126" i="40"/>
  <c r="K126" i="39"/>
  <c r="F271" i="41"/>
  <c r="I271" i="40"/>
  <c r="M271" i="40" s="1"/>
  <c r="K237" i="39"/>
  <c r="H237" i="40"/>
  <c r="F269" i="41"/>
  <c r="I269" i="40"/>
  <c r="M269" i="40" s="1"/>
  <c r="K190" i="39"/>
  <c r="H190" i="40"/>
  <c r="H191" i="40"/>
  <c r="K191" i="39"/>
  <c r="F211" i="41"/>
  <c r="I211" i="40"/>
  <c r="M211" i="40" s="1"/>
  <c r="H166" i="40"/>
  <c r="K166" i="39"/>
  <c r="F152" i="41"/>
  <c r="I152" i="40"/>
  <c r="M152" i="40" s="1"/>
  <c r="F276" i="41"/>
  <c r="I276" i="40"/>
  <c r="M276" i="40" s="1"/>
  <c r="H207" i="40"/>
  <c r="K207" i="39"/>
  <c r="F170" i="41"/>
  <c r="I170" i="40"/>
  <c r="M170" i="40" s="1"/>
  <c r="F214" i="41"/>
  <c r="I214" i="40"/>
  <c r="M214" i="40" s="1"/>
  <c r="F243" i="41"/>
  <c r="I243" i="40"/>
  <c r="M243" i="40" s="1"/>
  <c r="F176" i="41"/>
  <c r="I176" i="40"/>
  <c r="M176" i="40" s="1"/>
  <c r="K276" i="39"/>
  <c r="H276" i="40"/>
  <c r="K238" i="39"/>
  <c r="H238" i="40"/>
  <c r="K185" i="39"/>
  <c r="H185" i="40"/>
  <c r="F274" i="41"/>
  <c r="I274" i="40"/>
  <c r="M274" i="40" s="1"/>
  <c r="M255" i="48"/>
  <c r="A286" i="31"/>
  <c r="F249" i="41"/>
  <c r="I249" i="40"/>
  <c r="M249" i="40" s="1"/>
  <c r="H146" i="40"/>
  <c r="K146" i="39"/>
  <c r="F226" i="41"/>
  <c r="I226" i="40"/>
  <c r="M226" i="40" s="1"/>
  <c r="F244" i="41"/>
  <c r="I244" i="40"/>
  <c r="M244" i="40" s="1"/>
  <c r="I174" i="40"/>
  <c r="M174" i="40" s="1"/>
  <c r="F174" i="41"/>
  <c r="F198" i="41"/>
  <c r="I198" i="40"/>
  <c r="M198" i="40" s="1"/>
  <c r="I121" i="40"/>
  <c r="M121" i="40" s="1"/>
  <c r="F121" i="41"/>
  <c r="H210" i="40"/>
  <c r="K210" i="39"/>
  <c r="I224" i="40"/>
  <c r="M224" i="40" s="1"/>
  <c r="F224" i="41"/>
  <c r="F167" i="41"/>
  <c r="I167" i="40"/>
  <c r="M167" i="40" s="1"/>
  <c r="H284" i="40"/>
  <c r="K284" i="39"/>
  <c r="H235" i="40"/>
  <c r="K235" i="39"/>
  <c r="I134" i="40"/>
  <c r="M134" i="40" s="1"/>
  <c r="F134" i="41"/>
  <c r="H168" i="40"/>
  <c r="K168" i="39"/>
  <c r="I210" i="40"/>
  <c r="M210" i="40" s="1"/>
  <c r="F210" i="41"/>
  <c r="H233" i="40"/>
  <c r="K233" i="39"/>
  <c r="I129" i="40"/>
  <c r="M129" i="40" s="1"/>
  <c r="F129" i="41"/>
  <c r="F140" i="41"/>
  <c r="I140" i="40"/>
  <c r="M140" i="40" s="1"/>
  <c r="F175" i="41"/>
  <c r="I175" i="40"/>
  <c r="M175" i="40" s="1"/>
  <c r="D141" i="35"/>
  <c r="J141" i="35" s="1"/>
  <c r="N141" i="35" s="1"/>
  <c r="D262" i="35"/>
  <c r="J262" i="35" s="1"/>
  <c r="N262" i="35" s="1"/>
  <c r="D134" i="35"/>
  <c r="J134" i="35" s="1"/>
  <c r="N134" i="35" s="1"/>
  <c r="D279" i="35"/>
  <c r="J279" i="35" s="1"/>
  <c r="N279" i="35" s="1"/>
  <c r="D199" i="35"/>
  <c r="J199" i="35" s="1"/>
  <c r="N199" i="35" s="1"/>
  <c r="D161" i="35"/>
  <c r="J161" i="35" s="1"/>
  <c r="N161" i="35" s="1"/>
  <c r="D191" i="35"/>
  <c r="J191" i="35" s="1"/>
  <c r="N191" i="35" s="1"/>
  <c r="D257" i="35"/>
  <c r="J257" i="35" s="1"/>
  <c r="N257" i="35" s="1"/>
  <c r="D150" i="35"/>
  <c r="J150" i="35" s="1"/>
  <c r="N150" i="35" s="1"/>
  <c r="D269" i="35"/>
  <c r="J269" i="35" s="1"/>
  <c r="N269" i="35" s="1"/>
  <c r="D162" i="35"/>
  <c r="J162" i="35" s="1"/>
  <c r="N162" i="35" s="1"/>
  <c r="D196" i="35"/>
  <c r="J196" i="35" s="1"/>
  <c r="N196" i="35" s="1"/>
  <c r="D143" i="35"/>
  <c r="J143" i="35" s="1"/>
  <c r="N143" i="35" s="1"/>
  <c r="D247" i="35"/>
  <c r="J247" i="35" s="1"/>
  <c r="N247" i="35" s="1"/>
  <c r="D237" i="35"/>
  <c r="J237" i="35" s="1"/>
  <c r="N237" i="35" s="1"/>
  <c r="D205" i="35"/>
  <c r="J205" i="35" s="1"/>
  <c r="N205" i="35" s="1"/>
  <c r="D233" i="35"/>
  <c r="J233" i="35" s="1"/>
  <c r="N233" i="35" s="1"/>
  <c r="D263" i="35"/>
  <c r="J263" i="35" s="1"/>
  <c r="N263" i="35" s="1"/>
  <c r="D254" i="35"/>
  <c r="J254" i="35" s="1"/>
  <c r="N254" i="35" s="1"/>
  <c r="D255" i="35"/>
  <c r="J255" i="35" s="1"/>
  <c r="N255" i="35" s="1"/>
  <c r="D183" i="35"/>
  <c r="J183" i="35" s="1"/>
  <c r="N183" i="35" s="1"/>
  <c r="D119" i="35"/>
  <c r="J119" i="35" s="1"/>
  <c r="N119" i="35" s="1"/>
  <c r="D265" i="35"/>
  <c r="J265" i="35" s="1"/>
  <c r="N265" i="35" s="1"/>
  <c r="D225" i="35"/>
  <c r="J225" i="35" s="1"/>
  <c r="N225" i="35" s="1"/>
  <c r="D180" i="35"/>
  <c r="J180" i="35" s="1"/>
  <c r="N180" i="35" s="1"/>
  <c r="D146" i="35"/>
  <c r="J146" i="35" s="1"/>
  <c r="N146" i="35" s="1"/>
  <c r="D165" i="35"/>
  <c r="J165" i="35" s="1"/>
  <c r="N165" i="35" s="1"/>
  <c r="D121" i="35"/>
  <c r="J121" i="35" s="1"/>
  <c r="N121" i="35" s="1"/>
  <c r="D173" i="35"/>
  <c r="J173" i="35" s="1"/>
  <c r="N173" i="35" s="1"/>
  <c r="D185" i="35"/>
  <c r="J185" i="35" s="1"/>
  <c r="N185" i="35" s="1"/>
  <c r="D289" i="35"/>
  <c r="J289" i="35" s="1"/>
  <c r="N289" i="35" s="1"/>
  <c r="D155" i="35"/>
  <c r="J155" i="35" s="1"/>
  <c r="N155" i="35" s="1"/>
  <c r="D120" i="35"/>
  <c r="J120" i="35" s="1"/>
  <c r="N120" i="35" s="1"/>
  <c r="D221" i="35"/>
  <c r="J221" i="35" s="1"/>
  <c r="N221" i="35" s="1"/>
  <c r="D157" i="35"/>
  <c r="J157" i="35" s="1"/>
  <c r="N157" i="35" s="1"/>
  <c r="D133" i="35"/>
  <c r="J133" i="35" s="1"/>
  <c r="N133" i="35" s="1"/>
  <c r="D234" i="35"/>
  <c r="J234" i="35" s="1"/>
  <c r="N234" i="35" s="1"/>
  <c r="D140" i="35"/>
  <c r="J140" i="35" s="1"/>
  <c r="N140" i="35" s="1"/>
  <c r="D201" i="35"/>
  <c r="J201" i="35" s="1"/>
  <c r="N201" i="35" s="1"/>
  <c r="D266" i="35"/>
  <c r="J266" i="35" s="1"/>
  <c r="N266" i="35" s="1"/>
  <c r="D122" i="35"/>
  <c r="J122" i="35" s="1"/>
  <c r="N122" i="35" s="1"/>
  <c r="D198" i="35"/>
  <c r="J198" i="35" s="1"/>
  <c r="N198" i="35" s="1"/>
  <c r="D270" i="35"/>
  <c r="J270" i="35" s="1"/>
  <c r="N270" i="35" s="1"/>
  <c r="D132" i="35"/>
  <c r="J132" i="35" s="1"/>
  <c r="N132" i="35" s="1"/>
  <c r="D138" i="35"/>
  <c r="J138" i="35" s="1"/>
  <c r="N138" i="35" s="1"/>
  <c r="D236" i="35"/>
  <c r="J236" i="35" s="1"/>
  <c r="N236" i="35" s="1"/>
  <c r="D194" i="35"/>
  <c r="J194" i="35" s="1"/>
  <c r="N194" i="35" s="1"/>
  <c r="D145" i="35"/>
  <c r="J145" i="35" s="1"/>
  <c r="N145" i="35" s="1"/>
  <c r="D229" i="35"/>
  <c r="J229" i="35" s="1"/>
  <c r="N229" i="35" s="1"/>
  <c r="D166" i="35"/>
  <c r="J166" i="35" s="1"/>
  <c r="N166" i="35" s="1"/>
  <c r="D286" i="35"/>
  <c r="J286" i="35" s="1"/>
  <c r="N286" i="35" s="1"/>
  <c r="D204" i="35"/>
  <c r="J204" i="35" s="1"/>
  <c r="N204" i="35" s="1"/>
  <c r="D213" i="35"/>
  <c r="J213" i="35" s="1"/>
  <c r="N213" i="35" s="1"/>
  <c r="Q16" i="34"/>
  <c r="D271" i="35"/>
  <c r="J271" i="35" s="1"/>
  <c r="N271" i="35" s="1"/>
  <c r="D231" i="35"/>
  <c r="J231" i="35" s="1"/>
  <c r="N231" i="35" s="1"/>
  <c r="D217" i="35"/>
  <c r="J217" i="35" s="1"/>
  <c r="N217" i="35" s="1"/>
  <c r="D238" i="35"/>
  <c r="J238" i="35" s="1"/>
  <c r="N238" i="35" s="1"/>
  <c r="D246" i="35"/>
  <c r="J246" i="35" s="1"/>
  <c r="N246" i="35" s="1"/>
  <c r="D118" i="35"/>
  <c r="J118" i="35" s="1"/>
  <c r="N118" i="35" s="1"/>
  <c r="D210" i="35"/>
  <c r="J210" i="35" s="1"/>
  <c r="N210" i="35" s="1"/>
  <c r="D261" i="35"/>
  <c r="J261" i="35" s="1"/>
  <c r="N261" i="35" s="1"/>
  <c r="D135" i="35"/>
  <c r="J135" i="35" s="1"/>
  <c r="N135" i="35" s="1"/>
  <c r="D220" i="35"/>
  <c r="J220" i="35" s="1"/>
  <c r="N220" i="35" s="1"/>
  <c r="D206" i="35"/>
  <c r="J206" i="35" s="1"/>
  <c r="N206" i="35" s="1"/>
  <c r="D176" i="35"/>
  <c r="J176" i="35" s="1"/>
  <c r="N176" i="35" s="1"/>
  <c r="D276" i="35"/>
  <c r="J276" i="35" s="1"/>
  <c r="N276" i="35" s="1"/>
  <c r="D200" i="35"/>
  <c r="J200" i="35" s="1"/>
  <c r="N200" i="35" s="1"/>
  <c r="D207" i="35"/>
  <c r="J207" i="35" s="1"/>
  <c r="N207" i="35" s="1"/>
  <c r="D164" i="35"/>
  <c r="J164" i="35" s="1"/>
  <c r="N164" i="35" s="1"/>
  <c r="D242" i="35"/>
  <c r="J242" i="35" s="1"/>
  <c r="N242" i="35" s="1"/>
  <c r="D163" i="35"/>
  <c r="J163" i="35" s="1"/>
  <c r="N163" i="35" s="1"/>
  <c r="D218" i="35"/>
  <c r="J218" i="35" s="1"/>
  <c r="N218" i="35" s="1"/>
  <c r="D159" i="35"/>
  <c r="J159" i="35" s="1"/>
  <c r="N159" i="35" s="1"/>
  <c r="D193" i="35"/>
  <c r="J193" i="35" s="1"/>
  <c r="N193" i="35" s="1"/>
  <c r="D281" i="35"/>
  <c r="J281" i="35" s="1"/>
  <c r="N281" i="35" s="1"/>
  <c r="D243" i="35"/>
  <c r="J243" i="35" s="1"/>
  <c r="N243" i="35" s="1"/>
  <c r="D244" i="35"/>
  <c r="J244" i="35" s="1"/>
  <c r="N244" i="35" s="1"/>
  <c r="D267" i="35"/>
  <c r="J267" i="35" s="1"/>
  <c r="N267" i="35" s="1"/>
  <c r="D177" i="35"/>
  <c r="J177" i="35" s="1"/>
  <c r="N177" i="35" s="1"/>
  <c r="D195" i="35"/>
  <c r="J195" i="35" s="1"/>
  <c r="N195" i="35" s="1"/>
  <c r="D197" i="35"/>
  <c r="J197" i="35" s="1"/>
  <c r="N197" i="35" s="1"/>
  <c r="D252" i="35"/>
  <c r="J252" i="35" s="1"/>
  <c r="N252" i="35" s="1"/>
  <c r="D125" i="35"/>
  <c r="J125" i="35" s="1"/>
  <c r="N125" i="35" s="1"/>
  <c r="D224" i="35"/>
  <c r="J224" i="35" s="1"/>
  <c r="N224" i="35" s="1"/>
  <c r="D212" i="35"/>
  <c r="J212" i="35" s="1"/>
  <c r="N212" i="35" s="1"/>
  <c r="D184" i="35"/>
  <c r="J184" i="35" s="1"/>
  <c r="N184" i="35" s="1"/>
  <c r="D123" i="35"/>
  <c r="J123" i="35" s="1"/>
  <c r="N123" i="35" s="1"/>
  <c r="D170" i="35"/>
  <c r="J170" i="35" s="1"/>
  <c r="N170" i="35" s="1"/>
  <c r="D131" i="35"/>
  <c r="J131" i="35" s="1"/>
  <c r="N131" i="35" s="1"/>
  <c r="D239" i="35"/>
  <c r="J239" i="35" s="1"/>
  <c r="N239" i="35" s="1"/>
  <c r="D287" i="35"/>
  <c r="J287" i="35" s="1"/>
  <c r="N287" i="35" s="1"/>
  <c r="D181" i="35"/>
  <c r="J181" i="35" s="1"/>
  <c r="N181" i="35" s="1"/>
  <c r="D260" i="35"/>
  <c r="J260" i="35" s="1"/>
  <c r="N260" i="35" s="1"/>
  <c r="D156" i="35"/>
  <c r="J156" i="35" s="1"/>
  <c r="N156" i="35" s="1"/>
  <c r="D249" i="35"/>
  <c r="J249" i="35" s="1"/>
  <c r="N249" i="35" s="1"/>
  <c r="D280" i="35"/>
  <c r="J280" i="35" s="1"/>
  <c r="N280" i="35" s="1"/>
  <c r="D264" i="35"/>
  <c r="J264" i="35" s="1"/>
  <c r="N264" i="35" s="1"/>
  <c r="D158" i="35"/>
  <c r="J158" i="35" s="1"/>
  <c r="N158" i="35" s="1"/>
  <c r="D278" i="35"/>
  <c r="J278" i="35" s="1"/>
  <c r="N278" i="35" s="1"/>
  <c r="D240" i="35"/>
  <c r="J240" i="35" s="1"/>
  <c r="N240" i="35" s="1"/>
  <c r="D189" i="35"/>
  <c r="J189" i="35" s="1"/>
  <c r="N189" i="35" s="1"/>
  <c r="D154" i="35"/>
  <c r="J154" i="35" s="1"/>
  <c r="N154" i="35" s="1"/>
  <c r="D186" i="35"/>
  <c r="J186" i="35" s="1"/>
  <c r="N186" i="35" s="1"/>
  <c r="D284" i="35"/>
  <c r="J284" i="35" s="1"/>
  <c r="N284" i="35" s="1"/>
  <c r="D179" i="35"/>
  <c r="J179" i="35" s="1"/>
  <c r="N179" i="35" s="1"/>
  <c r="D190" i="35"/>
  <c r="J190" i="35" s="1"/>
  <c r="N190" i="35" s="1"/>
  <c r="D285" i="35"/>
  <c r="J285" i="35" s="1"/>
  <c r="N285" i="35" s="1"/>
  <c r="D228" i="35"/>
  <c r="J228" i="35" s="1"/>
  <c r="N228" i="35" s="1"/>
  <c r="D214" i="35"/>
  <c r="J214" i="35" s="1"/>
  <c r="N214" i="35" s="1"/>
  <c r="D167" i="35"/>
  <c r="J167" i="35" s="1"/>
  <c r="N167" i="35" s="1"/>
  <c r="D235" i="35"/>
  <c r="J235" i="35" s="1"/>
  <c r="N235" i="35" s="1"/>
  <c r="D148" i="35"/>
  <c r="J148" i="35" s="1"/>
  <c r="N148" i="35" s="1"/>
  <c r="D291" i="35"/>
  <c r="J291" i="35" s="1"/>
  <c r="N291" i="35" s="1"/>
  <c r="D203" i="35"/>
  <c r="J203" i="35" s="1"/>
  <c r="N203" i="35" s="1"/>
  <c r="D248" i="35"/>
  <c r="J248" i="35" s="1"/>
  <c r="N248" i="35" s="1"/>
  <c r="D241" i="35"/>
  <c r="J241" i="35" s="1"/>
  <c r="N241" i="35" s="1"/>
  <c r="D219" i="35"/>
  <c r="J219" i="35" s="1"/>
  <c r="N219" i="35" s="1"/>
  <c r="D216" i="35"/>
  <c r="J216" i="35" s="1"/>
  <c r="N216" i="35" s="1"/>
  <c r="D144" i="35"/>
  <c r="J144" i="35" s="1"/>
  <c r="N144" i="35" s="1"/>
  <c r="D277" i="35"/>
  <c r="J277" i="35" s="1"/>
  <c r="N277" i="35" s="1"/>
  <c r="D126" i="35"/>
  <c r="J126" i="35" s="1"/>
  <c r="N126" i="35" s="1"/>
  <c r="D208" i="35"/>
  <c r="J208" i="35" s="1"/>
  <c r="N208" i="35" s="1"/>
  <c r="D226" i="35"/>
  <c r="J226" i="35" s="1"/>
  <c r="N226" i="35" s="1"/>
  <c r="D192" i="35"/>
  <c r="J192" i="35" s="1"/>
  <c r="N192" i="35" s="1"/>
  <c r="D160" i="35"/>
  <c r="J160" i="35" s="1"/>
  <c r="N160" i="35" s="1"/>
  <c r="D253" i="35"/>
  <c r="J253" i="35" s="1"/>
  <c r="N253" i="35" s="1"/>
  <c r="D283" i="35"/>
  <c r="J283" i="35" s="1"/>
  <c r="N283" i="35" s="1"/>
  <c r="D153" i="35"/>
  <c r="J153" i="35" s="1"/>
  <c r="N153" i="35" s="1"/>
  <c r="D232" i="35"/>
  <c r="J232" i="35" s="1"/>
  <c r="N232" i="35" s="1"/>
  <c r="D151" i="35"/>
  <c r="J151" i="35" s="1"/>
  <c r="N151" i="35" s="1"/>
  <c r="D128" i="35"/>
  <c r="J128" i="35" s="1"/>
  <c r="N128" i="35" s="1"/>
  <c r="D222" i="35"/>
  <c r="J222" i="35" s="1"/>
  <c r="N222" i="35" s="1"/>
  <c r="D268" i="35"/>
  <c r="J268" i="35" s="1"/>
  <c r="N268" i="35" s="1"/>
  <c r="D223" i="35"/>
  <c r="J223" i="35" s="1"/>
  <c r="N223" i="35" s="1"/>
  <c r="D188" i="35"/>
  <c r="J188" i="35" s="1"/>
  <c r="N188" i="35" s="1"/>
  <c r="D172" i="35"/>
  <c r="J172" i="35" s="1"/>
  <c r="N172" i="35" s="1"/>
  <c r="D290" i="35"/>
  <c r="J290" i="35" s="1"/>
  <c r="N290" i="35" s="1"/>
  <c r="D139" i="35"/>
  <c r="J139" i="35" s="1"/>
  <c r="N139" i="35" s="1"/>
  <c r="D147" i="35"/>
  <c r="J147" i="35" s="1"/>
  <c r="N147" i="35" s="1"/>
  <c r="D245" i="35"/>
  <c r="J245" i="35" s="1"/>
  <c r="N245" i="35" s="1"/>
  <c r="D129" i="35"/>
  <c r="J129" i="35" s="1"/>
  <c r="N129" i="35" s="1"/>
  <c r="D149" i="35"/>
  <c r="J149" i="35" s="1"/>
  <c r="N149" i="35" s="1"/>
  <c r="D275" i="35"/>
  <c r="J275" i="35" s="1"/>
  <c r="N275" i="35" s="1"/>
  <c r="D187" i="35"/>
  <c r="J187" i="35" s="1"/>
  <c r="N187" i="35" s="1"/>
  <c r="D258" i="35"/>
  <c r="J258" i="35" s="1"/>
  <c r="N258" i="35" s="1"/>
  <c r="D175" i="35"/>
  <c r="J175" i="35" s="1"/>
  <c r="N175" i="35" s="1"/>
  <c r="D230" i="35"/>
  <c r="J230" i="35" s="1"/>
  <c r="N230" i="35" s="1"/>
  <c r="D272" i="35"/>
  <c r="J272" i="35" s="1"/>
  <c r="N272" i="35" s="1"/>
  <c r="D142" i="35"/>
  <c r="J142" i="35" s="1"/>
  <c r="N142" i="35" s="1"/>
  <c r="D227" i="35"/>
  <c r="J227" i="35" s="1"/>
  <c r="N227" i="35" s="1"/>
  <c r="D251" i="35"/>
  <c r="J251" i="35" s="1"/>
  <c r="N251" i="35" s="1"/>
  <c r="D130" i="35"/>
  <c r="J130" i="35" s="1"/>
  <c r="N130" i="35" s="1"/>
  <c r="D182" i="35"/>
  <c r="J182" i="35" s="1"/>
  <c r="N182" i="35" s="1"/>
  <c r="D282" i="35"/>
  <c r="J282" i="35" s="1"/>
  <c r="N282" i="35" s="1"/>
  <c r="D292" i="35"/>
  <c r="J292" i="35" s="1"/>
  <c r="N292" i="35" s="1"/>
  <c r="D274" i="35"/>
  <c r="J274" i="35" s="1"/>
  <c r="N274" i="35" s="1"/>
  <c r="D202" i="35"/>
  <c r="J202" i="35" s="1"/>
  <c r="N202" i="35" s="1"/>
  <c r="D259" i="35"/>
  <c r="J259" i="35" s="1"/>
  <c r="N259" i="35" s="1"/>
  <c r="D215" i="35"/>
  <c r="J215" i="35" s="1"/>
  <c r="N215" i="35" s="1"/>
  <c r="D209" i="35"/>
  <c r="J209" i="35" s="1"/>
  <c r="N209" i="35" s="1"/>
  <c r="D124" i="35"/>
  <c r="J124" i="35" s="1"/>
  <c r="N124" i="35" s="1"/>
  <c r="D178" i="35"/>
  <c r="J178" i="35" s="1"/>
  <c r="N178" i="35" s="1"/>
  <c r="D152" i="35"/>
  <c r="J152" i="35" s="1"/>
  <c r="N152" i="35" s="1"/>
  <c r="D273" i="35"/>
  <c r="J273" i="35" s="1"/>
  <c r="N273" i="35" s="1"/>
  <c r="D168" i="35"/>
  <c r="J168" i="35" s="1"/>
  <c r="N168" i="35" s="1"/>
  <c r="D174" i="35"/>
  <c r="J174" i="35" s="1"/>
  <c r="N174" i="35" s="1"/>
  <c r="D288" i="35"/>
  <c r="J288" i="35" s="1"/>
  <c r="N288" i="35" s="1"/>
  <c r="D127" i="35"/>
  <c r="J127" i="35" s="1"/>
  <c r="N127" i="35" s="1"/>
  <c r="D169" i="35"/>
  <c r="J169" i="35" s="1"/>
  <c r="N169" i="35" s="1"/>
  <c r="D211" i="35"/>
  <c r="J211" i="35" s="1"/>
  <c r="N211" i="35" s="1"/>
  <c r="D137" i="35"/>
  <c r="J137" i="35" s="1"/>
  <c r="N137" i="35" s="1"/>
  <c r="D171" i="35"/>
  <c r="J171" i="35" s="1"/>
  <c r="N171" i="35" s="1"/>
  <c r="D136" i="35"/>
  <c r="J136" i="35" s="1"/>
  <c r="N136" i="35" s="1"/>
  <c r="D256" i="35"/>
  <c r="J256" i="35" s="1"/>
  <c r="N256" i="35" s="1"/>
  <c r="D250" i="35"/>
  <c r="J250" i="35" s="1"/>
  <c r="N250" i="35" s="1"/>
  <c r="H219" i="40"/>
  <c r="K219" i="39"/>
  <c r="H273" i="40"/>
  <c r="K273" i="39"/>
  <c r="F147" i="41"/>
  <c r="I147" i="40"/>
  <c r="M147" i="40" s="1"/>
  <c r="F209" i="41"/>
  <c r="I209" i="40"/>
  <c r="M209" i="40" s="1"/>
  <c r="I238" i="40"/>
  <c r="M238" i="40" s="1"/>
  <c r="F238" i="41"/>
  <c r="K188" i="39"/>
  <c r="H188" i="40"/>
  <c r="F141" i="41"/>
  <c r="I141" i="40"/>
  <c r="M141" i="40" s="1"/>
  <c r="K137" i="39"/>
  <c r="H137" i="40"/>
  <c r="F272" i="41"/>
  <c r="I272" i="40"/>
  <c r="M272" i="40" s="1"/>
  <c r="F122" i="41"/>
  <c r="I122" i="40"/>
  <c r="M122" i="40" s="1"/>
  <c r="I234" i="40"/>
  <c r="M234" i="40" s="1"/>
  <c r="F234" i="41"/>
  <c r="I248" i="40"/>
  <c r="M248" i="40" s="1"/>
  <c r="F248" i="41"/>
  <c r="F264" i="41"/>
  <c r="I264" i="40"/>
  <c r="M264" i="40" s="1"/>
  <c r="H280" i="40"/>
  <c r="K280" i="39"/>
  <c r="K176" i="39"/>
  <c r="H176" i="40"/>
  <c r="H121" i="40"/>
  <c r="K121" i="39"/>
  <c r="F165" i="41"/>
  <c r="I165" i="40"/>
  <c r="M165" i="40" s="1"/>
  <c r="F183" i="41"/>
  <c r="I183" i="40"/>
  <c r="M183" i="40" s="1"/>
  <c r="F213" i="41"/>
  <c r="I213" i="40"/>
  <c r="M213" i="40" s="1"/>
  <c r="H216" i="40"/>
  <c r="K216" i="39"/>
  <c r="K182" i="39"/>
  <c r="H182" i="40"/>
  <c r="F184" i="41"/>
  <c r="I184" i="40"/>
  <c r="M184" i="40" s="1"/>
  <c r="F164" i="41"/>
  <c r="I164" i="40"/>
  <c r="M164" i="40" s="1"/>
  <c r="H265" i="40"/>
  <c r="K265" i="39"/>
  <c r="F251" i="41"/>
  <c r="I251" i="40"/>
  <c r="M251" i="40" s="1"/>
  <c r="F223" i="41"/>
  <c r="I223" i="40"/>
  <c r="M223" i="40" s="1"/>
  <c r="F277" i="41"/>
  <c r="I277" i="40"/>
  <c r="M277" i="40" s="1"/>
  <c r="F275" i="41"/>
  <c r="I275" i="40"/>
  <c r="M275" i="40" s="1"/>
  <c r="F172" i="41"/>
  <c r="I172" i="40"/>
  <c r="M172" i="40" s="1"/>
  <c r="F252" i="41"/>
  <c r="I252" i="40"/>
  <c r="M252" i="40" s="1"/>
  <c r="H258" i="40"/>
  <c r="K258" i="39"/>
  <c r="I222" i="40"/>
  <c r="M222" i="40" s="1"/>
  <c r="F222" i="41"/>
  <c r="I181" i="40"/>
  <c r="M181" i="40" s="1"/>
  <c r="F181" i="41"/>
  <c r="F227" i="41"/>
  <c r="I227" i="40"/>
  <c r="M227" i="40" s="1"/>
  <c r="F281" i="41"/>
  <c r="I281" i="40"/>
  <c r="M281" i="40" s="1"/>
  <c r="F256" i="41"/>
  <c r="I256" i="40"/>
  <c r="M256" i="40" s="1"/>
  <c r="F201" i="41"/>
  <c r="I201" i="40"/>
  <c r="M201" i="40" s="1"/>
  <c r="H290" i="40"/>
  <c r="K290" i="39"/>
  <c r="F118" i="41"/>
  <c r="I118" i="40"/>
  <c r="M118" i="40" s="1"/>
  <c r="F285" i="41"/>
  <c r="I285" i="40"/>
  <c r="M285" i="40" s="1"/>
  <c r="H246" i="40"/>
  <c r="K246" i="39"/>
  <c r="F160" i="41"/>
  <c r="I160" i="40"/>
  <c r="M160" i="40" s="1"/>
  <c r="I145" i="40"/>
  <c r="M145" i="40" s="1"/>
  <c r="F145" i="41"/>
  <c r="I265" i="40"/>
  <c r="M265" i="40" s="1"/>
  <c r="F265" i="41"/>
  <c r="F279" i="41"/>
  <c r="I279" i="40"/>
  <c r="M279" i="40" s="1"/>
  <c r="I217" i="40"/>
  <c r="M217" i="40" s="1"/>
  <c r="F217" i="41"/>
  <c r="F260" i="41"/>
  <c r="I260" i="40"/>
  <c r="M260" i="40" s="1"/>
  <c r="K227" i="39"/>
  <c r="H227" i="40"/>
  <c r="F233" i="41"/>
  <c r="I233" i="40"/>
  <c r="M233" i="40" s="1"/>
  <c r="F123" i="41"/>
  <c r="I123" i="40"/>
  <c r="M123" i="40" s="1"/>
  <c r="I216" i="40"/>
  <c r="M216" i="40" s="1"/>
  <c r="F216" i="41"/>
  <c r="H203" i="40"/>
  <c r="K203" i="39"/>
  <c r="H125" i="40"/>
  <c r="K125" i="39"/>
  <c r="K252" i="39"/>
  <c r="H252" i="40"/>
  <c r="H201" i="40"/>
  <c r="K201" i="39"/>
  <c r="H230" i="40"/>
  <c r="K230" i="39"/>
  <c r="H180" i="40"/>
  <c r="K180" i="39"/>
  <c r="F261" i="41"/>
  <c r="I261" i="40"/>
  <c r="M261" i="40" s="1"/>
  <c r="I120" i="40"/>
  <c r="M120" i="40" s="1"/>
  <c r="F120" i="41"/>
  <c r="H214" i="40"/>
  <c r="K214" i="39"/>
  <c r="F135" i="41"/>
  <c r="I135" i="40"/>
  <c r="M135" i="40" s="1"/>
  <c r="F180" i="41"/>
  <c r="I180" i="40"/>
  <c r="M180" i="40" s="1"/>
  <c r="H271" i="40"/>
  <c r="K271" i="39"/>
  <c r="H208" i="40"/>
  <c r="K208" i="39"/>
  <c r="H272" i="40"/>
  <c r="K272" i="39"/>
  <c r="H220" i="40"/>
  <c r="K220" i="39"/>
  <c r="F196" i="41"/>
  <c r="I196" i="40"/>
  <c r="M196" i="40" s="1"/>
  <c r="F188" i="41"/>
  <c r="I188" i="40"/>
  <c r="M188" i="40" s="1"/>
  <c r="H186" i="40"/>
  <c r="K186" i="39"/>
  <c r="I190" i="40"/>
  <c r="M190" i="40" s="1"/>
  <c r="F190" i="41"/>
  <c r="H150" i="40"/>
  <c r="K150" i="39"/>
  <c r="H157" i="40"/>
  <c r="K157" i="39"/>
  <c r="H288" i="40"/>
  <c r="K288" i="39"/>
  <c r="I215" i="40"/>
  <c r="M215" i="40" s="1"/>
  <c r="F215" i="41"/>
  <c r="F200" i="41"/>
  <c r="I200" i="40"/>
  <c r="M200" i="40" s="1"/>
  <c r="H223" i="40"/>
  <c r="K223" i="39"/>
  <c r="H172" i="40"/>
  <c r="K172" i="39"/>
  <c r="F232" i="41"/>
  <c r="I232" i="40"/>
  <c r="M232" i="40" s="1"/>
  <c r="F205" i="41"/>
  <c r="I205" i="40"/>
  <c r="M205" i="40" s="1"/>
  <c r="H212" i="40"/>
  <c r="K212" i="39"/>
  <c r="H123" i="40"/>
  <c r="K123" i="39"/>
  <c r="K275" i="39"/>
  <c r="H275" i="40"/>
  <c r="F288" i="41"/>
  <c r="I288" i="40"/>
  <c r="M288" i="40" s="1"/>
  <c r="F171" i="41"/>
  <c r="I171" i="40"/>
  <c r="M171" i="40" s="1"/>
  <c r="H131" i="40"/>
  <c r="K131" i="39"/>
  <c r="I267" i="40"/>
  <c r="M267" i="40" s="1"/>
  <c r="F267" i="41"/>
  <c r="K171" i="39"/>
  <c r="H171" i="40"/>
  <c r="F194" i="41"/>
  <c r="I194" i="40"/>
  <c r="M194" i="40" s="1"/>
  <c r="H173" i="40"/>
  <c r="K173" i="39"/>
  <c r="H217" i="40"/>
  <c r="K217" i="39"/>
  <c r="H124" i="40"/>
  <c r="K124" i="39"/>
  <c r="K134" i="39"/>
  <c r="H134" i="40"/>
  <c r="F182" i="41"/>
  <c r="I182" i="40"/>
  <c r="M182" i="40" s="1"/>
  <c r="H118" i="40"/>
  <c r="K118" i="39"/>
  <c r="K222" i="39"/>
  <c r="H222" i="40"/>
  <c r="F273" i="41"/>
  <c r="I273" i="40"/>
  <c r="M273" i="40" s="1"/>
  <c r="K269" i="39"/>
  <c r="H269" i="40"/>
  <c r="H156" i="40"/>
  <c r="K156" i="39"/>
  <c r="I236" i="40"/>
  <c r="M236" i="40" s="1"/>
  <c r="F236" i="41"/>
  <c r="H257" i="40"/>
  <c r="K257" i="39"/>
  <c r="F153" i="41"/>
  <c r="I153" i="40"/>
  <c r="M153" i="40" s="1"/>
  <c r="K195" i="39"/>
  <c r="H195" i="40"/>
  <c r="F218" i="41"/>
  <c r="I218" i="40"/>
  <c r="M218" i="40" s="1"/>
  <c r="H253" i="40"/>
  <c r="K253" i="39"/>
  <c r="I219" i="40"/>
  <c r="M219" i="40" s="1"/>
  <c r="F219" i="41"/>
  <c r="F132" i="41"/>
  <c r="I132" i="40"/>
  <c r="M132" i="40" s="1"/>
  <c r="F266" i="41"/>
  <c r="I266" i="40"/>
  <c r="M266" i="40" s="1"/>
  <c r="H204" i="40"/>
  <c r="K204" i="39"/>
  <c r="H139" i="40"/>
  <c r="K139" i="39"/>
  <c r="H279" i="40"/>
  <c r="K279" i="39"/>
  <c r="H255" i="40"/>
  <c r="K255" i="39"/>
  <c r="K281" i="39"/>
  <c r="H281" i="40"/>
  <c r="H264" i="40"/>
  <c r="K264" i="39"/>
  <c r="H231" i="40"/>
  <c r="K231" i="39"/>
  <c r="F208" i="41"/>
  <c r="I208" i="40"/>
  <c r="M208" i="40" s="1"/>
  <c r="F292" i="41"/>
  <c r="I292" i="40"/>
  <c r="M292" i="40" s="1"/>
  <c r="H205" i="40"/>
  <c r="K205" i="39"/>
  <c r="I204" i="40"/>
  <c r="M204" i="40" s="1"/>
  <c r="F204" i="41"/>
  <c r="I199" i="40"/>
  <c r="M199" i="40" s="1"/>
  <c r="F199" i="41"/>
  <c r="H143" i="40"/>
  <c r="K143" i="39"/>
  <c r="F206" i="41"/>
  <c r="I206" i="40"/>
  <c r="M206" i="40" s="1"/>
  <c r="F203" i="41"/>
  <c r="I203" i="40"/>
  <c r="M203" i="40" s="1"/>
  <c r="H245" i="40"/>
  <c r="K245" i="39"/>
  <c r="H221" i="40"/>
  <c r="K221" i="39"/>
  <c r="H192" i="40"/>
  <c r="K192" i="39"/>
  <c r="H167" i="40"/>
  <c r="K167" i="39"/>
  <c r="K287" i="39"/>
  <c r="H287" i="40"/>
  <c r="H285" i="40"/>
  <c r="K285" i="39"/>
  <c r="H244" i="40"/>
  <c r="K244" i="39"/>
  <c r="H142" i="40"/>
  <c r="K142" i="39"/>
  <c r="H135" i="40"/>
  <c r="K135" i="39"/>
  <c r="H132" i="40"/>
  <c r="K132" i="39"/>
  <c r="F240" i="41"/>
  <c r="I240" i="40"/>
  <c r="M240" i="40" s="1"/>
  <c r="K175" i="39"/>
  <c r="H175" i="40"/>
  <c r="I158" i="40"/>
  <c r="M158" i="40" s="1"/>
  <c r="F158" i="41"/>
  <c r="F159" i="41"/>
  <c r="I159" i="40"/>
  <c r="M159" i="40" s="1"/>
  <c r="K152" i="39"/>
  <c r="H152" i="40"/>
  <c r="F258" i="41"/>
  <c r="I258" i="40"/>
  <c r="M258" i="40" s="1"/>
  <c r="H260" i="40"/>
  <c r="K260" i="39"/>
  <c r="H206" i="40"/>
  <c r="K206" i="39"/>
  <c r="F246" i="41"/>
  <c r="I246" i="40"/>
  <c r="M246" i="40" s="1"/>
  <c r="H243" i="40"/>
  <c r="K243" i="39"/>
  <c r="F283" i="41"/>
  <c r="I283" i="40"/>
  <c r="M283" i="40" s="1"/>
  <c r="H189" i="40"/>
  <c r="K189" i="39"/>
  <c r="K198" i="39"/>
  <c r="H198" i="40"/>
  <c r="I138" i="40"/>
  <c r="M138" i="40" s="1"/>
  <c r="F138" i="41"/>
  <c r="H241" i="40"/>
  <c r="K241" i="39"/>
  <c r="H239" i="40"/>
  <c r="K239" i="39"/>
  <c r="I290" i="40"/>
  <c r="M290" i="40" s="1"/>
  <c r="F290" i="41"/>
  <c r="F239" i="41"/>
  <c r="I239" i="40"/>
  <c r="M239" i="40" s="1"/>
  <c r="H161" i="40"/>
  <c r="K161" i="39"/>
  <c r="H209" i="40"/>
  <c r="K209" i="39"/>
  <c r="I173" i="40"/>
  <c r="M173" i="40" s="1"/>
  <c r="F173" i="41"/>
  <c r="H283" i="40"/>
  <c r="K283" i="39"/>
  <c r="I202" i="40"/>
  <c r="M202" i="40" s="1"/>
  <c r="F202" i="41"/>
  <c r="F284" i="41"/>
  <c r="I284" i="40"/>
  <c r="M284" i="40" s="1"/>
  <c r="H249" i="40"/>
  <c r="K249" i="39"/>
  <c r="F125" i="41"/>
  <c r="I125" i="40"/>
  <c r="M125" i="40" s="1"/>
  <c r="H140" i="40"/>
  <c r="K140" i="39"/>
  <c r="F207" i="41"/>
  <c r="I207" i="40"/>
  <c r="M207" i="40" s="1"/>
  <c r="H268" i="40"/>
  <c r="K268" i="39"/>
  <c r="F150" i="41"/>
  <c r="I150" i="40"/>
  <c r="M150" i="40" s="1"/>
  <c r="K127" i="39"/>
  <c r="H127" i="40"/>
  <c r="F119" i="41"/>
  <c r="I119" i="40"/>
  <c r="M119" i="40" s="1"/>
  <c r="K242" i="39"/>
  <c r="H242" i="40"/>
  <c r="K263" i="39"/>
  <c r="H263" i="40"/>
  <c r="F127" i="41"/>
  <c r="I127" i="40"/>
  <c r="M127" i="40" s="1"/>
  <c r="H202" i="40"/>
  <c r="K202" i="39"/>
  <c r="C191" i="41"/>
  <c r="I191" i="40"/>
  <c r="M191" i="40" s="1"/>
  <c r="I137" i="40"/>
  <c r="M137" i="40" s="1"/>
  <c r="F137" i="41"/>
  <c r="F149" i="41"/>
  <c r="I149" i="40"/>
  <c r="M149" i="40" s="1"/>
  <c r="F142" i="41"/>
  <c r="I142" i="40"/>
  <c r="M142" i="40" s="1"/>
  <c r="F151" i="41"/>
  <c r="I151" i="40"/>
  <c r="M151" i="40" s="1"/>
  <c r="I250" i="40"/>
  <c r="M250" i="40" s="1"/>
  <c r="F250" i="41"/>
  <c r="F133" i="41"/>
  <c r="I133" i="40"/>
  <c r="M133" i="40" s="1"/>
  <c r="H129" i="40"/>
  <c r="K129" i="39"/>
  <c r="F157" i="41"/>
  <c r="I157" i="40"/>
  <c r="M157" i="40" s="1"/>
  <c r="H267" i="40"/>
  <c r="K267" i="39"/>
  <c r="F166" i="41"/>
  <c r="I166" i="40"/>
  <c r="M166" i="40" s="1"/>
  <c r="H145" i="40"/>
  <c r="K145" i="39"/>
  <c r="F143" i="41"/>
  <c r="I143" i="40"/>
  <c r="M143" i="40" s="1"/>
  <c r="H196" i="40"/>
  <c r="K196" i="39"/>
  <c r="H256" i="40"/>
  <c r="K256" i="39"/>
  <c r="K211" i="39"/>
  <c r="H211" i="40"/>
  <c r="H228" i="40"/>
  <c r="K228" i="39"/>
  <c r="H213" i="40"/>
  <c r="K213" i="39"/>
  <c r="H278" i="40"/>
  <c r="K278" i="39"/>
  <c r="F187" i="41"/>
  <c r="I187" i="40"/>
  <c r="M187" i="40" s="1"/>
  <c r="H148" i="40"/>
  <c r="K148" i="39"/>
  <c r="K289" i="39"/>
  <c r="H289" i="40"/>
  <c r="H138" i="40"/>
  <c r="K138" i="39"/>
  <c r="F156" i="41"/>
  <c r="I156" i="40"/>
  <c r="M156" i="40" s="1"/>
  <c r="I212" i="40"/>
  <c r="M212" i="40" s="1"/>
  <c r="C212" i="41"/>
  <c r="F192" i="41"/>
  <c r="I192" i="40"/>
  <c r="M192" i="40" s="1"/>
  <c r="H178" i="40"/>
  <c r="K178" i="39"/>
  <c r="H225" i="40"/>
  <c r="K225" i="39"/>
  <c r="F291" i="41"/>
  <c r="I291" i="40"/>
  <c r="M291" i="40" s="1"/>
  <c r="F286" i="41"/>
  <c r="I286" i="40"/>
  <c r="M286" i="40" s="1"/>
  <c r="F225" i="41"/>
  <c r="I225" i="40"/>
  <c r="M225" i="40" s="1"/>
  <c r="H183" i="40"/>
  <c r="K183" i="39"/>
  <c r="F185" i="41"/>
  <c r="I185" i="40"/>
  <c r="M185" i="40" s="1"/>
  <c r="K164" i="39"/>
  <c r="H164" i="40"/>
  <c r="F257" i="41"/>
  <c r="I257" i="40"/>
  <c r="M257" i="40" s="1"/>
  <c r="I235" i="40"/>
  <c r="M235" i="40" s="1"/>
  <c r="F235" i="41"/>
  <c r="F221" i="41"/>
  <c r="I221" i="40"/>
  <c r="M221" i="40" s="1"/>
  <c r="H177" i="40"/>
  <c r="K177" i="39"/>
  <c r="H155" i="40"/>
  <c r="K155" i="39"/>
  <c r="H218" i="40"/>
  <c r="K218" i="39"/>
  <c r="F270" i="41"/>
  <c r="I270" i="40"/>
  <c r="M270" i="40" s="1"/>
  <c r="K174" i="39"/>
  <c r="H174" i="40"/>
  <c r="H149" i="40"/>
  <c r="K149" i="39"/>
  <c r="C169" i="41"/>
  <c r="I169" i="40"/>
  <c r="M169" i="40" s="1"/>
  <c r="F263" i="41"/>
  <c r="I263" i="40"/>
  <c r="M263" i="40" s="1"/>
  <c r="F231" i="41"/>
  <c r="I231" i="40"/>
  <c r="M231" i="40" s="1"/>
  <c r="F177" i="37"/>
  <c r="I177" i="36"/>
  <c r="M177" i="36" s="1"/>
  <c r="H250" i="40"/>
  <c r="K250" i="39"/>
  <c r="F254" i="41"/>
  <c r="I254" i="40"/>
  <c r="M254" i="40" s="1"/>
  <c r="H147" i="40"/>
  <c r="K147" i="39"/>
  <c r="F262" i="41"/>
  <c r="I262" i="40"/>
  <c r="M262" i="40" s="1"/>
  <c r="H240" i="40"/>
  <c r="K240" i="39"/>
  <c r="C278" i="41"/>
  <c r="I278" i="40"/>
  <c r="M278" i="40" s="1"/>
  <c r="H179" i="40"/>
  <c r="K179" i="39"/>
  <c r="H151" i="40"/>
  <c r="K151" i="39"/>
  <c r="H251" i="40"/>
  <c r="K251" i="39"/>
  <c r="H291" i="40"/>
  <c r="K291" i="39"/>
  <c r="H170" i="40"/>
  <c r="K170" i="39"/>
  <c r="I268" i="40"/>
  <c r="M268" i="40" s="1"/>
  <c r="F268" i="41"/>
  <c r="H158" i="40"/>
  <c r="K158" i="39"/>
  <c r="H136" i="40"/>
  <c r="K136" i="39"/>
  <c r="H286" i="40"/>
  <c r="K286" i="39"/>
  <c r="F139" i="41"/>
  <c r="I139" i="40"/>
  <c r="M139" i="40" s="1"/>
  <c r="K274" i="39"/>
  <c r="H274" i="40"/>
  <c r="H282" i="40"/>
  <c r="K282" i="39"/>
  <c r="I162" i="40"/>
  <c r="M162" i="40" s="1"/>
  <c r="F162" i="41"/>
  <c r="H153" i="40"/>
  <c r="K153" i="39"/>
  <c r="K133" i="39"/>
  <c r="H133" i="40"/>
  <c r="K270" i="39"/>
  <c r="H270" i="40"/>
  <c r="H119" i="40"/>
  <c r="K119" i="39"/>
  <c r="I280" i="40"/>
  <c r="M280" i="40" s="1"/>
  <c r="F280" i="41"/>
  <c r="H248" i="40"/>
  <c r="K248" i="39"/>
  <c r="H266" i="40"/>
  <c r="K266" i="39"/>
  <c r="F230" i="41"/>
  <c r="I230" i="40"/>
  <c r="M230" i="40" s="1"/>
  <c r="H292" i="40"/>
  <c r="K292" i="39"/>
  <c r="H197" i="40"/>
  <c r="K197" i="39"/>
  <c r="F144" i="41"/>
  <c r="I144" i="40"/>
  <c r="M144" i="40" s="1"/>
  <c r="K215" i="39"/>
  <c r="H215" i="40"/>
  <c r="H141" i="40"/>
  <c r="K141" i="39"/>
  <c r="F282" i="41"/>
  <c r="I282" i="40"/>
  <c r="M282" i="40" s="1"/>
  <c r="H122" i="40"/>
  <c r="K122" i="39"/>
  <c r="F195" i="41"/>
  <c r="I195" i="40"/>
  <c r="M195" i="40" s="1"/>
  <c r="F229" i="41"/>
  <c r="I229" i="40"/>
  <c r="M229" i="40" s="1"/>
  <c r="F289" i="41"/>
  <c r="I289" i="40"/>
  <c r="M289" i="40" s="1"/>
  <c r="H187" i="40"/>
  <c r="K187" i="39"/>
  <c r="F136" i="41"/>
  <c r="I136" i="40"/>
  <c r="M136" i="40" s="1"/>
  <c r="H181" i="40"/>
  <c r="K181" i="39"/>
  <c r="I146" i="40"/>
  <c r="M146" i="40" s="1"/>
  <c r="F146" i="41"/>
  <c r="F247" i="41"/>
  <c r="I247" i="40"/>
  <c r="M247" i="40" s="1"/>
  <c r="H261" i="40"/>
  <c r="K261" i="39"/>
  <c r="K159" i="39"/>
  <c r="H159" i="40"/>
  <c r="F154" i="41"/>
  <c r="I154" i="40"/>
  <c r="M154" i="40" s="1"/>
  <c r="H226" i="40"/>
  <c r="K226" i="39"/>
  <c r="I155" i="40"/>
  <c r="M155" i="40" s="1"/>
  <c r="F155" i="41"/>
  <c r="I126" i="40"/>
  <c r="M126" i="40" s="1"/>
  <c r="C126" i="41"/>
  <c r="I197" i="40"/>
  <c r="M197" i="40" s="1"/>
  <c r="F197" i="41"/>
  <c r="H160" i="40"/>
  <c r="K160" i="39"/>
  <c r="H184" i="40"/>
  <c r="K184" i="39"/>
  <c r="F163" i="41"/>
  <c r="I163" i="40"/>
  <c r="M163" i="40" s="1"/>
  <c r="H120" i="40"/>
  <c r="K120" i="39"/>
  <c r="F168" i="41"/>
  <c r="I168" i="40"/>
  <c r="M168" i="40" s="1"/>
  <c r="H234" i="40"/>
  <c r="K234" i="39"/>
  <c r="H224" i="40"/>
  <c r="K224" i="39"/>
  <c r="H169" i="40"/>
  <c r="K169" i="39"/>
  <c r="H277" i="40"/>
  <c r="K277" i="39"/>
  <c r="F179" i="41"/>
  <c r="I179" i="40"/>
  <c r="M179" i="40" s="1"/>
  <c r="K200" i="39"/>
  <c r="H200" i="40"/>
  <c r="F242" i="41"/>
  <c r="I242" i="40"/>
  <c r="M242" i="40" s="1"/>
  <c r="H247" i="40"/>
  <c r="K247" i="39"/>
  <c r="H232" i="40"/>
  <c r="K232" i="39"/>
  <c r="F189" i="41"/>
  <c r="I189" i="40"/>
  <c r="M189" i="40" s="1"/>
  <c r="F241" i="41"/>
  <c r="I241" i="40"/>
  <c r="M241" i="40" s="1"/>
  <c r="H162" i="40"/>
  <c r="K162" i="39"/>
  <c r="I245" i="40"/>
  <c r="M245" i="40" s="1"/>
  <c r="F245" i="41"/>
  <c r="P8" i="35" l="1" a="1"/>
  <c r="I280" i="41"/>
  <c r="M280" i="41" s="1"/>
  <c r="F280" i="42"/>
  <c r="K174" i="40"/>
  <c r="H174" i="41"/>
  <c r="H242" i="41"/>
  <c r="K242" i="40"/>
  <c r="F202" i="42"/>
  <c r="I202" i="41"/>
  <c r="M202" i="41" s="1"/>
  <c r="H198" i="41"/>
  <c r="K198" i="40"/>
  <c r="F219" i="42"/>
  <c r="I219" i="41"/>
  <c r="M219" i="41" s="1"/>
  <c r="H171" i="41"/>
  <c r="K171" i="40"/>
  <c r="I215" i="41"/>
  <c r="M215" i="41" s="1"/>
  <c r="F215" i="42"/>
  <c r="F145" i="42"/>
  <c r="I145" i="41"/>
  <c r="M145" i="41" s="1"/>
  <c r="F152" i="42"/>
  <c r="I152" i="41"/>
  <c r="M152" i="41" s="1"/>
  <c r="F211" i="42"/>
  <c r="I211" i="41"/>
  <c r="M211" i="41" s="1"/>
  <c r="F269" i="42"/>
  <c r="I269" i="41"/>
  <c r="M269" i="41" s="1"/>
  <c r="H126" i="41"/>
  <c r="K126" i="40"/>
  <c r="K229" i="40"/>
  <c r="H229" i="41"/>
  <c r="I253" i="41"/>
  <c r="M253" i="41" s="1"/>
  <c r="F253" i="42"/>
  <c r="F241" i="42"/>
  <c r="I241" i="41"/>
  <c r="M241" i="41" s="1"/>
  <c r="H247" i="41"/>
  <c r="K247" i="40"/>
  <c r="F179" i="42"/>
  <c r="I179" i="41"/>
  <c r="M179" i="41" s="1"/>
  <c r="H169" i="41"/>
  <c r="K169" i="40"/>
  <c r="K224" i="40"/>
  <c r="H224" i="41"/>
  <c r="K120" i="40"/>
  <c r="H120" i="41"/>
  <c r="H184" i="41"/>
  <c r="K184" i="40"/>
  <c r="F154" i="42"/>
  <c r="I154" i="41"/>
  <c r="M154" i="41" s="1"/>
  <c r="H261" i="41"/>
  <c r="K261" i="40"/>
  <c r="F136" i="42"/>
  <c r="I136" i="41"/>
  <c r="M136" i="41" s="1"/>
  <c r="F289" i="42"/>
  <c r="I289" i="41"/>
  <c r="M289" i="41" s="1"/>
  <c r="I195" i="41"/>
  <c r="M195" i="41" s="1"/>
  <c r="F195" i="42"/>
  <c r="H122" i="41"/>
  <c r="K122" i="40"/>
  <c r="F282" i="42"/>
  <c r="I282" i="41"/>
  <c r="M282" i="41" s="1"/>
  <c r="F144" i="42"/>
  <c r="I144" i="41"/>
  <c r="M144" i="41" s="1"/>
  <c r="H292" i="41"/>
  <c r="K292" i="40"/>
  <c r="K266" i="40"/>
  <c r="H266" i="41"/>
  <c r="H248" i="41"/>
  <c r="K248" i="40"/>
  <c r="H153" i="41"/>
  <c r="K153" i="40"/>
  <c r="F139" i="42"/>
  <c r="I139" i="41"/>
  <c r="M139" i="41" s="1"/>
  <c r="K136" i="40"/>
  <c r="H136" i="41"/>
  <c r="H170" i="41"/>
  <c r="K170" i="40"/>
  <c r="H291" i="41"/>
  <c r="K291" i="40"/>
  <c r="H251" i="41"/>
  <c r="K251" i="40"/>
  <c r="H179" i="41"/>
  <c r="K179" i="40"/>
  <c r="F262" i="42"/>
  <c r="I262" i="41"/>
  <c r="M262" i="41" s="1"/>
  <c r="H147" i="41"/>
  <c r="K147" i="40"/>
  <c r="F254" i="42"/>
  <c r="I254" i="41"/>
  <c r="M254" i="41" s="1"/>
  <c r="F177" i="38"/>
  <c r="I177" i="37"/>
  <c r="M177" i="37" s="1"/>
  <c r="I231" i="41"/>
  <c r="M231" i="41" s="1"/>
  <c r="F231" i="42"/>
  <c r="I263" i="41"/>
  <c r="M263" i="41" s="1"/>
  <c r="F263" i="42"/>
  <c r="H149" i="41"/>
  <c r="K149" i="40"/>
  <c r="I270" i="41"/>
  <c r="M270" i="41" s="1"/>
  <c r="F270" i="42"/>
  <c r="K218" i="40"/>
  <c r="H218" i="41"/>
  <c r="H155" i="41"/>
  <c r="K155" i="40"/>
  <c r="H177" i="41"/>
  <c r="K177" i="40"/>
  <c r="I257" i="41"/>
  <c r="M257" i="41" s="1"/>
  <c r="F257" i="42"/>
  <c r="H183" i="41"/>
  <c r="K183" i="40"/>
  <c r="F225" i="42"/>
  <c r="I225" i="41"/>
  <c r="M225" i="41" s="1"/>
  <c r="H225" i="41"/>
  <c r="K225" i="40"/>
  <c r="K178" i="40"/>
  <c r="H178" i="41"/>
  <c r="H213" i="41"/>
  <c r="K213" i="40"/>
  <c r="H228" i="41"/>
  <c r="K228" i="40"/>
  <c r="H256" i="41"/>
  <c r="K256" i="40"/>
  <c r="H196" i="41"/>
  <c r="K196" i="40"/>
  <c r="H145" i="41"/>
  <c r="K145" i="40"/>
  <c r="I166" i="41"/>
  <c r="M166" i="41" s="1"/>
  <c r="F166" i="42"/>
  <c r="F157" i="42"/>
  <c r="I157" i="41"/>
  <c r="M157" i="41" s="1"/>
  <c r="K129" i="40"/>
  <c r="H129" i="41"/>
  <c r="F142" i="42"/>
  <c r="I142" i="41"/>
  <c r="M142" i="41" s="1"/>
  <c r="C191" i="42"/>
  <c r="I191" i="41"/>
  <c r="M191" i="41" s="1"/>
  <c r="F127" i="42"/>
  <c r="I127" i="41"/>
  <c r="M127" i="41" s="1"/>
  <c r="F150" i="42"/>
  <c r="I150" i="41"/>
  <c r="M150" i="41" s="1"/>
  <c r="H268" i="41"/>
  <c r="K268" i="40"/>
  <c r="H140" i="41"/>
  <c r="K140" i="40"/>
  <c r="H249" i="41"/>
  <c r="K249" i="40"/>
  <c r="F284" i="42"/>
  <c r="I284" i="41"/>
  <c r="M284" i="41" s="1"/>
  <c r="H283" i="41"/>
  <c r="K283" i="40"/>
  <c r="K209" i="40"/>
  <c r="H209" i="41"/>
  <c r="F239" i="42"/>
  <c r="I239" i="41"/>
  <c r="M239" i="41" s="1"/>
  <c r="H239" i="41"/>
  <c r="K239" i="40"/>
  <c r="F283" i="42"/>
  <c r="I283" i="41"/>
  <c r="M283" i="41" s="1"/>
  <c r="F246" i="42"/>
  <c r="I246" i="41"/>
  <c r="M246" i="41" s="1"/>
  <c r="H260" i="41"/>
  <c r="K260" i="40"/>
  <c r="I258" i="41"/>
  <c r="M258" i="41" s="1"/>
  <c r="F258" i="42"/>
  <c r="I240" i="41"/>
  <c r="M240" i="41" s="1"/>
  <c r="F240" i="42"/>
  <c r="K142" i="40"/>
  <c r="H142" i="41"/>
  <c r="H285" i="41"/>
  <c r="K285" i="40"/>
  <c r="K167" i="40"/>
  <c r="H167" i="41"/>
  <c r="H192" i="41"/>
  <c r="K192" i="40"/>
  <c r="H245" i="41"/>
  <c r="K245" i="40"/>
  <c r="K143" i="40"/>
  <c r="H143" i="41"/>
  <c r="F208" i="42"/>
  <c r="I208" i="41"/>
  <c r="M208" i="41" s="1"/>
  <c r="K264" i="40"/>
  <c r="H264" i="41"/>
  <c r="H279" i="41"/>
  <c r="K279" i="40"/>
  <c r="K139" i="40"/>
  <c r="H139" i="41"/>
  <c r="I266" i="41"/>
  <c r="M266" i="41" s="1"/>
  <c r="F266" i="42"/>
  <c r="K253" i="40"/>
  <c r="H253" i="41"/>
  <c r="K257" i="40"/>
  <c r="H257" i="41"/>
  <c r="F273" i="42"/>
  <c r="I273" i="41"/>
  <c r="M273" i="41" s="1"/>
  <c r="H118" i="41"/>
  <c r="K118" i="40"/>
  <c r="H124" i="41"/>
  <c r="K124" i="40"/>
  <c r="H217" i="41"/>
  <c r="K217" i="40"/>
  <c r="H131" i="41"/>
  <c r="K131" i="40"/>
  <c r="F288" i="42"/>
  <c r="I288" i="41"/>
  <c r="M288" i="41" s="1"/>
  <c r="H212" i="41"/>
  <c r="K212" i="40"/>
  <c r="I205" i="41"/>
  <c r="M205" i="41" s="1"/>
  <c r="F205" i="42"/>
  <c r="K172" i="40"/>
  <c r="H172" i="41"/>
  <c r="H223" i="41"/>
  <c r="K223" i="40"/>
  <c r="F200" i="42"/>
  <c r="I200" i="41"/>
  <c r="M200" i="41" s="1"/>
  <c r="K288" i="40"/>
  <c r="H288" i="41"/>
  <c r="K157" i="40"/>
  <c r="H157" i="41"/>
  <c r="K186" i="40"/>
  <c r="H186" i="41"/>
  <c r="I196" i="41"/>
  <c r="M196" i="41" s="1"/>
  <c r="F196" i="42"/>
  <c r="H220" i="41"/>
  <c r="K220" i="40"/>
  <c r="K271" i="40"/>
  <c r="H271" i="41"/>
  <c r="F135" i="42"/>
  <c r="I135" i="41"/>
  <c r="M135" i="41" s="1"/>
  <c r="K230" i="40"/>
  <c r="H230" i="41"/>
  <c r="H201" i="41"/>
  <c r="K201" i="40"/>
  <c r="H125" i="41"/>
  <c r="K125" i="40"/>
  <c r="F233" i="42"/>
  <c r="I233" i="41"/>
  <c r="M233" i="41" s="1"/>
  <c r="F260" i="42"/>
  <c r="I260" i="41"/>
  <c r="M260" i="41" s="1"/>
  <c r="F160" i="42"/>
  <c r="I160" i="41"/>
  <c r="M160" i="41" s="1"/>
  <c r="H290" i="41"/>
  <c r="K290" i="40"/>
  <c r="I256" i="41"/>
  <c r="M256" i="41" s="1"/>
  <c r="F256" i="42"/>
  <c r="F172" i="42"/>
  <c r="I172" i="41"/>
  <c r="M172" i="41" s="1"/>
  <c r="F275" i="42"/>
  <c r="I275" i="41"/>
  <c r="M275" i="41" s="1"/>
  <c r="H265" i="41"/>
  <c r="K265" i="40"/>
  <c r="F213" i="42"/>
  <c r="I213" i="41"/>
  <c r="M213" i="41" s="1"/>
  <c r="F183" i="42"/>
  <c r="I183" i="41"/>
  <c r="M183" i="41" s="1"/>
  <c r="H121" i="41"/>
  <c r="K121" i="40"/>
  <c r="I122" i="41"/>
  <c r="M122" i="41" s="1"/>
  <c r="F122" i="42"/>
  <c r="F272" i="42"/>
  <c r="I272" i="41"/>
  <c r="M272" i="41" s="1"/>
  <c r="F141" i="42"/>
  <c r="I141" i="41"/>
  <c r="M141" i="41" s="1"/>
  <c r="F209" i="42"/>
  <c r="I209" i="41"/>
  <c r="M209" i="41" s="1"/>
  <c r="K273" i="40"/>
  <c r="H273" i="41"/>
  <c r="F134" i="42"/>
  <c r="I134" i="41"/>
  <c r="M134" i="41" s="1"/>
  <c r="F224" i="42"/>
  <c r="I224" i="41"/>
  <c r="M224" i="41" s="1"/>
  <c r="F121" i="42"/>
  <c r="I121" i="41"/>
  <c r="M121" i="41" s="1"/>
  <c r="F174" i="42"/>
  <c r="I174" i="41"/>
  <c r="M174" i="41" s="1"/>
  <c r="H185" i="41"/>
  <c r="K185" i="40"/>
  <c r="H238" i="41"/>
  <c r="K238" i="40"/>
  <c r="H130" i="41"/>
  <c r="K130" i="40"/>
  <c r="H165" i="41"/>
  <c r="K165" i="40"/>
  <c r="F124" i="42"/>
  <c r="I124" i="41"/>
  <c r="M124" i="41" s="1"/>
  <c r="F131" i="42"/>
  <c r="I131" i="41"/>
  <c r="M131" i="41" s="1"/>
  <c r="F197" i="42"/>
  <c r="I197" i="41"/>
  <c r="M197" i="41" s="1"/>
  <c r="I137" i="41"/>
  <c r="M137" i="41" s="1"/>
  <c r="F137" i="42"/>
  <c r="H222" i="41"/>
  <c r="K222" i="40"/>
  <c r="H134" i="41"/>
  <c r="K134" i="40"/>
  <c r="K227" i="40"/>
  <c r="H227" i="41"/>
  <c r="F217" i="42"/>
  <c r="I217" i="41"/>
  <c r="M217" i="41" s="1"/>
  <c r="I234" i="41"/>
  <c r="M234" i="41" s="1"/>
  <c r="F234" i="42"/>
  <c r="H137" i="41"/>
  <c r="K137" i="40"/>
  <c r="F238" i="42"/>
  <c r="I238" i="41"/>
  <c r="M238" i="41" s="1"/>
  <c r="I140" i="41"/>
  <c r="M140" i="41" s="1"/>
  <c r="F140" i="42"/>
  <c r="H233" i="41"/>
  <c r="K233" i="40"/>
  <c r="K235" i="40"/>
  <c r="H235" i="41"/>
  <c r="F249" i="42"/>
  <c r="I249" i="41"/>
  <c r="M249" i="41" s="1"/>
  <c r="F243" i="42"/>
  <c r="I243" i="41"/>
  <c r="M243" i="41" s="1"/>
  <c r="F214" i="42"/>
  <c r="I214" i="41"/>
  <c r="M214" i="41" s="1"/>
  <c r="H207" i="41"/>
  <c r="K207" i="40"/>
  <c r="F271" i="42"/>
  <c r="I271" i="41"/>
  <c r="M271" i="41" s="1"/>
  <c r="F228" i="42"/>
  <c r="I228" i="41"/>
  <c r="M228" i="41" s="1"/>
  <c r="H262" i="41"/>
  <c r="K262" i="40"/>
  <c r="F287" i="42"/>
  <c r="I287" i="41"/>
  <c r="M287" i="41" s="1"/>
  <c r="F130" i="42"/>
  <c r="I130" i="41"/>
  <c r="M130" i="41" s="1"/>
  <c r="H162" i="41"/>
  <c r="K162" i="40"/>
  <c r="H232" i="41"/>
  <c r="K232" i="40"/>
  <c r="H277" i="41"/>
  <c r="K277" i="40"/>
  <c r="H234" i="41"/>
  <c r="K234" i="40"/>
  <c r="F168" i="42"/>
  <c r="I168" i="41"/>
  <c r="M168" i="41" s="1"/>
  <c r="F163" i="42"/>
  <c r="I163" i="41"/>
  <c r="M163" i="41" s="1"/>
  <c r="K160" i="40"/>
  <c r="H160" i="41"/>
  <c r="H226" i="41"/>
  <c r="K226" i="40"/>
  <c r="F247" i="42"/>
  <c r="I247" i="41"/>
  <c r="M247" i="41" s="1"/>
  <c r="H181" i="41"/>
  <c r="K181" i="40"/>
  <c r="H187" i="41"/>
  <c r="K187" i="40"/>
  <c r="F229" i="42"/>
  <c r="I229" i="41"/>
  <c r="M229" i="41" s="1"/>
  <c r="H141" i="41"/>
  <c r="K141" i="40"/>
  <c r="K197" i="40"/>
  <c r="H197" i="41"/>
  <c r="I230" i="41"/>
  <c r="M230" i="41" s="1"/>
  <c r="F230" i="42"/>
  <c r="K119" i="40"/>
  <c r="H119" i="41"/>
  <c r="H282" i="41"/>
  <c r="K282" i="40"/>
  <c r="H286" i="41"/>
  <c r="K286" i="40"/>
  <c r="H158" i="41"/>
  <c r="K158" i="40"/>
  <c r="K151" i="40"/>
  <c r="H151" i="41"/>
  <c r="C278" i="42"/>
  <c r="I278" i="41"/>
  <c r="M278" i="41" s="1"/>
  <c r="K240" i="40"/>
  <c r="H240" i="41"/>
  <c r="H250" i="41"/>
  <c r="K250" i="40"/>
  <c r="I169" i="41"/>
  <c r="M169" i="41" s="1"/>
  <c r="C169" i="42"/>
  <c r="F221" i="42"/>
  <c r="I221" i="41"/>
  <c r="M221" i="41" s="1"/>
  <c r="F185" i="42"/>
  <c r="I185" i="41"/>
  <c r="M185" i="41" s="1"/>
  <c r="I286" i="41"/>
  <c r="M286" i="41" s="1"/>
  <c r="F286" i="42"/>
  <c r="F291" i="42"/>
  <c r="I291" i="41"/>
  <c r="M291" i="41" s="1"/>
  <c r="F192" i="42"/>
  <c r="I192" i="41"/>
  <c r="M192" i="41" s="1"/>
  <c r="F156" i="42"/>
  <c r="I156" i="41"/>
  <c r="M156" i="41" s="1"/>
  <c r="H138" i="41"/>
  <c r="K138" i="40"/>
  <c r="H148" i="41"/>
  <c r="K148" i="40"/>
  <c r="F187" i="42"/>
  <c r="I187" i="41"/>
  <c r="M187" i="41" s="1"/>
  <c r="H278" i="41"/>
  <c r="K278" i="40"/>
  <c r="F143" i="42"/>
  <c r="I143" i="41"/>
  <c r="M143" i="41" s="1"/>
  <c r="H267" i="41"/>
  <c r="K267" i="40"/>
  <c r="F133" i="42"/>
  <c r="I133" i="41"/>
  <c r="M133" i="41" s="1"/>
  <c r="F151" i="42"/>
  <c r="I151" i="41"/>
  <c r="M151" i="41" s="1"/>
  <c r="I149" i="41"/>
  <c r="M149" i="41" s="1"/>
  <c r="F149" i="42"/>
  <c r="K202" i="40"/>
  <c r="H202" i="41"/>
  <c r="I119" i="41"/>
  <c r="M119" i="41" s="1"/>
  <c r="F119" i="42"/>
  <c r="F207" i="42"/>
  <c r="I207" i="41"/>
  <c r="M207" i="41" s="1"/>
  <c r="F125" i="42"/>
  <c r="I125" i="41"/>
  <c r="M125" i="41" s="1"/>
  <c r="K161" i="40"/>
  <c r="H161" i="41"/>
  <c r="H241" i="41"/>
  <c r="K241" i="40"/>
  <c r="H189" i="41"/>
  <c r="K189" i="40"/>
  <c r="H243" i="41"/>
  <c r="K243" i="40"/>
  <c r="H206" i="41"/>
  <c r="K206" i="40"/>
  <c r="F159" i="42"/>
  <c r="I159" i="41"/>
  <c r="M159" i="41" s="1"/>
  <c r="K132" i="40"/>
  <c r="H132" i="41"/>
  <c r="H135" i="41"/>
  <c r="K135" i="40"/>
  <c r="K244" i="40"/>
  <c r="H244" i="41"/>
  <c r="H221" i="41"/>
  <c r="K221" i="40"/>
  <c r="I203" i="41"/>
  <c r="M203" i="41" s="1"/>
  <c r="F203" i="42"/>
  <c r="F206" i="42"/>
  <c r="I206" i="41"/>
  <c r="M206" i="41" s="1"/>
  <c r="H205" i="41"/>
  <c r="K205" i="40"/>
  <c r="F292" i="42"/>
  <c r="I292" i="41"/>
  <c r="M292" i="41" s="1"/>
  <c r="K231" i="40"/>
  <c r="H231" i="41"/>
  <c r="H255" i="41"/>
  <c r="K255" i="40"/>
  <c r="K204" i="40"/>
  <c r="H204" i="41"/>
  <c r="F132" i="42"/>
  <c r="I132" i="41"/>
  <c r="M132" i="41" s="1"/>
  <c r="F218" i="42"/>
  <c r="I218" i="41"/>
  <c r="M218" i="41" s="1"/>
  <c r="F153" i="42"/>
  <c r="I153" i="41"/>
  <c r="M153" i="41" s="1"/>
  <c r="K156" i="40"/>
  <c r="H156" i="41"/>
  <c r="F182" i="42"/>
  <c r="I182" i="41"/>
  <c r="M182" i="41" s="1"/>
  <c r="H173" i="41"/>
  <c r="K173" i="40"/>
  <c r="I194" i="41"/>
  <c r="M194" i="41" s="1"/>
  <c r="F194" i="42"/>
  <c r="F171" i="42"/>
  <c r="I171" i="41"/>
  <c r="M171" i="41" s="1"/>
  <c r="H123" i="41"/>
  <c r="K123" i="40"/>
  <c r="F232" i="42"/>
  <c r="I232" i="41"/>
  <c r="M232" i="41" s="1"/>
  <c r="H150" i="41"/>
  <c r="K150" i="40"/>
  <c r="F188" i="42"/>
  <c r="I188" i="41"/>
  <c r="M188" i="41" s="1"/>
  <c r="H272" i="41"/>
  <c r="K272" i="40"/>
  <c r="H208" i="41"/>
  <c r="K208" i="40"/>
  <c r="F180" i="42"/>
  <c r="I180" i="41"/>
  <c r="M180" i="41" s="1"/>
  <c r="H214" i="41"/>
  <c r="K214" i="40"/>
  <c r="F261" i="42"/>
  <c r="I261" i="41"/>
  <c r="M261" i="41" s="1"/>
  <c r="H180" i="41"/>
  <c r="K180" i="40"/>
  <c r="H203" i="41"/>
  <c r="K203" i="40"/>
  <c r="F123" i="42"/>
  <c r="I123" i="41"/>
  <c r="M123" i="41" s="1"/>
  <c r="F279" i="42"/>
  <c r="I279" i="41"/>
  <c r="M279" i="41" s="1"/>
  <c r="K246" i="40"/>
  <c r="H246" i="41"/>
  <c r="F285" i="42"/>
  <c r="I285" i="41"/>
  <c r="M285" i="41" s="1"/>
  <c r="I118" i="41"/>
  <c r="M118" i="41" s="1"/>
  <c r="F118" i="42"/>
  <c r="F201" i="42"/>
  <c r="I201" i="41"/>
  <c r="M201" i="41" s="1"/>
  <c r="F281" i="42"/>
  <c r="I281" i="41"/>
  <c r="M281" i="41" s="1"/>
  <c r="F227" i="42"/>
  <c r="I227" i="41"/>
  <c r="M227" i="41" s="1"/>
  <c r="H258" i="41"/>
  <c r="K258" i="40"/>
  <c r="F252" i="42"/>
  <c r="I252" i="41"/>
  <c r="M252" i="41" s="1"/>
  <c r="I277" i="41"/>
  <c r="M277" i="41" s="1"/>
  <c r="F277" i="42"/>
  <c r="F223" i="42"/>
  <c r="I223" i="41"/>
  <c r="M223" i="41" s="1"/>
  <c r="F251" i="42"/>
  <c r="I251" i="41"/>
  <c r="M251" i="41" s="1"/>
  <c r="F164" i="42"/>
  <c r="I164" i="41"/>
  <c r="M164" i="41" s="1"/>
  <c r="F184" i="42"/>
  <c r="I184" i="41"/>
  <c r="M184" i="41" s="1"/>
  <c r="H216" i="41"/>
  <c r="K216" i="40"/>
  <c r="F165" i="42"/>
  <c r="I165" i="41"/>
  <c r="M165" i="41" s="1"/>
  <c r="H280" i="41"/>
  <c r="K280" i="40"/>
  <c r="F264" i="42"/>
  <c r="I264" i="41"/>
  <c r="M264" i="41" s="1"/>
  <c r="F147" i="42"/>
  <c r="I147" i="41"/>
  <c r="M147" i="41" s="1"/>
  <c r="K219" i="40"/>
  <c r="H219" i="41"/>
  <c r="F129" i="42"/>
  <c r="I129" i="41"/>
  <c r="M129" i="41" s="1"/>
  <c r="I210" i="41"/>
  <c r="M210" i="41" s="1"/>
  <c r="F210" i="42"/>
  <c r="H276" i="41"/>
  <c r="K276" i="40"/>
  <c r="K190" i="40"/>
  <c r="H190" i="41"/>
  <c r="H237" i="41"/>
  <c r="K237" i="40"/>
  <c r="H199" i="41"/>
  <c r="K199" i="40"/>
  <c r="H236" i="41"/>
  <c r="K236" i="40"/>
  <c r="F161" i="42"/>
  <c r="I161" i="41"/>
  <c r="M161" i="41" s="1"/>
  <c r="K200" i="40"/>
  <c r="H200" i="41"/>
  <c r="I126" i="41"/>
  <c r="M126" i="41" s="1"/>
  <c r="C126" i="42"/>
  <c r="H159" i="41"/>
  <c r="K159" i="40"/>
  <c r="H215" i="41"/>
  <c r="K215" i="40"/>
  <c r="F162" i="42"/>
  <c r="I162" i="41"/>
  <c r="M162" i="41" s="1"/>
  <c r="K164" i="40"/>
  <c r="H164" i="41"/>
  <c r="F173" i="42"/>
  <c r="I173" i="41"/>
  <c r="M173" i="41" s="1"/>
  <c r="H175" i="41"/>
  <c r="K175" i="40"/>
  <c r="H287" i="41"/>
  <c r="K287" i="40"/>
  <c r="F199" i="42"/>
  <c r="I199" i="41"/>
  <c r="M199" i="41" s="1"/>
  <c r="F236" i="42"/>
  <c r="I236" i="41"/>
  <c r="M236" i="41" s="1"/>
  <c r="H269" i="41"/>
  <c r="K269" i="40"/>
  <c r="F267" i="42"/>
  <c r="I267" i="41"/>
  <c r="M267" i="41" s="1"/>
  <c r="F190" i="42"/>
  <c r="I190" i="41"/>
  <c r="M190" i="41" s="1"/>
  <c r="F265" i="42"/>
  <c r="I265" i="41"/>
  <c r="M265" i="41" s="1"/>
  <c r="H188" i="41"/>
  <c r="K188" i="40"/>
  <c r="F226" i="42"/>
  <c r="I226" i="41"/>
  <c r="M226" i="41" s="1"/>
  <c r="I189" i="41"/>
  <c r="M189" i="41" s="1"/>
  <c r="F189" i="42"/>
  <c r="F242" i="42"/>
  <c r="I242" i="41"/>
  <c r="M242" i="41" s="1"/>
  <c r="F155" i="42"/>
  <c r="I155" i="41"/>
  <c r="M155" i="41" s="1"/>
  <c r="F146" i="42"/>
  <c r="I146" i="41"/>
  <c r="M146" i="41" s="1"/>
  <c r="H270" i="41"/>
  <c r="K270" i="40"/>
  <c r="H133" i="41"/>
  <c r="K133" i="40"/>
  <c r="K274" i="40"/>
  <c r="H274" i="41"/>
  <c r="F268" i="42"/>
  <c r="I268" i="41"/>
  <c r="M268" i="41" s="1"/>
  <c r="I235" i="41"/>
  <c r="M235" i="41" s="1"/>
  <c r="F235" i="42"/>
  <c r="C212" i="42"/>
  <c r="I212" i="41"/>
  <c r="M212" i="41" s="1"/>
  <c r="H289" i="41"/>
  <c r="K289" i="40"/>
  <c r="K211" i="40"/>
  <c r="H211" i="41"/>
  <c r="F250" i="42"/>
  <c r="I250" i="41"/>
  <c r="M250" i="41" s="1"/>
  <c r="H263" i="41"/>
  <c r="K263" i="40"/>
  <c r="K127" i="40"/>
  <c r="H127" i="41"/>
  <c r="F290" i="42"/>
  <c r="I290" i="41"/>
  <c r="M290" i="41" s="1"/>
  <c r="F138" i="42"/>
  <c r="I138" i="41"/>
  <c r="M138" i="41" s="1"/>
  <c r="K152" i="40"/>
  <c r="H152" i="41"/>
  <c r="F158" i="42"/>
  <c r="I158" i="41"/>
  <c r="M158" i="41" s="1"/>
  <c r="I204" i="41"/>
  <c r="M204" i="41" s="1"/>
  <c r="F204" i="42"/>
  <c r="H281" i="41"/>
  <c r="K281" i="40"/>
  <c r="H195" i="41"/>
  <c r="K195" i="40"/>
  <c r="H275" i="41"/>
  <c r="K275" i="40"/>
  <c r="F120" i="42"/>
  <c r="I120" i="41"/>
  <c r="M120" i="41" s="1"/>
  <c r="H252" i="41"/>
  <c r="K252" i="40"/>
  <c r="F216" i="42"/>
  <c r="I216" i="41"/>
  <c r="M216" i="41" s="1"/>
  <c r="F181" i="42"/>
  <c r="I181" i="41"/>
  <c r="M181" i="41" s="1"/>
  <c r="F222" i="42"/>
  <c r="I222" i="41"/>
  <c r="M222" i="41" s="1"/>
  <c r="H182" i="41"/>
  <c r="K182" i="40"/>
  <c r="K176" i="40"/>
  <c r="H176" i="41"/>
  <c r="F248" i="42"/>
  <c r="I248" i="41"/>
  <c r="M248" i="41" s="1"/>
  <c r="F175" i="42"/>
  <c r="I175" i="41"/>
  <c r="M175" i="41" s="1"/>
  <c r="H168" i="41"/>
  <c r="K168" i="40"/>
  <c r="H284" i="41"/>
  <c r="K284" i="40"/>
  <c r="F167" i="42"/>
  <c r="I167" i="41"/>
  <c r="M167" i="41" s="1"/>
  <c r="H210" i="41"/>
  <c r="K210" i="40"/>
  <c r="F198" i="42"/>
  <c r="I198" i="41"/>
  <c r="M198" i="41" s="1"/>
  <c r="F244" i="42"/>
  <c r="I244" i="41"/>
  <c r="M244" i="41" s="1"/>
  <c r="H146" i="41"/>
  <c r="K146" i="40"/>
  <c r="F274" i="42"/>
  <c r="I274" i="41"/>
  <c r="M274" i="41" s="1"/>
  <c r="F176" i="42"/>
  <c r="I176" i="41"/>
  <c r="M176" i="41" s="1"/>
  <c r="F170" i="42"/>
  <c r="I170" i="41"/>
  <c r="M170" i="41" s="1"/>
  <c r="F276" i="42"/>
  <c r="I276" i="41"/>
  <c r="M276" i="41" s="1"/>
  <c r="H166" i="41"/>
  <c r="K166" i="40"/>
  <c r="H191" i="41"/>
  <c r="K191" i="40"/>
  <c r="F148" i="42"/>
  <c r="I148" i="41"/>
  <c r="M148" i="41" s="1"/>
  <c r="F186" i="42"/>
  <c r="I186" i="41"/>
  <c r="M186" i="41" s="1"/>
  <c r="K194" i="40"/>
  <c r="H194" i="41"/>
  <c r="F220" i="42"/>
  <c r="I220" i="41"/>
  <c r="M220" i="41" s="1"/>
  <c r="H163" i="41"/>
  <c r="K163" i="40"/>
  <c r="H144" i="41"/>
  <c r="K144" i="40"/>
  <c r="H254" i="41"/>
  <c r="K254" i="40"/>
  <c r="H154" i="41"/>
  <c r="K154" i="40"/>
  <c r="F245" i="42"/>
  <c r="I245" i="41"/>
  <c r="M245" i="41" s="1"/>
  <c r="P9" i="35" l="1"/>
  <c r="P11" i="35"/>
  <c r="P8" i="35"/>
  <c r="P15" i="35" s="1"/>
  <c r="Q15" i="35" s="1"/>
  <c r="P12" i="35"/>
  <c r="P10" i="35"/>
  <c r="Q11" i="35"/>
  <c r="Q8" i="35"/>
  <c r="P16" i="35" s="1"/>
  <c r="Q9" i="35"/>
  <c r="Q12" i="35"/>
  <c r="Q10" i="35"/>
  <c r="F189" i="43"/>
  <c r="I189" i="42"/>
  <c r="M189" i="42" s="1"/>
  <c r="H200" i="42"/>
  <c r="K200" i="41"/>
  <c r="F210" i="43"/>
  <c r="I210" i="42"/>
  <c r="M210" i="42" s="1"/>
  <c r="H219" i="42"/>
  <c r="K219" i="41"/>
  <c r="I194" i="42"/>
  <c r="M194" i="42" s="1"/>
  <c r="F194" i="43"/>
  <c r="H156" i="42"/>
  <c r="K156" i="41"/>
  <c r="I119" i="42"/>
  <c r="M119" i="42" s="1"/>
  <c r="F119" i="43"/>
  <c r="F149" i="43"/>
  <c r="I149" i="42"/>
  <c r="M149" i="42" s="1"/>
  <c r="F286" i="43"/>
  <c r="I286" i="42"/>
  <c r="M286" i="42" s="1"/>
  <c r="K197" i="41"/>
  <c r="H197" i="42"/>
  <c r="H271" i="42"/>
  <c r="K271" i="41"/>
  <c r="H186" i="42"/>
  <c r="K186" i="41"/>
  <c r="H167" i="42"/>
  <c r="K167" i="41"/>
  <c r="I263" i="42"/>
  <c r="M263" i="42" s="1"/>
  <c r="F263" i="43"/>
  <c r="H254" i="42"/>
  <c r="K254" i="41"/>
  <c r="I220" i="42"/>
  <c r="M220" i="42" s="1"/>
  <c r="F220" i="43"/>
  <c r="I148" i="42"/>
  <c r="M148" i="42" s="1"/>
  <c r="F148" i="43"/>
  <c r="K191" i="41"/>
  <c r="H191" i="42"/>
  <c r="F170" i="43"/>
  <c r="I170" i="42"/>
  <c r="M170" i="42" s="1"/>
  <c r="F274" i="43"/>
  <c r="I274" i="42"/>
  <c r="M274" i="42" s="1"/>
  <c r="F244" i="43"/>
  <c r="I244" i="42"/>
  <c r="M244" i="42" s="1"/>
  <c r="H210" i="42"/>
  <c r="K210" i="41"/>
  <c r="H284" i="42"/>
  <c r="K284" i="41"/>
  <c r="F175" i="43"/>
  <c r="I175" i="42"/>
  <c r="M175" i="42" s="1"/>
  <c r="H182" i="42"/>
  <c r="K182" i="41"/>
  <c r="F181" i="43"/>
  <c r="I181" i="42"/>
  <c r="M181" i="42" s="1"/>
  <c r="F216" i="43"/>
  <c r="I216" i="42"/>
  <c r="M216" i="42" s="1"/>
  <c r="H252" i="42"/>
  <c r="K252" i="41"/>
  <c r="F120" i="43"/>
  <c r="I120" i="42"/>
  <c r="M120" i="42" s="1"/>
  <c r="H195" i="42"/>
  <c r="K195" i="41"/>
  <c r="K281" i="41"/>
  <c r="H281" i="42"/>
  <c r="F138" i="43"/>
  <c r="I138" i="42"/>
  <c r="M138" i="42" s="1"/>
  <c r="F290" i="43"/>
  <c r="I290" i="42"/>
  <c r="M290" i="42" s="1"/>
  <c r="K263" i="41"/>
  <c r="H263" i="42"/>
  <c r="H289" i="42"/>
  <c r="K289" i="41"/>
  <c r="I212" i="42"/>
  <c r="M212" i="42" s="1"/>
  <c r="C212" i="43"/>
  <c r="H133" i="42"/>
  <c r="K133" i="41"/>
  <c r="I146" i="42"/>
  <c r="M146" i="42" s="1"/>
  <c r="F146" i="43"/>
  <c r="I242" i="42"/>
  <c r="M242" i="42" s="1"/>
  <c r="F242" i="43"/>
  <c r="F226" i="43"/>
  <c r="I226" i="42"/>
  <c r="M226" i="42" s="1"/>
  <c r="I190" i="42"/>
  <c r="M190" i="42" s="1"/>
  <c r="F190" i="43"/>
  <c r="H269" i="42"/>
  <c r="K269" i="41"/>
  <c r="H287" i="42"/>
  <c r="K287" i="41"/>
  <c r="I161" i="42"/>
  <c r="M161" i="42" s="1"/>
  <c r="F161" i="43"/>
  <c r="H199" i="42"/>
  <c r="K199" i="41"/>
  <c r="K276" i="41"/>
  <c r="H276" i="42"/>
  <c r="I129" i="42"/>
  <c r="M129" i="42" s="1"/>
  <c r="F129" i="43"/>
  <c r="F147" i="43"/>
  <c r="I147" i="42"/>
  <c r="M147" i="42" s="1"/>
  <c r="F264" i="43"/>
  <c r="I264" i="42"/>
  <c r="M264" i="42" s="1"/>
  <c r="H216" i="42"/>
  <c r="K216" i="41"/>
  <c r="F251" i="43"/>
  <c r="I251" i="42"/>
  <c r="M251" i="42" s="1"/>
  <c r="F252" i="43"/>
  <c r="I252" i="42"/>
  <c r="M252" i="42" s="1"/>
  <c r="F281" i="43"/>
  <c r="I281" i="42"/>
  <c r="M281" i="42" s="1"/>
  <c r="H203" i="42"/>
  <c r="K203" i="41"/>
  <c r="H180" i="42"/>
  <c r="K180" i="41"/>
  <c r="H214" i="42"/>
  <c r="K214" i="41"/>
  <c r="H208" i="42"/>
  <c r="K208" i="41"/>
  <c r="H150" i="42"/>
  <c r="K150" i="41"/>
  <c r="F232" i="43"/>
  <c r="I232" i="42"/>
  <c r="M232" i="42" s="1"/>
  <c r="H173" i="42"/>
  <c r="K173" i="41"/>
  <c r="F182" i="43"/>
  <c r="I182" i="42"/>
  <c r="M182" i="42" s="1"/>
  <c r="F153" i="43"/>
  <c r="I153" i="42"/>
  <c r="M153" i="42" s="1"/>
  <c r="F132" i="43"/>
  <c r="I132" i="42"/>
  <c r="M132" i="42" s="1"/>
  <c r="H255" i="42"/>
  <c r="K255" i="41"/>
  <c r="H205" i="42"/>
  <c r="K205" i="41"/>
  <c r="H135" i="42"/>
  <c r="K135" i="41"/>
  <c r="F159" i="43"/>
  <c r="I159" i="42"/>
  <c r="M159" i="42" s="1"/>
  <c r="H206" i="42"/>
  <c r="K206" i="41"/>
  <c r="K189" i="41"/>
  <c r="H189" i="42"/>
  <c r="I151" i="42"/>
  <c r="M151" i="42" s="1"/>
  <c r="F151" i="43"/>
  <c r="F143" i="43"/>
  <c r="I143" i="42"/>
  <c r="M143" i="42" s="1"/>
  <c r="H278" i="42"/>
  <c r="K278" i="41"/>
  <c r="H138" i="42"/>
  <c r="K138" i="41"/>
  <c r="F192" i="43"/>
  <c r="I192" i="42"/>
  <c r="M192" i="42" s="1"/>
  <c r="F291" i="43"/>
  <c r="I291" i="42"/>
  <c r="M291" i="42" s="1"/>
  <c r="I221" i="42"/>
  <c r="M221" i="42" s="1"/>
  <c r="F221" i="43"/>
  <c r="I278" i="42"/>
  <c r="M278" i="42" s="1"/>
  <c r="C278" i="43"/>
  <c r="H286" i="42"/>
  <c r="K286" i="41"/>
  <c r="F229" i="43"/>
  <c r="I229" i="42"/>
  <c r="M229" i="42" s="1"/>
  <c r="F247" i="43"/>
  <c r="I247" i="42"/>
  <c r="M247" i="42" s="1"/>
  <c r="H226" i="42"/>
  <c r="K226" i="41"/>
  <c r="F168" i="43"/>
  <c r="I168" i="42"/>
  <c r="M168" i="42" s="1"/>
  <c r="H162" i="42"/>
  <c r="K162" i="41"/>
  <c r="F287" i="43"/>
  <c r="I287" i="42"/>
  <c r="M287" i="42" s="1"/>
  <c r="F228" i="43"/>
  <c r="I228" i="42"/>
  <c r="M228" i="42" s="1"/>
  <c r="I243" i="42"/>
  <c r="M243" i="42" s="1"/>
  <c r="F243" i="43"/>
  <c r="H233" i="42"/>
  <c r="K233" i="41"/>
  <c r="I238" i="42"/>
  <c r="M238" i="42" s="1"/>
  <c r="F238" i="43"/>
  <c r="F217" i="43"/>
  <c r="I217" i="42"/>
  <c r="M217" i="42" s="1"/>
  <c r="H134" i="42"/>
  <c r="K134" i="41"/>
  <c r="F197" i="43"/>
  <c r="I197" i="42"/>
  <c r="M197" i="42" s="1"/>
  <c r="F131" i="43"/>
  <c r="I131" i="42"/>
  <c r="M131" i="42" s="1"/>
  <c r="H165" i="42"/>
  <c r="K165" i="41"/>
  <c r="H130" i="42"/>
  <c r="K130" i="41"/>
  <c r="H238" i="42"/>
  <c r="K238" i="41"/>
  <c r="F174" i="43"/>
  <c r="I174" i="42"/>
  <c r="M174" i="42" s="1"/>
  <c r="F224" i="43"/>
  <c r="I224" i="42"/>
  <c r="M224" i="42" s="1"/>
  <c r="F209" i="43"/>
  <c r="I209" i="42"/>
  <c r="M209" i="42" s="1"/>
  <c r="F272" i="43"/>
  <c r="I272" i="42"/>
  <c r="M272" i="42" s="1"/>
  <c r="F213" i="43"/>
  <c r="I213" i="42"/>
  <c r="M213" i="42" s="1"/>
  <c r="H265" i="42"/>
  <c r="K265" i="41"/>
  <c r="F275" i="43"/>
  <c r="I275" i="42"/>
  <c r="M275" i="42" s="1"/>
  <c r="I160" i="42"/>
  <c r="M160" i="42" s="1"/>
  <c r="F160" i="43"/>
  <c r="I260" i="42"/>
  <c r="M260" i="42" s="1"/>
  <c r="F260" i="43"/>
  <c r="I233" i="42"/>
  <c r="M233" i="42" s="1"/>
  <c r="F233" i="43"/>
  <c r="H201" i="42"/>
  <c r="K201" i="41"/>
  <c r="F135" i="43"/>
  <c r="I135" i="42"/>
  <c r="M135" i="42" s="1"/>
  <c r="F200" i="43"/>
  <c r="I200" i="42"/>
  <c r="M200" i="42" s="1"/>
  <c r="K212" i="41"/>
  <c r="H212" i="42"/>
  <c r="H124" i="42"/>
  <c r="K124" i="41"/>
  <c r="F273" i="43"/>
  <c r="I273" i="42"/>
  <c r="M273" i="42" s="1"/>
  <c r="H192" i="42"/>
  <c r="K192" i="41"/>
  <c r="H285" i="42"/>
  <c r="K285" i="41"/>
  <c r="F246" i="43"/>
  <c r="I246" i="42"/>
  <c r="M246" i="42" s="1"/>
  <c r="F283" i="43"/>
  <c r="I283" i="42"/>
  <c r="M283" i="42" s="1"/>
  <c r="H239" i="42"/>
  <c r="K239" i="41"/>
  <c r="F284" i="43"/>
  <c r="I284" i="42"/>
  <c r="M284" i="42" s="1"/>
  <c r="H140" i="42"/>
  <c r="K140" i="41"/>
  <c r="I150" i="42"/>
  <c r="M150" i="42" s="1"/>
  <c r="F150" i="43"/>
  <c r="C191" i="43"/>
  <c r="I191" i="42"/>
  <c r="M191" i="42" s="1"/>
  <c r="H196" i="42"/>
  <c r="K196" i="41"/>
  <c r="H228" i="42"/>
  <c r="K228" i="41"/>
  <c r="H225" i="42"/>
  <c r="K225" i="41"/>
  <c r="K183" i="41"/>
  <c r="H183" i="42"/>
  <c r="H177" i="42"/>
  <c r="K177" i="41"/>
  <c r="K149" i="41"/>
  <c r="H149" i="42"/>
  <c r="H147" i="42"/>
  <c r="K147" i="41"/>
  <c r="H251" i="42"/>
  <c r="K251" i="41"/>
  <c r="H291" i="42"/>
  <c r="K291" i="41"/>
  <c r="H153" i="42"/>
  <c r="K153" i="41"/>
  <c r="H248" i="42"/>
  <c r="K248" i="41"/>
  <c r="F289" i="43"/>
  <c r="I289" i="42"/>
  <c r="M289" i="42" s="1"/>
  <c r="K261" i="41"/>
  <c r="H261" i="42"/>
  <c r="H169" i="42"/>
  <c r="K169" i="41"/>
  <c r="H247" i="42"/>
  <c r="K247" i="41"/>
  <c r="H229" i="42"/>
  <c r="K229" i="41"/>
  <c r="F215" i="43"/>
  <c r="I215" i="42"/>
  <c r="M215" i="42" s="1"/>
  <c r="H174" i="42"/>
  <c r="K174" i="41"/>
  <c r="C126" i="43"/>
  <c r="I126" i="42"/>
  <c r="M126" i="42" s="1"/>
  <c r="H204" i="42"/>
  <c r="K204" i="41"/>
  <c r="K231" i="41"/>
  <c r="H231" i="42"/>
  <c r="H132" i="42"/>
  <c r="K132" i="41"/>
  <c r="H235" i="42"/>
  <c r="K235" i="41"/>
  <c r="H230" i="42"/>
  <c r="K230" i="41"/>
  <c r="H157" i="42"/>
  <c r="K157" i="41"/>
  <c r="F240" i="43"/>
  <c r="I240" i="42"/>
  <c r="M240" i="42" s="1"/>
  <c r="H171" i="42"/>
  <c r="K171" i="41"/>
  <c r="H198" i="42"/>
  <c r="K198" i="41"/>
  <c r="H154" i="42"/>
  <c r="K154" i="41"/>
  <c r="H144" i="42"/>
  <c r="K144" i="41"/>
  <c r="H163" i="42"/>
  <c r="K163" i="41"/>
  <c r="F186" i="43"/>
  <c r="I186" i="42"/>
  <c r="M186" i="42" s="1"/>
  <c r="H166" i="42"/>
  <c r="K166" i="41"/>
  <c r="I276" i="42"/>
  <c r="M276" i="42" s="1"/>
  <c r="F276" i="43"/>
  <c r="I176" i="42"/>
  <c r="M176" i="42" s="1"/>
  <c r="F176" i="43"/>
  <c r="K146" i="41"/>
  <c r="H146" i="42"/>
  <c r="I198" i="42"/>
  <c r="M198" i="42" s="1"/>
  <c r="F198" i="43"/>
  <c r="F167" i="43"/>
  <c r="I167" i="42"/>
  <c r="M167" i="42" s="1"/>
  <c r="H168" i="42"/>
  <c r="K168" i="41"/>
  <c r="F248" i="43"/>
  <c r="I248" i="42"/>
  <c r="M248" i="42" s="1"/>
  <c r="F222" i="43"/>
  <c r="I222" i="42"/>
  <c r="M222" i="42" s="1"/>
  <c r="K275" i="41"/>
  <c r="H275" i="42"/>
  <c r="I158" i="42"/>
  <c r="M158" i="42" s="1"/>
  <c r="F158" i="43"/>
  <c r="F250" i="43"/>
  <c r="I250" i="42"/>
  <c r="M250" i="42" s="1"/>
  <c r="F268" i="43"/>
  <c r="I268" i="42"/>
  <c r="M268" i="42" s="1"/>
  <c r="H270" i="42"/>
  <c r="K270" i="41"/>
  <c r="F155" i="43"/>
  <c r="I155" i="42"/>
  <c r="M155" i="42" s="1"/>
  <c r="H188" i="42"/>
  <c r="K188" i="41"/>
  <c r="F265" i="43"/>
  <c r="I265" i="42"/>
  <c r="M265" i="42" s="1"/>
  <c r="F267" i="43"/>
  <c r="I267" i="42"/>
  <c r="M267" i="42" s="1"/>
  <c r="F236" i="43"/>
  <c r="I236" i="42"/>
  <c r="M236" i="42" s="1"/>
  <c r="F199" i="43"/>
  <c r="I199" i="42"/>
  <c r="M199" i="42" s="1"/>
  <c r="H175" i="42"/>
  <c r="K175" i="41"/>
  <c r="F173" i="43"/>
  <c r="I173" i="42"/>
  <c r="M173" i="42" s="1"/>
  <c r="F162" i="43"/>
  <c r="I162" i="42"/>
  <c r="M162" i="42" s="1"/>
  <c r="H215" i="42"/>
  <c r="K215" i="41"/>
  <c r="H159" i="42"/>
  <c r="K159" i="41"/>
  <c r="H236" i="42"/>
  <c r="K236" i="41"/>
  <c r="H237" i="42"/>
  <c r="K237" i="41"/>
  <c r="H280" i="42"/>
  <c r="K280" i="41"/>
  <c r="F165" i="43"/>
  <c r="I165" i="42"/>
  <c r="M165" i="42" s="1"/>
  <c r="F184" i="43"/>
  <c r="I184" i="42"/>
  <c r="M184" i="42" s="1"/>
  <c r="F164" i="43"/>
  <c r="I164" i="42"/>
  <c r="M164" i="42" s="1"/>
  <c r="F223" i="43"/>
  <c r="I223" i="42"/>
  <c r="M223" i="42" s="1"/>
  <c r="K258" i="41"/>
  <c r="H258" i="42"/>
  <c r="F227" i="43"/>
  <c r="I227" i="42"/>
  <c r="M227" i="42" s="1"/>
  <c r="F201" i="43"/>
  <c r="I201" i="42"/>
  <c r="M201" i="42" s="1"/>
  <c r="F285" i="43"/>
  <c r="I285" i="42"/>
  <c r="M285" i="42" s="1"/>
  <c r="F279" i="43"/>
  <c r="I279" i="42"/>
  <c r="M279" i="42" s="1"/>
  <c r="F123" i="43"/>
  <c r="I123" i="42"/>
  <c r="M123" i="42" s="1"/>
  <c r="I261" i="42"/>
  <c r="M261" i="42" s="1"/>
  <c r="F261" i="43"/>
  <c r="F180" i="43"/>
  <c r="I180" i="42"/>
  <c r="M180" i="42" s="1"/>
  <c r="K272" i="41"/>
  <c r="H272" i="42"/>
  <c r="F188" i="43"/>
  <c r="I188" i="42"/>
  <c r="M188" i="42" s="1"/>
  <c r="H123" i="42"/>
  <c r="K123" i="41"/>
  <c r="F171" i="43"/>
  <c r="I171" i="42"/>
  <c r="M171" i="42" s="1"/>
  <c r="F218" i="43"/>
  <c r="I218" i="42"/>
  <c r="M218" i="42" s="1"/>
  <c r="F292" i="43"/>
  <c r="I292" i="42"/>
  <c r="M292" i="42" s="1"/>
  <c r="F206" i="43"/>
  <c r="I206" i="42"/>
  <c r="M206" i="42" s="1"/>
  <c r="H221" i="42"/>
  <c r="K221" i="41"/>
  <c r="H243" i="42"/>
  <c r="K243" i="41"/>
  <c r="K241" i="41"/>
  <c r="H241" i="42"/>
  <c r="F125" i="43"/>
  <c r="I125" i="42"/>
  <c r="M125" i="42" s="1"/>
  <c r="F207" i="43"/>
  <c r="I207" i="42"/>
  <c r="M207" i="42" s="1"/>
  <c r="F133" i="43"/>
  <c r="I133" i="42"/>
  <c r="M133" i="42" s="1"/>
  <c r="K267" i="41"/>
  <c r="H267" i="42"/>
  <c r="F187" i="43"/>
  <c r="I187" i="42"/>
  <c r="M187" i="42" s="1"/>
  <c r="H148" i="42"/>
  <c r="K148" i="41"/>
  <c r="F156" i="43"/>
  <c r="I156" i="42"/>
  <c r="M156" i="42" s="1"/>
  <c r="F185" i="43"/>
  <c r="I185" i="42"/>
  <c r="M185" i="42" s="1"/>
  <c r="H250" i="42"/>
  <c r="K250" i="41"/>
  <c r="H158" i="42"/>
  <c r="K158" i="41"/>
  <c r="H282" i="42"/>
  <c r="K282" i="41"/>
  <c r="H141" i="42"/>
  <c r="K141" i="41"/>
  <c r="H187" i="42"/>
  <c r="K187" i="41"/>
  <c r="H181" i="42"/>
  <c r="K181" i="41"/>
  <c r="F163" i="43"/>
  <c r="I163" i="42"/>
  <c r="M163" i="42" s="1"/>
  <c r="K234" i="41"/>
  <c r="H234" i="42"/>
  <c r="K277" i="41"/>
  <c r="H277" i="42"/>
  <c r="H232" i="42"/>
  <c r="K232" i="41"/>
  <c r="F130" i="43"/>
  <c r="I130" i="42"/>
  <c r="M130" i="42" s="1"/>
  <c r="H262" i="42"/>
  <c r="K262" i="41"/>
  <c r="F271" i="43"/>
  <c r="I271" i="42"/>
  <c r="M271" i="42" s="1"/>
  <c r="H207" i="42"/>
  <c r="K207" i="41"/>
  <c r="F214" i="43"/>
  <c r="I214" i="42"/>
  <c r="M214" i="42" s="1"/>
  <c r="F249" i="43"/>
  <c r="I249" i="42"/>
  <c r="M249" i="42" s="1"/>
  <c r="H137" i="42"/>
  <c r="K137" i="41"/>
  <c r="K222" i="41"/>
  <c r="H222" i="42"/>
  <c r="I124" i="42"/>
  <c r="M124" i="42" s="1"/>
  <c r="F124" i="43"/>
  <c r="H185" i="42"/>
  <c r="K185" i="41"/>
  <c r="F121" i="43"/>
  <c r="I121" i="42"/>
  <c r="M121" i="42" s="1"/>
  <c r="F134" i="43"/>
  <c r="I134" i="42"/>
  <c r="M134" i="42" s="1"/>
  <c r="F141" i="43"/>
  <c r="I141" i="42"/>
  <c r="M141" i="42" s="1"/>
  <c r="H121" i="42"/>
  <c r="K121" i="41"/>
  <c r="F183" i="43"/>
  <c r="I183" i="42"/>
  <c r="M183" i="42" s="1"/>
  <c r="F172" i="43"/>
  <c r="I172" i="42"/>
  <c r="M172" i="42" s="1"/>
  <c r="K290" i="41"/>
  <c r="H290" i="42"/>
  <c r="H125" i="42"/>
  <c r="K125" i="41"/>
  <c r="H220" i="42"/>
  <c r="K220" i="41"/>
  <c r="H223" i="42"/>
  <c r="K223" i="41"/>
  <c r="F288" i="43"/>
  <c r="I288" i="42"/>
  <c r="M288" i="42" s="1"/>
  <c r="K131" i="41"/>
  <c r="H131" i="42"/>
  <c r="H217" i="42"/>
  <c r="K217" i="41"/>
  <c r="H118" i="42"/>
  <c r="K118" i="41"/>
  <c r="H279" i="42"/>
  <c r="K279" i="41"/>
  <c r="I208" i="42"/>
  <c r="M208" i="42" s="1"/>
  <c r="F208" i="43"/>
  <c r="K245" i="41"/>
  <c r="H245" i="42"/>
  <c r="H260" i="42"/>
  <c r="K260" i="41"/>
  <c r="I239" i="42"/>
  <c r="M239" i="42" s="1"/>
  <c r="F239" i="43"/>
  <c r="H283" i="42"/>
  <c r="K283" i="41"/>
  <c r="H249" i="42"/>
  <c r="K249" i="41"/>
  <c r="H268" i="42"/>
  <c r="K268" i="41"/>
  <c r="I127" i="42"/>
  <c r="M127" i="42" s="1"/>
  <c r="F127" i="43"/>
  <c r="F142" i="43"/>
  <c r="I142" i="42"/>
  <c r="M142" i="42" s="1"/>
  <c r="I157" i="42"/>
  <c r="M157" i="42" s="1"/>
  <c r="F157" i="43"/>
  <c r="H145" i="42"/>
  <c r="K145" i="41"/>
  <c r="H256" i="42"/>
  <c r="K256" i="41"/>
  <c r="H213" i="42"/>
  <c r="K213" i="41"/>
  <c r="F225" i="43"/>
  <c r="I225" i="42"/>
  <c r="M225" i="42" s="1"/>
  <c r="H155" i="42"/>
  <c r="K155" i="41"/>
  <c r="F177" i="39"/>
  <c r="I177" i="38"/>
  <c r="M177" i="38" s="1"/>
  <c r="F254" i="43"/>
  <c r="I254" i="42"/>
  <c r="M254" i="42" s="1"/>
  <c r="I262" i="42"/>
  <c r="M262" i="42" s="1"/>
  <c r="F262" i="43"/>
  <c r="H179" i="42"/>
  <c r="K179" i="41"/>
  <c r="H170" i="42"/>
  <c r="K170" i="41"/>
  <c r="F139" i="43"/>
  <c r="I139" i="42"/>
  <c r="M139" i="42" s="1"/>
  <c r="H292" i="42"/>
  <c r="K292" i="41"/>
  <c r="F144" i="43"/>
  <c r="I144" i="42"/>
  <c r="M144" i="42" s="1"/>
  <c r="F282" i="43"/>
  <c r="I282" i="42"/>
  <c r="M282" i="42" s="1"/>
  <c r="H122" i="42"/>
  <c r="K122" i="41"/>
  <c r="F136" i="43"/>
  <c r="I136" i="42"/>
  <c r="M136" i="42" s="1"/>
  <c r="F154" i="43"/>
  <c r="I154" i="42"/>
  <c r="M154" i="42" s="1"/>
  <c r="H184" i="42"/>
  <c r="K184" i="41"/>
  <c r="F179" i="43"/>
  <c r="I179" i="42"/>
  <c r="M179" i="42" s="1"/>
  <c r="F241" i="43"/>
  <c r="I241" i="42"/>
  <c r="M241" i="42" s="1"/>
  <c r="F253" i="43"/>
  <c r="I253" i="42"/>
  <c r="M253" i="42" s="1"/>
  <c r="F280" i="43"/>
  <c r="I280" i="42"/>
  <c r="M280" i="42" s="1"/>
  <c r="F204" i="43"/>
  <c r="I204" i="42"/>
  <c r="M204" i="42" s="1"/>
  <c r="H211" i="42"/>
  <c r="K211" i="41"/>
  <c r="H244" i="42"/>
  <c r="K244" i="41"/>
  <c r="H161" i="42"/>
  <c r="K161" i="41"/>
  <c r="I169" i="42"/>
  <c r="M169" i="42" s="1"/>
  <c r="C169" i="43"/>
  <c r="H240" i="42"/>
  <c r="K240" i="41"/>
  <c r="F140" i="43"/>
  <c r="I140" i="42"/>
  <c r="M140" i="42" s="1"/>
  <c r="H227" i="42"/>
  <c r="K227" i="41"/>
  <c r="H273" i="42"/>
  <c r="K273" i="41"/>
  <c r="F256" i="43"/>
  <c r="I256" i="42"/>
  <c r="M256" i="42" s="1"/>
  <c r="H142" i="42"/>
  <c r="K142" i="41"/>
  <c r="F257" i="43"/>
  <c r="I257" i="42"/>
  <c r="M257" i="42" s="1"/>
  <c r="F270" i="43"/>
  <c r="I270" i="42"/>
  <c r="M270" i="42" s="1"/>
  <c r="H136" i="42"/>
  <c r="K136" i="41"/>
  <c r="H224" i="42"/>
  <c r="K224" i="41"/>
  <c r="H126" i="42"/>
  <c r="K126" i="41"/>
  <c r="F152" i="43"/>
  <c r="I152" i="42"/>
  <c r="M152" i="42" s="1"/>
  <c r="I145" i="42"/>
  <c r="M145" i="42" s="1"/>
  <c r="F145" i="43"/>
  <c r="H194" i="42"/>
  <c r="K194" i="41"/>
  <c r="H176" i="42"/>
  <c r="K176" i="41"/>
  <c r="K152" i="41"/>
  <c r="H152" i="42"/>
  <c r="H127" i="42"/>
  <c r="K127" i="41"/>
  <c r="F235" i="43"/>
  <c r="I235" i="42"/>
  <c r="M235" i="42" s="1"/>
  <c r="H274" i="42"/>
  <c r="K274" i="41"/>
  <c r="H164" i="42"/>
  <c r="K164" i="41"/>
  <c r="H190" i="42"/>
  <c r="K190" i="41"/>
  <c r="F277" i="43"/>
  <c r="I277" i="42"/>
  <c r="M277" i="42" s="1"/>
  <c r="I118" i="42"/>
  <c r="M118" i="42" s="1"/>
  <c r="F118" i="43"/>
  <c r="H246" i="42"/>
  <c r="K246" i="41"/>
  <c r="F203" i="43"/>
  <c r="I203" i="42"/>
  <c r="M203" i="42" s="1"/>
  <c r="H202" i="42"/>
  <c r="K202" i="41"/>
  <c r="K151" i="41"/>
  <c r="H151" i="42"/>
  <c r="K119" i="41"/>
  <c r="H119" i="42"/>
  <c r="F230" i="43"/>
  <c r="I230" i="42"/>
  <c r="M230" i="42" s="1"/>
  <c r="H160" i="42"/>
  <c r="K160" i="41"/>
  <c r="F234" i="43"/>
  <c r="I234" i="42"/>
  <c r="M234" i="42" s="1"/>
  <c r="I137" i="42"/>
  <c r="M137" i="42" s="1"/>
  <c r="F137" i="43"/>
  <c r="F122" i="43"/>
  <c r="I122" i="42"/>
  <c r="M122" i="42" s="1"/>
  <c r="I196" i="42"/>
  <c r="M196" i="42" s="1"/>
  <c r="F196" i="43"/>
  <c r="H288" i="42"/>
  <c r="K288" i="41"/>
  <c r="H172" i="42"/>
  <c r="K172" i="41"/>
  <c r="F205" i="43"/>
  <c r="I205" i="42"/>
  <c r="M205" i="42" s="1"/>
  <c r="H257" i="42"/>
  <c r="K257" i="41"/>
  <c r="H253" i="42"/>
  <c r="K253" i="41"/>
  <c r="F266" i="43"/>
  <c r="I266" i="42"/>
  <c r="M266" i="42" s="1"/>
  <c r="H139" i="42"/>
  <c r="K139" i="41"/>
  <c r="H264" i="42"/>
  <c r="K264" i="41"/>
  <c r="H143" i="42"/>
  <c r="K143" i="41"/>
  <c r="F258" i="43"/>
  <c r="I258" i="42"/>
  <c r="M258" i="42" s="1"/>
  <c r="H209" i="42"/>
  <c r="K209" i="41"/>
  <c r="H129" i="42"/>
  <c r="K129" i="41"/>
  <c r="F166" i="43"/>
  <c r="I166" i="42"/>
  <c r="M166" i="42" s="1"/>
  <c r="H178" i="42"/>
  <c r="K178" i="41"/>
  <c r="H218" i="42"/>
  <c r="K218" i="41"/>
  <c r="F231" i="43"/>
  <c r="I231" i="42"/>
  <c r="M231" i="42" s="1"/>
  <c r="H266" i="42"/>
  <c r="K266" i="41"/>
  <c r="F195" i="43"/>
  <c r="I195" i="42"/>
  <c r="M195" i="42" s="1"/>
  <c r="H120" i="42"/>
  <c r="K120" i="41"/>
  <c r="I269" i="42"/>
  <c r="M269" i="42" s="1"/>
  <c r="F269" i="43"/>
  <c r="F211" i="43"/>
  <c r="I211" i="42"/>
  <c r="M211" i="42" s="1"/>
  <c r="F219" i="43"/>
  <c r="I219" i="42"/>
  <c r="M219" i="42" s="1"/>
  <c r="F202" i="43"/>
  <c r="I202" i="42"/>
  <c r="M202" i="42" s="1"/>
  <c r="H242" i="42"/>
  <c r="K242" i="41"/>
  <c r="I245" i="42"/>
  <c r="M245" i="42" s="1"/>
  <c r="F245" i="43"/>
  <c r="D140" i="36" l="1"/>
  <c r="J140" i="36" s="1"/>
  <c r="N140" i="36" s="1"/>
  <c r="D167" i="36"/>
  <c r="J167" i="36" s="1"/>
  <c r="N167" i="36" s="1"/>
  <c r="D122" i="36"/>
  <c r="J122" i="36" s="1"/>
  <c r="N122" i="36" s="1"/>
  <c r="D285" i="36"/>
  <c r="J285" i="36" s="1"/>
  <c r="N285" i="36" s="1"/>
  <c r="D160" i="36"/>
  <c r="J160" i="36" s="1"/>
  <c r="N160" i="36" s="1"/>
  <c r="D263" i="36"/>
  <c r="J263" i="36" s="1"/>
  <c r="N263" i="36" s="1"/>
  <c r="D228" i="36"/>
  <c r="J228" i="36" s="1"/>
  <c r="N228" i="36" s="1"/>
  <c r="D201" i="36"/>
  <c r="J201" i="36" s="1"/>
  <c r="N201" i="36" s="1"/>
  <c r="D139" i="36"/>
  <c r="J139" i="36" s="1"/>
  <c r="N139" i="36" s="1"/>
  <c r="D123" i="36"/>
  <c r="J123" i="36" s="1"/>
  <c r="N123" i="36" s="1"/>
  <c r="D186" i="36"/>
  <c r="J186" i="36" s="1"/>
  <c r="N186" i="36" s="1"/>
  <c r="D276" i="36"/>
  <c r="J276" i="36" s="1"/>
  <c r="N276" i="36" s="1"/>
  <c r="D258" i="36"/>
  <c r="J258" i="36" s="1"/>
  <c r="N258" i="36" s="1"/>
  <c r="D191" i="36"/>
  <c r="J191" i="36" s="1"/>
  <c r="N191" i="36" s="1"/>
  <c r="D240" i="36"/>
  <c r="J240" i="36" s="1"/>
  <c r="N240" i="36" s="1"/>
  <c r="D250" i="36"/>
  <c r="J250" i="36" s="1"/>
  <c r="N250" i="36" s="1"/>
  <c r="D128" i="36"/>
  <c r="J128" i="36" s="1"/>
  <c r="N128" i="36" s="1"/>
  <c r="D199" i="36"/>
  <c r="J199" i="36" s="1"/>
  <c r="N199" i="36" s="1"/>
  <c r="D182" i="36"/>
  <c r="J182" i="36" s="1"/>
  <c r="N182" i="36" s="1"/>
  <c r="D284" i="36"/>
  <c r="J284" i="36" s="1"/>
  <c r="N284" i="36" s="1"/>
  <c r="D218" i="36"/>
  <c r="J218" i="36" s="1"/>
  <c r="N218" i="36" s="1"/>
  <c r="D212" i="36"/>
  <c r="J212" i="36" s="1"/>
  <c r="N212" i="36" s="1"/>
  <c r="D131" i="36"/>
  <c r="J131" i="36" s="1"/>
  <c r="N131" i="36" s="1"/>
  <c r="D211" i="36"/>
  <c r="J211" i="36" s="1"/>
  <c r="N211" i="36" s="1"/>
  <c r="D243" i="36"/>
  <c r="J243" i="36" s="1"/>
  <c r="N243" i="36" s="1"/>
  <c r="D171" i="36"/>
  <c r="J171" i="36" s="1"/>
  <c r="N171" i="36" s="1"/>
  <c r="D288" i="36"/>
  <c r="J288" i="36" s="1"/>
  <c r="N288" i="36" s="1"/>
  <c r="D248" i="36"/>
  <c r="J248" i="36" s="1"/>
  <c r="N248" i="36" s="1"/>
  <c r="D217" i="36"/>
  <c r="J217" i="36" s="1"/>
  <c r="N217" i="36" s="1"/>
  <c r="D220" i="36"/>
  <c r="J220" i="36" s="1"/>
  <c r="N220" i="36" s="1"/>
  <c r="D280" i="36"/>
  <c r="J280" i="36" s="1"/>
  <c r="N280" i="36" s="1"/>
  <c r="D227" i="36"/>
  <c r="J227" i="36" s="1"/>
  <c r="N227" i="36" s="1"/>
  <c r="D264" i="36"/>
  <c r="J264" i="36" s="1"/>
  <c r="N264" i="36" s="1"/>
  <c r="D175" i="36"/>
  <c r="J175" i="36" s="1"/>
  <c r="N175" i="36" s="1"/>
  <c r="D150" i="36"/>
  <c r="J150" i="36" s="1"/>
  <c r="N150" i="36" s="1"/>
  <c r="D223" i="36"/>
  <c r="J223" i="36" s="1"/>
  <c r="N223" i="36" s="1"/>
  <c r="D245" i="36"/>
  <c r="J245" i="36" s="1"/>
  <c r="N245" i="36" s="1"/>
  <c r="D238" i="36"/>
  <c r="J238" i="36" s="1"/>
  <c r="N238" i="36" s="1"/>
  <c r="D209" i="36"/>
  <c r="J209" i="36" s="1"/>
  <c r="N209" i="36" s="1"/>
  <c r="D267" i="36"/>
  <c r="J267" i="36" s="1"/>
  <c r="N267" i="36" s="1"/>
  <c r="D261" i="36"/>
  <c r="J261" i="36" s="1"/>
  <c r="N261" i="36" s="1"/>
  <c r="D153" i="36"/>
  <c r="J153" i="36" s="1"/>
  <c r="N153" i="36" s="1"/>
  <c r="D132" i="36"/>
  <c r="J132" i="36" s="1"/>
  <c r="N132" i="36" s="1"/>
  <c r="D178" i="36"/>
  <c r="J178" i="36" s="1"/>
  <c r="N178" i="36" s="1"/>
  <c r="D269" i="36"/>
  <c r="J269" i="36" s="1"/>
  <c r="N269" i="36" s="1"/>
  <c r="D282" i="36"/>
  <c r="J282" i="36" s="1"/>
  <c r="N282" i="36" s="1"/>
  <c r="D246" i="36"/>
  <c r="J246" i="36" s="1"/>
  <c r="N246" i="36" s="1"/>
  <c r="D244" i="36"/>
  <c r="J244" i="36" s="1"/>
  <c r="N244" i="36" s="1"/>
  <c r="D198" i="36"/>
  <c r="J198" i="36" s="1"/>
  <c r="N198" i="36" s="1"/>
  <c r="D247" i="36"/>
  <c r="J247" i="36" s="1"/>
  <c r="N247" i="36" s="1"/>
  <c r="D129" i="36"/>
  <c r="J129" i="36" s="1"/>
  <c r="N129" i="36" s="1"/>
  <c r="D181" i="36"/>
  <c r="J181" i="36" s="1"/>
  <c r="N181" i="36" s="1"/>
  <c r="D251" i="36"/>
  <c r="J251" i="36" s="1"/>
  <c r="N251" i="36" s="1"/>
  <c r="D241" i="36"/>
  <c r="J241" i="36" s="1"/>
  <c r="N241" i="36" s="1"/>
  <c r="D242" i="36"/>
  <c r="J242" i="36" s="1"/>
  <c r="N242" i="36" s="1"/>
  <c r="D259" i="36"/>
  <c r="J259" i="36" s="1"/>
  <c r="N259" i="36" s="1"/>
  <c r="D118" i="36"/>
  <c r="J118" i="36" s="1"/>
  <c r="N118" i="36" s="1"/>
  <c r="D125" i="36"/>
  <c r="J125" i="36" s="1"/>
  <c r="N125" i="36" s="1"/>
  <c r="D138" i="36"/>
  <c r="J138" i="36" s="1"/>
  <c r="N138" i="36" s="1"/>
  <c r="D163" i="36"/>
  <c r="J163" i="36" s="1"/>
  <c r="N163" i="36" s="1"/>
  <c r="D252" i="36"/>
  <c r="J252" i="36" s="1"/>
  <c r="N252" i="36" s="1"/>
  <c r="D190" i="36"/>
  <c r="J190" i="36" s="1"/>
  <c r="N190" i="36" s="1"/>
  <c r="D165" i="36"/>
  <c r="J165" i="36" s="1"/>
  <c r="N165" i="36" s="1"/>
  <c r="D278" i="36"/>
  <c r="J278" i="36" s="1"/>
  <c r="N278" i="36" s="1"/>
  <c r="D169" i="36"/>
  <c r="J169" i="36" s="1"/>
  <c r="N169" i="36" s="1"/>
  <c r="D215" i="36"/>
  <c r="J215" i="36" s="1"/>
  <c r="N215" i="36" s="1"/>
  <c r="D272" i="36"/>
  <c r="J272" i="36" s="1"/>
  <c r="N272" i="36" s="1"/>
  <c r="D235" i="36"/>
  <c r="J235" i="36" s="1"/>
  <c r="N235" i="36" s="1"/>
  <c r="D158" i="36"/>
  <c r="J158" i="36" s="1"/>
  <c r="N158" i="36" s="1"/>
  <c r="D207" i="36"/>
  <c r="J207" i="36" s="1"/>
  <c r="N207" i="36" s="1"/>
  <c r="D170" i="36"/>
  <c r="J170" i="36" s="1"/>
  <c r="N170" i="36" s="1"/>
  <c r="D137" i="36"/>
  <c r="J137" i="36" s="1"/>
  <c r="N137" i="36" s="1"/>
  <c r="D173" i="36"/>
  <c r="J173" i="36" s="1"/>
  <c r="N173" i="36" s="1"/>
  <c r="D195" i="36"/>
  <c r="J195" i="36" s="1"/>
  <c r="N195" i="36" s="1"/>
  <c r="D144" i="36"/>
  <c r="J144" i="36" s="1"/>
  <c r="N144" i="36" s="1"/>
  <c r="D271" i="36"/>
  <c r="J271" i="36" s="1"/>
  <c r="N271" i="36" s="1"/>
  <c r="D216" i="36"/>
  <c r="J216" i="36" s="1"/>
  <c r="N216" i="36" s="1"/>
  <c r="D180" i="36"/>
  <c r="J180" i="36" s="1"/>
  <c r="N180" i="36" s="1"/>
  <c r="D183" i="36"/>
  <c r="J183" i="36" s="1"/>
  <c r="N183" i="36" s="1"/>
  <c r="D146" i="36"/>
  <c r="J146" i="36" s="1"/>
  <c r="N146" i="36" s="1"/>
  <c r="D145" i="36"/>
  <c r="J145" i="36" s="1"/>
  <c r="N145" i="36" s="1"/>
  <c r="D260" i="36"/>
  <c r="J260" i="36" s="1"/>
  <c r="N260" i="36" s="1"/>
  <c r="D164" i="36"/>
  <c r="J164" i="36" s="1"/>
  <c r="N164" i="36" s="1"/>
  <c r="D135" i="36"/>
  <c r="J135" i="36" s="1"/>
  <c r="N135" i="36" s="1"/>
  <c r="D121" i="36"/>
  <c r="J121" i="36" s="1"/>
  <c r="N121" i="36" s="1"/>
  <c r="D230" i="36"/>
  <c r="J230" i="36" s="1"/>
  <c r="N230" i="36" s="1"/>
  <c r="D159" i="36"/>
  <c r="J159" i="36" s="1"/>
  <c r="N159" i="36" s="1"/>
  <c r="D236" i="36"/>
  <c r="J236" i="36" s="1"/>
  <c r="N236" i="36" s="1"/>
  <c r="D204" i="36"/>
  <c r="J204" i="36" s="1"/>
  <c r="N204" i="36" s="1"/>
  <c r="D184" i="36"/>
  <c r="J184" i="36" s="1"/>
  <c r="N184" i="36" s="1"/>
  <c r="D177" i="36"/>
  <c r="J177" i="36" s="1"/>
  <c r="N177" i="36" s="1"/>
  <c r="D126" i="36"/>
  <c r="J126" i="36" s="1"/>
  <c r="N126" i="36" s="1"/>
  <c r="D283" i="36"/>
  <c r="J283" i="36" s="1"/>
  <c r="N283" i="36" s="1"/>
  <c r="D281" i="36"/>
  <c r="J281" i="36" s="1"/>
  <c r="N281" i="36" s="1"/>
  <c r="D133" i="36"/>
  <c r="J133" i="36" s="1"/>
  <c r="N133" i="36" s="1"/>
  <c r="D234" i="36"/>
  <c r="J234" i="36" s="1"/>
  <c r="N234" i="36" s="1"/>
  <c r="D149" i="36"/>
  <c r="J149" i="36" s="1"/>
  <c r="N149" i="36" s="1"/>
  <c r="D196" i="36"/>
  <c r="J196" i="36" s="1"/>
  <c r="N196" i="36" s="1"/>
  <c r="D136" i="36"/>
  <c r="J136" i="36" s="1"/>
  <c r="N136" i="36" s="1"/>
  <c r="D192" i="36"/>
  <c r="J192" i="36" s="1"/>
  <c r="N192" i="36" s="1"/>
  <c r="D222" i="36"/>
  <c r="J222" i="36" s="1"/>
  <c r="N222" i="36" s="1"/>
  <c r="D221" i="36"/>
  <c r="J221" i="36" s="1"/>
  <c r="N221" i="36" s="1"/>
  <c r="D156" i="36"/>
  <c r="J156" i="36" s="1"/>
  <c r="N156" i="36" s="1"/>
  <c r="D254" i="36"/>
  <c r="J254" i="36" s="1"/>
  <c r="N254" i="36" s="1"/>
  <c r="D127" i="36"/>
  <c r="J127" i="36" s="1"/>
  <c r="N127" i="36" s="1"/>
  <c r="D141" i="36"/>
  <c r="J141" i="36" s="1"/>
  <c r="N141" i="36" s="1"/>
  <c r="D197" i="36"/>
  <c r="J197" i="36" s="1"/>
  <c r="N197" i="36" s="1"/>
  <c r="D205" i="36"/>
  <c r="J205" i="36" s="1"/>
  <c r="N205" i="36" s="1"/>
  <c r="D275" i="36"/>
  <c r="J275" i="36" s="1"/>
  <c r="N275" i="36" s="1"/>
  <c r="D286" i="36"/>
  <c r="J286" i="36" s="1"/>
  <c r="N286" i="36" s="1"/>
  <c r="D193" i="36"/>
  <c r="J193" i="36" s="1"/>
  <c r="N193" i="36" s="1"/>
  <c r="D161" i="36"/>
  <c r="J161" i="36" s="1"/>
  <c r="N161" i="36" s="1"/>
  <c r="D277" i="36"/>
  <c r="J277" i="36" s="1"/>
  <c r="N277" i="36" s="1"/>
  <c r="D226" i="36"/>
  <c r="J226" i="36" s="1"/>
  <c r="N226" i="36" s="1"/>
  <c r="D119" i="36"/>
  <c r="J119" i="36" s="1"/>
  <c r="N119" i="36" s="1"/>
  <c r="D257" i="36"/>
  <c r="J257" i="36" s="1"/>
  <c r="N257" i="36" s="1"/>
  <c r="D255" i="36"/>
  <c r="J255" i="36" s="1"/>
  <c r="N255" i="36" s="1"/>
  <c r="D233" i="36"/>
  <c r="J233" i="36" s="1"/>
  <c r="N233" i="36" s="1"/>
  <c r="D287" i="36"/>
  <c r="J287" i="36" s="1"/>
  <c r="N287" i="36" s="1"/>
  <c r="D155" i="36"/>
  <c r="J155" i="36" s="1"/>
  <c r="N155" i="36" s="1"/>
  <c r="D229" i="36"/>
  <c r="J229" i="36" s="1"/>
  <c r="N229" i="36" s="1"/>
  <c r="D292" i="36"/>
  <c r="J292" i="36" s="1"/>
  <c r="N292" i="36" s="1"/>
  <c r="D290" i="36"/>
  <c r="J290" i="36" s="1"/>
  <c r="N290" i="36" s="1"/>
  <c r="D179" i="36"/>
  <c r="J179" i="36" s="1"/>
  <c r="N179" i="36" s="1"/>
  <c r="D147" i="36"/>
  <c r="J147" i="36" s="1"/>
  <c r="N147" i="36" s="1"/>
  <c r="D120" i="36"/>
  <c r="J120" i="36" s="1"/>
  <c r="N120" i="36" s="1"/>
  <c r="D266" i="36"/>
  <c r="J266" i="36" s="1"/>
  <c r="N266" i="36" s="1"/>
  <c r="D279" i="36"/>
  <c r="J279" i="36" s="1"/>
  <c r="N279" i="36" s="1"/>
  <c r="D225" i="36"/>
  <c r="J225" i="36" s="1"/>
  <c r="N225" i="36" s="1"/>
  <c r="D268" i="36"/>
  <c r="J268" i="36" s="1"/>
  <c r="N268" i="36" s="1"/>
  <c r="D130" i="36"/>
  <c r="J130" i="36" s="1"/>
  <c r="N130" i="36" s="1"/>
  <c r="D206" i="36"/>
  <c r="J206" i="36" s="1"/>
  <c r="N206" i="36" s="1"/>
  <c r="D174" i="36"/>
  <c r="J174" i="36" s="1"/>
  <c r="N174" i="36" s="1"/>
  <c r="D224" i="36"/>
  <c r="J224" i="36" s="1"/>
  <c r="N224" i="36" s="1"/>
  <c r="D273" i="36"/>
  <c r="J273" i="36" s="1"/>
  <c r="N273" i="36" s="1"/>
  <c r="D208" i="36"/>
  <c r="J208" i="36" s="1"/>
  <c r="N208" i="36" s="1"/>
  <c r="D148" i="36"/>
  <c r="J148" i="36" s="1"/>
  <c r="N148" i="36" s="1"/>
  <c r="Q16" i="35"/>
  <c r="D172" i="36"/>
  <c r="J172" i="36" s="1"/>
  <c r="N172" i="36" s="1"/>
  <c r="D189" i="36"/>
  <c r="J189" i="36" s="1"/>
  <c r="N189" i="36" s="1"/>
  <c r="D202" i="36"/>
  <c r="J202" i="36" s="1"/>
  <c r="N202" i="36" s="1"/>
  <c r="D249" i="36"/>
  <c r="J249" i="36" s="1"/>
  <c r="N249" i="36" s="1"/>
  <c r="D237" i="36"/>
  <c r="J237" i="36" s="1"/>
  <c r="N237" i="36" s="1"/>
  <c r="D124" i="36"/>
  <c r="J124" i="36" s="1"/>
  <c r="N124" i="36" s="1"/>
  <c r="D231" i="36"/>
  <c r="J231" i="36" s="1"/>
  <c r="N231" i="36" s="1"/>
  <c r="D289" i="36"/>
  <c r="J289" i="36" s="1"/>
  <c r="N289" i="36" s="1"/>
  <c r="D176" i="36"/>
  <c r="J176" i="36" s="1"/>
  <c r="N176" i="36" s="1"/>
  <c r="D232" i="36"/>
  <c r="J232" i="36" s="1"/>
  <c r="N232" i="36" s="1"/>
  <c r="D253" i="36"/>
  <c r="J253" i="36" s="1"/>
  <c r="N253" i="36" s="1"/>
  <c r="D187" i="36"/>
  <c r="J187" i="36" s="1"/>
  <c r="N187" i="36" s="1"/>
  <c r="D168" i="36"/>
  <c r="J168" i="36" s="1"/>
  <c r="N168" i="36" s="1"/>
  <c r="D265" i="36"/>
  <c r="J265" i="36" s="1"/>
  <c r="N265" i="36" s="1"/>
  <c r="D291" i="36"/>
  <c r="J291" i="36" s="1"/>
  <c r="N291" i="36" s="1"/>
  <c r="D210" i="36"/>
  <c r="J210" i="36" s="1"/>
  <c r="N210" i="36" s="1"/>
  <c r="D256" i="36"/>
  <c r="J256" i="36" s="1"/>
  <c r="N256" i="36" s="1"/>
  <c r="D214" i="36"/>
  <c r="J214" i="36" s="1"/>
  <c r="N214" i="36" s="1"/>
  <c r="D154" i="36"/>
  <c r="J154" i="36" s="1"/>
  <c r="N154" i="36" s="1"/>
  <c r="D239" i="36"/>
  <c r="J239" i="36" s="1"/>
  <c r="N239" i="36" s="1"/>
  <c r="D188" i="36"/>
  <c r="J188" i="36" s="1"/>
  <c r="N188" i="36" s="1"/>
  <c r="D162" i="36"/>
  <c r="J162" i="36" s="1"/>
  <c r="N162" i="36" s="1"/>
  <c r="D166" i="36"/>
  <c r="J166" i="36" s="1"/>
  <c r="N166" i="36" s="1"/>
  <c r="D274" i="36"/>
  <c r="J274" i="36" s="1"/>
  <c r="N274" i="36" s="1"/>
  <c r="D270" i="36"/>
  <c r="J270" i="36" s="1"/>
  <c r="N270" i="36" s="1"/>
  <c r="D152" i="36"/>
  <c r="J152" i="36" s="1"/>
  <c r="N152" i="36" s="1"/>
  <c r="D200" i="36"/>
  <c r="J200" i="36" s="1"/>
  <c r="N200" i="36" s="1"/>
  <c r="D185" i="36"/>
  <c r="J185" i="36" s="1"/>
  <c r="N185" i="36" s="1"/>
  <c r="D142" i="36"/>
  <c r="J142" i="36" s="1"/>
  <c r="N142" i="36" s="1"/>
  <c r="D213" i="36"/>
  <c r="J213" i="36" s="1"/>
  <c r="N213" i="36" s="1"/>
  <c r="D203" i="36"/>
  <c r="J203" i="36" s="1"/>
  <c r="N203" i="36" s="1"/>
  <c r="D219" i="36"/>
  <c r="J219" i="36" s="1"/>
  <c r="N219" i="36" s="1"/>
  <c r="D262" i="36"/>
  <c r="J262" i="36" s="1"/>
  <c r="N262" i="36" s="1"/>
  <c r="D157" i="36"/>
  <c r="J157" i="36" s="1"/>
  <c r="N157" i="36" s="1"/>
  <c r="D194" i="36"/>
  <c r="J194" i="36" s="1"/>
  <c r="N194" i="36" s="1"/>
  <c r="D143" i="36"/>
  <c r="J143" i="36" s="1"/>
  <c r="N143" i="36" s="1"/>
  <c r="D134" i="36"/>
  <c r="J134" i="36" s="1"/>
  <c r="N134" i="36" s="1"/>
  <c r="D151" i="36"/>
  <c r="J151" i="36" s="1"/>
  <c r="N151" i="36" s="1"/>
  <c r="F211" i="44"/>
  <c r="I211" i="43"/>
  <c r="M211" i="43" s="1"/>
  <c r="F258" i="44"/>
  <c r="I258" i="43"/>
  <c r="M258" i="43" s="1"/>
  <c r="F205" i="44"/>
  <c r="I205" i="43"/>
  <c r="M205" i="43" s="1"/>
  <c r="H190" i="43"/>
  <c r="K190" i="42"/>
  <c r="H176" i="43"/>
  <c r="K176" i="42"/>
  <c r="H142" i="43"/>
  <c r="K142" i="42"/>
  <c r="H240" i="43"/>
  <c r="K240" i="42"/>
  <c r="F136" i="44"/>
  <c r="I136" i="43"/>
  <c r="M136" i="43" s="1"/>
  <c r="H170" i="43"/>
  <c r="K170" i="42"/>
  <c r="F225" i="44"/>
  <c r="I225" i="43"/>
  <c r="M225" i="43" s="1"/>
  <c r="H217" i="43"/>
  <c r="K217" i="42"/>
  <c r="F134" i="44"/>
  <c r="I134" i="43"/>
  <c r="M134" i="43" s="1"/>
  <c r="F249" i="44"/>
  <c r="I249" i="43"/>
  <c r="M249" i="43" s="1"/>
  <c r="K262" i="42"/>
  <c r="H262" i="43"/>
  <c r="H187" i="43"/>
  <c r="K187" i="42"/>
  <c r="H250" i="43"/>
  <c r="K250" i="42"/>
  <c r="F156" i="44"/>
  <c r="I156" i="43"/>
  <c r="M156" i="43" s="1"/>
  <c r="F207" i="44"/>
  <c r="I207" i="43"/>
  <c r="M207" i="43" s="1"/>
  <c r="F292" i="44"/>
  <c r="I292" i="43"/>
  <c r="M292" i="43" s="1"/>
  <c r="F227" i="44"/>
  <c r="I227" i="43"/>
  <c r="M227" i="43" s="1"/>
  <c r="H280" i="43"/>
  <c r="K280" i="42"/>
  <c r="H237" i="43"/>
  <c r="K237" i="42"/>
  <c r="F162" i="44"/>
  <c r="I162" i="43"/>
  <c r="M162" i="43" s="1"/>
  <c r="H175" i="43"/>
  <c r="K175" i="42"/>
  <c r="F265" i="44"/>
  <c r="I265" i="43"/>
  <c r="M265" i="43" s="1"/>
  <c r="I268" i="43"/>
  <c r="M268" i="43" s="1"/>
  <c r="F268" i="44"/>
  <c r="H144" i="43"/>
  <c r="K144" i="42"/>
  <c r="H235" i="43"/>
  <c r="K235" i="42"/>
  <c r="K247" i="42"/>
  <c r="H247" i="43"/>
  <c r="H225" i="43"/>
  <c r="K225" i="42"/>
  <c r="I283" i="43"/>
  <c r="M283" i="43" s="1"/>
  <c r="F283" i="44"/>
  <c r="H124" i="43"/>
  <c r="K124" i="42"/>
  <c r="F213" i="44"/>
  <c r="I213" i="43"/>
  <c r="M213" i="43" s="1"/>
  <c r="F196" i="44"/>
  <c r="I196" i="43"/>
  <c r="M196" i="43" s="1"/>
  <c r="K119" i="42"/>
  <c r="H119" i="43"/>
  <c r="H151" i="43"/>
  <c r="K151" i="42"/>
  <c r="I118" i="43"/>
  <c r="M118" i="43" s="1"/>
  <c r="F118" i="44"/>
  <c r="K152" i="42"/>
  <c r="H152" i="43"/>
  <c r="F157" i="44"/>
  <c r="I157" i="43"/>
  <c r="M157" i="43" s="1"/>
  <c r="I127" i="43"/>
  <c r="M127" i="43" s="1"/>
  <c r="F127" i="44"/>
  <c r="I239" i="43"/>
  <c r="M239" i="43" s="1"/>
  <c r="F239" i="44"/>
  <c r="K245" i="42"/>
  <c r="H245" i="43"/>
  <c r="I208" i="43"/>
  <c r="M208" i="43" s="1"/>
  <c r="F208" i="44"/>
  <c r="H131" i="43"/>
  <c r="K131" i="42"/>
  <c r="H290" i="43"/>
  <c r="K290" i="42"/>
  <c r="H234" i="43"/>
  <c r="K234" i="42"/>
  <c r="H267" i="43"/>
  <c r="K267" i="42"/>
  <c r="H241" i="43"/>
  <c r="K241" i="42"/>
  <c r="H272" i="43"/>
  <c r="K272" i="42"/>
  <c r="F261" i="44"/>
  <c r="I261" i="43"/>
  <c r="M261" i="43" s="1"/>
  <c r="F158" i="44"/>
  <c r="I158" i="43"/>
  <c r="M158" i="43" s="1"/>
  <c r="H275" i="43"/>
  <c r="K275" i="42"/>
  <c r="F198" i="44"/>
  <c r="I198" i="43"/>
  <c r="M198" i="43" s="1"/>
  <c r="F176" i="44"/>
  <c r="I176" i="43"/>
  <c r="M176" i="43" s="1"/>
  <c r="H231" i="43"/>
  <c r="K231" i="42"/>
  <c r="H261" i="43"/>
  <c r="K261" i="42"/>
  <c r="H149" i="43"/>
  <c r="K149" i="42"/>
  <c r="F150" i="44"/>
  <c r="I150" i="43"/>
  <c r="M150" i="43" s="1"/>
  <c r="F233" i="44"/>
  <c r="I233" i="43"/>
  <c r="M233" i="43" s="1"/>
  <c r="I238" i="43"/>
  <c r="M238" i="43" s="1"/>
  <c r="F238" i="44"/>
  <c r="I243" i="43"/>
  <c r="M243" i="43" s="1"/>
  <c r="F243" i="44"/>
  <c r="F221" i="44"/>
  <c r="I221" i="43"/>
  <c r="M221" i="43" s="1"/>
  <c r="F151" i="44"/>
  <c r="I151" i="43"/>
  <c r="M151" i="43" s="1"/>
  <c r="H189" i="43"/>
  <c r="K189" i="42"/>
  <c r="F146" i="44"/>
  <c r="I146" i="43"/>
  <c r="M146" i="43" s="1"/>
  <c r="I148" i="43"/>
  <c r="M148" i="43" s="1"/>
  <c r="F148" i="44"/>
  <c r="F220" i="44"/>
  <c r="I220" i="43"/>
  <c r="M220" i="43" s="1"/>
  <c r="K197" i="42"/>
  <c r="H197" i="43"/>
  <c r="F119" i="44"/>
  <c r="I119" i="43"/>
  <c r="M119" i="43" s="1"/>
  <c r="I195" i="43"/>
  <c r="M195" i="43" s="1"/>
  <c r="F195" i="44"/>
  <c r="K139" i="42"/>
  <c r="H139" i="43"/>
  <c r="F203" i="44"/>
  <c r="I203" i="43"/>
  <c r="M203" i="43" s="1"/>
  <c r="F277" i="44"/>
  <c r="I277" i="43"/>
  <c r="M277" i="43" s="1"/>
  <c r="H274" i="43"/>
  <c r="K274" i="42"/>
  <c r="H126" i="43"/>
  <c r="K126" i="42"/>
  <c r="H136" i="43"/>
  <c r="K136" i="42"/>
  <c r="K227" i="42"/>
  <c r="H227" i="43"/>
  <c r="H244" i="43"/>
  <c r="K244" i="42"/>
  <c r="F204" i="44"/>
  <c r="I204" i="43"/>
  <c r="M204" i="43" s="1"/>
  <c r="F282" i="44"/>
  <c r="I282" i="43"/>
  <c r="M282" i="43" s="1"/>
  <c r="F254" i="44"/>
  <c r="I254" i="43"/>
  <c r="M254" i="43" s="1"/>
  <c r="H220" i="43"/>
  <c r="K220" i="42"/>
  <c r="H121" i="43"/>
  <c r="K121" i="42"/>
  <c r="F187" i="44"/>
  <c r="I187" i="43"/>
  <c r="M187" i="43" s="1"/>
  <c r="F171" i="44"/>
  <c r="I171" i="43"/>
  <c r="M171" i="43" s="1"/>
  <c r="F285" i="44"/>
  <c r="I285" i="43"/>
  <c r="M285" i="43" s="1"/>
  <c r="F184" i="44"/>
  <c r="I184" i="43"/>
  <c r="M184" i="43" s="1"/>
  <c r="F155" i="44"/>
  <c r="I155" i="43"/>
  <c r="M155" i="43" s="1"/>
  <c r="H171" i="43"/>
  <c r="K171" i="42"/>
  <c r="H291" i="43"/>
  <c r="K291" i="42"/>
  <c r="F135" i="44"/>
  <c r="I135" i="43"/>
  <c r="M135" i="43" s="1"/>
  <c r="F131" i="44"/>
  <c r="I131" i="43"/>
  <c r="M131" i="43" s="1"/>
  <c r="F192" i="44"/>
  <c r="I192" i="43"/>
  <c r="M192" i="43" s="1"/>
  <c r="F132" i="44"/>
  <c r="I132" i="43"/>
  <c r="M132" i="43" s="1"/>
  <c r="H216" i="43"/>
  <c r="K216" i="42"/>
  <c r="H269" i="43"/>
  <c r="K269" i="42"/>
  <c r="K289" i="42"/>
  <c r="H289" i="43"/>
  <c r="I138" i="43"/>
  <c r="M138" i="43" s="1"/>
  <c r="F138" i="44"/>
  <c r="H252" i="43"/>
  <c r="K252" i="42"/>
  <c r="F244" i="44"/>
  <c r="I244" i="43"/>
  <c r="M244" i="43" s="1"/>
  <c r="K186" i="42"/>
  <c r="H186" i="43"/>
  <c r="F286" i="44"/>
  <c r="I286" i="43"/>
  <c r="M286" i="43" s="1"/>
  <c r="H219" i="43"/>
  <c r="K219" i="42"/>
  <c r="H200" i="43"/>
  <c r="K200" i="42"/>
  <c r="I189" i="43"/>
  <c r="M189" i="43" s="1"/>
  <c r="F189" i="44"/>
  <c r="F269" i="44"/>
  <c r="I269" i="43"/>
  <c r="M269" i="43" s="1"/>
  <c r="F137" i="44"/>
  <c r="I137" i="43"/>
  <c r="M137" i="43" s="1"/>
  <c r="F145" i="44"/>
  <c r="I145" i="43"/>
  <c r="M145" i="43" s="1"/>
  <c r="I169" i="43"/>
  <c r="M169" i="43" s="1"/>
  <c r="C169" i="44"/>
  <c r="F262" i="44"/>
  <c r="I262" i="43"/>
  <c r="M262" i="43" s="1"/>
  <c r="I124" i="43"/>
  <c r="M124" i="43" s="1"/>
  <c r="F124" i="44"/>
  <c r="K222" i="42"/>
  <c r="H222" i="43"/>
  <c r="H277" i="43"/>
  <c r="K277" i="42"/>
  <c r="H258" i="43"/>
  <c r="K258" i="42"/>
  <c r="H146" i="43"/>
  <c r="K146" i="42"/>
  <c r="F276" i="44"/>
  <c r="I276" i="43"/>
  <c r="M276" i="43" s="1"/>
  <c r="H183" i="43"/>
  <c r="K183" i="42"/>
  <c r="H212" i="43"/>
  <c r="K212" i="42"/>
  <c r="F260" i="44"/>
  <c r="I260" i="43"/>
  <c r="M260" i="43" s="1"/>
  <c r="F160" i="44"/>
  <c r="I160" i="43"/>
  <c r="M160" i="43" s="1"/>
  <c r="C278" i="44"/>
  <c r="I278" i="43"/>
  <c r="M278" i="43" s="1"/>
  <c r="F129" i="44"/>
  <c r="I129" i="43"/>
  <c r="M129" i="43" s="1"/>
  <c r="H276" i="43"/>
  <c r="K276" i="42"/>
  <c r="I161" i="43"/>
  <c r="M161" i="43" s="1"/>
  <c r="F161" i="44"/>
  <c r="I190" i="43"/>
  <c r="M190" i="43" s="1"/>
  <c r="F190" i="44"/>
  <c r="F242" i="44"/>
  <c r="I242" i="43"/>
  <c r="M242" i="43" s="1"/>
  <c r="I212" i="43"/>
  <c r="M212" i="43" s="1"/>
  <c r="C212" i="44"/>
  <c r="H263" i="43"/>
  <c r="K263" i="42"/>
  <c r="H281" i="43"/>
  <c r="K281" i="42"/>
  <c r="H191" i="43"/>
  <c r="K191" i="42"/>
  <c r="I263" i="43"/>
  <c r="M263" i="43" s="1"/>
  <c r="F263" i="44"/>
  <c r="F194" i="44"/>
  <c r="I194" i="43"/>
  <c r="M194" i="43" s="1"/>
  <c r="F202" i="44"/>
  <c r="I202" i="43"/>
  <c r="M202" i="43" s="1"/>
  <c r="F231" i="44"/>
  <c r="I231" i="43"/>
  <c r="M231" i="43" s="1"/>
  <c r="K129" i="42"/>
  <c r="H129" i="43"/>
  <c r="H253" i="43"/>
  <c r="K253" i="42"/>
  <c r="H288" i="43"/>
  <c r="K288" i="42"/>
  <c r="I234" i="43"/>
  <c r="M234" i="43" s="1"/>
  <c r="F234" i="44"/>
  <c r="H160" i="43"/>
  <c r="K160" i="42"/>
  <c r="H202" i="43"/>
  <c r="K202" i="42"/>
  <c r="I257" i="43"/>
  <c r="M257" i="43" s="1"/>
  <c r="F257" i="44"/>
  <c r="F241" i="44"/>
  <c r="I241" i="43"/>
  <c r="M241" i="43" s="1"/>
  <c r="F179" i="44"/>
  <c r="I179" i="43"/>
  <c r="M179" i="43" s="1"/>
  <c r="F154" i="44"/>
  <c r="I154" i="43"/>
  <c r="M154" i="43" s="1"/>
  <c r="H292" i="43"/>
  <c r="K292" i="42"/>
  <c r="H179" i="43"/>
  <c r="K179" i="42"/>
  <c r="H256" i="43"/>
  <c r="K256" i="42"/>
  <c r="H249" i="43"/>
  <c r="K249" i="42"/>
  <c r="F288" i="44"/>
  <c r="I288" i="43"/>
  <c r="M288" i="43" s="1"/>
  <c r="I172" i="43"/>
  <c r="M172" i="43" s="1"/>
  <c r="F172" i="44"/>
  <c r="F141" i="44"/>
  <c r="I141" i="43"/>
  <c r="M141" i="43" s="1"/>
  <c r="H185" i="43"/>
  <c r="K185" i="42"/>
  <c r="K207" i="42"/>
  <c r="H207" i="43"/>
  <c r="K232" i="42"/>
  <c r="H232" i="43"/>
  <c r="K141" i="42"/>
  <c r="H141" i="43"/>
  <c r="H282" i="43"/>
  <c r="K282" i="42"/>
  <c r="I185" i="43"/>
  <c r="M185" i="43" s="1"/>
  <c r="F185" i="44"/>
  <c r="K221" i="42"/>
  <c r="H221" i="43"/>
  <c r="I123" i="43"/>
  <c r="M123" i="43" s="1"/>
  <c r="F123" i="44"/>
  <c r="I223" i="43"/>
  <c r="M223" i="43" s="1"/>
  <c r="F223" i="44"/>
  <c r="I236" i="43"/>
  <c r="M236" i="43" s="1"/>
  <c r="F236" i="44"/>
  <c r="H270" i="43"/>
  <c r="K270" i="42"/>
  <c r="F250" i="44"/>
  <c r="I250" i="43"/>
  <c r="M250" i="43" s="1"/>
  <c r="F222" i="44"/>
  <c r="I222" i="43"/>
  <c r="M222" i="43" s="1"/>
  <c r="F248" i="44"/>
  <c r="I248" i="43"/>
  <c r="M248" i="43" s="1"/>
  <c r="H168" i="43"/>
  <c r="K168" i="42"/>
  <c r="H166" i="43"/>
  <c r="K166" i="42"/>
  <c r="H230" i="43"/>
  <c r="K230" i="42"/>
  <c r="I126" i="43"/>
  <c r="M126" i="43" s="1"/>
  <c r="C126" i="44"/>
  <c r="K174" i="42"/>
  <c r="H174" i="43"/>
  <c r="H169" i="43"/>
  <c r="K169" i="42"/>
  <c r="H147" i="43"/>
  <c r="K147" i="42"/>
  <c r="H196" i="43"/>
  <c r="K196" i="42"/>
  <c r="F284" i="44"/>
  <c r="I284" i="43"/>
  <c r="M284" i="43" s="1"/>
  <c r="H192" i="43"/>
  <c r="K192" i="42"/>
  <c r="F200" i="44"/>
  <c r="I200" i="43"/>
  <c r="M200" i="43" s="1"/>
  <c r="F275" i="44"/>
  <c r="I275" i="43"/>
  <c r="M275" i="43" s="1"/>
  <c r="F209" i="44"/>
  <c r="I209" i="43"/>
  <c r="M209" i="43" s="1"/>
  <c r="F174" i="44"/>
  <c r="I174" i="43"/>
  <c r="M174" i="43" s="1"/>
  <c r="K130" i="42"/>
  <c r="H130" i="43"/>
  <c r="H165" i="43"/>
  <c r="K165" i="42"/>
  <c r="F228" i="44"/>
  <c r="I228" i="43"/>
  <c r="M228" i="43" s="1"/>
  <c r="H162" i="43"/>
  <c r="K162" i="42"/>
  <c r="F168" i="44"/>
  <c r="I168" i="43"/>
  <c r="M168" i="43" s="1"/>
  <c r="H226" i="43"/>
  <c r="K226" i="42"/>
  <c r="H278" i="43"/>
  <c r="K278" i="42"/>
  <c r="F159" i="44"/>
  <c r="I159" i="43"/>
  <c r="M159" i="43" s="1"/>
  <c r="H205" i="43"/>
  <c r="K205" i="42"/>
  <c r="F182" i="44"/>
  <c r="I182" i="43"/>
  <c r="M182" i="43" s="1"/>
  <c r="H150" i="43"/>
  <c r="K150" i="42"/>
  <c r="H214" i="43"/>
  <c r="K214" i="42"/>
  <c r="K203" i="42"/>
  <c r="H203" i="43"/>
  <c r="I251" i="43"/>
  <c r="M251" i="43" s="1"/>
  <c r="F251" i="44"/>
  <c r="I264" i="43"/>
  <c r="M264" i="43" s="1"/>
  <c r="F264" i="44"/>
  <c r="H199" i="43"/>
  <c r="K199" i="42"/>
  <c r="H195" i="43"/>
  <c r="K195" i="42"/>
  <c r="K284" i="42"/>
  <c r="H284" i="43"/>
  <c r="I170" i="43"/>
  <c r="M170" i="43" s="1"/>
  <c r="F170" i="44"/>
  <c r="H242" i="43"/>
  <c r="K242" i="42"/>
  <c r="I219" i="43"/>
  <c r="M219" i="43" s="1"/>
  <c r="F219" i="44"/>
  <c r="H120" i="43"/>
  <c r="K120" i="42"/>
  <c r="H266" i="43"/>
  <c r="K266" i="42"/>
  <c r="K218" i="42"/>
  <c r="H218" i="43"/>
  <c r="H178" i="43"/>
  <c r="K178" i="42"/>
  <c r="F166" i="44"/>
  <c r="I166" i="43"/>
  <c r="M166" i="43" s="1"/>
  <c r="H209" i="43"/>
  <c r="K209" i="42"/>
  <c r="H143" i="43"/>
  <c r="K143" i="42"/>
  <c r="H264" i="43"/>
  <c r="K264" i="42"/>
  <c r="F266" i="44"/>
  <c r="I266" i="43"/>
  <c r="M266" i="43" s="1"/>
  <c r="H257" i="43"/>
  <c r="K257" i="42"/>
  <c r="K172" i="42"/>
  <c r="H172" i="43"/>
  <c r="F122" i="44"/>
  <c r="I122" i="43"/>
  <c r="M122" i="43" s="1"/>
  <c r="I230" i="43"/>
  <c r="M230" i="43" s="1"/>
  <c r="F230" i="44"/>
  <c r="H246" i="43"/>
  <c r="K246" i="42"/>
  <c r="H164" i="43"/>
  <c r="K164" i="42"/>
  <c r="I235" i="43"/>
  <c r="M235" i="43" s="1"/>
  <c r="F235" i="44"/>
  <c r="H127" i="43"/>
  <c r="K127" i="42"/>
  <c r="H194" i="43"/>
  <c r="K194" i="42"/>
  <c r="F152" i="44"/>
  <c r="I152" i="43"/>
  <c r="M152" i="43" s="1"/>
  <c r="H224" i="43"/>
  <c r="K224" i="42"/>
  <c r="F270" i="44"/>
  <c r="I270" i="43"/>
  <c r="M270" i="43" s="1"/>
  <c r="F256" i="44"/>
  <c r="I256" i="43"/>
  <c r="M256" i="43" s="1"/>
  <c r="H273" i="43"/>
  <c r="K273" i="42"/>
  <c r="I140" i="43"/>
  <c r="M140" i="43" s="1"/>
  <c r="F140" i="44"/>
  <c r="H161" i="43"/>
  <c r="K161" i="42"/>
  <c r="H211" i="43"/>
  <c r="K211" i="42"/>
  <c r="F280" i="44"/>
  <c r="I280" i="43"/>
  <c r="M280" i="43" s="1"/>
  <c r="F253" i="44"/>
  <c r="I253" i="43"/>
  <c r="M253" i="43" s="1"/>
  <c r="K184" i="42"/>
  <c r="H184" i="43"/>
  <c r="K122" i="42"/>
  <c r="H122" i="43"/>
  <c r="I144" i="43"/>
  <c r="M144" i="43" s="1"/>
  <c r="F144" i="44"/>
  <c r="I139" i="43"/>
  <c r="M139" i="43" s="1"/>
  <c r="F139" i="44"/>
  <c r="F177" i="40"/>
  <c r="I177" i="39"/>
  <c r="M177" i="39" s="1"/>
  <c r="H155" i="43"/>
  <c r="K155" i="42"/>
  <c r="H213" i="43"/>
  <c r="K213" i="42"/>
  <c r="H145" i="43"/>
  <c r="K145" i="42"/>
  <c r="I142" i="43"/>
  <c r="M142" i="43" s="1"/>
  <c r="F142" i="44"/>
  <c r="H268" i="43"/>
  <c r="K268" i="42"/>
  <c r="H283" i="43"/>
  <c r="K283" i="42"/>
  <c r="H260" i="43"/>
  <c r="K260" i="42"/>
  <c r="H279" i="43"/>
  <c r="K279" i="42"/>
  <c r="H118" i="43"/>
  <c r="K118" i="42"/>
  <c r="H223" i="43"/>
  <c r="K223" i="42"/>
  <c r="H125" i="43"/>
  <c r="K125" i="42"/>
  <c r="F183" i="44"/>
  <c r="I183" i="43"/>
  <c r="M183" i="43" s="1"/>
  <c r="F121" i="44"/>
  <c r="I121" i="43"/>
  <c r="M121" i="43" s="1"/>
  <c r="K137" i="42"/>
  <c r="H137" i="43"/>
  <c r="I214" i="43"/>
  <c r="M214" i="43" s="1"/>
  <c r="F214" i="44"/>
  <c r="F271" i="44"/>
  <c r="I271" i="43"/>
  <c r="M271" i="43" s="1"/>
  <c r="F130" i="44"/>
  <c r="I130" i="43"/>
  <c r="M130" i="43" s="1"/>
  <c r="F163" i="44"/>
  <c r="I163" i="43"/>
  <c r="M163" i="43" s="1"/>
  <c r="H181" i="43"/>
  <c r="K181" i="42"/>
  <c r="H158" i="43"/>
  <c r="K158" i="42"/>
  <c r="H148" i="43"/>
  <c r="K148" i="42"/>
  <c r="I133" i="43"/>
  <c r="M133" i="43" s="1"/>
  <c r="F133" i="44"/>
  <c r="F125" i="44"/>
  <c r="I125" i="43"/>
  <c r="M125" i="43" s="1"/>
  <c r="H243" i="43"/>
  <c r="K243" i="42"/>
  <c r="F206" i="44"/>
  <c r="I206" i="43"/>
  <c r="M206" i="43" s="1"/>
  <c r="I218" i="43"/>
  <c r="M218" i="43" s="1"/>
  <c r="F218" i="44"/>
  <c r="H123" i="43"/>
  <c r="K123" i="42"/>
  <c r="F188" i="44"/>
  <c r="I188" i="43"/>
  <c r="M188" i="43" s="1"/>
  <c r="F180" i="44"/>
  <c r="I180" i="43"/>
  <c r="M180" i="43" s="1"/>
  <c r="F279" i="44"/>
  <c r="I279" i="43"/>
  <c r="M279" i="43" s="1"/>
  <c r="I201" i="43"/>
  <c r="M201" i="43" s="1"/>
  <c r="F201" i="44"/>
  <c r="F164" i="44"/>
  <c r="I164" i="43"/>
  <c r="M164" i="43" s="1"/>
  <c r="F165" i="44"/>
  <c r="I165" i="43"/>
  <c r="M165" i="43" s="1"/>
  <c r="K236" i="42"/>
  <c r="H236" i="43"/>
  <c r="H159" i="43"/>
  <c r="K159" i="42"/>
  <c r="H215" i="43"/>
  <c r="K215" i="42"/>
  <c r="F173" i="44"/>
  <c r="I173" i="43"/>
  <c r="M173" i="43" s="1"/>
  <c r="F199" i="44"/>
  <c r="I199" i="43"/>
  <c r="M199" i="43" s="1"/>
  <c r="F267" i="44"/>
  <c r="I267" i="43"/>
  <c r="M267" i="43" s="1"/>
  <c r="K188" i="42"/>
  <c r="H188" i="43"/>
  <c r="I167" i="43"/>
  <c r="M167" i="43" s="1"/>
  <c r="F167" i="44"/>
  <c r="F186" i="44"/>
  <c r="I186" i="43"/>
  <c r="M186" i="43" s="1"/>
  <c r="H163" i="43"/>
  <c r="K163" i="42"/>
  <c r="H154" i="43"/>
  <c r="K154" i="42"/>
  <c r="H198" i="43"/>
  <c r="K198" i="42"/>
  <c r="F240" i="44"/>
  <c r="I240" i="43"/>
  <c r="M240" i="43" s="1"/>
  <c r="H157" i="43"/>
  <c r="K157" i="42"/>
  <c r="K132" i="42"/>
  <c r="H132" i="43"/>
  <c r="H204" i="43"/>
  <c r="K204" i="42"/>
  <c r="F215" i="44"/>
  <c r="I215" i="43"/>
  <c r="M215" i="43" s="1"/>
  <c r="K229" i="42"/>
  <c r="H229" i="43"/>
  <c r="F289" i="44"/>
  <c r="I289" i="43"/>
  <c r="M289" i="43" s="1"/>
  <c r="K248" i="42"/>
  <c r="H248" i="43"/>
  <c r="K153" i="42"/>
  <c r="H153" i="43"/>
  <c r="H251" i="43"/>
  <c r="K251" i="42"/>
  <c r="K177" i="42"/>
  <c r="H177" i="43"/>
  <c r="H228" i="43"/>
  <c r="K228" i="42"/>
  <c r="C191" i="44"/>
  <c r="I191" i="43"/>
  <c r="M191" i="43" s="1"/>
  <c r="H140" i="43"/>
  <c r="K140" i="42"/>
  <c r="H239" i="43"/>
  <c r="K239" i="42"/>
  <c r="F246" i="44"/>
  <c r="I246" i="43"/>
  <c r="M246" i="43" s="1"/>
  <c r="H285" i="43"/>
  <c r="K285" i="42"/>
  <c r="F273" i="44"/>
  <c r="I273" i="43"/>
  <c r="M273" i="43" s="1"/>
  <c r="K201" i="42"/>
  <c r="H201" i="43"/>
  <c r="K265" i="42"/>
  <c r="H265" i="43"/>
  <c r="F272" i="44"/>
  <c r="I272" i="43"/>
  <c r="M272" i="43" s="1"/>
  <c r="I224" i="43"/>
  <c r="M224" i="43" s="1"/>
  <c r="F224" i="44"/>
  <c r="H238" i="43"/>
  <c r="K238" i="42"/>
  <c r="F197" i="44"/>
  <c r="I197" i="43"/>
  <c r="M197" i="43" s="1"/>
  <c r="H134" i="43"/>
  <c r="K134" i="42"/>
  <c r="F217" i="44"/>
  <c r="I217" i="43"/>
  <c r="M217" i="43" s="1"/>
  <c r="H233" i="43"/>
  <c r="K233" i="42"/>
  <c r="F287" i="44"/>
  <c r="I287" i="43"/>
  <c r="M287" i="43" s="1"/>
  <c r="F247" i="44"/>
  <c r="I247" i="43"/>
  <c r="M247" i="43" s="1"/>
  <c r="I229" i="43"/>
  <c r="M229" i="43" s="1"/>
  <c r="F229" i="44"/>
  <c r="H286" i="43"/>
  <c r="K286" i="42"/>
  <c r="F291" i="44"/>
  <c r="I291" i="43"/>
  <c r="M291" i="43" s="1"/>
  <c r="H138" i="43"/>
  <c r="K138" i="42"/>
  <c r="F143" i="44"/>
  <c r="I143" i="43"/>
  <c r="M143" i="43" s="1"/>
  <c r="H206" i="43"/>
  <c r="K206" i="42"/>
  <c r="H135" i="43"/>
  <c r="K135" i="42"/>
  <c r="H255" i="43"/>
  <c r="K255" i="42"/>
  <c r="F153" i="44"/>
  <c r="I153" i="43"/>
  <c r="M153" i="43" s="1"/>
  <c r="H173" i="43"/>
  <c r="K173" i="42"/>
  <c r="F232" i="44"/>
  <c r="I232" i="43"/>
  <c r="M232" i="43" s="1"/>
  <c r="H208" i="43"/>
  <c r="K208" i="42"/>
  <c r="H180" i="43"/>
  <c r="K180" i="42"/>
  <c r="I281" i="43"/>
  <c r="M281" i="43" s="1"/>
  <c r="F281" i="44"/>
  <c r="F252" i="44"/>
  <c r="I252" i="43"/>
  <c r="M252" i="43" s="1"/>
  <c r="F147" i="44"/>
  <c r="I147" i="43"/>
  <c r="M147" i="43" s="1"/>
  <c r="K287" i="42"/>
  <c r="H287" i="43"/>
  <c r="I226" i="43"/>
  <c r="M226" i="43" s="1"/>
  <c r="F226" i="44"/>
  <c r="H133" i="43"/>
  <c r="K133" i="42"/>
  <c r="I290" i="43"/>
  <c r="M290" i="43" s="1"/>
  <c r="F290" i="44"/>
  <c r="F120" i="44"/>
  <c r="I120" i="43"/>
  <c r="M120" i="43" s="1"/>
  <c r="F216" i="44"/>
  <c r="I216" i="43"/>
  <c r="M216" i="43" s="1"/>
  <c r="F181" i="44"/>
  <c r="I181" i="43"/>
  <c r="M181" i="43" s="1"/>
  <c r="H182" i="43"/>
  <c r="K182" i="42"/>
  <c r="F175" i="44"/>
  <c r="I175" i="43"/>
  <c r="M175" i="43" s="1"/>
  <c r="H210" i="43"/>
  <c r="K210" i="42"/>
  <c r="F274" i="44"/>
  <c r="I274" i="43"/>
  <c r="M274" i="43" s="1"/>
  <c r="H254" i="43"/>
  <c r="K254" i="42"/>
  <c r="H167" i="43"/>
  <c r="K167" i="42"/>
  <c r="H271" i="43"/>
  <c r="K271" i="42"/>
  <c r="F149" i="44"/>
  <c r="I149" i="43"/>
  <c r="M149" i="43" s="1"/>
  <c r="H156" i="43"/>
  <c r="K156" i="42"/>
  <c r="F210" i="44"/>
  <c r="I210" i="43"/>
  <c r="M210" i="43" s="1"/>
  <c r="F245" i="44"/>
  <c r="I245" i="43"/>
  <c r="M245" i="43" s="1"/>
  <c r="P8" i="36" l="1" a="1"/>
  <c r="H156" i="44"/>
  <c r="K156" i="43"/>
  <c r="H167" i="44"/>
  <c r="K167" i="43"/>
  <c r="F175" i="45"/>
  <c r="I175" i="44"/>
  <c r="M175" i="44" s="1"/>
  <c r="F120" i="45"/>
  <c r="I120" i="44"/>
  <c r="M120" i="44" s="1"/>
  <c r="H133" i="44"/>
  <c r="K133" i="43"/>
  <c r="H208" i="44"/>
  <c r="K208" i="43"/>
  <c r="H173" i="44"/>
  <c r="K173" i="43"/>
  <c r="H206" i="44"/>
  <c r="K206" i="43"/>
  <c r="F143" i="45"/>
  <c r="I143" i="44"/>
  <c r="M143" i="44" s="1"/>
  <c r="H134" i="44"/>
  <c r="K134" i="43"/>
  <c r="H285" i="44"/>
  <c r="K285" i="43"/>
  <c r="I191" i="44"/>
  <c r="M191" i="44" s="1"/>
  <c r="C191" i="45"/>
  <c r="H157" i="44"/>
  <c r="K157" i="43"/>
  <c r="F173" i="45"/>
  <c r="I173" i="44"/>
  <c r="M173" i="44" s="1"/>
  <c r="I165" i="44"/>
  <c r="M165" i="44" s="1"/>
  <c r="F165" i="45"/>
  <c r="F180" i="45"/>
  <c r="I180" i="44"/>
  <c r="M180" i="44" s="1"/>
  <c r="F125" i="45"/>
  <c r="I125" i="44"/>
  <c r="M125" i="44" s="1"/>
  <c r="H155" i="44"/>
  <c r="K155" i="43"/>
  <c r="F266" i="45"/>
  <c r="I266" i="44"/>
  <c r="M266" i="44" s="1"/>
  <c r="F166" i="45"/>
  <c r="I166" i="44"/>
  <c r="M166" i="44" s="1"/>
  <c r="H266" i="44"/>
  <c r="K266" i="43"/>
  <c r="K150" i="43"/>
  <c r="H150" i="44"/>
  <c r="F174" i="45"/>
  <c r="I174" i="44"/>
  <c r="M174" i="44" s="1"/>
  <c r="F200" i="45"/>
  <c r="I200" i="44"/>
  <c r="M200" i="44" s="1"/>
  <c r="H230" i="44"/>
  <c r="K230" i="43"/>
  <c r="H282" i="44"/>
  <c r="K282" i="43"/>
  <c r="F154" i="45"/>
  <c r="I154" i="44"/>
  <c r="M154" i="44" s="1"/>
  <c r="H202" i="44"/>
  <c r="K202" i="43"/>
  <c r="H281" i="44"/>
  <c r="K281" i="43"/>
  <c r="I129" i="44"/>
  <c r="M129" i="44" s="1"/>
  <c r="F129" i="45"/>
  <c r="F262" i="45"/>
  <c r="I262" i="44"/>
  <c r="M262" i="44" s="1"/>
  <c r="I269" i="44"/>
  <c r="M269" i="44" s="1"/>
  <c r="F269" i="45"/>
  <c r="H200" i="44"/>
  <c r="K200" i="43"/>
  <c r="H216" i="44"/>
  <c r="K216" i="43"/>
  <c r="F132" i="45"/>
  <c r="I132" i="44"/>
  <c r="M132" i="44" s="1"/>
  <c r="F131" i="45"/>
  <c r="I131" i="44"/>
  <c r="M131" i="44" s="1"/>
  <c r="F187" i="45"/>
  <c r="I187" i="44"/>
  <c r="M187" i="44" s="1"/>
  <c r="H121" i="44"/>
  <c r="K121" i="43"/>
  <c r="F282" i="45"/>
  <c r="I282" i="44"/>
  <c r="M282" i="44" s="1"/>
  <c r="F204" i="45"/>
  <c r="I204" i="44"/>
  <c r="M204" i="44" s="1"/>
  <c r="K126" i="43"/>
  <c r="H126" i="44"/>
  <c r="F203" i="45"/>
  <c r="I203" i="44"/>
  <c r="M203" i="44" s="1"/>
  <c r="I150" i="44"/>
  <c r="M150" i="44" s="1"/>
  <c r="F150" i="45"/>
  <c r="H272" i="44"/>
  <c r="K272" i="43"/>
  <c r="F211" i="45"/>
  <c r="I211" i="44"/>
  <c r="M211" i="44" s="1"/>
  <c r="I149" i="44"/>
  <c r="M149" i="44" s="1"/>
  <c r="F149" i="45"/>
  <c r="K254" i="43"/>
  <c r="H254" i="44"/>
  <c r="K210" i="43"/>
  <c r="H210" i="44"/>
  <c r="F290" i="45"/>
  <c r="I290" i="44"/>
  <c r="M290" i="44" s="1"/>
  <c r="H287" i="44"/>
  <c r="K287" i="43"/>
  <c r="F281" i="45"/>
  <c r="I281" i="44"/>
  <c r="M281" i="44" s="1"/>
  <c r="F229" i="45"/>
  <c r="I229" i="44"/>
  <c r="M229" i="44" s="1"/>
  <c r="H265" i="44"/>
  <c r="K265" i="43"/>
  <c r="K177" i="43"/>
  <c r="H177" i="44"/>
  <c r="H248" i="44"/>
  <c r="K248" i="43"/>
  <c r="K132" i="43"/>
  <c r="H132" i="44"/>
  <c r="F201" i="45"/>
  <c r="I201" i="44"/>
  <c r="M201" i="44" s="1"/>
  <c r="H137" i="44"/>
  <c r="K137" i="43"/>
  <c r="F142" i="45"/>
  <c r="I142" i="44"/>
  <c r="M142" i="44" s="1"/>
  <c r="K184" i="43"/>
  <c r="H184" i="44"/>
  <c r="I140" i="44"/>
  <c r="M140" i="44" s="1"/>
  <c r="F140" i="45"/>
  <c r="F235" i="45"/>
  <c r="I235" i="44"/>
  <c r="M235" i="44" s="1"/>
  <c r="F230" i="45"/>
  <c r="I230" i="44"/>
  <c r="M230" i="44" s="1"/>
  <c r="H172" i="44"/>
  <c r="K172" i="43"/>
  <c r="H218" i="44"/>
  <c r="K218" i="43"/>
  <c r="I170" i="44"/>
  <c r="M170" i="44" s="1"/>
  <c r="F170" i="45"/>
  <c r="F264" i="45"/>
  <c r="I264" i="44"/>
  <c r="M264" i="44" s="1"/>
  <c r="H203" i="44"/>
  <c r="K203" i="43"/>
  <c r="H174" i="44"/>
  <c r="K174" i="43"/>
  <c r="I126" i="44"/>
  <c r="M126" i="44" s="1"/>
  <c r="C126" i="45"/>
  <c r="I236" i="44"/>
  <c r="M236" i="44" s="1"/>
  <c r="F236" i="45"/>
  <c r="F123" i="45"/>
  <c r="I123" i="44"/>
  <c r="M123" i="44" s="1"/>
  <c r="H221" i="44"/>
  <c r="K221" i="43"/>
  <c r="H232" i="44"/>
  <c r="K232" i="43"/>
  <c r="F234" i="45"/>
  <c r="I234" i="44"/>
  <c r="M234" i="44" s="1"/>
  <c r="H129" i="44"/>
  <c r="K129" i="43"/>
  <c r="F263" i="45"/>
  <c r="I263" i="44"/>
  <c r="M263" i="44" s="1"/>
  <c r="C212" i="45"/>
  <c r="I212" i="44"/>
  <c r="M212" i="44" s="1"/>
  <c r="F190" i="45"/>
  <c r="I190" i="44"/>
  <c r="M190" i="44" s="1"/>
  <c r="I161" i="44"/>
  <c r="M161" i="44" s="1"/>
  <c r="F161" i="45"/>
  <c r="H222" i="44"/>
  <c r="K222" i="43"/>
  <c r="F124" i="45"/>
  <c r="I124" i="44"/>
  <c r="M124" i="44" s="1"/>
  <c r="I169" i="44"/>
  <c r="M169" i="44" s="1"/>
  <c r="C169" i="45"/>
  <c r="K289" i="43"/>
  <c r="H289" i="44"/>
  <c r="H227" i="44"/>
  <c r="K227" i="43"/>
  <c r="I195" i="44"/>
  <c r="M195" i="44" s="1"/>
  <c r="F195" i="45"/>
  <c r="F148" i="45"/>
  <c r="I148" i="44"/>
  <c r="M148" i="44" s="1"/>
  <c r="F243" i="45"/>
  <c r="I243" i="44"/>
  <c r="M243" i="44" s="1"/>
  <c r="K245" i="43"/>
  <c r="H245" i="44"/>
  <c r="F127" i="45"/>
  <c r="I127" i="44"/>
  <c r="M127" i="44" s="1"/>
  <c r="H152" i="44"/>
  <c r="K152" i="43"/>
  <c r="H119" i="44"/>
  <c r="K119" i="43"/>
  <c r="I210" i="44"/>
  <c r="M210" i="44" s="1"/>
  <c r="F210" i="45"/>
  <c r="F181" i="45"/>
  <c r="I181" i="44"/>
  <c r="M181" i="44" s="1"/>
  <c r="F291" i="45"/>
  <c r="I291" i="44"/>
  <c r="M291" i="44" s="1"/>
  <c r="H238" i="44"/>
  <c r="K238" i="43"/>
  <c r="K198" i="43"/>
  <c r="H198" i="44"/>
  <c r="I206" i="44"/>
  <c r="M206" i="44" s="1"/>
  <c r="F206" i="45"/>
  <c r="H158" i="44"/>
  <c r="K158" i="43"/>
  <c r="H223" i="44"/>
  <c r="K223" i="43"/>
  <c r="H283" i="44"/>
  <c r="K283" i="43"/>
  <c r="H213" i="44"/>
  <c r="K213" i="43"/>
  <c r="H194" i="44"/>
  <c r="K194" i="43"/>
  <c r="H164" i="44"/>
  <c r="K164" i="43"/>
  <c r="H278" i="44"/>
  <c r="K278" i="43"/>
  <c r="H162" i="44"/>
  <c r="K162" i="43"/>
  <c r="I275" i="44"/>
  <c r="M275" i="44" s="1"/>
  <c r="F275" i="45"/>
  <c r="F250" i="45"/>
  <c r="I250" i="44"/>
  <c r="M250" i="44" s="1"/>
  <c r="K292" i="43"/>
  <c r="H292" i="44"/>
  <c r="F231" i="45"/>
  <c r="I231" i="44"/>
  <c r="M231" i="44" s="1"/>
  <c r="I194" i="44"/>
  <c r="M194" i="44" s="1"/>
  <c r="F194" i="45"/>
  <c r="H258" i="44"/>
  <c r="K258" i="43"/>
  <c r="K277" i="43"/>
  <c r="H277" i="44"/>
  <c r="H252" i="44"/>
  <c r="K252" i="43"/>
  <c r="F192" i="45"/>
  <c r="I192" i="44"/>
  <c r="M192" i="44" s="1"/>
  <c r="F135" i="45"/>
  <c r="I135" i="44"/>
  <c r="M135" i="44" s="1"/>
  <c r="I155" i="44"/>
  <c r="M155" i="44" s="1"/>
  <c r="F155" i="45"/>
  <c r="H274" i="44"/>
  <c r="K274" i="43"/>
  <c r="I233" i="44"/>
  <c r="M233" i="44" s="1"/>
  <c r="F233" i="45"/>
  <c r="K275" i="43"/>
  <c r="H275" i="44"/>
  <c r="K267" i="43"/>
  <c r="H267" i="44"/>
  <c r="K124" i="43"/>
  <c r="H124" i="44"/>
  <c r="K235" i="43"/>
  <c r="H235" i="44"/>
  <c r="F265" i="45"/>
  <c r="I265" i="44"/>
  <c r="M265" i="44" s="1"/>
  <c r="H280" i="44"/>
  <c r="K280" i="43"/>
  <c r="F156" i="45"/>
  <c r="I156" i="44"/>
  <c r="M156" i="44" s="1"/>
  <c r="H217" i="44"/>
  <c r="K217" i="43"/>
  <c r="F136" i="45"/>
  <c r="I136" i="44"/>
  <c r="M136" i="44" s="1"/>
  <c r="K240" i="43"/>
  <c r="H240" i="44"/>
  <c r="I226" i="44"/>
  <c r="M226" i="44" s="1"/>
  <c r="F226" i="45"/>
  <c r="I224" i="44"/>
  <c r="M224" i="44" s="1"/>
  <c r="F224" i="45"/>
  <c r="H201" i="44"/>
  <c r="K201" i="43"/>
  <c r="K153" i="43"/>
  <c r="H153" i="44"/>
  <c r="H229" i="44"/>
  <c r="K229" i="43"/>
  <c r="F167" i="45"/>
  <c r="I167" i="44"/>
  <c r="M167" i="44" s="1"/>
  <c r="H188" i="44"/>
  <c r="K188" i="43"/>
  <c r="K236" i="43"/>
  <c r="H236" i="44"/>
  <c r="I218" i="44"/>
  <c r="M218" i="44" s="1"/>
  <c r="F218" i="45"/>
  <c r="F133" i="45"/>
  <c r="I133" i="44"/>
  <c r="M133" i="44" s="1"/>
  <c r="F214" i="45"/>
  <c r="I214" i="44"/>
  <c r="M214" i="44" s="1"/>
  <c r="I139" i="44"/>
  <c r="M139" i="44" s="1"/>
  <c r="F139" i="45"/>
  <c r="F144" i="45"/>
  <c r="I144" i="44"/>
  <c r="M144" i="44" s="1"/>
  <c r="H122" i="44"/>
  <c r="K122" i="43"/>
  <c r="F219" i="45"/>
  <c r="I219" i="44"/>
  <c r="M219" i="44" s="1"/>
  <c r="H284" i="44"/>
  <c r="K284" i="43"/>
  <c r="F251" i="45"/>
  <c r="I251" i="44"/>
  <c r="M251" i="44" s="1"/>
  <c r="K130" i="43"/>
  <c r="H130" i="44"/>
  <c r="F223" i="45"/>
  <c r="I223" i="44"/>
  <c r="M223" i="44" s="1"/>
  <c r="F185" i="45"/>
  <c r="I185" i="44"/>
  <c r="M185" i="44" s="1"/>
  <c r="H141" i="44"/>
  <c r="K141" i="43"/>
  <c r="H207" i="44"/>
  <c r="K207" i="43"/>
  <c r="F172" i="45"/>
  <c r="I172" i="44"/>
  <c r="M172" i="44" s="1"/>
  <c r="F257" i="45"/>
  <c r="I257" i="44"/>
  <c r="M257" i="44" s="1"/>
  <c r="F189" i="45"/>
  <c r="I189" i="44"/>
  <c r="M189" i="44" s="1"/>
  <c r="H186" i="44"/>
  <c r="K186" i="43"/>
  <c r="I138" i="44"/>
  <c r="M138" i="44" s="1"/>
  <c r="F138" i="45"/>
  <c r="K139" i="43"/>
  <c r="H139" i="44"/>
  <c r="H197" i="44"/>
  <c r="K197" i="43"/>
  <c r="I238" i="44"/>
  <c r="M238" i="44" s="1"/>
  <c r="F238" i="45"/>
  <c r="F208" i="45"/>
  <c r="I208" i="44"/>
  <c r="M208" i="44" s="1"/>
  <c r="F239" i="45"/>
  <c r="I239" i="44"/>
  <c r="M239" i="44" s="1"/>
  <c r="F118" i="45"/>
  <c r="I118" i="44"/>
  <c r="M118" i="44" s="1"/>
  <c r="F283" i="45"/>
  <c r="I283" i="44"/>
  <c r="M283" i="44" s="1"/>
  <c r="H247" i="44"/>
  <c r="K247" i="43"/>
  <c r="F268" i="45"/>
  <c r="I268" i="44"/>
  <c r="M268" i="44" s="1"/>
  <c r="H262" i="44"/>
  <c r="K262" i="43"/>
  <c r="H271" i="44"/>
  <c r="K271" i="43"/>
  <c r="F274" i="45"/>
  <c r="I274" i="44"/>
  <c r="M274" i="44" s="1"/>
  <c r="F147" i="45"/>
  <c r="I147" i="44"/>
  <c r="M147" i="44" s="1"/>
  <c r="H255" i="44"/>
  <c r="K255" i="43"/>
  <c r="H233" i="44"/>
  <c r="K233" i="43"/>
  <c r="H239" i="44"/>
  <c r="K239" i="43"/>
  <c r="H251" i="44"/>
  <c r="K251" i="43"/>
  <c r="F215" i="45"/>
  <c r="I215" i="44"/>
  <c r="M215" i="44" s="1"/>
  <c r="H163" i="44"/>
  <c r="K163" i="43"/>
  <c r="F267" i="45"/>
  <c r="I267" i="44"/>
  <c r="M267" i="44" s="1"/>
  <c r="K159" i="43"/>
  <c r="H159" i="44"/>
  <c r="H123" i="44"/>
  <c r="K123" i="43"/>
  <c r="H148" i="44"/>
  <c r="K148" i="43"/>
  <c r="F271" i="45"/>
  <c r="I271" i="44"/>
  <c r="M271" i="44" s="1"/>
  <c r="I183" i="44"/>
  <c r="M183" i="44" s="1"/>
  <c r="F183" i="45"/>
  <c r="H279" i="44"/>
  <c r="K279" i="43"/>
  <c r="H211" i="44"/>
  <c r="K211" i="43"/>
  <c r="F256" i="45"/>
  <c r="I256" i="44"/>
  <c r="M256" i="44" s="1"/>
  <c r="H143" i="44"/>
  <c r="K143" i="43"/>
  <c r="H120" i="44"/>
  <c r="K120" i="43"/>
  <c r="H242" i="44"/>
  <c r="K242" i="43"/>
  <c r="H205" i="44"/>
  <c r="K205" i="43"/>
  <c r="H226" i="44"/>
  <c r="K226" i="43"/>
  <c r="H165" i="44"/>
  <c r="K165" i="43"/>
  <c r="F284" i="45"/>
  <c r="I284" i="44"/>
  <c r="M284" i="44" s="1"/>
  <c r="F248" i="45"/>
  <c r="I248" i="44"/>
  <c r="M248" i="44" s="1"/>
  <c r="F141" i="45"/>
  <c r="I141" i="44"/>
  <c r="M141" i="44" s="1"/>
  <c r="H256" i="44"/>
  <c r="K256" i="43"/>
  <c r="F241" i="45"/>
  <c r="I241" i="44"/>
  <c r="M241" i="44" s="1"/>
  <c r="K253" i="43"/>
  <c r="H253" i="44"/>
  <c r="F160" i="45"/>
  <c r="I160" i="44"/>
  <c r="M160" i="44" s="1"/>
  <c r="F145" i="45"/>
  <c r="I145" i="44"/>
  <c r="M145" i="44" s="1"/>
  <c r="F285" i="45"/>
  <c r="I285" i="44"/>
  <c r="M285" i="44" s="1"/>
  <c r="F254" i="45"/>
  <c r="I254" i="44"/>
  <c r="M254" i="44" s="1"/>
  <c r="F119" i="45"/>
  <c r="I119" i="44"/>
  <c r="M119" i="44" s="1"/>
  <c r="H261" i="44"/>
  <c r="K261" i="43"/>
  <c r="I176" i="44"/>
  <c r="M176" i="44" s="1"/>
  <c r="F176" i="45"/>
  <c r="H131" i="44"/>
  <c r="K131" i="43"/>
  <c r="H225" i="44"/>
  <c r="K225" i="43"/>
  <c r="I162" i="44"/>
  <c r="M162" i="44" s="1"/>
  <c r="F162" i="45"/>
  <c r="F292" i="45"/>
  <c r="I292" i="44"/>
  <c r="M292" i="44" s="1"/>
  <c r="I249" i="44"/>
  <c r="M249" i="44" s="1"/>
  <c r="F249" i="45"/>
  <c r="H170" i="44"/>
  <c r="K170" i="43"/>
  <c r="H142" i="44"/>
  <c r="K142" i="43"/>
  <c r="F205" i="45"/>
  <c r="I205" i="44"/>
  <c r="M205" i="44" s="1"/>
  <c r="K182" i="43"/>
  <c r="H182" i="44"/>
  <c r="F216" i="45"/>
  <c r="I216" i="44"/>
  <c r="M216" i="44" s="1"/>
  <c r="F252" i="45"/>
  <c r="I252" i="44"/>
  <c r="M252" i="44" s="1"/>
  <c r="H180" i="44"/>
  <c r="K180" i="43"/>
  <c r="F232" i="45"/>
  <c r="I232" i="44"/>
  <c r="M232" i="44" s="1"/>
  <c r="F153" i="45"/>
  <c r="I153" i="44"/>
  <c r="M153" i="44" s="1"/>
  <c r="H135" i="44"/>
  <c r="K135" i="43"/>
  <c r="H138" i="44"/>
  <c r="K138" i="43"/>
  <c r="H286" i="44"/>
  <c r="K286" i="43"/>
  <c r="F247" i="45"/>
  <c r="I247" i="44"/>
  <c r="M247" i="44" s="1"/>
  <c r="F287" i="45"/>
  <c r="I287" i="44"/>
  <c r="M287" i="44" s="1"/>
  <c r="F217" i="45"/>
  <c r="I217" i="44"/>
  <c r="M217" i="44" s="1"/>
  <c r="I197" i="44"/>
  <c r="M197" i="44" s="1"/>
  <c r="F197" i="45"/>
  <c r="F272" i="45"/>
  <c r="I272" i="44"/>
  <c r="M272" i="44" s="1"/>
  <c r="F273" i="45"/>
  <c r="I273" i="44"/>
  <c r="M273" i="44" s="1"/>
  <c r="F246" i="45"/>
  <c r="I246" i="44"/>
  <c r="M246" i="44" s="1"/>
  <c r="H140" i="44"/>
  <c r="K140" i="43"/>
  <c r="H228" i="44"/>
  <c r="K228" i="43"/>
  <c r="F289" i="45"/>
  <c r="I289" i="44"/>
  <c r="M289" i="44" s="1"/>
  <c r="H204" i="44"/>
  <c r="K204" i="43"/>
  <c r="F240" i="45"/>
  <c r="I240" i="44"/>
  <c r="M240" i="44" s="1"/>
  <c r="H154" i="44"/>
  <c r="K154" i="43"/>
  <c r="I186" i="44"/>
  <c r="M186" i="44" s="1"/>
  <c r="F186" i="45"/>
  <c r="I199" i="44"/>
  <c r="M199" i="44" s="1"/>
  <c r="F199" i="45"/>
  <c r="H215" i="44"/>
  <c r="K215" i="43"/>
  <c r="F164" i="45"/>
  <c r="I164" i="44"/>
  <c r="M164" i="44" s="1"/>
  <c r="F279" i="45"/>
  <c r="I279" i="44"/>
  <c r="M279" i="44" s="1"/>
  <c r="I188" i="44"/>
  <c r="M188" i="44" s="1"/>
  <c r="F188" i="45"/>
  <c r="H243" i="44"/>
  <c r="K243" i="43"/>
  <c r="H181" i="44"/>
  <c r="K181" i="43"/>
  <c r="F163" i="45"/>
  <c r="I163" i="44"/>
  <c r="M163" i="44" s="1"/>
  <c r="F130" i="45"/>
  <c r="I130" i="44"/>
  <c r="M130" i="44" s="1"/>
  <c r="F121" i="45"/>
  <c r="I121" i="44"/>
  <c r="M121" i="44" s="1"/>
  <c r="H125" i="44"/>
  <c r="K125" i="43"/>
  <c r="H118" i="44"/>
  <c r="K118" i="43"/>
  <c r="K260" i="43"/>
  <c r="H260" i="44"/>
  <c r="H268" i="44"/>
  <c r="K268" i="43"/>
  <c r="H145" i="44"/>
  <c r="K145" i="43"/>
  <c r="F177" i="41"/>
  <c r="I177" i="40"/>
  <c r="M177" i="40" s="1"/>
  <c r="I253" i="44"/>
  <c r="M253" i="44" s="1"/>
  <c r="F253" i="45"/>
  <c r="I280" i="44"/>
  <c r="M280" i="44" s="1"/>
  <c r="F280" i="45"/>
  <c r="H161" i="44"/>
  <c r="K161" i="43"/>
  <c r="H273" i="44"/>
  <c r="K273" i="43"/>
  <c r="F270" i="45"/>
  <c r="I270" i="44"/>
  <c r="M270" i="44" s="1"/>
  <c r="K224" i="43"/>
  <c r="H224" i="44"/>
  <c r="F152" i="45"/>
  <c r="I152" i="44"/>
  <c r="M152" i="44" s="1"/>
  <c r="H127" i="44"/>
  <c r="K127" i="43"/>
  <c r="H246" i="44"/>
  <c r="K246" i="43"/>
  <c r="F122" i="45"/>
  <c r="I122" i="44"/>
  <c r="M122" i="44" s="1"/>
  <c r="H257" i="44"/>
  <c r="K257" i="43"/>
  <c r="H264" i="44"/>
  <c r="K264" i="43"/>
  <c r="K209" i="43"/>
  <c r="H209" i="44"/>
  <c r="K178" i="43"/>
  <c r="H178" i="44"/>
  <c r="H195" i="44"/>
  <c r="K195" i="43"/>
  <c r="H199" i="44"/>
  <c r="K199" i="43"/>
  <c r="K214" i="43"/>
  <c r="H214" i="44"/>
  <c r="I182" i="44"/>
  <c r="M182" i="44" s="1"/>
  <c r="F182" i="45"/>
  <c r="F159" i="45"/>
  <c r="I159" i="44"/>
  <c r="M159" i="44" s="1"/>
  <c r="F168" i="45"/>
  <c r="I168" i="44"/>
  <c r="M168" i="44" s="1"/>
  <c r="F228" i="45"/>
  <c r="I228" i="44"/>
  <c r="M228" i="44" s="1"/>
  <c r="I209" i="44"/>
  <c r="M209" i="44" s="1"/>
  <c r="F209" i="45"/>
  <c r="H192" i="44"/>
  <c r="K192" i="43"/>
  <c r="H196" i="44"/>
  <c r="K196" i="43"/>
  <c r="H147" i="44"/>
  <c r="K147" i="43"/>
  <c r="H169" i="44"/>
  <c r="K169" i="43"/>
  <c r="H166" i="44"/>
  <c r="K166" i="43"/>
  <c r="H168" i="44"/>
  <c r="K168" i="43"/>
  <c r="F222" i="45"/>
  <c r="I222" i="44"/>
  <c r="M222" i="44" s="1"/>
  <c r="K270" i="43"/>
  <c r="H270" i="44"/>
  <c r="H185" i="44"/>
  <c r="K185" i="43"/>
  <c r="F288" i="45"/>
  <c r="I288" i="44"/>
  <c r="M288" i="44" s="1"/>
  <c r="K249" i="43"/>
  <c r="H249" i="44"/>
  <c r="H179" i="44"/>
  <c r="K179" i="43"/>
  <c r="F179" i="45"/>
  <c r="I179" i="44"/>
  <c r="M179" i="44" s="1"/>
  <c r="H160" i="44"/>
  <c r="K160" i="43"/>
  <c r="K288" i="43"/>
  <c r="H288" i="44"/>
  <c r="F202" i="45"/>
  <c r="I202" i="44"/>
  <c r="M202" i="44" s="1"/>
  <c r="H191" i="44"/>
  <c r="K191" i="43"/>
  <c r="K263" i="43"/>
  <c r="H263" i="44"/>
  <c r="F242" i="45"/>
  <c r="I242" i="44"/>
  <c r="M242" i="44" s="1"/>
  <c r="H276" i="44"/>
  <c r="K276" i="43"/>
  <c r="C278" i="45"/>
  <c r="I278" i="44"/>
  <c r="M278" i="44" s="1"/>
  <c r="F260" i="45"/>
  <c r="I260" i="44"/>
  <c r="M260" i="44" s="1"/>
  <c r="H212" i="44"/>
  <c r="K212" i="43"/>
  <c r="H183" i="44"/>
  <c r="K183" i="43"/>
  <c r="F276" i="45"/>
  <c r="I276" i="44"/>
  <c r="M276" i="44" s="1"/>
  <c r="K146" i="43"/>
  <c r="H146" i="44"/>
  <c r="F137" i="45"/>
  <c r="I137" i="44"/>
  <c r="M137" i="44" s="1"/>
  <c r="H219" i="44"/>
  <c r="K219" i="43"/>
  <c r="I286" i="44"/>
  <c r="M286" i="44" s="1"/>
  <c r="F286" i="45"/>
  <c r="F244" i="45"/>
  <c r="I244" i="44"/>
  <c r="M244" i="44" s="1"/>
  <c r="K269" i="43"/>
  <c r="H269" i="44"/>
  <c r="H291" i="44"/>
  <c r="K291" i="43"/>
  <c r="H171" i="44"/>
  <c r="K171" i="43"/>
  <c r="F184" i="45"/>
  <c r="I184" i="44"/>
  <c r="M184" i="44" s="1"/>
  <c r="I171" i="44"/>
  <c r="M171" i="44" s="1"/>
  <c r="F171" i="45"/>
  <c r="K220" i="43"/>
  <c r="H220" i="44"/>
  <c r="H244" i="44"/>
  <c r="K244" i="43"/>
  <c r="H136" i="44"/>
  <c r="K136" i="43"/>
  <c r="F277" i="45"/>
  <c r="I277" i="44"/>
  <c r="M277" i="44" s="1"/>
  <c r="F220" i="45"/>
  <c r="I220" i="44"/>
  <c r="M220" i="44" s="1"/>
  <c r="F146" i="45"/>
  <c r="I146" i="44"/>
  <c r="M146" i="44" s="1"/>
  <c r="H189" i="44"/>
  <c r="K189" i="43"/>
  <c r="F151" i="45"/>
  <c r="I151" i="44"/>
  <c r="M151" i="44" s="1"/>
  <c r="I221" i="44"/>
  <c r="M221" i="44" s="1"/>
  <c r="F221" i="45"/>
  <c r="H149" i="44"/>
  <c r="K149" i="43"/>
  <c r="H231" i="44"/>
  <c r="K231" i="43"/>
  <c r="F198" i="45"/>
  <c r="I198" i="44"/>
  <c r="M198" i="44" s="1"/>
  <c r="F158" i="45"/>
  <c r="I158" i="44"/>
  <c r="M158" i="44" s="1"/>
  <c r="F261" i="45"/>
  <c r="I261" i="44"/>
  <c r="M261" i="44" s="1"/>
  <c r="H241" i="44"/>
  <c r="K241" i="43"/>
  <c r="K234" i="43"/>
  <c r="H234" i="44"/>
  <c r="H290" i="44"/>
  <c r="K290" i="43"/>
  <c r="F157" i="45"/>
  <c r="I157" i="44"/>
  <c r="M157" i="44" s="1"/>
  <c r="H151" i="44"/>
  <c r="K151" i="43"/>
  <c r="F196" i="45"/>
  <c r="I196" i="44"/>
  <c r="M196" i="44" s="1"/>
  <c r="F213" i="45"/>
  <c r="I213" i="44"/>
  <c r="M213" i="44" s="1"/>
  <c r="H144" i="44"/>
  <c r="K144" i="43"/>
  <c r="H175" i="44"/>
  <c r="K175" i="43"/>
  <c r="H237" i="44"/>
  <c r="K237" i="43"/>
  <c r="F227" i="45"/>
  <c r="I227" i="44"/>
  <c r="M227" i="44" s="1"/>
  <c r="F207" i="45"/>
  <c r="I207" i="44"/>
  <c r="M207" i="44" s="1"/>
  <c r="H250" i="44"/>
  <c r="K250" i="43"/>
  <c r="H187" i="44"/>
  <c r="K187" i="43"/>
  <c r="F134" i="45"/>
  <c r="I134" i="44"/>
  <c r="M134" i="44" s="1"/>
  <c r="I225" i="44"/>
  <c r="M225" i="44" s="1"/>
  <c r="F225" i="45"/>
  <c r="H176" i="44"/>
  <c r="K176" i="43"/>
  <c r="H190" i="44"/>
  <c r="K190" i="43"/>
  <c r="F258" i="45"/>
  <c r="I258" i="44"/>
  <c r="M258" i="44" s="1"/>
  <c r="F245" i="45"/>
  <c r="I245" i="44"/>
  <c r="M245" i="44" s="1"/>
  <c r="Q12" i="36" l="1"/>
  <c r="P9" i="36"/>
  <c r="P12" i="36"/>
  <c r="P8" i="36"/>
  <c r="P15" i="36" s="1"/>
  <c r="Q15" i="36" s="1"/>
  <c r="P10" i="36"/>
  <c r="Q11" i="36"/>
  <c r="P11" i="36"/>
  <c r="Q10" i="36"/>
  <c r="Q8" i="36"/>
  <c r="P16" i="36" s="1"/>
  <c r="Q9" i="36"/>
  <c r="F225" i="46"/>
  <c r="I225" i="45"/>
  <c r="M225" i="45" s="1"/>
  <c r="H209" i="45"/>
  <c r="K209" i="44"/>
  <c r="F188" i="46"/>
  <c r="I188" i="45"/>
  <c r="M188" i="45" s="1"/>
  <c r="F186" i="46"/>
  <c r="I186" i="45"/>
  <c r="M186" i="45" s="1"/>
  <c r="H130" i="45"/>
  <c r="K130" i="44"/>
  <c r="F170" i="46"/>
  <c r="I170" i="45"/>
  <c r="M170" i="45" s="1"/>
  <c r="H184" i="45"/>
  <c r="K184" i="44"/>
  <c r="H210" i="45"/>
  <c r="K210" i="44"/>
  <c r="H133" i="45"/>
  <c r="K133" i="44"/>
  <c r="H190" i="45"/>
  <c r="K190" i="44"/>
  <c r="F134" i="46"/>
  <c r="I134" i="45"/>
  <c r="M134" i="45" s="1"/>
  <c r="K250" i="44"/>
  <c r="H250" i="45"/>
  <c r="F227" i="46"/>
  <c r="I227" i="45"/>
  <c r="M227" i="45" s="1"/>
  <c r="H175" i="45"/>
  <c r="K175" i="44"/>
  <c r="F157" i="46"/>
  <c r="I157" i="45"/>
  <c r="M157" i="45" s="1"/>
  <c r="I261" i="45"/>
  <c r="M261" i="45" s="1"/>
  <c r="F261" i="46"/>
  <c r="F158" i="46"/>
  <c r="I158" i="45"/>
  <c r="M158" i="45" s="1"/>
  <c r="H231" i="45"/>
  <c r="K231" i="44"/>
  <c r="K149" i="44"/>
  <c r="H149" i="45"/>
  <c r="H189" i="45"/>
  <c r="K189" i="44"/>
  <c r="H136" i="45"/>
  <c r="K136" i="44"/>
  <c r="I184" i="45"/>
  <c r="M184" i="45" s="1"/>
  <c r="F184" i="46"/>
  <c r="H171" i="45"/>
  <c r="K171" i="44"/>
  <c r="H291" i="45"/>
  <c r="K291" i="44"/>
  <c r="F244" i="46"/>
  <c r="I244" i="45"/>
  <c r="M244" i="45" s="1"/>
  <c r="H219" i="45"/>
  <c r="K219" i="44"/>
  <c r="I137" i="45"/>
  <c r="M137" i="45" s="1"/>
  <c r="F137" i="46"/>
  <c r="H212" i="45"/>
  <c r="K212" i="44"/>
  <c r="C278" i="46"/>
  <c r="I278" i="45"/>
  <c r="M278" i="45" s="1"/>
  <c r="H276" i="45"/>
  <c r="K276" i="44"/>
  <c r="H160" i="45"/>
  <c r="K160" i="44"/>
  <c r="K185" i="44"/>
  <c r="H185" i="45"/>
  <c r="H168" i="45"/>
  <c r="K168" i="44"/>
  <c r="H196" i="45"/>
  <c r="K196" i="44"/>
  <c r="F228" i="46"/>
  <c r="I228" i="45"/>
  <c r="M228" i="45" s="1"/>
  <c r="F159" i="46"/>
  <c r="I159" i="45"/>
  <c r="M159" i="45" s="1"/>
  <c r="H199" i="45"/>
  <c r="K199" i="44"/>
  <c r="H264" i="45"/>
  <c r="K264" i="44"/>
  <c r="K246" i="44"/>
  <c r="H246" i="45"/>
  <c r="H127" i="45"/>
  <c r="K127" i="44"/>
  <c r="H161" i="45"/>
  <c r="K161" i="44"/>
  <c r="F177" i="42"/>
  <c r="I177" i="41"/>
  <c r="M177" i="41" s="1"/>
  <c r="H145" i="45"/>
  <c r="K145" i="44"/>
  <c r="F121" i="46"/>
  <c r="I121" i="45"/>
  <c r="M121" i="45" s="1"/>
  <c r="F163" i="46"/>
  <c r="I163" i="45"/>
  <c r="M163" i="45" s="1"/>
  <c r="F279" i="46"/>
  <c r="I279" i="45"/>
  <c r="M279" i="45" s="1"/>
  <c r="H215" i="45"/>
  <c r="K215" i="44"/>
  <c r="H154" i="45"/>
  <c r="K154" i="44"/>
  <c r="K228" i="44"/>
  <c r="H228" i="45"/>
  <c r="F246" i="46"/>
  <c r="I246" i="45"/>
  <c r="M246" i="45" s="1"/>
  <c r="F272" i="46"/>
  <c r="I272" i="45"/>
  <c r="M272" i="45" s="1"/>
  <c r="F217" i="46"/>
  <c r="I217" i="45"/>
  <c r="M217" i="45" s="1"/>
  <c r="H286" i="45"/>
  <c r="K286" i="44"/>
  <c r="H138" i="45"/>
  <c r="K138" i="44"/>
  <c r="H135" i="45"/>
  <c r="K135" i="44"/>
  <c r="H180" i="45"/>
  <c r="K180" i="44"/>
  <c r="F205" i="46"/>
  <c r="I205" i="45"/>
  <c r="M205" i="45" s="1"/>
  <c r="F292" i="46"/>
  <c r="I292" i="45"/>
  <c r="M292" i="45" s="1"/>
  <c r="F119" i="46"/>
  <c r="I119" i="45"/>
  <c r="M119" i="45" s="1"/>
  <c r="F285" i="46"/>
  <c r="I285" i="45"/>
  <c r="M285" i="45" s="1"/>
  <c r="F241" i="46"/>
  <c r="I241" i="45"/>
  <c r="M241" i="45" s="1"/>
  <c r="I141" i="45"/>
  <c r="M141" i="45" s="1"/>
  <c r="F141" i="46"/>
  <c r="I248" i="45"/>
  <c r="M248" i="45" s="1"/>
  <c r="F248" i="46"/>
  <c r="H165" i="45"/>
  <c r="K165" i="44"/>
  <c r="H205" i="45"/>
  <c r="K205" i="44"/>
  <c r="H242" i="45"/>
  <c r="K242" i="44"/>
  <c r="K143" i="44"/>
  <c r="H143" i="45"/>
  <c r="F256" i="46"/>
  <c r="I256" i="45"/>
  <c r="M256" i="45" s="1"/>
  <c r="H279" i="45"/>
  <c r="K279" i="44"/>
  <c r="F271" i="46"/>
  <c r="I271" i="45"/>
  <c r="M271" i="45" s="1"/>
  <c r="K148" i="44"/>
  <c r="H148" i="45"/>
  <c r="F215" i="46"/>
  <c r="I215" i="45"/>
  <c r="M215" i="45" s="1"/>
  <c r="H251" i="45"/>
  <c r="K251" i="44"/>
  <c r="K233" i="44"/>
  <c r="H233" i="45"/>
  <c r="F147" i="46"/>
  <c r="I147" i="45"/>
  <c r="M147" i="45" s="1"/>
  <c r="H271" i="45"/>
  <c r="K271" i="44"/>
  <c r="H262" i="45"/>
  <c r="K262" i="44"/>
  <c r="H247" i="45"/>
  <c r="K247" i="44"/>
  <c r="I239" i="45"/>
  <c r="M239" i="45" s="1"/>
  <c r="F239" i="46"/>
  <c r="K197" i="44"/>
  <c r="H197" i="45"/>
  <c r="H186" i="45"/>
  <c r="K186" i="44"/>
  <c r="H207" i="45"/>
  <c r="K207" i="44"/>
  <c r="F185" i="46"/>
  <c r="I185" i="45"/>
  <c r="M185" i="45" s="1"/>
  <c r="F251" i="46"/>
  <c r="I251" i="45"/>
  <c r="M251" i="45" s="1"/>
  <c r="K284" i="44"/>
  <c r="H284" i="45"/>
  <c r="F144" i="46"/>
  <c r="I144" i="45"/>
  <c r="M144" i="45" s="1"/>
  <c r="H188" i="45"/>
  <c r="K188" i="44"/>
  <c r="K217" i="44"/>
  <c r="H217" i="45"/>
  <c r="I156" i="45"/>
  <c r="M156" i="45" s="1"/>
  <c r="F156" i="46"/>
  <c r="F265" i="46"/>
  <c r="I265" i="45"/>
  <c r="M265" i="45" s="1"/>
  <c r="F192" i="46"/>
  <c r="I192" i="45"/>
  <c r="M192" i="45" s="1"/>
  <c r="H258" i="45"/>
  <c r="K258" i="44"/>
  <c r="I250" i="45"/>
  <c r="M250" i="45" s="1"/>
  <c r="F250" i="46"/>
  <c r="H278" i="45"/>
  <c r="K278" i="44"/>
  <c r="K164" i="44"/>
  <c r="H164" i="45"/>
  <c r="H213" i="45"/>
  <c r="K213" i="44"/>
  <c r="H223" i="45"/>
  <c r="K223" i="44"/>
  <c r="H158" i="45"/>
  <c r="K158" i="44"/>
  <c r="F291" i="46"/>
  <c r="I291" i="45"/>
  <c r="M291" i="45" s="1"/>
  <c r="I181" i="45"/>
  <c r="M181" i="45" s="1"/>
  <c r="F181" i="46"/>
  <c r="F243" i="46"/>
  <c r="I243" i="45"/>
  <c r="M243" i="45" s="1"/>
  <c r="H227" i="45"/>
  <c r="K227" i="44"/>
  <c r="F124" i="46"/>
  <c r="I124" i="45"/>
  <c r="M124" i="45" s="1"/>
  <c r="I212" i="45"/>
  <c r="M212" i="45" s="1"/>
  <c r="C212" i="46"/>
  <c r="F234" i="46"/>
  <c r="I234" i="45"/>
  <c r="M234" i="45" s="1"/>
  <c r="H232" i="45"/>
  <c r="K232" i="44"/>
  <c r="F123" i="46"/>
  <c r="I123" i="45"/>
  <c r="M123" i="45" s="1"/>
  <c r="H203" i="45"/>
  <c r="K203" i="44"/>
  <c r="K218" i="44"/>
  <c r="H218" i="45"/>
  <c r="F230" i="46"/>
  <c r="I230" i="45"/>
  <c r="M230" i="45" s="1"/>
  <c r="F201" i="46"/>
  <c r="I201" i="45"/>
  <c r="M201" i="45" s="1"/>
  <c r="F281" i="46"/>
  <c r="I281" i="45"/>
  <c r="M281" i="45" s="1"/>
  <c r="I290" i="45"/>
  <c r="M290" i="45" s="1"/>
  <c r="F290" i="46"/>
  <c r="F150" i="46"/>
  <c r="I150" i="45"/>
  <c r="M150" i="45" s="1"/>
  <c r="H126" i="45"/>
  <c r="K126" i="44"/>
  <c r="H150" i="45"/>
  <c r="K150" i="44"/>
  <c r="I165" i="45"/>
  <c r="M165" i="45" s="1"/>
  <c r="F165" i="46"/>
  <c r="F171" i="46"/>
  <c r="I171" i="45"/>
  <c r="M171" i="45" s="1"/>
  <c r="H269" i="45"/>
  <c r="K269" i="44"/>
  <c r="H288" i="45"/>
  <c r="K288" i="44"/>
  <c r="F280" i="46"/>
  <c r="I280" i="45"/>
  <c r="M280" i="45" s="1"/>
  <c r="F199" i="46"/>
  <c r="I199" i="45"/>
  <c r="M199" i="45" s="1"/>
  <c r="F162" i="46"/>
  <c r="I162" i="45"/>
  <c r="M162" i="45" s="1"/>
  <c r="F139" i="46"/>
  <c r="I139" i="45"/>
  <c r="M139" i="45" s="1"/>
  <c r="I155" i="45"/>
  <c r="M155" i="45" s="1"/>
  <c r="F155" i="46"/>
  <c r="H277" i="45"/>
  <c r="K277" i="44"/>
  <c r="H200" i="45"/>
  <c r="K200" i="44"/>
  <c r="F175" i="46"/>
  <c r="I175" i="45"/>
  <c r="M175" i="45" s="1"/>
  <c r="F258" i="46"/>
  <c r="I258" i="45"/>
  <c r="M258" i="45" s="1"/>
  <c r="H176" i="45"/>
  <c r="K176" i="44"/>
  <c r="K187" i="44"/>
  <c r="H187" i="45"/>
  <c r="F207" i="46"/>
  <c r="I207" i="45"/>
  <c r="M207" i="45" s="1"/>
  <c r="H237" i="45"/>
  <c r="K237" i="44"/>
  <c r="H144" i="45"/>
  <c r="K144" i="44"/>
  <c r="F213" i="46"/>
  <c r="I213" i="45"/>
  <c r="M213" i="45" s="1"/>
  <c r="F196" i="46"/>
  <c r="I196" i="45"/>
  <c r="M196" i="45" s="1"/>
  <c r="H151" i="45"/>
  <c r="K151" i="44"/>
  <c r="K290" i="44"/>
  <c r="H290" i="45"/>
  <c r="H241" i="45"/>
  <c r="K241" i="44"/>
  <c r="I198" i="45"/>
  <c r="M198" i="45" s="1"/>
  <c r="F198" i="46"/>
  <c r="F151" i="46"/>
  <c r="I151" i="45"/>
  <c r="M151" i="45" s="1"/>
  <c r="F146" i="46"/>
  <c r="I146" i="45"/>
  <c r="M146" i="45" s="1"/>
  <c r="F220" i="46"/>
  <c r="I220" i="45"/>
  <c r="M220" i="45" s="1"/>
  <c r="F277" i="46"/>
  <c r="I277" i="45"/>
  <c r="M277" i="45" s="1"/>
  <c r="H244" i="45"/>
  <c r="K244" i="44"/>
  <c r="F276" i="46"/>
  <c r="I276" i="45"/>
  <c r="M276" i="45" s="1"/>
  <c r="H183" i="45"/>
  <c r="K183" i="44"/>
  <c r="F260" i="46"/>
  <c r="I260" i="45"/>
  <c r="M260" i="45" s="1"/>
  <c r="F242" i="46"/>
  <c r="I242" i="45"/>
  <c r="M242" i="45" s="1"/>
  <c r="H191" i="45"/>
  <c r="K191" i="44"/>
  <c r="F202" i="46"/>
  <c r="I202" i="45"/>
  <c r="M202" i="45" s="1"/>
  <c r="F179" i="46"/>
  <c r="I179" i="45"/>
  <c r="M179" i="45" s="1"/>
  <c r="K179" i="44"/>
  <c r="H179" i="45"/>
  <c r="F288" i="46"/>
  <c r="I288" i="45"/>
  <c r="M288" i="45" s="1"/>
  <c r="F222" i="46"/>
  <c r="I222" i="45"/>
  <c r="M222" i="45" s="1"/>
  <c r="H166" i="45"/>
  <c r="K166" i="44"/>
  <c r="H169" i="45"/>
  <c r="K169" i="44"/>
  <c r="H147" i="45"/>
  <c r="K147" i="44"/>
  <c r="H192" i="45"/>
  <c r="K192" i="44"/>
  <c r="I168" i="45"/>
  <c r="M168" i="45" s="1"/>
  <c r="F168" i="46"/>
  <c r="H195" i="45"/>
  <c r="K195" i="44"/>
  <c r="H257" i="45"/>
  <c r="K257" i="44"/>
  <c r="I122" i="45"/>
  <c r="M122" i="45" s="1"/>
  <c r="F122" i="46"/>
  <c r="F152" i="46"/>
  <c r="I152" i="45"/>
  <c r="M152" i="45" s="1"/>
  <c r="F270" i="46"/>
  <c r="I270" i="45"/>
  <c r="M270" i="45" s="1"/>
  <c r="H273" i="45"/>
  <c r="K273" i="44"/>
  <c r="H268" i="45"/>
  <c r="K268" i="44"/>
  <c r="H118" i="45"/>
  <c r="K118" i="44"/>
  <c r="H125" i="45"/>
  <c r="K125" i="44"/>
  <c r="I130" i="45"/>
  <c r="M130" i="45" s="1"/>
  <c r="F130" i="46"/>
  <c r="H181" i="45"/>
  <c r="K181" i="44"/>
  <c r="H243" i="45"/>
  <c r="K243" i="44"/>
  <c r="F164" i="46"/>
  <c r="I164" i="45"/>
  <c r="M164" i="45" s="1"/>
  <c r="F240" i="46"/>
  <c r="I240" i="45"/>
  <c r="M240" i="45" s="1"/>
  <c r="K204" i="44"/>
  <c r="H204" i="45"/>
  <c r="F289" i="46"/>
  <c r="I289" i="45"/>
  <c r="M289" i="45" s="1"/>
  <c r="H140" i="45"/>
  <c r="K140" i="44"/>
  <c r="F273" i="46"/>
  <c r="I273" i="45"/>
  <c r="M273" i="45" s="1"/>
  <c r="F287" i="46"/>
  <c r="I287" i="45"/>
  <c r="M287" i="45" s="1"/>
  <c r="F247" i="46"/>
  <c r="I247" i="45"/>
  <c r="M247" i="45" s="1"/>
  <c r="F153" i="46"/>
  <c r="I153" i="45"/>
  <c r="M153" i="45" s="1"/>
  <c r="F232" i="46"/>
  <c r="I232" i="45"/>
  <c r="M232" i="45" s="1"/>
  <c r="F252" i="46"/>
  <c r="I252" i="45"/>
  <c r="M252" i="45" s="1"/>
  <c r="F216" i="46"/>
  <c r="I216" i="45"/>
  <c r="M216" i="45" s="1"/>
  <c r="H142" i="45"/>
  <c r="K142" i="44"/>
  <c r="K170" i="44"/>
  <c r="H170" i="45"/>
  <c r="H225" i="45"/>
  <c r="K225" i="44"/>
  <c r="H131" i="45"/>
  <c r="K131" i="44"/>
  <c r="H261" i="45"/>
  <c r="K261" i="44"/>
  <c r="F254" i="46"/>
  <c r="I254" i="45"/>
  <c r="M254" i="45" s="1"/>
  <c r="F145" i="46"/>
  <c r="I145" i="45"/>
  <c r="M145" i="45" s="1"/>
  <c r="F160" i="46"/>
  <c r="I160" i="45"/>
  <c r="M160" i="45" s="1"/>
  <c r="K256" i="44"/>
  <c r="H256" i="45"/>
  <c r="I284" i="45"/>
  <c r="M284" i="45" s="1"/>
  <c r="F284" i="46"/>
  <c r="H226" i="45"/>
  <c r="K226" i="44"/>
  <c r="H120" i="45"/>
  <c r="K120" i="44"/>
  <c r="H211" i="45"/>
  <c r="K211" i="44"/>
  <c r="H123" i="45"/>
  <c r="K123" i="44"/>
  <c r="F267" i="46"/>
  <c r="I267" i="45"/>
  <c r="M267" i="45" s="1"/>
  <c r="H163" i="45"/>
  <c r="K163" i="44"/>
  <c r="H239" i="45"/>
  <c r="K239" i="44"/>
  <c r="H255" i="45"/>
  <c r="K255" i="44"/>
  <c r="F274" i="46"/>
  <c r="I274" i="45"/>
  <c r="M274" i="45" s="1"/>
  <c r="F268" i="46"/>
  <c r="I268" i="45"/>
  <c r="M268" i="45" s="1"/>
  <c r="I283" i="45"/>
  <c r="M283" i="45" s="1"/>
  <c r="F283" i="46"/>
  <c r="I118" i="45"/>
  <c r="M118" i="45" s="1"/>
  <c r="F118" i="46"/>
  <c r="F208" i="46"/>
  <c r="I208" i="45"/>
  <c r="M208" i="45" s="1"/>
  <c r="F189" i="46"/>
  <c r="I189" i="45"/>
  <c r="M189" i="45" s="1"/>
  <c r="I257" i="45"/>
  <c r="M257" i="45" s="1"/>
  <c r="F257" i="46"/>
  <c r="F172" i="46"/>
  <c r="I172" i="45"/>
  <c r="M172" i="45" s="1"/>
  <c r="H141" i="45"/>
  <c r="K141" i="44"/>
  <c r="F223" i="46"/>
  <c r="I223" i="45"/>
  <c r="M223" i="45" s="1"/>
  <c r="F219" i="46"/>
  <c r="I219" i="45"/>
  <c r="M219" i="45" s="1"/>
  <c r="H122" i="45"/>
  <c r="K122" i="44"/>
  <c r="F214" i="46"/>
  <c r="I214" i="45"/>
  <c r="M214" i="45" s="1"/>
  <c r="I133" i="45"/>
  <c r="M133" i="45" s="1"/>
  <c r="F133" i="46"/>
  <c r="F167" i="46"/>
  <c r="I167" i="45"/>
  <c r="M167" i="45" s="1"/>
  <c r="K229" i="44"/>
  <c r="H229" i="45"/>
  <c r="H201" i="45"/>
  <c r="K201" i="44"/>
  <c r="F136" i="46"/>
  <c r="I136" i="45"/>
  <c r="M136" i="45" s="1"/>
  <c r="H280" i="45"/>
  <c r="K280" i="44"/>
  <c r="H274" i="45"/>
  <c r="K274" i="44"/>
  <c r="F135" i="46"/>
  <c r="I135" i="45"/>
  <c r="M135" i="45" s="1"/>
  <c r="H252" i="45"/>
  <c r="K252" i="44"/>
  <c r="F231" i="46"/>
  <c r="I231" i="45"/>
  <c r="M231" i="45" s="1"/>
  <c r="H162" i="45"/>
  <c r="K162" i="44"/>
  <c r="H194" i="45"/>
  <c r="K194" i="44"/>
  <c r="H283" i="45"/>
  <c r="K283" i="44"/>
  <c r="H238" i="45"/>
  <c r="K238" i="44"/>
  <c r="H119" i="45"/>
  <c r="K119" i="44"/>
  <c r="H152" i="45"/>
  <c r="K152" i="44"/>
  <c r="F127" i="46"/>
  <c r="I127" i="45"/>
  <c r="M127" i="45" s="1"/>
  <c r="F148" i="46"/>
  <c r="I148" i="45"/>
  <c r="M148" i="45" s="1"/>
  <c r="H222" i="45"/>
  <c r="K222" i="44"/>
  <c r="F190" i="46"/>
  <c r="I190" i="45"/>
  <c r="M190" i="45" s="1"/>
  <c r="F263" i="46"/>
  <c r="I263" i="45"/>
  <c r="M263" i="45" s="1"/>
  <c r="H129" i="45"/>
  <c r="K129" i="44"/>
  <c r="K221" i="44"/>
  <c r="H221" i="45"/>
  <c r="K174" i="44"/>
  <c r="H174" i="45"/>
  <c r="F264" i="46"/>
  <c r="I264" i="45"/>
  <c r="M264" i="45" s="1"/>
  <c r="H172" i="45"/>
  <c r="K172" i="44"/>
  <c r="F235" i="46"/>
  <c r="I235" i="45"/>
  <c r="M235" i="45" s="1"/>
  <c r="F142" i="46"/>
  <c r="I142" i="45"/>
  <c r="M142" i="45" s="1"/>
  <c r="H137" i="45"/>
  <c r="K137" i="44"/>
  <c r="H248" i="45"/>
  <c r="K248" i="44"/>
  <c r="H265" i="45"/>
  <c r="K265" i="44"/>
  <c r="I229" i="45"/>
  <c r="M229" i="45" s="1"/>
  <c r="F229" i="46"/>
  <c r="H287" i="45"/>
  <c r="K287" i="44"/>
  <c r="F269" i="46"/>
  <c r="I269" i="45"/>
  <c r="M269" i="45" s="1"/>
  <c r="F129" i="46"/>
  <c r="I129" i="45"/>
  <c r="M129" i="45" s="1"/>
  <c r="I191" i="45"/>
  <c r="M191" i="45" s="1"/>
  <c r="C191" i="46"/>
  <c r="I286" i="45"/>
  <c r="M286" i="45" s="1"/>
  <c r="F286" i="46"/>
  <c r="F182" i="46"/>
  <c r="I182" i="45"/>
  <c r="M182" i="45" s="1"/>
  <c r="H214" i="45"/>
  <c r="K214" i="44"/>
  <c r="F197" i="46"/>
  <c r="I197" i="45"/>
  <c r="M197" i="45" s="1"/>
  <c r="K253" i="44"/>
  <c r="H253" i="45"/>
  <c r="F183" i="46"/>
  <c r="I183" i="45"/>
  <c r="M183" i="45" s="1"/>
  <c r="K139" i="44"/>
  <c r="H139" i="45"/>
  <c r="H236" i="45"/>
  <c r="K236" i="44"/>
  <c r="F226" i="46"/>
  <c r="I226" i="45"/>
  <c r="M226" i="45" s="1"/>
  <c r="H275" i="45"/>
  <c r="K275" i="44"/>
  <c r="F206" i="46"/>
  <c r="I206" i="45"/>
  <c r="M206" i="45" s="1"/>
  <c r="F195" i="46"/>
  <c r="I195" i="45"/>
  <c r="M195" i="45" s="1"/>
  <c r="F236" i="46"/>
  <c r="I236" i="45"/>
  <c r="M236" i="45" s="1"/>
  <c r="H132" i="45"/>
  <c r="K132" i="44"/>
  <c r="H254" i="45"/>
  <c r="K254" i="44"/>
  <c r="F149" i="46"/>
  <c r="I149" i="45"/>
  <c r="M149" i="45" s="1"/>
  <c r="H272" i="45"/>
  <c r="K272" i="44"/>
  <c r="F282" i="46"/>
  <c r="I282" i="45"/>
  <c r="M282" i="45" s="1"/>
  <c r="H216" i="45"/>
  <c r="K216" i="44"/>
  <c r="H281" i="45"/>
  <c r="K281" i="44"/>
  <c r="H202" i="45"/>
  <c r="K202" i="44"/>
  <c r="F154" i="46"/>
  <c r="I154" i="45"/>
  <c r="M154" i="45" s="1"/>
  <c r="H230" i="45"/>
  <c r="K230" i="44"/>
  <c r="F174" i="46"/>
  <c r="I174" i="45"/>
  <c r="M174" i="45" s="1"/>
  <c r="K266" i="44"/>
  <c r="H266" i="45"/>
  <c r="F266" i="46"/>
  <c r="I266" i="45"/>
  <c r="M266" i="45" s="1"/>
  <c r="H155" i="45"/>
  <c r="K155" i="44"/>
  <c r="H285" i="45"/>
  <c r="K285" i="44"/>
  <c r="K134" i="44"/>
  <c r="H134" i="45"/>
  <c r="F143" i="46"/>
  <c r="I143" i="45"/>
  <c r="M143" i="45" s="1"/>
  <c r="H173" i="45"/>
  <c r="K173" i="44"/>
  <c r="H167" i="45"/>
  <c r="K167" i="44"/>
  <c r="K234" i="44"/>
  <c r="H234" i="45"/>
  <c r="F221" i="46"/>
  <c r="I221" i="45"/>
  <c r="M221" i="45" s="1"/>
  <c r="H220" i="45"/>
  <c r="K220" i="44"/>
  <c r="K146" i="44"/>
  <c r="H146" i="45"/>
  <c r="H263" i="45"/>
  <c r="K263" i="44"/>
  <c r="H249" i="45"/>
  <c r="K249" i="44"/>
  <c r="K270" i="44"/>
  <c r="H270" i="45"/>
  <c r="F209" i="46"/>
  <c r="I209" i="45"/>
  <c r="M209" i="45" s="1"/>
  <c r="H178" i="45"/>
  <c r="K178" i="44"/>
  <c r="K224" i="44"/>
  <c r="H224" i="45"/>
  <c r="F253" i="46"/>
  <c r="I253" i="45"/>
  <c r="M253" i="45" s="1"/>
  <c r="H260" i="45"/>
  <c r="K260" i="44"/>
  <c r="H182" i="45"/>
  <c r="K182" i="44"/>
  <c r="F249" i="46"/>
  <c r="I249" i="45"/>
  <c r="M249" i="45" s="1"/>
  <c r="F176" i="46"/>
  <c r="I176" i="45"/>
  <c r="M176" i="45" s="1"/>
  <c r="H159" i="45"/>
  <c r="K159" i="44"/>
  <c r="F238" i="46"/>
  <c r="I238" i="45"/>
  <c r="M238" i="45" s="1"/>
  <c r="F138" i="46"/>
  <c r="I138" i="45"/>
  <c r="M138" i="45" s="1"/>
  <c r="F218" i="46"/>
  <c r="I218" i="45"/>
  <c r="M218" i="45" s="1"/>
  <c r="H153" i="45"/>
  <c r="K153" i="44"/>
  <c r="F224" i="46"/>
  <c r="I224" i="45"/>
  <c r="M224" i="45" s="1"/>
  <c r="H240" i="45"/>
  <c r="K240" i="44"/>
  <c r="H235" i="45"/>
  <c r="K235" i="44"/>
  <c r="H124" i="45"/>
  <c r="K124" i="44"/>
  <c r="K267" i="44"/>
  <c r="H267" i="45"/>
  <c r="F233" i="46"/>
  <c r="I233" i="45"/>
  <c r="M233" i="45" s="1"/>
  <c r="F194" i="46"/>
  <c r="I194" i="45"/>
  <c r="M194" i="45" s="1"/>
  <c r="K292" i="44"/>
  <c r="H292" i="45"/>
  <c r="I275" i="45"/>
  <c r="M275" i="45" s="1"/>
  <c r="F275" i="46"/>
  <c r="H198" i="45"/>
  <c r="K198" i="44"/>
  <c r="F210" i="46"/>
  <c r="I210" i="45"/>
  <c r="M210" i="45" s="1"/>
  <c r="H245" i="45"/>
  <c r="K245" i="44"/>
  <c r="H289" i="45"/>
  <c r="K289" i="44"/>
  <c r="C169" i="46"/>
  <c r="I169" i="45"/>
  <c r="M169" i="45" s="1"/>
  <c r="I161" i="45"/>
  <c r="M161" i="45" s="1"/>
  <c r="F161" i="46"/>
  <c r="C126" i="46"/>
  <c r="I126" i="45"/>
  <c r="M126" i="45" s="1"/>
  <c r="F140" i="46"/>
  <c r="I140" i="45"/>
  <c r="M140" i="45" s="1"/>
  <c r="H177" i="45"/>
  <c r="K177" i="44"/>
  <c r="I211" i="45"/>
  <c r="M211" i="45" s="1"/>
  <c r="F211" i="46"/>
  <c r="I203" i="45"/>
  <c r="M203" i="45" s="1"/>
  <c r="F203" i="46"/>
  <c r="F204" i="46"/>
  <c r="I204" i="45"/>
  <c r="M204" i="45" s="1"/>
  <c r="H121" i="45"/>
  <c r="K121" i="44"/>
  <c r="I187" i="45"/>
  <c r="M187" i="45" s="1"/>
  <c r="F187" i="46"/>
  <c r="I131" i="45"/>
  <c r="M131" i="45" s="1"/>
  <c r="F131" i="46"/>
  <c r="I132" i="45"/>
  <c r="M132" i="45" s="1"/>
  <c r="F132" i="46"/>
  <c r="I262" i="45"/>
  <c r="M262" i="45" s="1"/>
  <c r="F262" i="46"/>
  <c r="H282" i="45"/>
  <c r="K282" i="44"/>
  <c r="F200" i="46"/>
  <c r="I200" i="45"/>
  <c r="M200" i="45" s="1"/>
  <c r="F166" i="46"/>
  <c r="I166" i="45"/>
  <c r="M166" i="45" s="1"/>
  <c r="F125" i="46"/>
  <c r="I125" i="45"/>
  <c r="M125" i="45" s="1"/>
  <c r="F180" i="46"/>
  <c r="I180" i="45"/>
  <c r="M180" i="45" s="1"/>
  <c r="I173" i="45"/>
  <c r="M173" i="45" s="1"/>
  <c r="F173" i="46"/>
  <c r="K157" i="44"/>
  <c r="H157" i="45"/>
  <c r="H206" i="45"/>
  <c r="K206" i="44"/>
  <c r="H208" i="45"/>
  <c r="K208" i="44"/>
  <c r="F120" i="46"/>
  <c r="I120" i="45"/>
  <c r="M120" i="45" s="1"/>
  <c r="H156" i="45"/>
  <c r="K156" i="44"/>
  <c r="F245" i="46"/>
  <c r="I245" i="45"/>
  <c r="M245" i="45" s="1"/>
  <c r="D176" i="37" l="1"/>
  <c r="J176" i="37" s="1"/>
  <c r="N176" i="37" s="1"/>
  <c r="D207" i="37"/>
  <c r="J207" i="37" s="1"/>
  <c r="N207" i="37" s="1"/>
  <c r="D260" i="37"/>
  <c r="J260" i="37" s="1"/>
  <c r="N260" i="37" s="1"/>
  <c r="D209" i="37"/>
  <c r="J209" i="37" s="1"/>
  <c r="N209" i="37" s="1"/>
  <c r="D169" i="37"/>
  <c r="J169" i="37" s="1"/>
  <c r="N169" i="37" s="1"/>
  <c r="D290" i="37"/>
  <c r="J290" i="37" s="1"/>
  <c r="N290" i="37" s="1"/>
  <c r="D230" i="37"/>
  <c r="J230" i="37" s="1"/>
  <c r="N230" i="37" s="1"/>
  <c r="D172" i="37"/>
  <c r="J172" i="37" s="1"/>
  <c r="N172" i="37" s="1"/>
  <c r="D245" i="37"/>
  <c r="J245" i="37" s="1"/>
  <c r="N245" i="37" s="1"/>
  <c r="D198" i="37"/>
  <c r="J198" i="37" s="1"/>
  <c r="N198" i="37" s="1"/>
  <c r="D122" i="37"/>
  <c r="J122" i="37" s="1"/>
  <c r="N122" i="37" s="1"/>
  <c r="D193" i="37"/>
  <c r="J193" i="37" s="1"/>
  <c r="N193" i="37" s="1"/>
  <c r="D271" i="37"/>
  <c r="J271" i="37" s="1"/>
  <c r="N271" i="37" s="1"/>
  <c r="D239" i="37"/>
  <c r="J239" i="37" s="1"/>
  <c r="N239" i="37" s="1"/>
  <c r="D214" i="37"/>
  <c r="J214" i="37" s="1"/>
  <c r="N214" i="37" s="1"/>
  <c r="D238" i="37"/>
  <c r="J238" i="37" s="1"/>
  <c r="N238" i="37" s="1"/>
  <c r="D270" i="37"/>
  <c r="J270" i="37" s="1"/>
  <c r="N270" i="37" s="1"/>
  <c r="D251" i="37"/>
  <c r="J251" i="37" s="1"/>
  <c r="N251" i="37" s="1"/>
  <c r="D127" i="37"/>
  <c r="J127" i="37" s="1"/>
  <c r="N127" i="37" s="1"/>
  <c r="D184" i="37"/>
  <c r="J184" i="37" s="1"/>
  <c r="N184" i="37" s="1"/>
  <c r="D147" i="37"/>
  <c r="J147" i="37" s="1"/>
  <c r="N147" i="37" s="1"/>
  <c r="D279" i="37"/>
  <c r="J279" i="37" s="1"/>
  <c r="N279" i="37" s="1"/>
  <c r="D232" i="37"/>
  <c r="J232" i="37" s="1"/>
  <c r="N232" i="37" s="1"/>
  <c r="D162" i="37"/>
  <c r="J162" i="37" s="1"/>
  <c r="N162" i="37" s="1"/>
  <c r="D254" i="37"/>
  <c r="J254" i="37" s="1"/>
  <c r="N254" i="37" s="1"/>
  <c r="D148" i="37"/>
  <c r="J148" i="37" s="1"/>
  <c r="N148" i="37" s="1"/>
  <c r="D190" i="37"/>
  <c r="J190" i="37" s="1"/>
  <c r="N190" i="37" s="1"/>
  <c r="D191" i="37"/>
  <c r="J191" i="37" s="1"/>
  <c r="N191" i="37" s="1"/>
  <c r="D160" i="37"/>
  <c r="J160" i="37" s="1"/>
  <c r="N160" i="37" s="1"/>
  <c r="D174" i="37"/>
  <c r="J174" i="37" s="1"/>
  <c r="N174" i="37" s="1"/>
  <c r="D233" i="37"/>
  <c r="J233" i="37" s="1"/>
  <c r="N233" i="37" s="1"/>
  <c r="D151" i="37"/>
  <c r="J151" i="37" s="1"/>
  <c r="N151" i="37" s="1"/>
  <c r="D187" i="37"/>
  <c r="J187" i="37" s="1"/>
  <c r="N187" i="37" s="1"/>
  <c r="D134" i="37"/>
  <c r="J134" i="37" s="1"/>
  <c r="N134" i="37" s="1"/>
  <c r="D165" i="37"/>
  <c r="J165" i="37" s="1"/>
  <c r="N165" i="37" s="1"/>
  <c r="D277" i="37"/>
  <c r="J277" i="37" s="1"/>
  <c r="N277" i="37" s="1"/>
  <c r="D216" i="37"/>
  <c r="J216" i="37" s="1"/>
  <c r="N216" i="37" s="1"/>
  <c r="D255" i="37"/>
  <c r="J255" i="37" s="1"/>
  <c r="N255" i="37" s="1"/>
  <c r="D121" i="37"/>
  <c r="J121" i="37" s="1"/>
  <c r="N121" i="37" s="1"/>
  <c r="D119" i="37"/>
  <c r="J119" i="37" s="1"/>
  <c r="N119" i="37" s="1"/>
  <c r="D247" i="37"/>
  <c r="J247" i="37" s="1"/>
  <c r="N247" i="37" s="1"/>
  <c r="D182" i="37"/>
  <c r="J182" i="37" s="1"/>
  <c r="N182" i="37" s="1"/>
  <c r="D137" i="37"/>
  <c r="J137" i="37" s="1"/>
  <c r="N137" i="37" s="1"/>
  <c r="D130" i="37"/>
  <c r="J130" i="37" s="1"/>
  <c r="N130" i="37" s="1"/>
  <c r="D211" i="37"/>
  <c r="J211" i="37" s="1"/>
  <c r="N211" i="37" s="1"/>
  <c r="D280" i="37"/>
  <c r="J280" i="37" s="1"/>
  <c r="N280" i="37" s="1"/>
  <c r="D252" i="37"/>
  <c r="J252" i="37" s="1"/>
  <c r="N252" i="37" s="1"/>
  <c r="D156" i="37"/>
  <c r="J156" i="37" s="1"/>
  <c r="N156" i="37" s="1"/>
  <c r="D205" i="37"/>
  <c r="J205" i="37" s="1"/>
  <c r="N205" i="37" s="1"/>
  <c r="D140" i="37"/>
  <c r="J140" i="37" s="1"/>
  <c r="N140" i="37" s="1"/>
  <c r="D131" i="37"/>
  <c r="J131" i="37" s="1"/>
  <c r="N131" i="37" s="1"/>
  <c r="D155" i="37"/>
  <c r="J155" i="37" s="1"/>
  <c r="N155" i="37" s="1"/>
  <c r="D196" i="37"/>
  <c r="J196" i="37" s="1"/>
  <c r="N196" i="37" s="1"/>
  <c r="D287" i="37"/>
  <c r="J287" i="37" s="1"/>
  <c r="N287" i="37" s="1"/>
  <c r="D221" i="37"/>
  <c r="J221" i="37" s="1"/>
  <c r="N221" i="37" s="1"/>
  <c r="D185" i="37"/>
  <c r="J185" i="37" s="1"/>
  <c r="N185" i="37" s="1"/>
  <c r="D278" i="37"/>
  <c r="J278" i="37" s="1"/>
  <c r="N278" i="37" s="1"/>
  <c r="D231" i="37"/>
  <c r="J231" i="37" s="1"/>
  <c r="N231" i="37" s="1"/>
  <c r="D281" i="37"/>
  <c r="J281" i="37" s="1"/>
  <c r="N281" i="37" s="1"/>
  <c r="D163" i="37"/>
  <c r="J163" i="37" s="1"/>
  <c r="N163" i="37" s="1"/>
  <c r="D253" i="37"/>
  <c r="J253" i="37" s="1"/>
  <c r="N253" i="37" s="1"/>
  <c r="D219" i="37"/>
  <c r="J219" i="37" s="1"/>
  <c r="N219" i="37" s="1"/>
  <c r="D236" i="37"/>
  <c r="J236" i="37" s="1"/>
  <c r="N236" i="37" s="1"/>
  <c r="D269" i="37"/>
  <c r="J269" i="37" s="1"/>
  <c r="N269" i="37" s="1"/>
  <c r="D159" i="37"/>
  <c r="J159" i="37" s="1"/>
  <c r="N159" i="37" s="1"/>
  <c r="D123" i="37"/>
  <c r="J123" i="37" s="1"/>
  <c r="N123" i="37" s="1"/>
  <c r="D267" i="37"/>
  <c r="J267" i="37" s="1"/>
  <c r="N267" i="37" s="1"/>
  <c r="D133" i="37"/>
  <c r="J133" i="37" s="1"/>
  <c r="N133" i="37" s="1"/>
  <c r="D194" i="37"/>
  <c r="J194" i="37" s="1"/>
  <c r="N194" i="37" s="1"/>
  <c r="D283" i="37"/>
  <c r="J283" i="37" s="1"/>
  <c r="N283" i="37" s="1"/>
  <c r="D246" i="37"/>
  <c r="J246" i="37" s="1"/>
  <c r="N246" i="37" s="1"/>
  <c r="D154" i="37"/>
  <c r="J154" i="37" s="1"/>
  <c r="N154" i="37" s="1"/>
  <c r="D258" i="37"/>
  <c r="J258" i="37" s="1"/>
  <c r="N258" i="37" s="1"/>
  <c r="D158" i="37"/>
  <c r="J158" i="37" s="1"/>
  <c r="N158" i="37" s="1"/>
  <c r="D249" i="37"/>
  <c r="J249" i="37" s="1"/>
  <c r="N249" i="37" s="1"/>
  <c r="D273" i="37"/>
  <c r="J273" i="37" s="1"/>
  <c r="N273" i="37" s="1"/>
  <c r="D195" i="37"/>
  <c r="J195" i="37" s="1"/>
  <c r="N195" i="37" s="1"/>
  <c r="D223" i="37"/>
  <c r="J223" i="37" s="1"/>
  <c r="N223" i="37" s="1"/>
  <c r="D153" i="37"/>
  <c r="J153" i="37" s="1"/>
  <c r="N153" i="37" s="1"/>
  <c r="D164" i="37"/>
  <c r="J164" i="37" s="1"/>
  <c r="N164" i="37" s="1"/>
  <c r="D224" i="37"/>
  <c r="J224" i="37" s="1"/>
  <c r="N224" i="37" s="1"/>
  <c r="D213" i="37"/>
  <c r="J213" i="37" s="1"/>
  <c r="N213" i="37" s="1"/>
  <c r="D212" i="37"/>
  <c r="J212" i="37" s="1"/>
  <c r="N212" i="37" s="1"/>
  <c r="D285" i="37"/>
  <c r="J285" i="37" s="1"/>
  <c r="N285" i="37" s="1"/>
  <c r="D199" i="37"/>
  <c r="J199" i="37" s="1"/>
  <c r="N199" i="37" s="1"/>
  <c r="D259" i="37"/>
  <c r="J259" i="37" s="1"/>
  <c r="N259" i="37" s="1"/>
  <c r="D274" i="37"/>
  <c r="J274" i="37" s="1"/>
  <c r="N274" i="37" s="1"/>
  <c r="D129" i="37"/>
  <c r="J129" i="37" s="1"/>
  <c r="N129" i="37" s="1"/>
  <c r="D141" i="37"/>
  <c r="J141" i="37" s="1"/>
  <c r="N141" i="37" s="1"/>
  <c r="D257" i="37"/>
  <c r="J257" i="37" s="1"/>
  <c r="N257" i="37" s="1"/>
  <c r="D240" i="37"/>
  <c r="J240" i="37" s="1"/>
  <c r="N240" i="37" s="1"/>
  <c r="D152" i="37"/>
  <c r="J152" i="37" s="1"/>
  <c r="N152" i="37" s="1"/>
  <c r="D181" i="37"/>
  <c r="J181" i="37" s="1"/>
  <c r="N181" i="37" s="1"/>
  <c r="D142" i="37"/>
  <c r="J142" i="37" s="1"/>
  <c r="N142" i="37" s="1"/>
  <c r="D138" i="37"/>
  <c r="J138" i="37" s="1"/>
  <c r="N138" i="37" s="1"/>
  <c r="D175" i="37"/>
  <c r="J175" i="37" s="1"/>
  <c r="N175" i="37" s="1"/>
  <c r="D244" i="37"/>
  <c r="J244" i="37" s="1"/>
  <c r="N244" i="37" s="1"/>
  <c r="D225" i="37"/>
  <c r="J225" i="37" s="1"/>
  <c r="N225" i="37" s="1"/>
  <c r="D210" i="37"/>
  <c r="J210" i="37" s="1"/>
  <c r="N210" i="37" s="1"/>
  <c r="D248" i="37"/>
  <c r="J248" i="37" s="1"/>
  <c r="N248" i="37" s="1"/>
  <c r="D143" i="37"/>
  <c r="J143" i="37" s="1"/>
  <c r="N143" i="37" s="1"/>
  <c r="D201" i="37"/>
  <c r="J201" i="37" s="1"/>
  <c r="N201" i="37" s="1"/>
  <c r="D242" i="37"/>
  <c r="J242" i="37" s="1"/>
  <c r="N242" i="37" s="1"/>
  <c r="D171" i="37"/>
  <c r="J171" i="37" s="1"/>
  <c r="N171" i="37" s="1"/>
  <c r="D289" i="37"/>
  <c r="J289" i="37" s="1"/>
  <c r="N289" i="37" s="1"/>
  <c r="D120" i="37"/>
  <c r="J120" i="37" s="1"/>
  <c r="N120" i="37" s="1"/>
  <c r="D228" i="37"/>
  <c r="J228" i="37" s="1"/>
  <c r="N228" i="37" s="1"/>
  <c r="D272" i="37"/>
  <c r="J272" i="37" s="1"/>
  <c r="N272" i="37" s="1"/>
  <c r="D220" i="37"/>
  <c r="J220" i="37" s="1"/>
  <c r="N220" i="37" s="1"/>
  <c r="D136" i="37"/>
  <c r="J136" i="37" s="1"/>
  <c r="N136" i="37" s="1"/>
  <c r="D126" i="37"/>
  <c r="J126" i="37" s="1"/>
  <c r="N126" i="37" s="1"/>
  <c r="D261" i="37"/>
  <c r="J261" i="37" s="1"/>
  <c r="N261" i="37" s="1"/>
  <c r="D139" i="37"/>
  <c r="J139" i="37" s="1"/>
  <c r="N139" i="37" s="1"/>
  <c r="D177" i="37"/>
  <c r="J177" i="37" s="1"/>
  <c r="N177" i="37" s="1"/>
  <c r="D275" i="37"/>
  <c r="J275" i="37" s="1"/>
  <c r="N275" i="37" s="1"/>
  <c r="D168" i="37"/>
  <c r="J168" i="37" s="1"/>
  <c r="N168" i="37" s="1"/>
  <c r="D186" i="37"/>
  <c r="J186" i="37" s="1"/>
  <c r="N186" i="37" s="1"/>
  <c r="D266" i="37"/>
  <c r="J266" i="37" s="1"/>
  <c r="N266" i="37" s="1"/>
  <c r="D288" i="37"/>
  <c r="J288" i="37" s="1"/>
  <c r="N288" i="37" s="1"/>
  <c r="D262" i="37"/>
  <c r="J262" i="37" s="1"/>
  <c r="N262" i="37" s="1"/>
  <c r="D135" i="37"/>
  <c r="J135" i="37" s="1"/>
  <c r="N135" i="37" s="1"/>
  <c r="D229" i="37"/>
  <c r="J229" i="37" s="1"/>
  <c r="N229" i="37" s="1"/>
  <c r="D202" i="37"/>
  <c r="J202" i="37" s="1"/>
  <c r="N202" i="37" s="1"/>
  <c r="D124" i="37"/>
  <c r="J124" i="37" s="1"/>
  <c r="N124" i="37" s="1"/>
  <c r="D268" i="37"/>
  <c r="J268" i="37" s="1"/>
  <c r="N268" i="37" s="1"/>
  <c r="D178" i="37"/>
  <c r="J178" i="37" s="1"/>
  <c r="N178" i="37" s="1"/>
  <c r="D166" i="37"/>
  <c r="J166" i="37" s="1"/>
  <c r="N166" i="37" s="1"/>
  <c r="D173" i="37"/>
  <c r="J173" i="37" s="1"/>
  <c r="N173" i="37" s="1"/>
  <c r="D146" i="37"/>
  <c r="J146" i="37" s="1"/>
  <c r="N146" i="37" s="1"/>
  <c r="D265" i="37"/>
  <c r="J265" i="37" s="1"/>
  <c r="N265" i="37" s="1"/>
  <c r="D263" i="37"/>
  <c r="J263" i="37" s="1"/>
  <c r="N263" i="37" s="1"/>
  <c r="D200" i="37"/>
  <c r="J200" i="37" s="1"/>
  <c r="N200" i="37" s="1"/>
  <c r="D250" i="37"/>
  <c r="J250" i="37" s="1"/>
  <c r="N250" i="37" s="1"/>
  <c r="D192" i="37"/>
  <c r="J192" i="37" s="1"/>
  <c r="N192" i="37" s="1"/>
  <c r="D241" i="37"/>
  <c r="J241" i="37" s="1"/>
  <c r="N241" i="37" s="1"/>
  <c r="D282" i="37"/>
  <c r="J282" i="37" s="1"/>
  <c r="N282" i="37" s="1"/>
  <c r="Q16" i="36"/>
  <c r="D234" i="37"/>
  <c r="J234" i="37" s="1"/>
  <c r="N234" i="37" s="1"/>
  <c r="D118" i="37"/>
  <c r="J118" i="37" s="1"/>
  <c r="N118" i="37" s="1"/>
  <c r="D227" i="37"/>
  <c r="J227" i="37" s="1"/>
  <c r="N227" i="37" s="1"/>
  <c r="D222" i="37"/>
  <c r="J222" i="37" s="1"/>
  <c r="N222" i="37" s="1"/>
  <c r="D128" i="37"/>
  <c r="J128" i="37" s="1"/>
  <c r="N128" i="37" s="1"/>
  <c r="D237" i="37"/>
  <c r="J237" i="37" s="1"/>
  <c r="N237" i="37" s="1"/>
  <c r="D264" i="37"/>
  <c r="J264" i="37" s="1"/>
  <c r="N264" i="37" s="1"/>
  <c r="D161" i="37"/>
  <c r="J161" i="37" s="1"/>
  <c r="N161" i="37" s="1"/>
  <c r="D256" i="37"/>
  <c r="J256" i="37" s="1"/>
  <c r="N256" i="37" s="1"/>
  <c r="D204" i="37"/>
  <c r="J204" i="37" s="1"/>
  <c r="N204" i="37" s="1"/>
  <c r="D292" i="37"/>
  <c r="J292" i="37" s="1"/>
  <c r="N292" i="37" s="1"/>
  <c r="D215" i="37"/>
  <c r="J215" i="37" s="1"/>
  <c r="N215" i="37" s="1"/>
  <c r="D291" i="37"/>
  <c r="J291" i="37" s="1"/>
  <c r="N291" i="37" s="1"/>
  <c r="D180" i="37"/>
  <c r="J180" i="37" s="1"/>
  <c r="N180" i="37" s="1"/>
  <c r="D167" i="37"/>
  <c r="J167" i="37" s="1"/>
  <c r="N167" i="37" s="1"/>
  <c r="D243" i="37"/>
  <c r="J243" i="37" s="1"/>
  <c r="N243" i="37" s="1"/>
  <c r="D197" i="37"/>
  <c r="J197" i="37" s="1"/>
  <c r="N197" i="37" s="1"/>
  <c r="D276" i="37"/>
  <c r="J276" i="37" s="1"/>
  <c r="N276" i="37" s="1"/>
  <c r="D217" i="37"/>
  <c r="J217" i="37" s="1"/>
  <c r="N217" i="37" s="1"/>
  <c r="D208" i="37"/>
  <c r="J208" i="37" s="1"/>
  <c r="N208" i="37" s="1"/>
  <c r="D125" i="37"/>
  <c r="J125" i="37" s="1"/>
  <c r="N125" i="37" s="1"/>
  <c r="D145" i="37"/>
  <c r="J145" i="37" s="1"/>
  <c r="N145" i="37" s="1"/>
  <c r="D170" i="37"/>
  <c r="J170" i="37" s="1"/>
  <c r="N170" i="37" s="1"/>
  <c r="D284" i="37"/>
  <c r="J284" i="37" s="1"/>
  <c r="N284" i="37" s="1"/>
  <c r="D149" i="37"/>
  <c r="J149" i="37" s="1"/>
  <c r="N149" i="37" s="1"/>
  <c r="D150" i="37"/>
  <c r="J150" i="37" s="1"/>
  <c r="N150" i="37" s="1"/>
  <c r="D179" i="37"/>
  <c r="J179" i="37" s="1"/>
  <c r="N179" i="37" s="1"/>
  <c r="D203" i="37"/>
  <c r="J203" i="37" s="1"/>
  <c r="N203" i="37" s="1"/>
  <c r="D235" i="37"/>
  <c r="J235" i="37" s="1"/>
  <c r="N235" i="37" s="1"/>
  <c r="D286" i="37"/>
  <c r="J286" i="37" s="1"/>
  <c r="N286" i="37" s="1"/>
  <c r="D206" i="37"/>
  <c r="J206" i="37" s="1"/>
  <c r="N206" i="37" s="1"/>
  <c r="D157" i="37"/>
  <c r="J157" i="37" s="1"/>
  <c r="N157" i="37" s="1"/>
  <c r="D132" i="37"/>
  <c r="J132" i="37" s="1"/>
  <c r="N132" i="37" s="1"/>
  <c r="D183" i="37"/>
  <c r="J183" i="37" s="1"/>
  <c r="N183" i="37" s="1"/>
  <c r="D226" i="37"/>
  <c r="J226" i="37" s="1"/>
  <c r="N226" i="37" s="1"/>
  <c r="D189" i="37"/>
  <c r="J189" i="37" s="1"/>
  <c r="N189" i="37" s="1"/>
  <c r="D218" i="37"/>
  <c r="J218" i="37" s="1"/>
  <c r="N218" i="37" s="1"/>
  <c r="D188" i="37"/>
  <c r="J188" i="37" s="1"/>
  <c r="N188" i="37" s="1"/>
  <c r="D144" i="37"/>
  <c r="J144" i="37" s="1"/>
  <c r="N144" i="37" s="1"/>
  <c r="H208" i="46"/>
  <c r="K208" i="45"/>
  <c r="H282" i="46"/>
  <c r="K282" i="45"/>
  <c r="I210" i="46"/>
  <c r="M210" i="46" s="1"/>
  <c r="F210" i="47"/>
  <c r="F194" i="47"/>
  <c r="I194" i="46"/>
  <c r="M194" i="46" s="1"/>
  <c r="K124" i="45"/>
  <c r="H124" i="46"/>
  <c r="F143" i="47"/>
  <c r="I143" i="46"/>
  <c r="M143" i="46" s="1"/>
  <c r="F266" i="47"/>
  <c r="I266" i="46"/>
  <c r="M266" i="46" s="1"/>
  <c r="H230" i="46"/>
  <c r="K230" i="45"/>
  <c r="K254" i="45"/>
  <c r="H254" i="46"/>
  <c r="I195" i="46"/>
  <c r="M195" i="46" s="1"/>
  <c r="F195" i="47"/>
  <c r="H275" i="46"/>
  <c r="K275" i="45"/>
  <c r="F197" i="47"/>
  <c r="I197" i="46"/>
  <c r="M197" i="46" s="1"/>
  <c r="F142" i="47"/>
  <c r="I142" i="46"/>
  <c r="M142" i="46" s="1"/>
  <c r="H283" i="46"/>
  <c r="K283" i="45"/>
  <c r="K274" i="45"/>
  <c r="H274" i="46"/>
  <c r="F136" i="47"/>
  <c r="I136" i="46"/>
  <c r="M136" i="46" s="1"/>
  <c r="H201" i="46"/>
  <c r="K201" i="45"/>
  <c r="F219" i="47"/>
  <c r="I219" i="46"/>
  <c r="M219" i="46" s="1"/>
  <c r="F223" i="47"/>
  <c r="I223" i="46"/>
  <c r="M223" i="46" s="1"/>
  <c r="H239" i="46"/>
  <c r="K239" i="45"/>
  <c r="H123" i="46"/>
  <c r="K123" i="45"/>
  <c r="H211" i="46"/>
  <c r="K211" i="45"/>
  <c r="H261" i="46"/>
  <c r="K261" i="45"/>
  <c r="H142" i="46"/>
  <c r="K142" i="45"/>
  <c r="K243" i="45"/>
  <c r="H243" i="46"/>
  <c r="I222" i="46"/>
  <c r="M222" i="46" s="1"/>
  <c r="F222" i="47"/>
  <c r="H191" i="46"/>
  <c r="K191" i="45"/>
  <c r="I260" i="46"/>
  <c r="M260" i="46" s="1"/>
  <c r="F260" i="47"/>
  <c r="F277" i="47"/>
  <c r="I277" i="46"/>
  <c r="M277" i="46" s="1"/>
  <c r="K241" i="45"/>
  <c r="H241" i="46"/>
  <c r="I196" i="46"/>
  <c r="M196" i="46" s="1"/>
  <c r="F196" i="47"/>
  <c r="K144" i="45"/>
  <c r="H144" i="46"/>
  <c r="F175" i="47"/>
  <c r="I175" i="46"/>
  <c r="M175" i="46" s="1"/>
  <c r="H277" i="46"/>
  <c r="K277" i="45"/>
  <c r="F280" i="47"/>
  <c r="I280" i="46"/>
  <c r="M280" i="46" s="1"/>
  <c r="H269" i="46"/>
  <c r="K269" i="45"/>
  <c r="H150" i="46"/>
  <c r="K150" i="45"/>
  <c r="F281" i="47"/>
  <c r="I281" i="46"/>
  <c r="M281" i="46" s="1"/>
  <c r="H203" i="46"/>
  <c r="K203" i="45"/>
  <c r="I265" i="46"/>
  <c r="M265" i="46" s="1"/>
  <c r="F265" i="47"/>
  <c r="H188" i="46"/>
  <c r="K188" i="45"/>
  <c r="F251" i="47"/>
  <c r="I251" i="46"/>
  <c r="M251" i="46" s="1"/>
  <c r="H207" i="46"/>
  <c r="K207" i="45"/>
  <c r="K205" i="45"/>
  <c r="H205" i="46"/>
  <c r="H180" i="46"/>
  <c r="K180" i="45"/>
  <c r="H157" i="46"/>
  <c r="K157" i="45"/>
  <c r="F262" i="47"/>
  <c r="I262" i="46"/>
  <c r="M262" i="46" s="1"/>
  <c r="F131" i="47"/>
  <c r="I131" i="46"/>
  <c r="M131" i="46" s="1"/>
  <c r="F203" i="47"/>
  <c r="I203" i="46"/>
  <c r="M203" i="46" s="1"/>
  <c r="F161" i="47"/>
  <c r="I161" i="46"/>
  <c r="M161" i="46" s="1"/>
  <c r="I275" i="46"/>
  <c r="M275" i="46" s="1"/>
  <c r="F275" i="47"/>
  <c r="H146" i="46"/>
  <c r="K146" i="45"/>
  <c r="H253" i="46"/>
  <c r="K253" i="45"/>
  <c r="F229" i="47"/>
  <c r="I229" i="46"/>
  <c r="M229" i="46" s="1"/>
  <c r="K174" i="45"/>
  <c r="H174" i="46"/>
  <c r="F118" i="47"/>
  <c r="I118" i="46"/>
  <c r="M118" i="46" s="1"/>
  <c r="F284" i="47"/>
  <c r="I284" i="46"/>
  <c r="M284" i="46" s="1"/>
  <c r="K256" i="45"/>
  <c r="H256" i="46"/>
  <c r="F122" i="47"/>
  <c r="I122" i="46"/>
  <c r="M122" i="46" s="1"/>
  <c r="F168" i="47"/>
  <c r="I168" i="46"/>
  <c r="M168" i="46" s="1"/>
  <c r="H179" i="46"/>
  <c r="K179" i="45"/>
  <c r="F198" i="47"/>
  <c r="I198" i="46"/>
  <c r="M198" i="46" s="1"/>
  <c r="H218" i="46"/>
  <c r="K218" i="45"/>
  <c r="C212" i="47"/>
  <c r="I212" i="46"/>
  <c r="M212" i="46" s="1"/>
  <c r="H164" i="46"/>
  <c r="K164" i="45"/>
  <c r="H217" i="46"/>
  <c r="K217" i="45"/>
  <c r="H197" i="46"/>
  <c r="K197" i="45"/>
  <c r="H148" i="46"/>
  <c r="K148" i="45"/>
  <c r="H143" i="46"/>
  <c r="K143" i="45"/>
  <c r="F248" i="47"/>
  <c r="I248" i="46"/>
  <c r="M248" i="46" s="1"/>
  <c r="H228" i="46"/>
  <c r="K228" i="45"/>
  <c r="K149" i="45"/>
  <c r="H149" i="46"/>
  <c r="H250" i="46"/>
  <c r="K250" i="45"/>
  <c r="F180" i="47"/>
  <c r="I180" i="46"/>
  <c r="M180" i="46" s="1"/>
  <c r="I200" i="46"/>
  <c r="M200" i="46" s="1"/>
  <c r="F200" i="47"/>
  <c r="F233" i="47"/>
  <c r="I233" i="46"/>
  <c r="M233" i="46" s="1"/>
  <c r="H240" i="46"/>
  <c r="K240" i="45"/>
  <c r="F249" i="47"/>
  <c r="I249" i="46"/>
  <c r="M249" i="46" s="1"/>
  <c r="F221" i="47"/>
  <c r="I221" i="46"/>
  <c r="M221" i="46" s="1"/>
  <c r="H285" i="46"/>
  <c r="K285" i="45"/>
  <c r="H202" i="46"/>
  <c r="K202" i="45"/>
  <c r="F264" i="47"/>
  <c r="I264" i="46"/>
  <c r="M264" i="46" s="1"/>
  <c r="F263" i="47"/>
  <c r="I263" i="46"/>
  <c r="M263" i="46" s="1"/>
  <c r="H119" i="46"/>
  <c r="K119" i="45"/>
  <c r="H238" i="46"/>
  <c r="K238" i="45"/>
  <c r="I167" i="46"/>
  <c r="M167" i="46" s="1"/>
  <c r="F167" i="47"/>
  <c r="I172" i="46"/>
  <c r="M172" i="46" s="1"/>
  <c r="F172" i="47"/>
  <c r="F268" i="47"/>
  <c r="I268" i="46"/>
  <c r="M268" i="46" s="1"/>
  <c r="H131" i="46"/>
  <c r="K131" i="45"/>
  <c r="F216" i="47"/>
  <c r="I216" i="46"/>
  <c r="M216" i="46" s="1"/>
  <c r="F247" i="47"/>
  <c r="I247" i="46"/>
  <c r="M247" i="46" s="1"/>
  <c r="F240" i="47"/>
  <c r="I240" i="46"/>
  <c r="M240" i="46" s="1"/>
  <c r="H125" i="46"/>
  <c r="K125" i="45"/>
  <c r="F270" i="47"/>
  <c r="I270" i="46"/>
  <c r="M270" i="46" s="1"/>
  <c r="H195" i="46"/>
  <c r="K195" i="45"/>
  <c r="H169" i="46"/>
  <c r="K169" i="45"/>
  <c r="F146" i="47"/>
  <c r="I146" i="46"/>
  <c r="M146" i="46" s="1"/>
  <c r="H176" i="46"/>
  <c r="K176" i="45"/>
  <c r="F199" i="47"/>
  <c r="I199" i="46"/>
  <c r="M199" i="46" s="1"/>
  <c r="K232" i="45"/>
  <c r="H232" i="46"/>
  <c r="F291" i="47"/>
  <c r="I291" i="46"/>
  <c r="M291" i="46" s="1"/>
  <c r="H258" i="46"/>
  <c r="K258" i="45"/>
  <c r="I147" i="46"/>
  <c r="M147" i="46" s="1"/>
  <c r="F147" i="47"/>
  <c r="K279" i="45"/>
  <c r="H279" i="46"/>
  <c r="F241" i="47"/>
  <c r="I241" i="46"/>
  <c r="M241" i="46" s="1"/>
  <c r="H135" i="46"/>
  <c r="K135" i="45"/>
  <c r="I272" i="46"/>
  <c r="M272" i="46" s="1"/>
  <c r="F272" i="47"/>
  <c r="H154" i="46"/>
  <c r="K154" i="45"/>
  <c r="K145" i="45"/>
  <c r="H145" i="46"/>
  <c r="K127" i="45"/>
  <c r="H127" i="46"/>
  <c r="H168" i="46"/>
  <c r="K168" i="45"/>
  <c r="H219" i="46"/>
  <c r="K219" i="45"/>
  <c r="F157" i="47"/>
  <c r="I157" i="46"/>
  <c r="M157" i="46" s="1"/>
  <c r="K175" i="45"/>
  <c r="H175" i="46"/>
  <c r="I170" i="46"/>
  <c r="M170" i="46" s="1"/>
  <c r="F170" i="47"/>
  <c r="K209" i="45"/>
  <c r="H209" i="46"/>
  <c r="F173" i="47"/>
  <c r="I173" i="46"/>
  <c r="M173" i="46" s="1"/>
  <c r="F132" i="47"/>
  <c r="I132" i="46"/>
  <c r="M132" i="46" s="1"/>
  <c r="F187" i="47"/>
  <c r="I187" i="46"/>
  <c r="M187" i="46" s="1"/>
  <c r="F211" i="47"/>
  <c r="I211" i="46"/>
  <c r="M211" i="46" s="1"/>
  <c r="H292" i="46"/>
  <c r="K292" i="45"/>
  <c r="H267" i="46"/>
  <c r="K267" i="45"/>
  <c r="H224" i="46"/>
  <c r="K224" i="45"/>
  <c r="H270" i="46"/>
  <c r="K270" i="45"/>
  <c r="H234" i="46"/>
  <c r="K234" i="45"/>
  <c r="H134" i="46"/>
  <c r="K134" i="45"/>
  <c r="H266" i="46"/>
  <c r="K266" i="45"/>
  <c r="H139" i="46"/>
  <c r="K139" i="45"/>
  <c r="F286" i="47"/>
  <c r="I286" i="46"/>
  <c r="M286" i="46" s="1"/>
  <c r="I191" i="46"/>
  <c r="M191" i="46" s="1"/>
  <c r="C191" i="47"/>
  <c r="K221" i="45"/>
  <c r="H221" i="46"/>
  <c r="K229" i="45"/>
  <c r="H229" i="46"/>
  <c r="F133" i="47"/>
  <c r="I133" i="46"/>
  <c r="M133" i="46" s="1"/>
  <c r="F257" i="47"/>
  <c r="I257" i="46"/>
  <c r="M257" i="46" s="1"/>
  <c r="F283" i="47"/>
  <c r="I283" i="46"/>
  <c r="M283" i="46" s="1"/>
  <c r="H170" i="46"/>
  <c r="K170" i="45"/>
  <c r="H204" i="46"/>
  <c r="K204" i="45"/>
  <c r="F130" i="47"/>
  <c r="I130" i="46"/>
  <c r="M130" i="46" s="1"/>
  <c r="H290" i="46"/>
  <c r="K290" i="45"/>
  <c r="H187" i="46"/>
  <c r="K187" i="45"/>
  <c r="F155" i="47"/>
  <c r="I155" i="46"/>
  <c r="M155" i="46" s="1"/>
  <c r="F165" i="47"/>
  <c r="I165" i="46"/>
  <c r="M165" i="46" s="1"/>
  <c r="I290" i="46"/>
  <c r="M290" i="46" s="1"/>
  <c r="F290" i="47"/>
  <c r="I181" i="46"/>
  <c r="M181" i="46" s="1"/>
  <c r="F181" i="47"/>
  <c r="F250" i="47"/>
  <c r="I250" i="46"/>
  <c r="M250" i="46" s="1"/>
  <c r="F156" i="47"/>
  <c r="I156" i="46"/>
  <c r="M156" i="46" s="1"/>
  <c r="H284" i="46"/>
  <c r="K284" i="45"/>
  <c r="F239" i="47"/>
  <c r="I239" i="46"/>
  <c r="M239" i="46" s="1"/>
  <c r="H233" i="46"/>
  <c r="K233" i="45"/>
  <c r="F141" i="47"/>
  <c r="I141" i="46"/>
  <c r="M141" i="46" s="1"/>
  <c r="K246" i="45"/>
  <c r="H246" i="46"/>
  <c r="H185" i="46"/>
  <c r="K185" i="45"/>
  <c r="F137" i="47"/>
  <c r="I137" i="46"/>
  <c r="M137" i="46" s="1"/>
  <c r="F184" i="47"/>
  <c r="I184" i="46"/>
  <c r="M184" i="46" s="1"/>
  <c r="I261" i="46"/>
  <c r="M261" i="46" s="1"/>
  <c r="F261" i="47"/>
  <c r="F166" i="47"/>
  <c r="I166" i="46"/>
  <c r="M166" i="46" s="1"/>
  <c r="H121" i="46"/>
  <c r="K121" i="45"/>
  <c r="H177" i="46"/>
  <c r="K177" i="45"/>
  <c r="I126" i="46"/>
  <c r="M126" i="46" s="1"/>
  <c r="C126" i="47"/>
  <c r="I224" i="46"/>
  <c r="M224" i="46" s="1"/>
  <c r="F224" i="47"/>
  <c r="I238" i="46"/>
  <c r="M238" i="46" s="1"/>
  <c r="F238" i="47"/>
  <c r="K159" i="45"/>
  <c r="H159" i="46"/>
  <c r="K182" i="45"/>
  <c r="H182" i="46"/>
  <c r="H260" i="46"/>
  <c r="K260" i="45"/>
  <c r="H178" i="46"/>
  <c r="K178" i="45"/>
  <c r="H263" i="46"/>
  <c r="K263" i="45"/>
  <c r="K167" i="45"/>
  <c r="H167" i="46"/>
  <c r="H272" i="46"/>
  <c r="K272" i="45"/>
  <c r="F226" i="47"/>
  <c r="I226" i="46"/>
  <c r="M226" i="46" s="1"/>
  <c r="H214" i="46"/>
  <c r="K214" i="45"/>
  <c r="H248" i="46"/>
  <c r="K248" i="45"/>
  <c r="F235" i="47"/>
  <c r="I235" i="46"/>
  <c r="M235" i="46" s="1"/>
  <c r="K222" i="45"/>
  <c r="H222" i="46"/>
  <c r="F127" i="47"/>
  <c r="I127" i="46"/>
  <c r="M127" i="46" s="1"/>
  <c r="H252" i="46"/>
  <c r="K252" i="45"/>
  <c r="K280" i="45"/>
  <c r="H280" i="46"/>
  <c r="I214" i="46"/>
  <c r="M214" i="46" s="1"/>
  <c r="F214" i="47"/>
  <c r="F274" i="47"/>
  <c r="I274" i="46"/>
  <c r="M274" i="46" s="1"/>
  <c r="H163" i="46"/>
  <c r="K163" i="45"/>
  <c r="K120" i="45"/>
  <c r="H120" i="46"/>
  <c r="I145" i="46"/>
  <c r="M145" i="46" s="1"/>
  <c r="F145" i="47"/>
  <c r="F232" i="47"/>
  <c r="I232" i="46"/>
  <c r="M232" i="46" s="1"/>
  <c r="F273" i="47"/>
  <c r="I273" i="46"/>
  <c r="M273" i="46" s="1"/>
  <c r="K181" i="45"/>
  <c r="H181" i="46"/>
  <c r="K268" i="45"/>
  <c r="H268" i="46"/>
  <c r="H192" i="46"/>
  <c r="K192" i="45"/>
  <c r="F276" i="47"/>
  <c r="I276" i="46"/>
  <c r="M276" i="46" s="1"/>
  <c r="F207" i="47"/>
  <c r="I207" i="46"/>
  <c r="M207" i="46" s="1"/>
  <c r="I201" i="46"/>
  <c r="M201" i="46" s="1"/>
  <c r="F201" i="47"/>
  <c r="H227" i="46"/>
  <c r="K227" i="45"/>
  <c r="H223" i="46"/>
  <c r="K223" i="45"/>
  <c r="H247" i="46"/>
  <c r="K247" i="45"/>
  <c r="H251" i="46"/>
  <c r="K251" i="45"/>
  <c r="F285" i="47"/>
  <c r="I285" i="46"/>
  <c r="M285" i="46" s="1"/>
  <c r="F205" i="47"/>
  <c r="I205" i="46"/>
  <c r="M205" i="46" s="1"/>
  <c r="K286" i="45"/>
  <c r="H286" i="46"/>
  <c r="H215" i="46"/>
  <c r="K215" i="45"/>
  <c r="F121" i="47"/>
  <c r="I121" i="46"/>
  <c r="M121" i="46" s="1"/>
  <c r="H264" i="46"/>
  <c r="K264" i="45"/>
  <c r="H196" i="46"/>
  <c r="K196" i="45"/>
  <c r="C278" i="47"/>
  <c r="I278" i="46"/>
  <c r="M278" i="46" s="1"/>
  <c r="K171" i="45"/>
  <c r="H171" i="46"/>
  <c r="H136" i="46"/>
  <c r="K136" i="45"/>
  <c r="I158" i="46"/>
  <c r="M158" i="46" s="1"/>
  <c r="F158" i="47"/>
  <c r="H133" i="46"/>
  <c r="K133" i="45"/>
  <c r="H184" i="46"/>
  <c r="K184" i="45"/>
  <c r="F186" i="47"/>
  <c r="I186" i="46"/>
  <c r="M186" i="46" s="1"/>
  <c r="H156" i="46"/>
  <c r="K156" i="45"/>
  <c r="F120" i="47"/>
  <c r="I120" i="46"/>
  <c r="M120" i="46" s="1"/>
  <c r="H206" i="46"/>
  <c r="K206" i="45"/>
  <c r="F125" i="47"/>
  <c r="I125" i="46"/>
  <c r="M125" i="46" s="1"/>
  <c r="F204" i="47"/>
  <c r="I204" i="46"/>
  <c r="M204" i="46" s="1"/>
  <c r="F140" i="47"/>
  <c r="I140" i="46"/>
  <c r="M140" i="46" s="1"/>
  <c r="C169" i="47"/>
  <c r="I169" i="46"/>
  <c r="M169" i="46" s="1"/>
  <c r="H289" i="46"/>
  <c r="K289" i="45"/>
  <c r="K245" i="45"/>
  <c r="H245" i="46"/>
  <c r="K198" i="45"/>
  <c r="H198" i="46"/>
  <c r="H235" i="46"/>
  <c r="K235" i="45"/>
  <c r="K153" i="45"/>
  <c r="H153" i="46"/>
  <c r="I218" i="46"/>
  <c r="M218" i="46" s="1"/>
  <c r="F218" i="47"/>
  <c r="F138" i="47"/>
  <c r="I138" i="46"/>
  <c r="M138" i="46" s="1"/>
  <c r="F176" i="47"/>
  <c r="I176" i="46"/>
  <c r="M176" i="46" s="1"/>
  <c r="I253" i="46"/>
  <c r="M253" i="46" s="1"/>
  <c r="F253" i="47"/>
  <c r="F209" i="47"/>
  <c r="I209" i="46"/>
  <c r="M209" i="46" s="1"/>
  <c r="H249" i="46"/>
  <c r="K249" i="45"/>
  <c r="H220" i="46"/>
  <c r="K220" i="45"/>
  <c r="H173" i="46"/>
  <c r="K173" i="45"/>
  <c r="H155" i="46"/>
  <c r="K155" i="45"/>
  <c r="F174" i="47"/>
  <c r="I174" i="46"/>
  <c r="M174" i="46" s="1"/>
  <c r="F154" i="47"/>
  <c r="I154" i="46"/>
  <c r="M154" i="46" s="1"/>
  <c r="H281" i="46"/>
  <c r="K281" i="45"/>
  <c r="H216" i="46"/>
  <c r="K216" i="45"/>
  <c r="F282" i="47"/>
  <c r="I282" i="46"/>
  <c r="M282" i="46" s="1"/>
  <c r="F149" i="47"/>
  <c r="I149" i="46"/>
  <c r="M149" i="46" s="1"/>
  <c r="H132" i="46"/>
  <c r="K132" i="45"/>
  <c r="F236" i="47"/>
  <c r="I236" i="46"/>
  <c r="M236" i="46" s="1"/>
  <c r="F206" i="47"/>
  <c r="I206" i="46"/>
  <c r="M206" i="46" s="1"/>
  <c r="H236" i="46"/>
  <c r="K236" i="45"/>
  <c r="F183" i="47"/>
  <c r="I183" i="46"/>
  <c r="M183" i="46" s="1"/>
  <c r="I182" i="46"/>
  <c r="M182" i="46" s="1"/>
  <c r="F182" i="47"/>
  <c r="F129" i="47"/>
  <c r="I129" i="46"/>
  <c r="M129" i="46" s="1"/>
  <c r="F269" i="47"/>
  <c r="I269" i="46"/>
  <c r="M269" i="46" s="1"/>
  <c r="H287" i="46"/>
  <c r="K287" i="45"/>
  <c r="H265" i="46"/>
  <c r="K265" i="45"/>
  <c r="H137" i="46"/>
  <c r="K137" i="45"/>
  <c r="H172" i="46"/>
  <c r="K172" i="45"/>
  <c r="H129" i="46"/>
  <c r="K129" i="45"/>
  <c r="F190" i="47"/>
  <c r="I190" i="46"/>
  <c r="M190" i="46" s="1"/>
  <c r="I148" i="46"/>
  <c r="M148" i="46" s="1"/>
  <c r="F148" i="47"/>
  <c r="H152" i="46"/>
  <c r="K152" i="45"/>
  <c r="K194" i="45"/>
  <c r="H194" i="46"/>
  <c r="H162" i="46"/>
  <c r="K162" i="45"/>
  <c r="F231" i="47"/>
  <c r="I231" i="46"/>
  <c r="M231" i="46" s="1"/>
  <c r="I135" i="46"/>
  <c r="M135" i="46" s="1"/>
  <c r="F135" i="47"/>
  <c r="H122" i="46"/>
  <c r="K122" i="45"/>
  <c r="H141" i="46"/>
  <c r="K141" i="45"/>
  <c r="I189" i="46"/>
  <c r="M189" i="46" s="1"/>
  <c r="F189" i="47"/>
  <c r="F208" i="47"/>
  <c r="I208" i="46"/>
  <c r="M208" i="46" s="1"/>
  <c r="H255" i="46"/>
  <c r="K255" i="45"/>
  <c r="F267" i="47"/>
  <c r="I267" i="46"/>
  <c r="M267" i="46" s="1"/>
  <c r="H226" i="46"/>
  <c r="K226" i="45"/>
  <c r="I160" i="46"/>
  <c r="M160" i="46" s="1"/>
  <c r="F160" i="47"/>
  <c r="I254" i="46"/>
  <c r="M254" i="46" s="1"/>
  <c r="F254" i="47"/>
  <c r="H225" i="46"/>
  <c r="K225" i="45"/>
  <c r="I252" i="46"/>
  <c r="M252" i="46" s="1"/>
  <c r="F252" i="47"/>
  <c r="F153" i="47"/>
  <c r="I153" i="46"/>
  <c r="M153" i="46" s="1"/>
  <c r="F287" i="47"/>
  <c r="I287" i="46"/>
  <c r="M287" i="46" s="1"/>
  <c r="H140" i="46"/>
  <c r="K140" i="45"/>
  <c r="F289" i="47"/>
  <c r="I289" i="46"/>
  <c r="M289" i="46" s="1"/>
  <c r="F164" i="47"/>
  <c r="I164" i="46"/>
  <c r="M164" i="46" s="1"/>
  <c r="H118" i="46"/>
  <c r="K118" i="45"/>
  <c r="K273" i="45"/>
  <c r="H273" i="46"/>
  <c r="F152" i="47"/>
  <c r="I152" i="46"/>
  <c r="M152" i="46" s="1"/>
  <c r="H257" i="46"/>
  <c r="K257" i="45"/>
  <c r="H147" i="46"/>
  <c r="K147" i="45"/>
  <c r="H166" i="46"/>
  <c r="K166" i="45"/>
  <c r="F288" i="47"/>
  <c r="I288" i="46"/>
  <c r="M288" i="46" s="1"/>
  <c r="F179" i="47"/>
  <c r="I179" i="46"/>
  <c r="M179" i="46" s="1"/>
  <c r="F202" i="47"/>
  <c r="I202" i="46"/>
  <c r="M202" i="46" s="1"/>
  <c r="I242" i="46"/>
  <c r="M242" i="46" s="1"/>
  <c r="F242" i="47"/>
  <c r="H183" i="46"/>
  <c r="K183" i="45"/>
  <c r="H244" i="46"/>
  <c r="K244" i="45"/>
  <c r="I220" i="46"/>
  <c r="M220" i="46" s="1"/>
  <c r="F220" i="47"/>
  <c r="F151" i="47"/>
  <c r="I151" i="46"/>
  <c r="M151" i="46" s="1"/>
  <c r="H151" i="46"/>
  <c r="K151" i="45"/>
  <c r="F213" i="47"/>
  <c r="I213" i="46"/>
  <c r="M213" i="46" s="1"/>
  <c r="K237" i="45"/>
  <c r="H237" i="46"/>
  <c r="I258" i="46"/>
  <c r="M258" i="46" s="1"/>
  <c r="F258" i="47"/>
  <c r="H200" i="46"/>
  <c r="K200" i="45"/>
  <c r="F139" i="47"/>
  <c r="I139" i="46"/>
  <c r="M139" i="46" s="1"/>
  <c r="F162" i="47"/>
  <c r="I162" i="46"/>
  <c r="M162" i="46" s="1"/>
  <c r="H288" i="46"/>
  <c r="K288" i="45"/>
  <c r="F171" i="47"/>
  <c r="I171" i="46"/>
  <c r="M171" i="46" s="1"/>
  <c r="K126" i="45"/>
  <c r="H126" i="46"/>
  <c r="F150" i="47"/>
  <c r="I150" i="46"/>
  <c r="M150" i="46" s="1"/>
  <c r="F230" i="47"/>
  <c r="I230" i="46"/>
  <c r="M230" i="46" s="1"/>
  <c r="I123" i="46"/>
  <c r="M123" i="46" s="1"/>
  <c r="F123" i="47"/>
  <c r="F234" i="47"/>
  <c r="I234" i="46"/>
  <c r="M234" i="46" s="1"/>
  <c r="F124" i="47"/>
  <c r="I124" i="46"/>
  <c r="M124" i="46" s="1"/>
  <c r="I243" i="46"/>
  <c r="M243" i="46" s="1"/>
  <c r="F243" i="47"/>
  <c r="H158" i="46"/>
  <c r="K158" i="45"/>
  <c r="H213" i="46"/>
  <c r="K213" i="45"/>
  <c r="K278" i="45"/>
  <c r="H278" i="46"/>
  <c r="I192" i="46"/>
  <c r="M192" i="46" s="1"/>
  <c r="F192" i="47"/>
  <c r="F144" i="47"/>
  <c r="I144" i="46"/>
  <c r="M144" i="46" s="1"/>
  <c r="I185" i="46"/>
  <c r="M185" i="46" s="1"/>
  <c r="F185" i="47"/>
  <c r="H186" i="46"/>
  <c r="K186" i="45"/>
  <c r="H262" i="46"/>
  <c r="K262" i="45"/>
  <c r="K271" i="45"/>
  <c r="H271" i="46"/>
  <c r="F215" i="47"/>
  <c r="I215" i="46"/>
  <c r="M215" i="46" s="1"/>
  <c r="I271" i="46"/>
  <c r="M271" i="46" s="1"/>
  <c r="F271" i="47"/>
  <c r="F256" i="47"/>
  <c r="I256" i="46"/>
  <c r="M256" i="46" s="1"/>
  <c r="H242" i="46"/>
  <c r="K242" i="45"/>
  <c r="H165" i="46"/>
  <c r="K165" i="45"/>
  <c r="F119" i="47"/>
  <c r="I119" i="46"/>
  <c r="M119" i="46" s="1"/>
  <c r="I292" i="46"/>
  <c r="M292" i="46" s="1"/>
  <c r="F292" i="47"/>
  <c r="H138" i="46"/>
  <c r="K138" i="45"/>
  <c r="F217" i="47"/>
  <c r="I217" i="46"/>
  <c r="M217" i="46" s="1"/>
  <c r="F246" i="47"/>
  <c r="I246" i="46"/>
  <c r="M246" i="46" s="1"/>
  <c r="F279" i="47"/>
  <c r="I279" i="46"/>
  <c r="M279" i="46" s="1"/>
  <c r="F163" i="47"/>
  <c r="I163" i="46"/>
  <c r="M163" i="46" s="1"/>
  <c r="F177" i="43"/>
  <c r="I177" i="42"/>
  <c r="M177" i="42" s="1"/>
  <c r="K161" i="45"/>
  <c r="H161" i="46"/>
  <c r="H199" i="46"/>
  <c r="K199" i="45"/>
  <c r="I159" i="46"/>
  <c r="M159" i="46" s="1"/>
  <c r="F159" i="47"/>
  <c r="F228" i="47"/>
  <c r="I228" i="46"/>
  <c r="M228" i="46" s="1"/>
  <c r="H160" i="46"/>
  <c r="K160" i="45"/>
  <c r="H276" i="46"/>
  <c r="K276" i="45"/>
  <c r="H212" i="46"/>
  <c r="K212" i="45"/>
  <c r="F244" i="47"/>
  <c r="I244" i="46"/>
  <c r="M244" i="46" s="1"/>
  <c r="H291" i="46"/>
  <c r="K291" i="45"/>
  <c r="H189" i="46"/>
  <c r="K189" i="45"/>
  <c r="H231" i="46"/>
  <c r="K231" i="45"/>
  <c r="I227" i="46"/>
  <c r="M227" i="46" s="1"/>
  <c r="F227" i="47"/>
  <c r="F134" i="47"/>
  <c r="I134" i="46"/>
  <c r="M134" i="46" s="1"/>
  <c r="H190" i="46"/>
  <c r="K190" i="45"/>
  <c r="H210" i="46"/>
  <c r="K210" i="45"/>
  <c r="H130" i="46"/>
  <c r="K130" i="45"/>
  <c r="F188" i="47"/>
  <c r="I188" i="46"/>
  <c r="M188" i="46" s="1"/>
  <c r="F225" i="47"/>
  <c r="I225" i="46"/>
  <c r="M225" i="46" s="1"/>
  <c r="F245" i="47"/>
  <c r="I245" i="46"/>
  <c r="M245" i="46" s="1"/>
  <c r="P8" i="37" l="1" a="1"/>
  <c r="Q10" i="37" s="1"/>
  <c r="F134" i="48"/>
  <c r="I134" i="48" s="1"/>
  <c r="I134" i="47"/>
  <c r="M134" i="47" s="1"/>
  <c r="H212" i="47"/>
  <c r="K212" i="46"/>
  <c r="K138" i="46"/>
  <c r="H138" i="47"/>
  <c r="H165" i="47"/>
  <c r="K165" i="46"/>
  <c r="H186" i="47"/>
  <c r="K186" i="46"/>
  <c r="K151" i="46"/>
  <c r="H151" i="47"/>
  <c r="H257" i="47"/>
  <c r="K257" i="46"/>
  <c r="K118" i="46"/>
  <c r="H118" i="47"/>
  <c r="H140" i="47"/>
  <c r="K140" i="46"/>
  <c r="H255" i="47"/>
  <c r="K255" i="46"/>
  <c r="K236" i="46"/>
  <c r="H236" i="47"/>
  <c r="H132" i="47"/>
  <c r="K132" i="46"/>
  <c r="C169" i="48"/>
  <c r="I169" i="48" s="1"/>
  <c r="I169" i="47"/>
  <c r="M169" i="47" s="1"/>
  <c r="F120" i="48"/>
  <c r="I120" i="48" s="1"/>
  <c r="I120" i="47"/>
  <c r="M120" i="47" s="1"/>
  <c r="H133" i="47"/>
  <c r="K133" i="46"/>
  <c r="I205" i="47"/>
  <c r="M205" i="47" s="1"/>
  <c r="F205" i="48"/>
  <c r="I205" i="48" s="1"/>
  <c r="H223" i="47"/>
  <c r="K223" i="46"/>
  <c r="I235" i="47"/>
  <c r="M235" i="47" s="1"/>
  <c r="F235" i="48"/>
  <c r="I235" i="48" s="1"/>
  <c r="H272" i="47"/>
  <c r="K272" i="46"/>
  <c r="H178" i="47"/>
  <c r="K178" i="46"/>
  <c r="F155" i="48"/>
  <c r="I155" i="48" s="1"/>
  <c r="I155" i="47"/>
  <c r="M155" i="47" s="1"/>
  <c r="I133" i="47"/>
  <c r="M133" i="47" s="1"/>
  <c r="F133" i="48"/>
  <c r="I133" i="48" s="1"/>
  <c r="H135" i="47"/>
  <c r="K135" i="46"/>
  <c r="F291" i="48"/>
  <c r="I291" i="48" s="1"/>
  <c r="I291" i="47"/>
  <c r="M291" i="47" s="1"/>
  <c r="K176" i="46"/>
  <c r="H176" i="47"/>
  <c r="K125" i="46"/>
  <c r="H125" i="47"/>
  <c r="K131" i="46"/>
  <c r="H131" i="47"/>
  <c r="H119" i="47"/>
  <c r="K119" i="46"/>
  <c r="F221" i="48"/>
  <c r="I221" i="48" s="1"/>
  <c r="I221" i="47"/>
  <c r="M221" i="47" s="1"/>
  <c r="F180" i="48"/>
  <c r="I180" i="48" s="1"/>
  <c r="I180" i="47"/>
  <c r="M180" i="47" s="1"/>
  <c r="H164" i="47"/>
  <c r="K164" i="46"/>
  <c r="K218" i="46"/>
  <c r="H218" i="47"/>
  <c r="I168" i="47"/>
  <c r="M168" i="47" s="1"/>
  <c r="F168" i="48"/>
  <c r="I168" i="48" s="1"/>
  <c r="F284" i="48"/>
  <c r="I284" i="48" s="1"/>
  <c r="I284" i="47"/>
  <c r="M284" i="47" s="1"/>
  <c r="F229" i="48"/>
  <c r="I229" i="48" s="1"/>
  <c r="I229" i="47"/>
  <c r="M229" i="47" s="1"/>
  <c r="K146" i="46"/>
  <c r="H146" i="47"/>
  <c r="I161" i="47"/>
  <c r="M161" i="47" s="1"/>
  <c r="F161" i="48"/>
  <c r="I161" i="48" s="1"/>
  <c r="F262" i="48"/>
  <c r="I262" i="48" s="1"/>
  <c r="I262" i="47"/>
  <c r="M262" i="47" s="1"/>
  <c r="H161" i="47"/>
  <c r="K161" i="46"/>
  <c r="H278" i="47"/>
  <c r="K278" i="46"/>
  <c r="K126" i="46"/>
  <c r="H126" i="47"/>
  <c r="H237" i="47"/>
  <c r="K237" i="46"/>
  <c r="F242" i="48"/>
  <c r="I242" i="48" s="1"/>
  <c r="I242" i="47"/>
  <c r="M242" i="47" s="1"/>
  <c r="K273" i="46"/>
  <c r="H273" i="47"/>
  <c r="F252" i="48"/>
  <c r="I252" i="48" s="1"/>
  <c r="I252" i="47"/>
  <c r="M252" i="47" s="1"/>
  <c r="F254" i="48"/>
  <c r="I254" i="48" s="1"/>
  <c r="I254" i="47"/>
  <c r="M254" i="47" s="1"/>
  <c r="I160" i="47"/>
  <c r="M160" i="47" s="1"/>
  <c r="F160" i="48"/>
  <c r="I160" i="48" s="1"/>
  <c r="I189" i="47"/>
  <c r="M189" i="47" s="1"/>
  <c r="F189" i="48"/>
  <c r="I189" i="48" s="1"/>
  <c r="F182" i="48"/>
  <c r="I182" i="48" s="1"/>
  <c r="I182" i="47"/>
  <c r="M182" i="47" s="1"/>
  <c r="F253" i="48"/>
  <c r="I253" i="48" s="1"/>
  <c r="I253" i="47"/>
  <c r="M253" i="47" s="1"/>
  <c r="H153" i="47"/>
  <c r="K153" i="46"/>
  <c r="F201" i="48"/>
  <c r="I201" i="48" s="1"/>
  <c r="I201" i="47"/>
  <c r="M201" i="47" s="1"/>
  <c r="H268" i="47"/>
  <c r="K268" i="46"/>
  <c r="I145" i="47"/>
  <c r="M145" i="47" s="1"/>
  <c r="F145" i="48"/>
  <c r="I145" i="48" s="1"/>
  <c r="H280" i="47"/>
  <c r="K280" i="46"/>
  <c r="H167" i="47"/>
  <c r="K167" i="46"/>
  <c r="H182" i="47"/>
  <c r="K182" i="46"/>
  <c r="H159" i="47"/>
  <c r="K159" i="46"/>
  <c r="F224" i="48"/>
  <c r="I224" i="48" s="1"/>
  <c r="I224" i="47"/>
  <c r="M224" i="47" s="1"/>
  <c r="C126" i="48"/>
  <c r="I126" i="48" s="1"/>
  <c r="I126" i="47"/>
  <c r="M126" i="47" s="1"/>
  <c r="F261" i="48"/>
  <c r="I261" i="48" s="1"/>
  <c r="I261" i="47"/>
  <c r="M261" i="47" s="1"/>
  <c r="F181" i="48"/>
  <c r="I181" i="48" s="1"/>
  <c r="I181" i="47"/>
  <c r="M181" i="47" s="1"/>
  <c r="H221" i="47"/>
  <c r="K221" i="46"/>
  <c r="I191" i="47"/>
  <c r="M191" i="47" s="1"/>
  <c r="C191" i="48"/>
  <c r="I191" i="48" s="1"/>
  <c r="H209" i="47"/>
  <c r="K209" i="46"/>
  <c r="F170" i="48"/>
  <c r="I170" i="48" s="1"/>
  <c r="I170" i="47"/>
  <c r="M170" i="47" s="1"/>
  <c r="H175" i="47"/>
  <c r="K175" i="46"/>
  <c r="K145" i="46"/>
  <c r="H145" i="47"/>
  <c r="H279" i="47"/>
  <c r="K279" i="46"/>
  <c r="H232" i="47"/>
  <c r="K232" i="46"/>
  <c r="I167" i="47"/>
  <c r="M167" i="47" s="1"/>
  <c r="F167" i="48"/>
  <c r="I167" i="48" s="1"/>
  <c r="H205" i="47"/>
  <c r="K205" i="46"/>
  <c r="F265" i="48"/>
  <c r="I265" i="48" s="1"/>
  <c r="I265" i="47"/>
  <c r="M265" i="47" s="1"/>
  <c r="H144" i="47"/>
  <c r="K144" i="46"/>
  <c r="H241" i="47"/>
  <c r="K241" i="46"/>
  <c r="F260" i="48"/>
  <c r="I260" i="48" s="1"/>
  <c r="I260" i="47"/>
  <c r="M260" i="47" s="1"/>
  <c r="H254" i="47"/>
  <c r="K254" i="46"/>
  <c r="H124" i="47"/>
  <c r="K124" i="46"/>
  <c r="F210" i="48"/>
  <c r="I210" i="48" s="1"/>
  <c r="I210" i="47"/>
  <c r="M210" i="47" s="1"/>
  <c r="I188" i="47"/>
  <c r="M188" i="47" s="1"/>
  <c r="F188" i="48"/>
  <c r="I188" i="48" s="1"/>
  <c r="H189" i="47"/>
  <c r="K189" i="46"/>
  <c r="F228" i="48"/>
  <c r="I228" i="48" s="1"/>
  <c r="I228" i="47"/>
  <c r="M228" i="47" s="1"/>
  <c r="F215" i="48"/>
  <c r="I215" i="48" s="1"/>
  <c r="I215" i="47"/>
  <c r="M215" i="47" s="1"/>
  <c r="F144" i="48"/>
  <c r="I144" i="48" s="1"/>
  <c r="I144" i="47"/>
  <c r="M144" i="47" s="1"/>
  <c r="K244" i="46"/>
  <c r="H244" i="47"/>
  <c r="F179" i="48"/>
  <c r="I179" i="48" s="1"/>
  <c r="I179" i="47"/>
  <c r="M179" i="47" s="1"/>
  <c r="H225" i="47"/>
  <c r="K225" i="46"/>
  <c r="F267" i="48"/>
  <c r="I267" i="48" s="1"/>
  <c r="I267" i="47"/>
  <c r="M267" i="47" s="1"/>
  <c r="F208" i="48"/>
  <c r="I208" i="48" s="1"/>
  <c r="I208" i="47"/>
  <c r="M208" i="47" s="1"/>
  <c r="H162" i="47"/>
  <c r="K162" i="46"/>
  <c r="H129" i="47"/>
  <c r="K129" i="46"/>
  <c r="H265" i="47"/>
  <c r="K265" i="46"/>
  <c r="H281" i="47"/>
  <c r="K281" i="46"/>
  <c r="F125" i="48"/>
  <c r="I125" i="48" s="1"/>
  <c r="I125" i="47"/>
  <c r="M125" i="47" s="1"/>
  <c r="F186" i="48"/>
  <c r="I186" i="48" s="1"/>
  <c r="I186" i="47"/>
  <c r="M186" i="47" s="1"/>
  <c r="H136" i="47"/>
  <c r="K136" i="46"/>
  <c r="F207" i="48"/>
  <c r="I207" i="48" s="1"/>
  <c r="I207" i="47"/>
  <c r="M207" i="47" s="1"/>
  <c r="H121" i="47"/>
  <c r="K121" i="46"/>
  <c r="F165" i="48"/>
  <c r="I165" i="48" s="1"/>
  <c r="I165" i="47"/>
  <c r="M165" i="47" s="1"/>
  <c r="H187" i="47"/>
  <c r="K187" i="46"/>
  <c r="F257" i="48"/>
  <c r="I257" i="48" s="1"/>
  <c r="I257" i="47"/>
  <c r="M257" i="47" s="1"/>
  <c r="H168" i="47"/>
  <c r="K168" i="46"/>
  <c r="K154" i="46"/>
  <c r="H154" i="47"/>
  <c r="H195" i="47"/>
  <c r="K195" i="46"/>
  <c r="I248" i="47"/>
  <c r="M248" i="47" s="1"/>
  <c r="F248" i="48"/>
  <c r="I248" i="48" s="1"/>
  <c r="F203" i="48"/>
  <c r="I203" i="48" s="1"/>
  <c r="I203" i="47"/>
  <c r="M203" i="47" s="1"/>
  <c r="H157" i="47"/>
  <c r="K157" i="46"/>
  <c r="F251" i="48"/>
  <c r="I251" i="48" s="1"/>
  <c r="I251" i="47"/>
  <c r="M251" i="47" s="1"/>
  <c r="H203" i="47"/>
  <c r="K203" i="46"/>
  <c r="H150" i="47"/>
  <c r="K150" i="46"/>
  <c r="F280" i="48"/>
  <c r="I280" i="48" s="1"/>
  <c r="I280" i="47"/>
  <c r="M280" i="47" s="1"/>
  <c r="H261" i="47"/>
  <c r="K261" i="46"/>
  <c r="K211" i="46"/>
  <c r="H211" i="47"/>
  <c r="K239" i="46"/>
  <c r="H239" i="47"/>
  <c r="F219" i="48"/>
  <c r="I219" i="48" s="1"/>
  <c r="I219" i="47"/>
  <c r="M219" i="47" s="1"/>
  <c r="F136" i="48"/>
  <c r="I136" i="48" s="1"/>
  <c r="I136" i="47"/>
  <c r="M136" i="47" s="1"/>
  <c r="K283" i="46"/>
  <c r="H283" i="47"/>
  <c r="F142" i="48"/>
  <c r="I142" i="48" s="1"/>
  <c r="I142" i="47"/>
  <c r="M142" i="47" s="1"/>
  <c r="F197" i="48"/>
  <c r="I197" i="48" s="1"/>
  <c r="I197" i="47"/>
  <c r="M197" i="47" s="1"/>
  <c r="H275" i="47"/>
  <c r="K275" i="46"/>
  <c r="H230" i="47"/>
  <c r="K230" i="46"/>
  <c r="H208" i="47"/>
  <c r="K208" i="46"/>
  <c r="F227" i="48"/>
  <c r="I227" i="48" s="1"/>
  <c r="I227" i="47"/>
  <c r="M227" i="47" s="1"/>
  <c r="F159" i="48"/>
  <c r="I159" i="48" s="1"/>
  <c r="I159" i="47"/>
  <c r="M159" i="47" s="1"/>
  <c r="H271" i="47"/>
  <c r="K271" i="46"/>
  <c r="F185" i="48"/>
  <c r="I185" i="48" s="1"/>
  <c r="I185" i="47"/>
  <c r="M185" i="47" s="1"/>
  <c r="I243" i="47"/>
  <c r="M243" i="47" s="1"/>
  <c r="F243" i="48"/>
  <c r="I243" i="48" s="1"/>
  <c r="F258" i="48"/>
  <c r="I258" i="48" s="1"/>
  <c r="I258" i="47"/>
  <c r="M258" i="47" s="1"/>
  <c r="F220" i="48"/>
  <c r="I220" i="48" s="1"/>
  <c r="I220" i="47"/>
  <c r="M220" i="47" s="1"/>
  <c r="I135" i="47"/>
  <c r="M135" i="47" s="1"/>
  <c r="F135" i="48"/>
  <c r="I135" i="48" s="1"/>
  <c r="H194" i="47"/>
  <c r="K194" i="46"/>
  <c r="F148" i="48"/>
  <c r="I148" i="48" s="1"/>
  <c r="I148" i="47"/>
  <c r="M148" i="47" s="1"/>
  <c r="F218" i="48"/>
  <c r="I218" i="48" s="1"/>
  <c r="I218" i="47"/>
  <c r="M218" i="47" s="1"/>
  <c r="H198" i="47"/>
  <c r="K198" i="46"/>
  <c r="H245" i="47"/>
  <c r="K245" i="46"/>
  <c r="F158" i="48"/>
  <c r="I158" i="48" s="1"/>
  <c r="I158" i="47"/>
  <c r="M158" i="47" s="1"/>
  <c r="H171" i="47"/>
  <c r="K171" i="46"/>
  <c r="K286" i="46"/>
  <c r="H286" i="47"/>
  <c r="H181" i="47"/>
  <c r="K181" i="46"/>
  <c r="H120" i="47"/>
  <c r="K120" i="46"/>
  <c r="F214" i="48"/>
  <c r="I214" i="48" s="1"/>
  <c r="I214" i="47"/>
  <c r="M214" i="47" s="1"/>
  <c r="H222" i="47"/>
  <c r="K222" i="46"/>
  <c r="F238" i="48"/>
  <c r="I238" i="48" s="1"/>
  <c r="I238" i="47"/>
  <c r="M238" i="47" s="1"/>
  <c r="H246" i="47"/>
  <c r="K246" i="46"/>
  <c r="I290" i="47"/>
  <c r="M290" i="47" s="1"/>
  <c r="F290" i="48"/>
  <c r="I290" i="48" s="1"/>
  <c r="H229" i="47"/>
  <c r="K229" i="46"/>
  <c r="H127" i="47"/>
  <c r="K127" i="46"/>
  <c r="I272" i="47"/>
  <c r="M272" i="47" s="1"/>
  <c r="F272" i="48"/>
  <c r="I272" i="48" s="1"/>
  <c r="F147" i="48"/>
  <c r="I147" i="48" s="1"/>
  <c r="I147" i="47"/>
  <c r="M147" i="47" s="1"/>
  <c r="I172" i="47"/>
  <c r="M172" i="47" s="1"/>
  <c r="F172" i="48"/>
  <c r="I172" i="48" s="1"/>
  <c r="F200" i="48"/>
  <c r="I200" i="48" s="1"/>
  <c r="I200" i="47"/>
  <c r="M200" i="47" s="1"/>
  <c r="H149" i="47"/>
  <c r="K149" i="46"/>
  <c r="H256" i="47"/>
  <c r="K256" i="46"/>
  <c r="H174" i="47"/>
  <c r="K174" i="46"/>
  <c r="F275" i="48"/>
  <c r="I275" i="48" s="1"/>
  <c r="I275" i="47"/>
  <c r="M275" i="47" s="1"/>
  <c r="F196" i="48"/>
  <c r="I196" i="48" s="1"/>
  <c r="I196" i="47"/>
  <c r="M196" i="47" s="1"/>
  <c r="F222" i="48"/>
  <c r="I222" i="48" s="1"/>
  <c r="I222" i="47"/>
  <c r="M222" i="47" s="1"/>
  <c r="K243" i="46"/>
  <c r="H243" i="47"/>
  <c r="H274" i="47"/>
  <c r="K274" i="46"/>
  <c r="F195" i="48"/>
  <c r="I195" i="48" s="1"/>
  <c r="I195" i="47"/>
  <c r="M195" i="47" s="1"/>
  <c r="H130" i="47"/>
  <c r="K130" i="46"/>
  <c r="H210" i="47"/>
  <c r="K210" i="46"/>
  <c r="K291" i="46"/>
  <c r="H291" i="47"/>
  <c r="K160" i="46"/>
  <c r="H160" i="47"/>
  <c r="K199" i="46"/>
  <c r="H199" i="47"/>
  <c r="I217" i="47"/>
  <c r="M217" i="47" s="1"/>
  <c r="F217" i="48"/>
  <c r="I217" i="48" s="1"/>
  <c r="F256" i="48"/>
  <c r="I256" i="48" s="1"/>
  <c r="I256" i="47"/>
  <c r="M256" i="47" s="1"/>
  <c r="K262" i="46"/>
  <c r="H262" i="47"/>
  <c r="H213" i="47"/>
  <c r="K213" i="46"/>
  <c r="F234" i="48"/>
  <c r="I234" i="48" s="1"/>
  <c r="I234" i="47"/>
  <c r="M234" i="47" s="1"/>
  <c r="F151" i="48"/>
  <c r="I151" i="48" s="1"/>
  <c r="I151" i="47"/>
  <c r="M151" i="47" s="1"/>
  <c r="H147" i="47"/>
  <c r="K147" i="46"/>
  <c r="F164" i="48"/>
  <c r="I164" i="48" s="1"/>
  <c r="I164" i="47"/>
  <c r="M164" i="47" s="1"/>
  <c r="H226" i="47"/>
  <c r="K226" i="46"/>
  <c r="H122" i="47"/>
  <c r="K122" i="46"/>
  <c r="I231" i="47"/>
  <c r="M231" i="47" s="1"/>
  <c r="F231" i="48"/>
  <c r="I231" i="48" s="1"/>
  <c r="H172" i="47"/>
  <c r="K172" i="46"/>
  <c r="F269" i="48"/>
  <c r="I269" i="48" s="1"/>
  <c r="I269" i="47"/>
  <c r="M269" i="47" s="1"/>
  <c r="I206" i="47"/>
  <c r="M206" i="47" s="1"/>
  <c r="F206" i="48"/>
  <c r="I206" i="48" s="1"/>
  <c r="I282" i="47"/>
  <c r="M282" i="47" s="1"/>
  <c r="F282" i="48"/>
  <c r="I282" i="48" s="1"/>
  <c r="F174" i="48"/>
  <c r="I174" i="48" s="1"/>
  <c r="I174" i="47"/>
  <c r="M174" i="47" s="1"/>
  <c r="H173" i="47"/>
  <c r="K173" i="46"/>
  <c r="H249" i="47"/>
  <c r="K249" i="46"/>
  <c r="F176" i="48"/>
  <c r="I176" i="48" s="1"/>
  <c r="I176" i="47"/>
  <c r="M176" i="47" s="1"/>
  <c r="K184" i="46"/>
  <c r="H184" i="47"/>
  <c r="H215" i="47"/>
  <c r="K215" i="46"/>
  <c r="H251" i="47"/>
  <c r="K251" i="46"/>
  <c r="I276" i="47"/>
  <c r="M276" i="47" s="1"/>
  <c r="F276" i="48"/>
  <c r="I276" i="48" s="1"/>
  <c r="F232" i="48"/>
  <c r="I232" i="48" s="1"/>
  <c r="I232" i="47"/>
  <c r="M232" i="47" s="1"/>
  <c r="H163" i="47"/>
  <c r="K163" i="46"/>
  <c r="F127" i="48"/>
  <c r="I127" i="48" s="1"/>
  <c r="I127" i="47"/>
  <c r="M127" i="47" s="1"/>
  <c r="H214" i="47"/>
  <c r="K214" i="46"/>
  <c r="F166" i="48"/>
  <c r="I166" i="48" s="1"/>
  <c r="I166" i="47"/>
  <c r="M166" i="47" s="1"/>
  <c r="F137" i="48"/>
  <c r="I137" i="48" s="1"/>
  <c r="I137" i="47"/>
  <c r="M137" i="47" s="1"/>
  <c r="H185" i="47"/>
  <c r="K185" i="46"/>
  <c r="H233" i="47"/>
  <c r="K233" i="46"/>
  <c r="H204" i="47"/>
  <c r="K204" i="46"/>
  <c r="K234" i="46"/>
  <c r="H234" i="47"/>
  <c r="K292" i="46"/>
  <c r="H292" i="47"/>
  <c r="F187" i="48"/>
  <c r="I187" i="48" s="1"/>
  <c r="I187" i="47"/>
  <c r="M187" i="47" s="1"/>
  <c r="F247" i="48"/>
  <c r="I247" i="48" s="1"/>
  <c r="I247" i="47"/>
  <c r="M247" i="47" s="1"/>
  <c r="I268" i="47"/>
  <c r="M268" i="47" s="1"/>
  <c r="F268" i="48"/>
  <c r="I268" i="48" s="1"/>
  <c r="F263" i="48"/>
  <c r="I263" i="48" s="1"/>
  <c r="I263" i="47"/>
  <c r="M263" i="47" s="1"/>
  <c r="K240" i="46"/>
  <c r="H240" i="47"/>
  <c r="H148" i="47"/>
  <c r="K148" i="46"/>
  <c r="H217" i="47"/>
  <c r="K217" i="46"/>
  <c r="I292" i="47"/>
  <c r="M292" i="47" s="1"/>
  <c r="F292" i="48"/>
  <c r="I292" i="48" s="1"/>
  <c r="I271" i="47"/>
  <c r="M271" i="47" s="1"/>
  <c r="F271" i="48"/>
  <c r="I271" i="48" s="1"/>
  <c r="F192" i="48"/>
  <c r="I192" i="48" s="1"/>
  <c r="I192" i="47"/>
  <c r="M192" i="47" s="1"/>
  <c r="F123" i="48"/>
  <c r="I123" i="48" s="1"/>
  <c r="I123" i="47"/>
  <c r="M123" i="47" s="1"/>
  <c r="F225" i="48"/>
  <c r="I225" i="48" s="1"/>
  <c r="I225" i="47"/>
  <c r="M225" i="47" s="1"/>
  <c r="H190" i="47"/>
  <c r="K190" i="46"/>
  <c r="H231" i="47"/>
  <c r="K231" i="46"/>
  <c r="I244" i="47"/>
  <c r="M244" i="47" s="1"/>
  <c r="F244" i="48"/>
  <c r="I244" i="48" s="1"/>
  <c r="K276" i="46"/>
  <c r="H276" i="47"/>
  <c r="F177" i="44"/>
  <c r="I177" i="43"/>
  <c r="M177" i="43" s="1"/>
  <c r="F163" i="48"/>
  <c r="I163" i="48" s="1"/>
  <c r="I163" i="47"/>
  <c r="M163" i="47" s="1"/>
  <c r="F279" i="48"/>
  <c r="I279" i="48" s="1"/>
  <c r="I279" i="47"/>
  <c r="M279" i="47" s="1"/>
  <c r="I246" i="47"/>
  <c r="M246" i="47" s="1"/>
  <c r="F246" i="48"/>
  <c r="I246" i="48" s="1"/>
  <c r="F119" i="48"/>
  <c r="I119" i="48" s="1"/>
  <c r="I119" i="47"/>
  <c r="M119" i="47" s="1"/>
  <c r="H242" i="47"/>
  <c r="K242" i="46"/>
  <c r="K158" i="46"/>
  <c r="H158" i="47"/>
  <c r="I124" i="47"/>
  <c r="M124" i="47" s="1"/>
  <c r="F124" i="48"/>
  <c r="I124" i="48" s="1"/>
  <c r="I230" i="47"/>
  <c r="M230" i="47" s="1"/>
  <c r="F230" i="48"/>
  <c r="I230" i="48" s="1"/>
  <c r="F150" i="48"/>
  <c r="I150" i="48" s="1"/>
  <c r="I150" i="47"/>
  <c r="M150" i="47" s="1"/>
  <c r="F171" i="48"/>
  <c r="I171" i="48" s="1"/>
  <c r="I171" i="47"/>
  <c r="M171" i="47" s="1"/>
  <c r="H288" i="47"/>
  <c r="K288" i="46"/>
  <c r="F162" i="48"/>
  <c r="I162" i="48" s="1"/>
  <c r="I162" i="47"/>
  <c r="M162" i="47" s="1"/>
  <c r="F139" i="48"/>
  <c r="I139" i="48" s="1"/>
  <c r="I139" i="47"/>
  <c r="M139" i="47" s="1"/>
  <c r="H200" i="47"/>
  <c r="K200" i="46"/>
  <c r="F213" i="48"/>
  <c r="I213" i="48" s="1"/>
  <c r="I213" i="47"/>
  <c r="M213" i="47" s="1"/>
  <c r="H183" i="47"/>
  <c r="K183" i="46"/>
  <c r="I202" i="47"/>
  <c r="M202" i="47" s="1"/>
  <c r="F202" i="48"/>
  <c r="I202" i="48" s="1"/>
  <c r="F288" i="48"/>
  <c r="I288" i="48" s="1"/>
  <c r="A319" i="31" s="1"/>
  <c r="I288" i="47"/>
  <c r="M288" i="47" s="1"/>
  <c r="H166" i="47"/>
  <c r="K166" i="46"/>
  <c r="F152" i="48"/>
  <c r="I152" i="48" s="1"/>
  <c r="I152" i="47"/>
  <c r="M152" i="47" s="1"/>
  <c r="F289" i="48"/>
  <c r="I289" i="48" s="1"/>
  <c r="A320" i="31" s="1"/>
  <c r="I289" i="47"/>
  <c r="M289" i="47" s="1"/>
  <c r="I287" i="47"/>
  <c r="M287" i="47" s="1"/>
  <c r="F287" i="48"/>
  <c r="I287" i="48" s="1"/>
  <c r="A318" i="31" s="1"/>
  <c r="F153" i="48"/>
  <c r="I153" i="48" s="1"/>
  <c r="I153" i="47"/>
  <c r="M153" i="47" s="1"/>
  <c r="K141" i="46"/>
  <c r="H141" i="47"/>
  <c r="K152" i="46"/>
  <c r="H152" i="47"/>
  <c r="F190" i="48"/>
  <c r="I190" i="48" s="1"/>
  <c r="I190" i="47"/>
  <c r="M190" i="47" s="1"/>
  <c r="H137" i="47"/>
  <c r="K137" i="46"/>
  <c r="H287" i="47"/>
  <c r="K287" i="46"/>
  <c r="F129" i="48"/>
  <c r="I129" i="48" s="1"/>
  <c r="I129" i="47"/>
  <c r="M129" i="47" s="1"/>
  <c r="I183" i="47"/>
  <c r="M183" i="47" s="1"/>
  <c r="F183" i="48"/>
  <c r="I183" i="48" s="1"/>
  <c r="F236" i="48"/>
  <c r="I236" i="48" s="1"/>
  <c r="I236" i="47"/>
  <c r="M236" i="47" s="1"/>
  <c r="F149" i="48"/>
  <c r="I149" i="48" s="1"/>
  <c r="I149" i="47"/>
  <c r="M149" i="47" s="1"/>
  <c r="H216" i="47"/>
  <c r="K216" i="46"/>
  <c r="F154" i="48"/>
  <c r="I154" i="48" s="1"/>
  <c r="I154" i="47"/>
  <c r="M154" i="47" s="1"/>
  <c r="H155" i="47"/>
  <c r="K155" i="46"/>
  <c r="H220" i="47"/>
  <c r="K220" i="46"/>
  <c r="F209" i="48"/>
  <c r="I209" i="48" s="1"/>
  <c r="I209" i="47"/>
  <c r="M209" i="47" s="1"/>
  <c r="F138" i="48"/>
  <c r="I138" i="48" s="1"/>
  <c r="I138" i="47"/>
  <c r="M138" i="47" s="1"/>
  <c r="K235" i="46"/>
  <c r="H235" i="47"/>
  <c r="H289" i="47"/>
  <c r="K289" i="46"/>
  <c r="I140" i="47"/>
  <c r="M140" i="47" s="1"/>
  <c r="F140" i="48"/>
  <c r="I140" i="48" s="1"/>
  <c r="F204" i="48"/>
  <c r="I204" i="48" s="1"/>
  <c r="I204" i="47"/>
  <c r="M204" i="47" s="1"/>
  <c r="H206" i="47"/>
  <c r="K206" i="46"/>
  <c r="H156" i="47"/>
  <c r="K156" i="46"/>
  <c r="I278" i="47"/>
  <c r="M278" i="47" s="1"/>
  <c r="C278" i="48"/>
  <c r="I278" i="48" s="1"/>
  <c r="H196" i="47"/>
  <c r="K196" i="46"/>
  <c r="H264" i="47"/>
  <c r="K264" i="46"/>
  <c r="F121" i="48"/>
  <c r="I121" i="48" s="1"/>
  <c r="I121" i="47"/>
  <c r="M121" i="47" s="1"/>
  <c r="F285" i="48"/>
  <c r="I285" i="48" s="1"/>
  <c r="I285" i="47"/>
  <c r="M285" i="47" s="1"/>
  <c r="H247" i="47"/>
  <c r="K247" i="46"/>
  <c r="H227" i="47"/>
  <c r="K227" i="46"/>
  <c r="H192" i="47"/>
  <c r="K192" i="46"/>
  <c r="F273" i="48"/>
  <c r="I273" i="48" s="1"/>
  <c r="I273" i="47"/>
  <c r="M273" i="47" s="1"/>
  <c r="F274" i="48"/>
  <c r="I274" i="48" s="1"/>
  <c r="I274" i="47"/>
  <c r="M274" i="47" s="1"/>
  <c r="H252" i="47"/>
  <c r="K252" i="46"/>
  <c r="H248" i="47"/>
  <c r="K248" i="46"/>
  <c r="I226" i="47"/>
  <c r="M226" i="47" s="1"/>
  <c r="F226" i="48"/>
  <c r="I226" i="48" s="1"/>
  <c r="H263" i="47"/>
  <c r="K263" i="46"/>
  <c r="H260" i="47"/>
  <c r="K260" i="46"/>
  <c r="H177" i="47"/>
  <c r="K177" i="46"/>
  <c r="F184" i="48"/>
  <c r="I184" i="48" s="1"/>
  <c r="I184" i="47"/>
  <c r="M184" i="47" s="1"/>
  <c r="F141" i="48"/>
  <c r="I141" i="48" s="1"/>
  <c r="I141" i="47"/>
  <c r="M141" i="47" s="1"/>
  <c r="F239" i="48"/>
  <c r="I239" i="48" s="1"/>
  <c r="I239" i="47"/>
  <c r="M239" i="47" s="1"/>
  <c r="H284" i="47"/>
  <c r="K284" i="46"/>
  <c r="I156" i="47"/>
  <c r="M156" i="47" s="1"/>
  <c r="F156" i="48"/>
  <c r="I156" i="48" s="1"/>
  <c r="F250" i="48"/>
  <c r="I250" i="48" s="1"/>
  <c r="I250" i="47"/>
  <c r="M250" i="47" s="1"/>
  <c r="H290" i="47"/>
  <c r="K290" i="46"/>
  <c r="F130" i="48"/>
  <c r="I130" i="48" s="1"/>
  <c r="I130" i="47"/>
  <c r="M130" i="47" s="1"/>
  <c r="H170" i="47"/>
  <c r="K170" i="46"/>
  <c r="F283" i="48"/>
  <c r="I283" i="48" s="1"/>
  <c r="I283" i="47"/>
  <c r="M283" i="47" s="1"/>
  <c r="F286" i="48"/>
  <c r="I286" i="48" s="1"/>
  <c r="I286" i="47"/>
  <c r="M286" i="47" s="1"/>
  <c r="H139" i="47"/>
  <c r="K139" i="46"/>
  <c r="H266" i="47"/>
  <c r="K266" i="46"/>
  <c r="H134" i="47"/>
  <c r="K134" i="46"/>
  <c r="H270" i="47"/>
  <c r="K270" i="46"/>
  <c r="K224" i="46"/>
  <c r="H224" i="47"/>
  <c r="H267" i="47"/>
  <c r="K267" i="46"/>
  <c r="F211" i="48"/>
  <c r="I211" i="48" s="1"/>
  <c r="I211" i="47"/>
  <c r="M211" i="47" s="1"/>
  <c r="I132" i="47"/>
  <c r="M132" i="47" s="1"/>
  <c r="F132" i="48"/>
  <c r="I132" i="48" s="1"/>
  <c r="F173" i="48"/>
  <c r="I173" i="48" s="1"/>
  <c r="I173" i="47"/>
  <c r="M173" i="47" s="1"/>
  <c r="F157" i="48"/>
  <c r="I157" i="48" s="1"/>
  <c r="I157" i="47"/>
  <c r="M157" i="47" s="1"/>
  <c r="H219" i="47"/>
  <c r="K219" i="46"/>
  <c r="F241" i="48"/>
  <c r="I241" i="48" s="1"/>
  <c r="I241" i="47"/>
  <c r="M241" i="47" s="1"/>
  <c r="H258" i="47"/>
  <c r="K258" i="46"/>
  <c r="F199" i="48"/>
  <c r="I199" i="48" s="1"/>
  <c r="I199" i="47"/>
  <c r="M199" i="47" s="1"/>
  <c r="F146" i="48"/>
  <c r="I146" i="48" s="1"/>
  <c r="I146" i="47"/>
  <c r="M146" i="47" s="1"/>
  <c r="H169" i="47"/>
  <c r="K169" i="46"/>
  <c r="F270" i="48"/>
  <c r="I270" i="48" s="1"/>
  <c r="I270" i="47"/>
  <c r="M270" i="47" s="1"/>
  <c r="F240" i="48"/>
  <c r="I240" i="48" s="1"/>
  <c r="I240" i="47"/>
  <c r="M240" i="47" s="1"/>
  <c r="F216" i="48"/>
  <c r="I216" i="48" s="1"/>
  <c r="I216" i="47"/>
  <c r="M216" i="47" s="1"/>
  <c r="K238" i="46"/>
  <c r="H238" i="47"/>
  <c r="F264" i="48"/>
  <c r="I264" i="48" s="1"/>
  <c r="I264" i="47"/>
  <c r="M264" i="47" s="1"/>
  <c r="H202" i="47"/>
  <c r="K202" i="46"/>
  <c r="K285" i="46"/>
  <c r="H285" i="47"/>
  <c r="F249" i="48"/>
  <c r="I249" i="48" s="1"/>
  <c r="I249" i="47"/>
  <c r="M249" i="47" s="1"/>
  <c r="F233" i="48"/>
  <c r="I233" i="48" s="1"/>
  <c r="I233" i="47"/>
  <c r="M233" i="47" s="1"/>
  <c r="K250" i="46"/>
  <c r="H250" i="47"/>
  <c r="H228" i="47"/>
  <c r="K228" i="46"/>
  <c r="K143" i="46"/>
  <c r="H143" i="47"/>
  <c r="H197" i="47"/>
  <c r="K197" i="46"/>
  <c r="I212" i="47"/>
  <c r="M212" i="47" s="1"/>
  <c r="C212" i="48"/>
  <c r="I212" i="48" s="1"/>
  <c r="F198" i="48"/>
  <c r="I198" i="48" s="1"/>
  <c r="I198" i="47"/>
  <c r="M198" i="47" s="1"/>
  <c r="H179" i="47"/>
  <c r="K179" i="46"/>
  <c r="F122" i="48"/>
  <c r="I122" i="48" s="1"/>
  <c r="I122" i="47"/>
  <c r="M122" i="47" s="1"/>
  <c r="F118" i="48"/>
  <c r="I118" i="48" s="1"/>
  <c r="I118" i="47"/>
  <c r="M118" i="47" s="1"/>
  <c r="H253" i="47"/>
  <c r="K253" i="46"/>
  <c r="F131" i="48"/>
  <c r="I131" i="48" s="1"/>
  <c r="I131" i="47"/>
  <c r="M131" i="47" s="1"/>
  <c r="H180" i="47"/>
  <c r="K180" i="46"/>
  <c r="K207" i="46"/>
  <c r="H207" i="47"/>
  <c r="H188" i="47"/>
  <c r="K188" i="46"/>
  <c r="F281" i="48"/>
  <c r="I281" i="48" s="1"/>
  <c r="I281" i="47"/>
  <c r="M281" i="47" s="1"/>
  <c r="H269" i="47"/>
  <c r="K269" i="46"/>
  <c r="K277" i="46"/>
  <c r="H277" i="47"/>
  <c r="F175" i="48"/>
  <c r="I175" i="48" s="1"/>
  <c r="I175" i="47"/>
  <c r="M175" i="47" s="1"/>
  <c r="F277" i="48"/>
  <c r="I277" i="48" s="1"/>
  <c r="I277" i="47"/>
  <c r="M277" i="47" s="1"/>
  <c r="H191" i="47"/>
  <c r="K191" i="46"/>
  <c r="H142" i="47"/>
  <c r="K142" i="46"/>
  <c r="H123" i="47"/>
  <c r="K123" i="46"/>
  <c r="F223" i="48"/>
  <c r="I223" i="48" s="1"/>
  <c r="I223" i="47"/>
  <c r="M223" i="47" s="1"/>
  <c r="K201" i="46"/>
  <c r="H201" i="47"/>
  <c r="F266" i="48"/>
  <c r="I266" i="48" s="1"/>
  <c r="I266" i="47"/>
  <c r="M266" i="47" s="1"/>
  <c r="F143" i="48"/>
  <c r="I143" i="48" s="1"/>
  <c r="I143" i="47"/>
  <c r="M143" i="47" s="1"/>
  <c r="I194" i="47"/>
  <c r="M194" i="47" s="1"/>
  <c r="F194" i="48"/>
  <c r="I194" i="48" s="1"/>
  <c r="K282" i="46"/>
  <c r="H282" i="47"/>
  <c r="F245" i="48"/>
  <c r="I245" i="48" s="1"/>
  <c r="I245" i="47"/>
  <c r="M245" i="47" s="1"/>
  <c r="M291" i="48" l="1"/>
  <c r="A322" i="31"/>
  <c r="M290" i="48"/>
  <c r="A321" i="31"/>
  <c r="M292" i="48"/>
  <c r="A323" i="31"/>
  <c r="P11" i="37"/>
  <c r="Q11" i="37"/>
  <c r="Q8" i="37"/>
  <c r="P16" i="37" s="1"/>
  <c r="P8" i="37"/>
  <c r="P15" i="37" s="1"/>
  <c r="Q15" i="37" s="1"/>
  <c r="P12" i="37"/>
  <c r="P9" i="37"/>
  <c r="Q9" i="37"/>
  <c r="P10" i="37"/>
  <c r="Q12" i="37"/>
  <c r="A165" i="31"/>
  <c r="M134" i="48"/>
  <c r="H282" i="48"/>
  <c r="K282" i="48" s="1"/>
  <c r="K282" i="47"/>
  <c r="A225" i="31"/>
  <c r="M194" i="48"/>
  <c r="K277" i="47"/>
  <c r="H277" i="48"/>
  <c r="K277" i="48" s="1"/>
  <c r="H207" i="48"/>
  <c r="K207" i="48" s="1"/>
  <c r="K207" i="47"/>
  <c r="A243" i="31"/>
  <c r="M212" i="48"/>
  <c r="K143" i="47"/>
  <c r="H143" i="48"/>
  <c r="K143" i="48" s="1"/>
  <c r="K250" i="47"/>
  <c r="H250" i="48"/>
  <c r="K250" i="48" s="1"/>
  <c r="H285" i="48"/>
  <c r="K285" i="48" s="1"/>
  <c r="K285" i="47"/>
  <c r="K238" i="47"/>
  <c r="H238" i="48"/>
  <c r="K238" i="48" s="1"/>
  <c r="A187" i="31"/>
  <c r="M156" i="48"/>
  <c r="M278" i="48"/>
  <c r="A309" i="31"/>
  <c r="M183" i="48"/>
  <c r="A214" i="31"/>
  <c r="K141" i="47"/>
  <c r="H141" i="48"/>
  <c r="K141" i="48" s="1"/>
  <c r="M230" i="48"/>
  <c r="A261" i="31"/>
  <c r="M124" i="48"/>
  <c r="A155" i="31"/>
  <c r="A275" i="31"/>
  <c r="M244" i="48"/>
  <c r="K234" i="47"/>
  <c r="H234" i="48"/>
  <c r="K234" i="48" s="1"/>
  <c r="A307" i="31"/>
  <c r="M276" i="48"/>
  <c r="K184" i="47"/>
  <c r="H184" i="48"/>
  <c r="K184" i="48" s="1"/>
  <c r="A313" i="31"/>
  <c r="M282" i="48"/>
  <c r="A262" i="31"/>
  <c r="M231" i="48"/>
  <c r="K262" i="47"/>
  <c r="H262" i="48"/>
  <c r="K262" i="48" s="1"/>
  <c r="K199" i="47"/>
  <c r="H199" i="48"/>
  <c r="K199" i="48" s="1"/>
  <c r="K291" i="47"/>
  <c r="H291" i="48"/>
  <c r="K291" i="48" s="1"/>
  <c r="K243" i="47"/>
  <c r="H243" i="48"/>
  <c r="K243" i="48" s="1"/>
  <c r="A166" i="31"/>
  <c r="M135" i="48"/>
  <c r="K211" i="47"/>
  <c r="H211" i="48"/>
  <c r="K211" i="48" s="1"/>
  <c r="A279" i="31"/>
  <c r="M248" i="48"/>
  <c r="K154" i="47"/>
  <c r="H154" i="48"/>
  <c r="K154" i="48" s="1"/>
  <c r="A219" i="31"/>
  <c r="M188" i="48"/>
  <c r="K145" i="47"/>
  <c r="H145" i="48"/>
  <c r="K145" i="48" s="1"/>
  <c r="A191" i="31"/>
  <c r="M160" i="48"/>
  <c r="K125" i="47"/>
  <c r="H125" i="48"/>
  <c r="K125" i="48" s="1"/>
  <c r="M235" i="48"/>
  <c r="A266" i="31"/>
  <c r="K165" i="47"/>
  <c r="H165" i="48"/>
  <c r="K165" i="48" s="1"/>
  <c r="K201" i="47"/>
  <c r="H201" i="48"/>
  <c r="K201" i="48" s="1"/>
  <c r="M132" i="48"/>
  <c r="A163" i="31"/>
  <c r="H224" i="48"/>
  <c r="K224" i="48" s="1"/>
  <c r="K224" i="47"/>
  <c r="M226" i="48"/>
  <c r="A257" i="31"/>
  <c r="A171" i="31"/>
  <c r="M140" i="48"/>
  <c r="H235" i="48"/>
  <c r="K235" i="48" s="1"/>
  <c r="K235" i="47"/>
  <c r="H152" i="48"/>
  <c r="K152" i="48" s="1"/>
  <c r="K152" i="47"/>
  <c r="M287" i="48"/>
  <c r="A233" i="31"/>
  <c r="M202" i="48"/>
  <c r="K158" i="47"/>
  <c r="H158" i="48"/>
  <c r="K158" i="48" s="1"/>
  <c r="M246" i="48"/>
  <c r="A277" i="31"/>
  <c r="H276" i="48"/>
  <c r="K276" i="48" s="1"/>
  <c r="K276" i="47"/>
  <c r="A302" i="31"/>
  <c r="M271" i="48"/>
  <c r="K240" i="47"/>
  <c r="H240" i="48"/>
  <c r="K240" i="48" s="1"/>
  <c r="M268" i="48"/>
  <c r="A299" i="31"/>
  <c r="K292" i="47"/>
  <c r="H292" i="48"/>
  <c r="K292" i="48" s="1"/>
  <c r="A237" i="31"/>
  <c r="M206" i="48"/>
  <c r="A248" i="31"/>
  <c r="M217" i="48"/>
  <c r="H160" i="48"/>
  <c r="K160" i="48" s="1"/>
  <c r="K160" i="47"/>
  <c r="A203" i="31"/>
  <c r="M172" i="48"/>
  <c r="A303" i="31"/>
  <c r="M272" i="48"/>
  <c r="H286" i="48"/>
  <c r="K286" i="48" s="1"/>
  <c r="K286" i="47"/>
  <c r="M243" i="48"/>
  <c r="A274" i="31"/>
  <c r="K283" i="47"/>
  <c r="H283" i="48"/>
  <c r="K283" i="48" s="1"/>
  <c r="K239" i="47"/>
  <c r="H239" i="48"/>
  <c r="K239" i="48" s="1"/>
  <c r="H244" i="48"/>
  <c r="K244" i="48" s="1"/>
  <c r="K244" i="47"/>
  <c r="A198" i="31"/>
  <c r="M167" i="48"/>
  <c r="A222" i="31"/>
  <c r="M191" i="48"/>
  <c r="M145" i="48"/>
  <c r="A176" i="31"/>
  <c r="A220" i="31"/>
  <c r="M189" i="48"/>
  <c r="K273" i="47"/>
  <c r="H273" i="48"/>
  <c r="K273" i="48" s="1"/>
  <c r="K126" i="47"/>
  <c r="H126" i="48"/>
  <c r="K126" i="48" s="1"/>
  <c r="A192" i="31"/>
  <c r="M161" i="48"/>
  <c r="K146" i="47"/>
  <c r="H146" i="48"/>
  <c r="K146" i="48" s="1"/>
  <c r="A199" i="31"/>
  <c r="M168" i="48"/>
  <c r="H218" i="48"/>
  <c r="K218" i="48" s="1"/>
  <c r="K218" i="47"/>
  <c r="K131" i="47"/>
  <c r="H131" i="48"/>
  <c r="K131" i="48" s="1"/>
  <c r="K176" i="47"/>
  <c r="H176" i="48"/>
  <c r="K176" i="48" s="1"/>
  <c r="M133" i="48"/>
  <c r="A164" i="31"/>
  <c r="A236" i="31"/>
  <c r="M205" i="48"/>
  <c r="K236" i="47"/>
  <c r="H236" i="48"/>
  <c r="K236" i="48" s="1"/>
  <c r="K118" i="47"/>
  <c r="H118" i="48"/>
  <c r="K118" i="48" s="1"/>
  <c r="K151" i="47"/>
  <c r="H151" i="48"/>
  <c r="K151" i="48" s="1"/>
  <c r="H138" i="48"/>
  <c r="K138" i="48" s="1"/>
  <c r="K138" i="47"/>
  <c r="M266" i="48"/>
  <c r="A297" i="31"/>
  <c r="A254" i="31"/>
  <c r="M223" i="48"/>
  <c r="K123" i="47"/>
  <c r="H123" i="48"/>
  <c r="K123" i="48" s="1"/>
  <c r="H191" i="48"/>
  <c r="K191" i="48" s="1"/>
  <c r="K191" i="47"/>
  <c r="M277" i="48"/>
  <c r="A308" i="31"/>
  <c r="A312" i="31"/>
  <c r="M281" i="48"/>
  <c r="M118" i="48"/>
  <c r="A149" i="31"/>
  <c r="K179" i="47"/>
  <c r="H179" i="48"/>
  <c r="K179" i="48" s="1"/>
  <c r="A264" i="31"/>
  <c r="M233" i="48"/>
  <c r="M249" i="48"/>
  <c r="A280" i="31"/>
  <c r="M240" i="48"/>
  <c r="A271" i="31"/>
  <c r="H169" i="48"/>
  <c r="K169" i="48" s="1"/>
  <c r="K169" i="47"/>
  <c r="A230" i="31"/>
  <c r="M199" i="48"/>
  <c r="A272" i="31"/>
  <c r="M241" i="48"/>
  <c r="H219" i="48"/>
  <c r="K219" i="48" s="1"/>
  <c r="K219" i="47"/>
  <c r="A242" i="31"/>
  <c r="M211" i="48"/>
  <c r="H270" i="48"/>
  <c r="K270" i="48" s="1"/>
  <c r="K270" i="47"/>
  <c r="K134" i="47"/>
  <c r="H134" i="48"/>
  <c r="K134" i="48" s="1"/>
  <c r="H139" i="48"/>
  <c r="K139" i="48" s="1"/>
  <c r="K139" i="47"/>
  <c r="A161" i="31"/>
  <c r="M130" i="48"/>
  <c r="K290" i="47"/>
  <c r="H290" i="48"/>
  <c r="K290" i="48" s="1"/>
  <c r="A172" i="31"/>
  <c r="M141" i="48"/>
  <c r="K177" i="47"/>
  <c r="H177" i="48"/>
  <c r="K177" i="48" s="1"/>
  <c r="H263" i="48"/>
  <c r="K263" i="48" s="1"/>
  <c r="K263" i="47"/>
  <c r="H248" i="48"/>
  <c r="K248" i="48" s="1"/>
  <c r="K248" i="47"/>
  <c r="K192" i="47"/>
  <c r="H192" i="48"/>
  <c r="K192" i="48" s="1"/>
  <c r="H227" i="48"/>
  <c r="K227" i="48" s="1"/>
  <c r="K227" i="47"/>
  <c r="K247" i="47"/>
  <c r="H247" i="48"/>
  <c r="K247" i="48" s="1"/>
  <c r="K264" i="47"/>
  <c r="H264" i="48"/>
  <c r="K264" i="48" s="1"/>
  <c r="H156" i="48"/>
  <c r="K156" i="48" s="1"/>
  <c r="K156" i="47"/>
  <c r="A235" i="31"/>
  <c r="M204" i="48"/>
  <c r="H289" i="48"/>
  <c r="K289" i="48" s="1"/>
  <c r="K289" i="47"/>
  <c r="M138" i="48"/>
  <c r="A169" i="31"/>
  <c r="M209" i="48"/>
  <c r="A240" i="31"/>
  <c r="H220" i="48"/>
  <c r="K220" i="48" s="1"/>
  <c r="K220" i="47"/>
  <c r="K155" i="47"/>
  <c r="H155" i="48"/>
  <c r="K155" i="48" s="1"/>
  <c r="K216" i="47"/>
  <c r="H216" i="48"/>
  <c r="K216" i="48" s="1"/>
  <c r="A267" i="31"/>
  <c r="M236" i="48"/>
  <c r="A160" i="31"/>
  <c r="M129" i="48"/>
  <c r="K137" i="47"/>
  <c r="H137" i="48"/>
  <c r="K137" i="48" s="1"/>
  <c r="A221" i="31"/>
  <c r="M190" i="48"/>
  <c r="A184" i="31"/>
  <c r="M153" i="48"/>
  <c r="M289" i="48"/>
  <c r="M288" i="48"/>
  <c r="H183" i="48"/>
  <c r="K183" i="48" s="1"/>
  <c r="K183" i="47"/>
  <c r="M213" i="48"/>
  <c r="A244" i="31"/>
  <c r="A170" i="31"/>
  <c r="M139" i="48"/>
  <c r="H288" i="48"/>
  <c r="K288" i="48" s="1"/>
  <c r="K288" i="47"/>
  <c r="A150" i="31"/>
  <c r="M119" i="48"/>
  <c r="M279" i="48"/>
  <c r="A310" i="31"/>
  <c r="F177" i="45"/>
  <c r="I177" i="44"/>
  <c r="M177" i="44" s="1"/>
  <c r="K231" i="47"/>
  <c r="H231" i="48"/>
  <c r="K231" i="48" s="1"/>
  <c r="A256" i="31"/>
  <c r="M225" i="48"/>
  <c r="A223" i="31"/>
  <c r="M192" i="48"/>
  <c r="H217" i="48"/>
  <c r="K217" i="48" s="1"/>
  <c r="K217" i="47"/>
  <c r="M263" i="48"/>
  <c r="A294" i="31"/>
  <c r="M247" i="48"/>
  <c r="A278" i="31"/>
  <c r="A218" i="31"/>
  <c r="M187" i="48"/>
  <c r="H185" i="48"/>
  <c r="K185" i="48" s="1"/>
  <c r="K185" i="47"/>
  <c r="A197" i="31"/>
  <c r="M166" i="48"/>
  <c r="H214" i="48"/>
  <c r="K214" i="48" s="1"/>
  <c r="K214" i="47"/>
  <c r="K163" i="47"/>
  <c r="H163" i="48"/>
  <c r="K163" i="48" s="1"/>
  <c r="H215" i="48"/>
  <c r="K215" i="48" s="1"/>
  <c r="K215" i="47"/>
  <c r="A207" i="31"/>
  <c r="M176" i="48"/>
  <c r="H173" i="48"/>
  <c r="K173" i="48" s="1"/>
  <c r="K173" i="47"/>
  <c r="H172" i="48"/>
  <c r="K172" i="48" s="1"/>
  <c r="K172" i="47"/>
  <c r="K226" i="47"/>
  <c r="H226" i="48"/>
  <c r="K226" i="48" s="1"/>
  <c r="M164" i="48"/>
  <c r="A195" i="31"/>
  <c r="A182" i="31"/>
  <c r="M151" i="48"/>
  <c r="A265" i="31"/>
  <c r="M234" i="48"/>
  <c r="K213" i="47"/>
  <c r="H213" i="48"/>
  <c r="K213" i="48" s="1"/>
  <c r="K210" i="47"/>
  <c r="H210" i="48"/>
  <c r="K210" i="48" s="1"/>
  <c r="H274" i="48"/>
  <c r="K274" i="48" s="1"/>
  <c r="K274" i="47"/>
  <c r="A227" i="31"/>
  <c r="M196" i="48"/>
  <c r="K174" i="47"/>
  <c r="H174" i="48"/>
  <c r="K174" i="48" s="1"/>
  <c r="K149" i="47"/>
  <c r="H149" i="48"/>
  <c r="K149" i="48" s="1"/>
  <c r="M200" i="48"/>
  <c r="A231" i="31"/>
  <c r="A178" i="31"/>
  <c r="M147" i="48"/>
  <c r="H127" i="48"/>
  <c r="K127" i="48" s="1"/>
  <c r="K127" i="47"/>
  <c r="K229" i="47"/>
  <c r="H229" i="48"/>
  <c r="K229" i="48" s="1"/>
  <c r="H246" i="48"/>
  <c r="K246" i="48" s="1"/>
  <c r="K246" i="47"/>
  <c r="M238" i="48"/>
  <c r="A269" i="31"/>
  <c r="H222" i="48"/>
  <c r="K222" i="48" s="1"/>
  <c r="K222" i="47"/>
  <c r="H120" i="48"/>
  <c r="K120" i="48" s="1"/>
  <c r="K120" i="47"/>
  <c r="H171" i="48"/>
  <c r="K171" i="48" s="1"/>
  <c r="K171" i="47"/>
  <c r="K245" i="47"/>
  <c r="H245" i="48"/>
  <c r="K245" i="48" s="1"/>
  <c r="A249" i="31"/>
  <c r="M218" i="48"/>
  <c r="A179" i="31"/>
  <c r="M148" i="48"/>
  <c r="M258" i="48"/>
  <c r="A289" i="31"/>
  <c r="K271" i="47"/>
  <c r="H271" i="48"/>
  <c r="K271" i="48" s="1"/>
  <c r="A258" i="31"/>
  <c r="M227" i="48"/>
  <c r="K275" i="47"/>
  <c r="H275" i="48"/>
  <c r="K275" i="48" s="1"/>
  <c r="A173" i="31"/>
  <c r="M142" i="48"/>
  <c r="A167" i="31"/>
  <c r="M136" i="48"/>
  <c r="K150" i="47"/>
  <c r="H150" i="48"/>
  <c r="K150" i="48" s="1"/>
  <c r="A282" i="31"/>
  <c r="M251" i="48"/>
  <c r="K157" i="47"/>
  <c r="H157" i="48"/>
  <c r="K157" i="48" s="1"/>
  <c r="A196" i="31"/>
  <c r="M165" i="48"/>
  <c r="K121" i="47"/>
  <c r="H121" i="48"/>
  <c r="K121" i="48" s="1"/>
  <c r="A238" i="31"/>
  <c r="M207" i="48"/>
  <c r="A217" i="31"/>
  <c r="M186" i="48"/>
  <c r="K129" i="47"/>
  <c r="H129" i="48"/>
  <c r="K129" i="48" s="1"/>
  <c r="M267" i="48"/>
  <c r="A298" i="31"/>
  <c r="A210" i="31"/>
  <c r="M179" i="48"/>
  <c r="M144" i="48"/>
  <c r="A175" i="31"/>
  <c r="K189" i="47"/>
  <c r="H189" i="48"/>
  <c r="K189" i="48" s="1"/>
  <c r="K124" i="47"/>
  <c r="H124" i="48"/>
  <c r="K124" i="48" s="1"/>
  <c r="K254" i="47"/>
  <c r="H254" i="48"/>
  <c r="K254" i="48" s="1"/>
  <c r="K241" i="47"/>
  <c r="H241" i="48"/>
  <c r="K241" i="48" s="1"/>
  <c r="H205" i="48"/>
  <c r="K205" i="48" s="1"/>
  <c r="K205" i="47"/>
  <c r="A201" i="31"/>
  <c r="M170" i="48"/>
  <c r="K221" i="47"/>
  <c r="H221" i="48"/>
  <c r="K221" i="48" s="1"/>
  <c r="A292" i="31"/>
  <c r="M261" i="48"/>
  <c r="A157" i="31"/>
  <c r="M126" i="48"/>
  <c r="K159" i="47"/>
  <c r="H159" i="48"/>
  <c r="K159" i="48" s="1"/>
  <c r="H167" i="48"/>
  <c r="K167" i="48" s="1"/>
  <c r="K167" i="47"/>
  <c r="K280" i="47"/>
  <c r="H280" i="48"/>
  <c r="K280" i="48" s="1"/>
  <c r="K268" i="47"/>
  <c r="H268" i="48"/>
  <c r="K268" i="48" s="1"/>
  <c r="H153" i="48"/>
  <c r="K153" i="48" s="1"/>
  <c r="K153" i="47"/>
  <c r="A283" i="31"/>
  <c r="M252" i="48"/>
  <c r="M242" i="48"/>
  <c r="A273" i="31"/>
  <c r="H161" i="48"/>
  <c r="K161" i="48" s="1"/>
  <c r="K161" i="47"/>
  <c r="M262" i="48"/>
  <c r="A293" i="31"/>
  <c r="A315" i="31"/>
  <c r="M284" i="48"/>
  <c r="K164" i="47"/>
  <c r="H164" i="48"/>
  <c r="K164" i="48" s="1"/>
  <c r="A186" i="31"/>
  <c r="M155" i="48"/>
  <c r="K178" i="47"/>
  <c r="H178" i="48"/>
  <c r="K178" i="48" s="1"/>
  <c r="K223" i="47"/>
  <c r="H223" i="48"/>
  <c r="K223" i="48" s="1"/>
  <c r="M120" i="48"/>
  <c r="A151" i="31"/>
  <c r="K132" i="47"/>
  <c r="H132" i="48"/>
  <c r="K132" i="48" s="1"/>
  <c r="K140" i="47"/>
  <c r="H140" i="48"/>
  <c r="K140" i="48" s="1"/>
  <c r="K257" i="47"/>
  <c r="H257" i="48"/>
  <c r="K257" i="48" s="1"/>
  <c r="M143" i="48"/>
  <c r="A174" i="31"/>
  <c r="K142" i="47"/>
  <c r="H142" i="48"/>
  <c r="K142" i="48" s="1"/>
  <c r="A206" i="31"/>
  <c r="M175" i="48"/>
  <c r="K269" i="47"/>
  <c r="H269" i="48"/>
  <c r="K269" i="48" s="1"/>
  <c r="K188" i="47"/>
  <c r="H188" i="48"/>
  <c r="K188" i="48" s="1"/>
  <c r="H180" i="48"/>
  <c r="K180" i="48" s="1"/>
  <c r="K180" i="47"/>
  <c r="M131" i="48"/>
  <c r="A162" i="31"/>
  <c r="K253" i="47"/>
  <c r="H253" i="48"/>
  <c r="K253" i="48" s="1"/>
  <c r="A153" i="31"/>
  <c r="M122" i="48"/>
  <c r="M198" i="48"/>
  <c r="A229" i="31"/>
  <c r="H197" i="48"/>
  <c r="K197" i="48" s="1"/>
  <c r="K197" i="47"/>
  <c r="H228" i="48"/>
  <c r="K228" i="48" s="1"/>
  <c r="K228" i="47"/>
  <c r="K202" i="47"/>
  <c r="H202" i="48"/>
  <c r="K202" i="48" s="1"/>
  <c r="M264" i="48"/>
  <c r="A295" i="31"/>
  <c r="A247" i="31"/>
  <c r="M216" i="48"/>
  <c r="M270" i="48"/>
  <c r="A301" i="31"/>
  <c r="M146" i="48"/>
  <c r="A177" i="31"/>
  <c r="H258" i="48"/>
  <c r="K258" i="48" s="1"/>
  <c r="K258" i="47"/>
  <c r="M157" i="48"/>
  <c r="A188" i="31"/>
  <c r="M173" i="48"/>
  <c r="A204" i="31"/>
  <c r="H267" i="48"/>
  <c r="K267" i="48" s="1"/>
  <c r="K267" i="47"/>
  <c r="K266" i="47"/>
  <c r="H266" i="48"/>
  <c r="K266" i="48" s="1"/>
  <c r="A317" i="31"/>
  <c r="M286" i="48"/>
  <c r="A314" i="31"/>
  <c r="M283" i="48"/>
  <c r="K170" i="47"/>
  <c r="H170" i="48"/>
  <c r="K170" i="48" s="1"/>
  <c r="M250" i="48"/>
  <c r="A281" i="31"/>
  <c r="H284" i="48"/>
  <c r="K284" i="48" s="1"/>
  <c r="K284" i="47"/>
  <c r="M239" i="48"/>
  <c r="A270" i="31"/>
  <c r="A215" i="31"/>
  <c r="M184" i="48"/>
  <c r="K260" i="47"/>
  <c r="H260" i="48"/>
  <c r="K260" i="48" s="1"/>
  <c r="K252" i="47"/>
  <c r="H252" i="48"/>
  <c r="K252" i="48" s="1"/>
  <c r="A305" i="31"/>
  <c r="M274" i="48"/>
  <c r="A304" i="31"/>
  <c r="M273" i="48"/>
  <c r="M285" i="48"/>
  <c r="A316" i="31"/>
  <c r="A152" i="31"/>
  <c r="M121" i="48"/>
  <c r="K196" i="47"/>
  <c r="H196" i="48"/>
  <c r="K196" i="48" s="1"/>
  <c r="K206" i="47"/>
  <c r="H206" i="48"/>
  <c r="K206" i="48" s="1"/>
  <c r="A185" i="31"/>
  <c r="M154" i="48"/>
  <c r="A180" i="31"/>
  <c r="M149" i="48"/>
  <c r="K287" i="47"/>
  <c r="H287" i="48"/>
  <c r="K287" i="48" s="1"/>
  <c r="M152" i="48"/>
  <c r="A183" i="31"/>
  <c r="H166" i="48"/>
  <c r="K166" i="48" s="1"/>
  <c r="K166" i="47"/>
  <c r="K200" i="47"/>
  <c r="H200" i="48"/>
  <c r="K200" i="48" s="1"/>
  <c r="A193" i="31"/>
  <c r="M162" i="48"/>
  <c r="A202" i="31"/>
  <c r="M171" i="48"/>
  <c r="A181" i="31"/>
  <c r="M150" i="48"/>
  <c r="K242" i="47"/>
  <c r="H242" i="48"/>
  <c r="K242" i="48" s="1"/>
  <c r="A194" i="31"/>
  <c r="M163" i="48"/>
  <c r="H190" i="48"/>
  <c r="K190" i="48" s="1"/>
  <c r="K190" i="47"/>
  <c r="A154" i="31"/>
  <c r="M123" i="48"/>
  <c r="K148" i="47"/>
  <c r="H148" i="48"/>
  <c r="K148" i="48" s="1"/>
  <c r="H204" i="48"/>
  <c r="K204" i="48" s="1"/>
  <c r="K204" i="47"/>
  <c r="H233" i="48"/>
  <c r="K233" i="48" s="1"/>
  <c r="K233" i="47"/>
  <c r="M137" i="48"/>
  <c r="A168" i="31"/>
  <c r="M127" i="48"/>
  <c r="A158" i="31"/>
  <c r="A263" i="31"/>
  <c r="M232" i="48"/>
  <c r="K251" i="47"/>
  <c r="H251" i="48"/>
  <c r="K251" i="48" s="1"/>
  <c r="K249" i="47"/>
  <c r="H249" i="48"/>
  <c r="K249" i="48" s="1"/>
  <c r="A205" i="31"/>
  <c r="M174" i="48"/>
  <c r="M269" i="48"/>
  <c r="A300" i="31"/>
  <c r="K122" i="47"/>
  <c r="H122" i="48"/>
  <c r="K122" i="48" s="1"/>
  <c r="K147" i="47"/>
  <c r="H147" i="48"/>
  <c r="K147" i="48" s="1"/>
  <c r="M256" i="48"/>
  <c r="A287" i="31"/>
  <c r="H130" i="48"/>
  <c r="K130" i="48" s="1"/>
  <c r="K130" i="47"/>
  <c r="M195" i="48"/>
  <c r="A226" i="31"/>
  <c r="M222" i="48"/>
  <c r="A253" i="31"/>
  <c r="M275" i="48"/>
  <c r="A306" i="31"/>
  <c r="K256" i="47"/>
  <c r="H256" i="48"/>
  <c r="K256" i="48" s="1"/>
  <c r="A245" i="31"/>
  <c r="M214" i="48"/>
  <c r="H181" i="48"/>
  <c r="K181" i="48" s="1"/>
  <c r="K181" i="47"/>
  <c r="M158" i="48"/>
  <c r="A189" i="31"/>
  <c r="K198" i="47"/>
  <c r="H198" i="48"/>
  <c r="K198" i="48" s="1"/>
  <c r="K194" i="47"/>
  <c r="H194" i="48"/>
  <c r="K194" i="48" s="1"/>
  <c r="A251" i="31"/>
  <c r="M220" i="48"/>
  <c r="M185" i="48"/>
  <c r="A216" i="31"/>
  <c r="A190" i="31"/>
  <c r="M159" i="48"/>
  <c r="H208" i="48"/>
  <c r="K208" i="48" s="1"/>
  <c r="K208" i="47"/>
  <c r="K230" i="47"/>
  <c r="H230" i="48"/>
  <c r="K230" i="48" s="1"/>
  <c r="M197" i="48"/>
  <c r="A228" i="31"/>
  <c r="A250" i="31"/>
  <c r="M219" i="48"/>
  <c r="H261" i="48"/>
  <c r="K261" i="48" s="1"/>
  <c r="K261" i="47"/>
  <c r="A311" i="31"/>
  <c r="M280" i="48"/>
  <c r="K203" i="47"/>
  <c r="H203" i="48"/>
  <c r="K203" i="48" s="1"/>
  <c r="A234" i="31"/>
  <c r="M203" i="48"/>
  <c r="H195" i="48"/>
  <c r="K195" i="48" s="1"/>
  <c r="K195" i="47"/>
  <c r="K168" i="47"/>
  <c r="H168" i="48"/>
  <c r="K168" i="48" s="1"/>
  <c r="A288" i="31"/>
  <c r="M257" i="48"/>
  <c r="H187" i="48"/>
  <c r="K187" i="48" s="1"/>
  <c r="K187" i="47"/>
  <c r="K136" i="47"/>
  <c r="H136" i="48"/>
  <c r="K136" i="48" s="1"/>
  <c r="A156" i="31"/>
  <c r="M125" i="48"/>
  <c r="H281" i="48"/>
  <c r="K281" i="48" s="1"/>
  <c r="K281" i="47"/>
  <c r="H265" i="48"/>
  <c r="K265" i="48" s="1"/>
  <c r="K265" i="47"/>
  <c r="K162" i="47"/>
  <c r="H162" i="48"/>
  <c r="K162" i="48" s="1"/>
  <c r="M208" i="48"/>
  <c r="A239" i="31"/>
  <c r="K225" i="47"/>
  <c r="H225" i="48"/>
  <c r="K225" i="48" s="1"/>
  <c r="A246" i="31"/>
  <c r="M215" i="48"/>
  <c r="M228" i="48"/>
  <c r="A259" i="31"/>
  <c r="A241" i="31"/>
  <c r="M210" i="48"/>
  <c r="M260" i="48"/>
  <c r="A291" i="31"/>
  <c r="H144" i="48"/>
  <c r="K144" i="48" s="1"/>
  <c r="K144" i="47"/>
  <c r="M265" i="48"/>
  <c r="A296" i="31"/>
  <c r="K232" i="47"/>
  <c r="H232" i="48"/>
  <c r="K232" i="48" s="1"/>
  <c r="H279" i="48"/>
  <c r="K279" i="48" s="1"/>
  <c r="K279" i="47"/>
  <c r="K175" i="47"/>
  <c r="H175" i="48"/>
  <c r="K175" i="48" s="1"/>
  <c r="H209" i="48"/>
  <c r="K209" i="48" s="1"/>
  <c r="K209" i="47"/>
  <c r="A212" i="31"/>
  <c r="M181" i="48"/>
  <c r="A255" i="31"/>
  <c r="M224" i="48"/>
  <c r="K182" i="47"/>
  <c r="H182" i="48"/>
  <c r="K182" i="48" s="1"/>
  <c r="M201" i="48"/>
  <c r="A232" i="31"/>
  <c r="M253" i="48"/>
  <c r="A284" i="31"/>
  <c r="M182" i="48"/>
  <c r="A213" i="31"/>
  <c r="M254" i="48"/>
  <c r="A285" i="31"/>
  <c r="K237" i="47"/>
  <c r="H237" i="48"/>
  <c r="K237" i="48" s="1"/>
  <c r="K278" i="47"/>
  <c r="H278" i="48"/>
  <c r="K278" i="48" s="1"/>
  <c r="M229" i="48"/>
  <c r="A260" i="31"/>
  <c r="A211" i="31"/>
  <c r="M180" i="48"/>
  <c r="A252" i="31"/>
  <c r="M221" i="48"/>
  <c r="H119" i="48"/>
  <c r="K119" i="48" s="1"/>
  <c r="K119" i="47"/>
  <c r="K135" i="47"/>
  <c r="H135" i="48"/>
  <c r="K135" i="48" s="1"/>
  <c r="K272" i="47"/>
  <c r="H272" i="48"/>
  <c r="K272" i="48" s="1"/>
  <c r="K133" i="47"/>
  <c r="H133" i="48"/>
  <c r="K133" i="48" s="1"/>
  <c r="A200" i="31"/>
  <c r="M169" i="48"/>
  <c r="K255" i="47"/>
  <c r="H255" i="48"/>
  <c r="K255" i="48" s="1"/>
  <c r="K186" i="47"/>
  <c r="H186" i="48"/>
  <c r="K186" i="48" s="1"/>
  <c r="K212" i="47"/>
  <c r="H212" i="48"/>
  <c r="K212" i="48" s="1"/>
  <c r="M245" i="48"/>
  <c r="A276" i="31"/>
  <c r="D119" i="38" l="1"/>
  <c r="J119" i="38" s="1"/>
  <c r="N119" i="38" s="1"/>
  <c r="D283" i="38"/>
  <c r="J283" i="38" s="1"/>
  <c r="N283" i="38" s="1"/>
  <c r="D174" i="38"/>
  <c r="J174" i="38" s="1"/>
  <c r="N174" i="38" s="1"/>
  <c r="D213" i="38"/>
  <c r="J213" i="38" s="1"/>
  <c r="N213" i="38" s="1"/>
  <c r="D205" i="38"/>
  <c r="J205" i="38" s="1"/>
  <c r="N205" i="38" s="1"/>
  <c r="D292" i="38"/>
  <c r="J292" i="38" s="1"/>
  <c r="N292" i="38" s="1"/>
  <c r="D197" i="38"/>
  <c r="J197" i="38" s="1"/>
  <c r="N197" i="38" s="1"/>
  <c r="D276" i="38"/>
  <c r="J276" i="38" s="1"/>
  <c r="N276" i="38" s="1"/>
  <c r="D124" i="38"/>
  <c r="J124" i="38" s="1"/>
  <c r="N124" i="38" s="1"/>
  <c r="D138" i="38"/>
  <c r="J138" i="38" s="1"/>
  <c r="N138" i="38" s="1"/>
  <c r="D273" i="38"/>
  <c r="J273" i="38" s="1"/>
  <c r="N273" i="38" s="1"/>
  <c r="D217" i="38"/>
  <c r="J217" i="38" s="1"/>
  <c r="N217" i="38" s="1"/>
  <c r="D201" i="38"/>
  <c r="J201" i="38" s="1"/>
  <c r="N201" i="38" s="1"/>
  <c r="D126" i="38"/>
  <c r="J126" i="38" s="1"/>
  <c r="N126" i="38" s="1"/>
  <c r="D179" i="38"/>
  <c r="J179" i="38" s="1"/>
  <c r="N179" i="38" s="1"/>
  <c r="D241" i="38"/>
  <c r="J241" i="38" s="1"/>
  <c r="N241" i="38" s="1"/>
  <c r="D188" i="38"/>
  <c r="J188" i="38" s="1"/>
  <c r="N188" i="38" s="1"/>
  <c r="D199" i="38"/>
  <c r="J199" i="38" s="1"/>
  <c r="N199" i="38" s="1"/>
  <c r="D203" i="38"/>
  <c r="J203" i="38" s="1"/>
  <c r="N203" i="38" s="1"/>
  <c r="D196" i="38"/>
  <c r="J196" i="38" s="1"/>
  <c r="N196" i="38" s="1"/>
  <c r="D236" i="38"/>
  <c r="J236" i="38" s="1"/>
  <c r="N236" i="38" s="1"/>
  <c r="D290" i="38"/>
  <c r="J290" i="38" s="1"/>
  <c r="N290" i="38" s="1"/>
  <c r="D154" i="38"/>
  <c r="J154" i="38" s="1"/>
  <c r="N154" i="38" s="1"/>
  <c r="D193" i="38"/>
  <c r="J193" i="38" s="1"/>
  <c r="N193" i="38" s="1"/>
  <c r="D128" i="38"/>
  <c r="J128" i="38" s="1"/>
  <c r="N128" i="38" s="1"/>
  <c r="D216" i="38"/>
  <c r="J216" i="38" s="1"/>
  <c r="N216" i="38" s="1"/>
  <c r="D169" i="38"/>
  <c r="J169" i="38" s="1"/>
  <c r="N169" i="38" s="1"/>
  <c r="D218" i="38"/>
  <c r="J218" i="38" s="1"/>
  <c r="N218" i="38" s="1"/>
  <c r="D171" i="38"/>
  <c r="J171" i="38" s="1"/>
  <c r="N171" i="38" s="1"/>
  <c r="D123" i="38"/>
  <c r="J123" i="38" s="1"/>
  <c r="N123" i="38" s="1"/>
  <c r="D159" i="38"/>
  <c r="J159" i="38" s="1"/>
  <c r="N159" i="38" s="1"/>
  <c r="D227" i="38"/>
  <c r="J227" i="38" s="1"/>
  <c r="N227" i="38" s="1"/>
  <c r="D131" i="38"/>
  <c r="J131" i="38" s="1"/>
  <c r="N131" i="38" s="1"/>
  <c r="D181" i="38"/>
  <c r="J181" i="38" s="1"/>
  <c r="N181" i="38" s="1"/>
  <c r="Q16" i="37"/>
  <c r="D242" i="38"/>
  <c r="J242" i="38" s="1"/>
  <c r="N242" i="38" s="1"/>
  <c r="D170" i="38"/>
  <c r="J170" i="38" s="1"/>
  <c r="N170" i="38" s="1"/>
  <c r="D264" i="38"/>
  <c r="J264" i="38" s="1"/>
  <c r="N264" i="38" s="1"/>
  <c r="D192" i="38"/>
  <c r="J192" i="38" s="1"/>
  <c r="N192" i="38" s="1"/>
  <c r="D211" i="38"/>
  <c r="J211" i="38" s="1"/>
  <c r="N211" i="38" s="1"/>
  <c r="D281" i="38"/>
  <c r="J281" i="38" s="1"/>
  <c r="N281" i="38" s="1"/>
  <c r="D265" i="38"/>
  <c r="J265" i="38" s="1"/>
  <c r="N265" i="38" s="1"/>
  <c r="D207" i="38"/>
  <c r="J207" i="38" s="1"/>
  <c r="N207" i="38" s="1"/>
  <c r="D133" i="38"/>
  <c r="J133" i="38" s="1"/>
  <c r="N133" i="38" s="1"/>
  <c r="D202" i="38"/>
  <c r="J202" i="38" s="1"/>
  <c r="N202" i="38" s="1"/>
  <c r="D223" i="38"/>
  <c r="J223" i="38" s="1"/>
  <c r="N223" i="38" s="1"/>
  <c r="D251" i="38"/>
  <c r="J251" i="38" s="1"/>
  <c r="N251" i="38" s="1"/>
  <c r="D139" i="38"/>
  <c r="J139" i="38" s="1"/>
  <c r="N139" i="38" s="1"/>
  <c r="D134" i="38"/>
  <c r="J134" i="38" s="1"/>
  <c r="N134" i="38" s="1"/>
  <c r="D136" i="38"/>
  <c r="J136" i="38" s="1"/>
  <c r="N136" i="38" s="1"/>
  <c r="D228" i="38"/>
  <c r="J228" i="38" s="1"/>
  <c r="N228" i="38" s="1"/>
  <c r="D212" i="38"/>
  <c r="J212" i="38" s="1"/>
  <c r="N212" i="38" s="1"/>
  <c r="D226" i="38"/>
  <c r="J226" i="38" s="1"/>
  <c r="N226" i="38" s="1"/>
  <c r="D142" i="38"/>
  <c r="J142" i="38" s="1"/>
  <c r="N142" i="38" s="1"/>
  <c r="D137" i="38"/>
  <c r="J137" i="38" s="1"/>
  <c r="N137" i="38" s="1"/>
  <c r="D162" i="38"/>
  <c r="J162" i="38" s="1"/>
  <c r="N162" i="38" s="1"/>
  <c r="D178" i="38"/>
  <c r="J178" i="38" s="1"/>
  <c r="N178" i="38" s="1"/>
  <c r="D158" i="38"/>
  <c r="J158" i="38" s="1"/>
  <c r="N158" i="38" s="1"/>
  <c r="D259" i="38"/>
  <c r="J259" i="38" s="1"/>
  <c r="N259" i="38" s="1"/>
  <c r="D129" i="38"/>
  <c r="J129" i="38" s="1"/>
  <c r="N129" i="38" s="1"/>
  <c r="D120" i="38"/>
  <c r="J120" i="38" s="1"/>
  <c r="N120" i="38" s="1"/>
  <c r="D245" i="38"/>
  <c r="J245" i="38" s="1"/>
  <c r="N245" i="38" s="1"/>
  <c r="D234" i="38"/>
  <c r="J234" i="38" s="1"/>
  <c r="N234" i="38" s="1"/>
  <c r="D280" i="38"/>
  <c r="J280" i="38" s="1"/>
  <c r="N280" i="38" s="1"/>
  <c r="D208" i="38"/>
  <c r="J208" i="38" s="1"/>
  <c r="N208" i="38" s="1"/>
  <c r="D267" i="38"/>
  <c r="J267" i="38" s="1"/>
  <c r="N267" i="38" s="1"/>
  <c r="D187" i="38"/>
  <c r="J187" i="38" s="1"/>
  <c r="N187" i="38" s="1"/>
  <c r="D194" i="38"/>
  <c r="J194" i="38" s="1"/>
  <c r="N194" i="38" s="1"/>
  <c r="D144" i="38"/>
  <c r="J144" i="38" s="1"/>
  <c r="N144" i="38" s="1"/>
  <c r="D204" i="38"/>
  <c r="J204" i="38" s="1"/>
  <c r="N204" i="38" s="1"/>
  <c r="D214" i="38"/>
  <c r="J214" i="38" s="1"/>
  <c r="N214" i="38" s="1"/>
  <c r="D186" i="38"/>
  <c r="J186" i="38" s="1"/>
  <c r="N186" i="38" s="1"/>
  <c r="D278" i="38"/>
  <c r="J278" i="38" s="1"/>
  <c r="N278" i="38" s="1"/>
  <c r="D215" i="38"/>
  <c r="J215" i="38" s="1"/>
  <c r="N215" i="38" s="1"/>
  <c r="D176" i="38"/>
  <c r="J176" i="38" s="1"/>
  <c r="N176" i="38" s="1"/>
  <c r="D172" i="38"/>
  <c r="J172" i="38" s="1"/>
  <c r="N172" i="38" s="1"/>
  <c r="D182" i="38"/>
  <c r="J182" i="38" s="1"/>
  <c r="N182" i="38" s="1"/>
  <c r="D190" i="38"/>
  <c r="J190" i="38" s="1"/>
  <c r="N190" i="38" s="1"/>
  <c r="D163" i="38"/>
  <c r="J163" i="38" s="1"/>
  <c r="N163" i="38" s="1"/>
  <c r="D210" i="38"/>
  <c r="J210" i="38" s="1"/>
  <c r="N210" i="38" s="1"/>
  <c r="D258" i="38"/>
  <c r="J258" i="38" s="1"/>
  <c r="N258" i="38" s="1"/>
  <c r="D285" i="38"/>
  <c r="J285" i="38" s="1"/>
  <c r="N285" i="38" s="1"/>
  <c r="D255" i="38"/>
  <c r="J255" i="38" s="1"/>
  <c r="N255" i="38" s="1"/>
  <c r="D175" i="38"/>
  <c r="J175" i="38" s="1"/>
  <c r="N175" i="38" s="1"/>
  <c r="D184" i="38"/>
  <c r="J184" i="38" s="1"/>
  <c r="N184" i="38" s="1"/>
  <c r="D279" i="38"/>
  <c r="J279" i="38" s="1"/>
  <c r="N279" i="38" s="1"/>
  <c r="D277" i="38"/>
  <c r="J277" i="38" s="1"/>
  <c r="N277" i="38" s="1"/>
  <c r="D149" i="38"/>
  <c r="J149" i="38" s="1"/>
  <c r="N149" i="38" s="1"/>
  <c r="D185" i="38"/>
  <c r="J185" i="38" s="1"/>
  <c r="N185" i="38" s="1"/>
  <c r="D122" i="38"/>
  <c r="J122" i="38" s="1"/>
  <c r="N122" i="38" s="1"/>
  <c r="D168" i="38"/>
  <c r="J168" i="38" s="1"/>
  <c r="N168" i="38" s="1"/>
  <c r="D237" i="38"/>
  <c r="J237" i="38" s="1"/>
  <c r="N237" i="38" s="1"/>
  <c r="D209" i="38"/>
  <c r="J209" i="38" s="1"/>
  <c r="N209" i="38" s="1"/>
  <c r="D177" i="38"/>
  <c r="J177" i="38" s="1"/>
  <c r="N177" i="38" s="1"/>
  <c r="D189" i="38"/>
  <c r="J189" i="38" s="1"/>
  <c r="N189" i="38" s="1"/>
  <c r="D262" i="38"/>
  <c r="J262" i="38" s="1"/>
  <c r="N262" i="38" s="1"/>
  <c r="D219" i="38"/>
  <c r="J219" i="38" s="1"/>
  <c r="N219" i="38" s="1"/>
  <c r="D249" i="38"/>
  <c r="J249" i="38" s="1"/>
  <c r="N249" i="38" s="1"/>
  <c r="D155" i="38"/>
  <c r="J155" i="38" s="1"/>
  <c r="N155" i="38" s="1"/>
  <c r="D256" i="38"/>
  <c r="J256" i="38" s="1"/>
  <c r="N256" i="38" s="1"/>
  <c r="D160" i="38"/>
  <c r="J160" i="38" s="1"/>
  <c r="N160" i="38" s="1"/>
  <c r="D269" i="38"/>
  <c r="J269" i="38" s="1"/>
  <c r="N269" i="38" s="1"/>
  <c r="D146" i="38"/>
  <c r="J146" i="38" s="1"/>
  <c r="N146" i="38" s="1"/>
  <c r="D222" i="38"/>
  <c r="J222" i="38" s="1"/>
  <c r="N222" i="38" s="1"/>
  <c r="D263" i="38"/>
  <c r="J263" i="38" s="1"/>
  <c r="N263" i="38" s="1"/>
  <c r="D157" i="38"/>
  <c r="J157" i="38" s="1"/>
  <c r="N157" i="38" s="1"/>
  <c r="D284" i="38"/>
  <c r="J284" i="38" s="1"/>
  <c r="N284" i="38" s="1"/>
  <c r="D246" i="38"/>
  <c r="J246" i="38" s="1"/>
  <c r="N246" i="38" s="1"/>
  <c r="D191" i="38"/>
  <c r="J191" i="38" s="1"/>
  <c r="N191" i="38" s="1"/>
  <c r="D252" i="38"/>
  <c r="J252" i="38" s="1"/>
  <c r="N252" i="38" s="1"/>
  <c r="D132" i="38"/>
  <c r="J132" i="38" s="1"/>
  <c r="N132" i="38" s="1"/>
  <c r="D183" i="38"/>
  <c r="J183" i="38" s="1"/>
  <c r="N183" i="38" s="1"/>
  <c r="D271" i="38"/>
  <c r="J271" i="38" s="1"/>
  <c r="N271" i="38" s="1"/>
  <c r="D247" i="38"/>
  <c r="J247" i="38" s="1"/>
  <c r="N247" i="38" s="1"/>
  <c r="D141" i="38"/>
  <c r="J141" i="38" s="1"/>
  <c r="N141" i="38" s="1"/>
  <c r="D135" i="38"/>
  <c r="J135" i="38" s="1"/>
  <c r="N135" i="38" s="1"/>
  <c r="D244" i="38"/>
  <c r="J244" i="38" s="1"/>
  <c r="N244" i="38" s="1"/>
  <c r="D125" i="38"/>
  <c r="J125" i="38" s="1"/>
  <c r="N125" i="38" s="1"/>
  <c r="D240" i="38"/>
  <c r="J240" i="38" s="1"/>
  <c r="N240" i="38" s="1"/>
  <c r="D150" i="38"/>
  <c r="J150" i="38" s="1"/>
  <c r="N150" i="38" s="1"/>
  <c r="D143" i="38"/>
  <c r="J143" i="38" s="1"/>
  <c r="N143" i="38" s="1"/>
  <c r="D167" i="38"/>
  <c r="J167" i="38" s="1"/>
  <c r="N167" i="38" s="1"/>
  <c r="D288" i="38"/>
  <c r="J288" i="38" s="1"/>
  <c r="N288" i="38" s="1"/>
  <c r="D282" i="38"/>
  <c r="J282" i="38" s="1"/>
  <c r="N282" i="38" s="1"/>
  <c r="D272" i="38"/>
  <c r="J272" i="38" s="1"/>
  <c r="N272" i="38" s="1"/>
  <c r="D270" i="38"/>
  <c r="J270" i="38" s="1"/>
  <c r="N270" i="38" s="1"/>
  <c r="D121" i="38"/>
  <c r="J121" i="38" s="1"/>
  <c r="N121" i="38" s="1"/>
  <c r="D261" i="38"/>
  <c r="J261" i="38" s="1"/>
  <c r="N261" i="38" s="1"/>
  <c r="D220" i="38"/>
  <c r="J220" i="38" s="1"/>
  <c r="N220" i="38" s="1"/>
  <c r="D195" i="38"/>
  <c r="J195" i="38" s="1"/>
  <c r="N195" i="38" s="1"/>
  <c r="D200" i="38"/>
  <c r="J200" i="38" s="1"/>
  <c r="N200" i="38" s="1"/>
  <c r="D289" i="38"/>
  <c r="J289" i="38" s="1"/>
  <c r="N289" i="38" s="1"/>
  <c r="D221" i="38"/>
  <c r="J221" i="38" s="1"/>
  <c r="N221" i="38" s="1"/>
  <c r="D243" i="38"/>
  <c r="J243" i="38" s="1"/>
  <c r="N243" i="38" s="1"/>
  <c r="D232" i="38"/>
  <c r="J232" i="38" s="1"/>
  <c r="N232" i="38" s="1"/>
  <c r="D166" i="38"/>
  <c r="J166" i="38" s="1"/>
  <c r="N166" i="38" s="1"/>
  <c r="D287" i="38"/>
  <c r="J287" i="38" s="1"/>
  <c r="N287" i="38" s="1"/>
  <c r="D274" i="38"/>
  <c r="J274" i="38" s="1"/>
  <c r="N274" i="38" s="1"/>
  <c r="D254" i="38"/>
  <c r="J254" i="38" s="1"/>
  <c r="N254" i="38" s="1"/>
  <c r="D118" i="38"/>
  <c r="J118" i="38" s="1"/>
  <c r="N118" i="38" s="1"/>
  <c r="D161" i="38"/>
  <c r="J161" i="38" s="1"/>
  <c r="N161" i="38" s="1"/>
  <c r="D235" i="38"/>
  <c r="J235" i="38" s="1"/>
  <c r="N235" i="38" s="1"/>
  <c r="D148" i="38"/>
  <c r="J148" i="38" s="1"/>
  <c r="N148" i="38" s="1"/>
  <c r="D231" i="38"/>
  <c r="J231" i="38" s="1"/>
  <c r="N231" i="38" s="1"/>
  <c r="D153" i="38"/>
  <c r="J153" i="38" s="1"/>
  <c r="N153" i="38" s="1"/>
  <c r="D198" i="38"/>
  <c r="J198" i="38" s="1"/>
  <c r="N198" i="38" s="1"/>
  <c r="D147" i="38"/>
  <c r="J147" i="38" s="1"/>
  <c r="N147" i="38" s="1"/>
  <c r="D229" i="38"/>
  <c r="J229" i="38" s="1"/>
  <c r="N229" i="38" s="1"/>
  <c r="D224" i="38"/>
  <c r="J224" i="38" s="1"/>
  <c r="N224" i="38" s="1"/>
  <c r="D238" i="38"/>
  <c r="J238" i="38" s="1"/>
  <c r="N238" i="38" s="1"/>
  <c r="D291" i="38"/>
  <c r="J291" i="38" s="1"/>
  <c r="N291" i="38" s="1"/>
  <c r="D165" i="38"/>
  <c r="J165" i="38" s="1"/>
  <c r="N165" i="38" s="1"/>
  <c r="D152" i="38"/>
  <c r="J152" i="38" s="1"/>
  <c r="N152" i="38" s="1"/>
  <c r="D266" i="38"/>
  <c r="J266" i="38" s="1"/>
  <c r="N266" i="38" s="1"/>
  <c r="D275" i="38"/>
  <c r="J275" i="38" s="1"/>
  <c r="N275" i="38" s="1"/>
  <c r="D286" i="38"/>
  <c r="J286" i="38" s="1"/>
  <c r="N286" i="38" s="1"/>
  <c r="D239" i="38"/>
  <c r="J239" i="38" s="1"/>
  <c r="N239" i="38" s="1"/>
  <c r="D268" i="38"/>
  <c r="J268" i="38" s="1"/>
  <c r="N268" i="38" s="1"/>
  <c r="D180" i="38"/>
  <c r="J180" i="38" s="1"/>
  <c r="N180" i="38" s="1"/>
  <c r="D248" i="38"/>
  <c r="J248" i="38" s="1"/>
  <c r="N248" i="38" s="1"/>
  <c r="D151" i="38"/>
  <c r="J151" i="38" s="1"/>
  <c r="N151" i="38" s="1"/>
  <c r="D164" i="38"/>
  <c r="J164" i="38" s="1"/>
  <c r="N164" i="38" s="1"/>
  <c r="D140" i="38"/>
  <c r="J140" i="38" s="1"/>
  <c r="N140" i="38" s="1"/>
  <c r="D156" i="38"/>
  <c r="J156" i="38" s="1"/>
  <c r="N156" i="38" s="1"/>
  <c r="D225" i="38"/>
  <c r="J225" i="38" s="1"/>
  <c r="N225" i="38" s="1"/>
  <c r="D127" i="38"/>
  <c r="J127" i="38" s="1"/>
  <c r="N127" i="38" s="1"/>
  <c r="D230" i="38"/>
  <c r="J230" i="38" s="1"/>
  <c r="N230" i="38" s="1"/>
  <c r="D250" i="38"/>
  <c r="J250" i="38" s="1"/>
  <c r="N250" i="38" s="1"/>
  <c r="D173" i="38"/>
  <c r="J173" i="38" s="1"/>
  <c r="N173" i="38" s="1"/>
  <c r="D130" i="38"/>
  <c r="J130" i="38" s="1"/>
  <c r="N130" i="38" s="1"/>
  <c r="D257" i="38"/>
  <c r="J257" i="38" s="1"/>
  <c r="N257" i="38" s="1"/>
  <c r="D253" i="38"/>
  <c r="J253" i="38" s="1"/>
  <c r="N253" i="38" s="1"/>
  <c r="D206" i="38"/>
  <c r="J206" i="38" s="1"/>
  <c r="N206" i="38" s="1"/>
  <c r="D233" i="38"/>
  <c r="J233" i="38" s="1"/>
  <c r="N233" i="38" s="1"/>
  <c r="D260" i="38"/>
  <c r="J260" i="38" s="1"/>
  <c r="N260" i="38" s="1"/>
  <c r="D145" i="38"/>
  <c r="J145" i="38" s="1"/>
  <c r="N145" i="38" s="1"/>
  <c r="F177" i="46"/>
  <c r="I177" i="45"/>
  <c r="M177" i="45" s="1"/>
  <c r="P8" i="38" l="1" a="1"/>
  <c r="F177" i="47"/>
  <c r="I177" i="46"/>
  <c r="M177" i="46" s="1"/>
  <c r="Q10" i="38" l="1"/>
  <c r="Q9" i="38"/>
  <c r="Q8" i="38"/>
  <c r="P16" i="38" s="1"/>
  <c r="P12" i="38"/>
  <c r="P8" i="38"/>
  <c r="P15" i="38" s="1"/>
  <c r="Q15" i="38" s="1"/>
  <c r="Q11" i="38"/>
  <c r="P10" i="38"/>
  <c r="P9" i="38"/>
  <c r="P11" i="38"/>
  <c r="Q12" i="38"/>
  <c r="F177" i="48"/>
  <c r="I177" i="48" s="1"/>
  <c r="I177" i="47"/>
  <c r="M177" i="47" s="1"/>
  <c r="D151" i="39" l="1"/>
  <c r="J151" i="39" s="1"/>
  <c r="N151" i="39" s="1"/>
  <c r="D132" i="39"/>
  <c r="J132" i="39" s="1"/>
  <c r="N132" i="39" s="1"/>
  <c r="D246" i="39"/>
  <c r="J246" i="39" s="1"/>
  <c r="N246" i="39" s="1"/>
  <c r="D138" i="39"/>
  <c r="J138" i="39" s="1"/>
  <c r="N138" i="39" s="1"/>
  <c r="D262" i="39"/>
  <c r="J262" i="39" s="1"/>
  <c r="N262" i="39" s="1"/>
  <c r="D194" i="39"/>
  <c r="J194" i="39" s="1"/>
  <c r="N194" i="39" s="1"/>
  <c r="D274" i="39"/>
  <c r="J274" i="39" s="1"/>
  <c r="N274" i="39" s="1"/>
  <c r="D182" i="39"/>
  <c r="J182" i="39" s="1"/>
  <c r="N182" i="39" s="1"/>
  <c r="D191" i="39"/>
  <c r="J191" i="39" s="1"/>
  <c r="N191" i="39" s="1"/>
  <c r="D205" i="39"/>
  <c r="J205" i="39" s="1"/>
  <c r="N205" i="39" s="1"/>
  <c r="D231" i="39"/>
  <c r="J231" i="39" s="1"/>
  <c r="N231" i="39" s="1"/>
  <c r="D254" i="39"/>
  <c r="J254" i="39" s="1"/>
  <c r="N254" i="39" s="1"/>
  <c r="D170" i="39"/>
  <c r="J170" i="39" s="1"/>
  <c r="N170" i="39" s="1"/>
  <c r="D264" i="39"/>
  <c r="J264" i="39" s="1"/>
  <c r="N264" i="39" s="1"/>
  <c r="D195" i="39"/>
  <c r="J195" i="39" s="1"/>
  <c r="N195" i="39" s="1"/>
  <c r="D287" i="39"/>
  <c r="J287" i="39" s="1"/>
  <c r="N287" i="39" s="1"/>
  <c r="D123" i="39"/>
  <c r="J123" i="39" s="1"/>
  <c r="N123" i="39" s="1"/>
  <c r="D199" i="39"/>
  <c r="J199" i="39" s="1"/>
  <c r="N199" i="39" s="1"/>
  <c r="D141" i="39"/>
  <c r="J141" i="39" s="1"/>
  <c r="N141" i="39" s="1"/>
  <c r="D133" i="39"/>
  <c r="J133" i="39" s="1"/>
  <c r="N133" i="39" s="1"/>
  <c r="D147" i="39"/>
  <c r="J147" i="39" s="1"/>
  <c r="N147" i="39" s="1"/>
  <c r="D140" i="39"/>
  <c r="J140" i="39" s="1"/>
  <c r="N140" i="39" s="1"/>
  <c r="D268" i="39"/>
  <c r="J268" i="39" s="1"/>
  <c r="N268" i="39" s="1"/>
  <c r="D219" i="39"/>
  <c r="J219" i="39" s="1"/>
  <c r="N219" i="39" s="1"/>
  <c r="D176" i="39"/>
  <c r="J176" i="39" s="1"/>
  <c r="N176" i="39" s="1"/>
  <c r="D122" i="39"/>
  <c r="J122" i="39" s="1"/>
  <c r="N122" i="39" s="1"/>
  <c r="D166" i="39"/>
  <c r="J166" i="39" s="1"/>
  <c r="N166" i="39" s="1"/>
  <c r="D137" i="39"/>
  <c r="J137" i="39" s="1"/>
  <c r="N137" i="39" s="1"/>
  <c r="D152" i="39"/>
  <c r="J152" i="39" s="1"/>
  <c r="N152" i="39" s="1"/>
  <c r="D286" i="39"/>
  <c r="J286" i="39" s="1"/>
  <c r="N286" i="39" s="1"/>
  <c r="D187" i="39"/>
  <c r="J187" i="39" s="1"/>
  <c r="N187" i="39" s="1"/>
  <c r="D174" i="39"/>
  <c r="J174" i="39" s="1"/>
  <c r="N174" i="39" s="1"/>
  <c r="D221" i="39"/>
  <c r="J221" i="39" s="1"/>
  <c r="N221" i="39" s="1"/>
  <c r="D229" i="39"/>
  <c r="J229" i="39" s="1"/>
  <c r="N229" i="39" s="1"/>
  <c r="D163" i="39"/>
  <c r="J163" i="39" s="1"/>
  <c r="N163" i="39" s="1"/>
  <c r="D202" i="39"/>
  <c r="J202" i="39" s="1"/>
  <c r="N202" i="39" s="1"/>
  <c r="D280" i="39"/>
  <c r="J280" i="39" s="1"/>
  <c r="N280" i="39" s="1"/>
  <c r="D200" i="39"/>
  <c r="J200" i="39" s="1"/>
  <c r="N200" i="39" s="1"/>
  <c r="D285" i="39"/>
  <c r="J285" i="39" s="1"/>
  <c r="N285" i="39" s="1"/>
  <c r="D259" i="39"/>
  <c r="J259" i="39" s="1"/>
  <c r="N259" i="39" s="1"/>
  <c r="D227" i="39"/>
  <c r="J227" i="39" s="1"/>
  <c r="N227" i="39" s="1"/>
  <c r="D184" i="39"/>
  <c r="J184" i="39" s="1"/>
  <c r="N184" i="39" s="1"/>
  <c r="D270" i="39"/>
  <c r="J270" i="39" s="1"/>
  <c r="N270" i="39" s="1"/>
  <c r="D218" i="39"/>
  <c r="J218" i="39" s="1"/>
  <c r="N218" i="39" s="1"/>
  <c r="D281" i="39"/>
  <c r="J281" i="39" s="1"/>
  <c r="N281" i="39" s="1"/>
  <c r="D206" i="39"/>
  <c r="J206" i="39" s="1"/>
  <c r="N206" i="39" s="1"/>
  <c r="D278" i="39"/>
  <c r="J278" i="39" s="1"/>
  <c r="N278" i="39" s="1"/>
  <c r="D169" i="39"/>
  <c r="J169" i="39" s="1"/>
  <c r="N169" i="39" s="1"/>
  <c r="D230" i="39"/>
  <c r="J230" i="39" s="1"/>
  <c r="N230" i="39" s="1"/>
  <c r="D158" i="39"/>
  <c r="J158" i="39" s="1"/>
  <c r="N158" i="39" s="1"/>
  <c r="D265" i="39"/>
  <c r="J265" i="39" s="1"/>
  <c r="N265" i="39" s="1"/>
  <c r="D261" i="39"/>
  <c r="J261" i="39" s="1"/>
  <c r="N261" i="39" s="1"/>
  <c r="D118" i="39"/>
  <c r="J118" i="39" s="1"/>
  <c r="N118" i="39" s="1"/>
  <c r="D173" i="39"/>
  <c r="J173" i="39" s="1"/>
  <c r="N173" i="39" s="1"/>
  <c r="D129" i="39"/>
  <c r="J129" i="39" s="1"/>
  <c r="N129" i="39" s="1"/>
  <c r="D249" i="39"/>
  <c r="J249" i="39" s="1"/>
  <c r="N249" i="39" s="1"/>
  <c r="D243" i="39"/>
  <c r="J243" i="39" s="1"/>
  <c r="N243" i="39" s="1"/>
  <c r="D161" i="39"/>
  <c r="J161" i="39" s="1"/>
  <c r="N161" i="39" s="1"/>
  <c r="Q16" i="38"/>
  <c r="D210" i="39"/>
  <c r="J210" i="39" s="1"/>
  <c r="N210" i="39" s="1"/>
  <c r="D121" i="39"/>
  <c r="J121" i="39" s="1"/>
  <c r="N121" i="39" s="1"/>
  <c r="D134" i="39"/>
  <c r="J134" i="39" s="1"/>
  <c r="N134" i="39" s="1"/>
  <c r="D275" i="39"/>
  <c r="J275" i="39" s="1"/>
  <c r="N275" i="39" s="1"/>
  <c r="D242" i="39"/>
  <c r="J242" i="39" s="1"/>
  <c r="N242" i="39" s="1"/>
  <c r="D164" i="39"/>
  <c r="J164" i="39" s="1"/>
  <c r="N164" i="39" s="1"/>
  <c r="D238" i="39"/>
  <c r="J238" i="39" s="1"/>
  <c r="N238" i="39" s="1"/>
  <c r="D145" i="39"/>
  <c r="J145" i="39" s="1"/>
  <c r="N145" i="39" s="1"/>
  <c r="D130" i="39"/>
  <c r="J130" i="39" s="1"/>
  <c r="N130" i="39" s="1"/>
  <c r="D179" i="39"/>
  <c r="J179" i="39" s="1"/>
  <c r="N179" i="39" s="1"/>
  <c r="D217" i="39"/>
  <c r="J217" i="39" s="1"/>
  <c r="N217" i="39" s="1"/>
  <c r="D292" i="39"/>
  <c r="J292" i="39" s="1"/>
  <c r="N292" i="39" s="1"/>
  <c r="D267" i="39"/>
  <c r="J267" i="39" s="1"/>
  <c r="N267" i="39" s="1"/>
  <c r="D155" i="39"/>
  <c r="J155" i="39" s="1"/>
  <c r="N155" i="39" s="1"/>
  <c r="D175" i="39"/>
  <c r="J175" i="39" s="1"/>
  <c r="N175" i="39" s="1"/>
  <c r="D248" i="39"/>
  <c r="J248" i="39" s="1"/>
  <c r="N248" i="39" s="1"/>
  <c r="D288" i="39"/>
  <c r="J288" i="39" s="1"/>
  <c r="N288" i="39" s="1"/>
  <c r="D192" i="39"/>
  <c r="J192" i="39" s="1"/>
  <c r="N192" i="39" s="1"/>
  <c r="D209" i="39"/>
  <c r="J209" i="39" s="1"/>
  <c r="N209" i="39" s="1"/>
  <c r="D212" i="39"/>
  <c r="J212" i="39" s="1"/>
  <c r="N212" i="39" s="1"/>
  <c r="D269" i="39"/>
  <c r="J269" i="39" s="1"/>
  <c r="N269" i="39" s="1"/>
  <c r="D225" i="39"/>
  <c r="J225" i="39" s="1"/>
  <c r="N225" i="39" s="1"/>
  <c r="D250" i="39"/>
  <c r="J250" i="39" s="1"/>
  <c r="N250" i="39" s="1"/>
  <c r="D237" i="39"/>
  <c r="J237" i="39" s="1"/>
  <c r="N237" i="39" s="1"/>
  <c r="D171" i="39"/>
  <c r="J171" i="39" s="1"/>
  <c r="N171" i="39" s="1"/>
  <c r="D222" i="39"/>
  <c r="J222" i="39" s="1"/>
  <c r="N222" i="39" s="1"/>
  <c r="D183" i="39"/>
  <c r="J183" i="39" s="1"/>
  <c r="N183" i="39" s="1"/>
  <c r="D215" i="39"/>
  <c r="J215" i="39" s="1"/>
  <c r="N215" i="39" s="1"/>
  <c r="D197" i="39"/>
  <c r="J197" i="39" s="1"/>
  <c r="N197" i="39" s="1"/>
  <c r="D167" i="39"/>
  <c r="J167" i="39" s="1"/>
  <c r="N167" i="39" s="1"/>
  <c r="D203" i="39"/>
  <c r="J203" i="39" s="1"/>
  <c r="N203" i="39" s="1"/>
  <c r="D290" i="39"/>
  <c r="J290" i="39" s="1"/>
  <c r="N290" i="39" s="1"/>
  <c r="D279" i="39"/>
  <c r="J279" i="39" s="1"/>
  <c r="N279" i="39" s="1"/>
  <c r="D245" i="39"/>
  <c r="J245" i="39" s="1"/>
  <c r="N245" i="39" s="1"/>
  <c r="D142" i="39"/>
  <c r="J142" i="39" s="1"/>
  <c r="N142" i="39" s="1"/>
  <c r="D120" i="39"/>
  <c r="J120" i="39" s="1"/>
  <c r="N120" i="39" s="1"/>
  <c r="D168" i="39"/>
  <c r="J168" i="39" s="1"/>
  <c r="N168" i="39" s="1"/>
  <c r="D189" i="39"/>
  <c r="J189" i="39" s="1"/>
  <c r="N189" i="39" s="1"/>
  <c r="D236" i="39"/>
  <c r="J236" i="39" s="1"/>
  <c r="N236" i="39" s="1"/>
  <c r="D289" i="39"/>
  <c r="J289" i="39" s="1"/>
  <c r="N289" i="39" s="1"/>
  <c r="D240" i="39"/>
  <c r="J240" i="39" s="1"/>
  <c r="N240" i="39" s="1"/>
  <c r="D271" i="39"/>
  <c r="J271" i="39" s="1"/>
  <c r="N271" i="39" s="1"/>
  <c r="D266" i="39"/>
  <c r="J266" i="39" s="1"/>
  <c r="N266" i="39" s="1"/>
  <c r="D234" i="39"/>
  <c r="J234" i="39" s="1"/>
  <c r="N234" i="39" s="1"/>
  <c r="D241" i="39"/>
  <c r="J241" i="39" s="1"/>
  <c r="N241" i="39" s="1"/>
  <c r="D153" i="39"/>
  <c r="J153" i="39" s="1"/>
  <c r="N153" i="39" s="1"/>
  <c r="D159" i="39"/>
  <c r="J159" i="39" s="1"/>
  <c r="N159" i="39" s="1"/>
  <c r="D232" i="39"/>
  <c r="J232" i="39" s="1"/>
  <c r="N232" i="39" s="1"/>
  <c r="D185" i="39"/>
  <c r="J185" i="39" s="1"/>
  <c r="N185" i="39" s="1"/>
  <c r="D214" i="39"/>
  <c r="J214" i="39" s="1"/>
  <c r="N214" i="39" s="1"/>
  <c r="D162" i="39"/>
  <c r="J162" i="39" s="1"/>
  <c r="N162" i="39" s="1"/>
  <c r="D149" i="39"/>
  <c r="J149" i="39" s="1"/>
  <c r="N149" i="39" s="1"/>
  <c r="D207" i="39"/>
  <c r="J207" i="39" s="1"/>
  <c r="N207" i="39" s="1"/>
  <c r="D224" i="39"/>
  <c r="J224" i="39" s="1"/>
  <c r="N224" i="39" s="1"/>
  <c r="D178" i="39"/>
  <c r="J178" i="39" s="1"/>
  <c r="N178" i="39" s="1"/>
  <c r="D190" i="39"/>
  <c r="J190" i="39" s="1"/>
  <c r="N190" i="39" s="1"/>
  <c r="D291" i="39"/>
  <c r="J291" i="39" s="1"/>
  <c r="N291" i="39" s="1"/>
  <c r="D193" i="39"/>
  <c r="J193" i="39" s="1"/>
  <c r="N193" i="39" s="1"/>
  <c r="D186" i="39"/>
  <c r="J186" i="39" s="1"/>
  <c r="N186" i="39" s="1"/>
  <c r="D124" i="39"/>
  <c r="J124" i="39" s="1"/>
  <c r="N124" i="39" s="1"/>
  <c r="D150" i="39"/>
  <c r="J150" i="39" s="1"/>
  <c r="N150" i="39" s="1"/>
  <c r="D165" i="39"/>
  <c r="J165" i="39" s="1"/>
  <c r="N165" i="39" s="1"/>
  <c r="D172" i="39"/>
  <c r="J172" i="39" s="1"/>
  <c r="N172" i="39" s="1"/>
  <c r="D277" i="39"/>
  <c r="J277" i="39" s="1"/>
  <c r="N277" i="39" s="1"/>
  <c r="D253" i="39"/>
  <c r="J253" i="39" s="1"/>
  <c r="N253" i="39" s="1"/>
  <c r="D157" i="39"/>
  <c r="J157" i="39" s="1"/>
  <c r="N157" i="39" s="1"/>
  <c r="D148" i="39"/>
  <c r="J148" i="39" s="1"/>
  <c r="N148" i="39" s="1"/>
  <c r="D125" i="39"/>
  <c r="J125" i="39" s="1"/>
  <c r="N125" i="39" s="1"/>
  <c r="D273" i="39"/>
  <c r="J273" i="39" s="1"/>
  <c r="N273" i="39" s="1"/>
  <c r="D213" i="39"/>
  <c r="J213" i="39" s="1"/>
  <c r="N213" i="39" s="1"/>
  <c r="D226" i="39"/>
  <c r="J226" i="39" s="1"/>
  <c r="N226" i="39" s="1"/>
  <c r="D177" i="39"/>
  <c r="J177" i="39" s="1"/>
  <c r="N177" i="39" s="1"/>
  <c r="D283" i="39"/>
  <c r="J283" i="39" s="1"/>
  <c r="N283" i="39" s="1"/>
  <c r="D272" i="39"/>
  <c r="J272" i="39" s="1"/>
  <c r="N272" i="39" s="1"/>
  <c r="D255" i="39"/>
  <c r="J255" i="39" s="1"/>
  <c r="N255" i="39" s="1"/>
  <c r="D127" i="39"/>
  <c r="J127" i="39" s="1"/>
  <c r="N127" i="39" s="1"/>
  <c r="D216" i="39"/>
  <c r="J216" i="39" s="1"/>
  <c r="N216" i="39" s="1"/>
  <c r="D282" i="39"/>
  <c r="J282" i="39" s="1"/>
  <c r="N282" i="39" s="1"/>
  <c r="D139" i="39"/>
  <c r="J139" i="39" s="1"/>
  <c r="N139" i="39" s="1"/>
  <c r="D244" i="39"/>
  <c r="J244" i="39" s="1"/>
  <c r="N244" i="39" s="1"/>
  <c r="D128" i="39"/>
  <c r="J128" i="39" s="1"/>
  <c r="N128" i="39" s="1"/>
  <c r="D204" i="39"/>
  <c r="J204" i="39" s="1"/>
  <c r="N204" i="39" s="1"/>
  <c r="D201" i="39"/>
  <c r="J201" i="39" s="1"/>
  <c r="N201" i="39" s="1"/>
  <c r="D256" i="39"/>
  <c r="J256" i="39" s="1"/>
  <c r="N256" i="39" s="1"/>
  <c r="D235" i="39"/>
  <c r="J235" i="39" s="1"/>
  <c r="N235" i="39" s="1"/>
  <c r="D156" i="39"/>
  <c r="J156" i="39" s="1"/>
  <c r="N156" i="39" s="1"/>
  <c r="D119" i="39"/>
  <c r="J119" i="39" s="1"/>
  <c r="N119" i="39" s="1"/>
  <c r="D252" i="39"/>
  <c r="J252" i="39" s="1"/>
  <c r="N252" i="39" s="1"/>
  <c r="D143" i="39"/>
  <c r="J143" i="39" s="1"/>
  <c r="N143" i="39" s="1"/>
  <c r="D284" i="39"/>
  <c r="J284" i="39" s="1"/>
  <c r="N284" i="39" s="1"/>
  <c r="D198" i="39"/>
  <c r="J198" i="39" s="1"/>
  <c r="N198" i="39" s="1"/>
  <c r="D233" i="39"/>
  <c r="J233" i="39" s="1"/>
  <c r="N233" i="39" s="1"/>
  <c r="D196" i="39"/>
  <c r="J196" i="39" s="1"/>
  <c r="N196" i="39" s="1"/>
  <c r="D126" i="39"/>
  <c r="J126" i="39" s="1"/>
  <c r="N126" i="39" s="1"/>
  <c r="D257" i="39"/>
  <c r="J257" i="39" s="1"/>
  <c r="N257" i="39" s="1"/>
  <c r="D260" i="39"/>
  <c r="J260" i="39" s="1"/>
  <c r="N260" i="39" s="1"/>
  <c r="D160" i="39"/>
  <c r="J160" i="39" s="1"/>
  <c r="N160" i="39" s="1"/>
  <c r="D208" i="39"/>
  <c r="J208" i="39" s="1"/>
  <c r="N208" i="39" s="1"/>
  <c r="D146" i="39"/>
  <c r="J146" i="39" s="1"/>
  <c r="N146" i="39" s="1"/>
  <c r="D181" i="39"/>
  <c r="J181" i="39" s="1"/>
  <c r="N181" i="39" s="1"/>
  <c r="D136" i="39"/>
  <c r="J136" i="39" s="1"/>
  <c r="N136" i="39" s="1"/>
  <c r="D180" i="39"/>
  <c r="J180" i="39" s="1"/>
  <c r="N180" i="39" s="1"/>
  <c r="D211" i="39"/>
  <c r="J211" i="39" s="1"/>
  <c r="N211" i="39" s="1"/>
  <c r="D247" i="39"/>
  <c r="J247" i="39" s="1"/>
  <c r="N247" i="39" s="1"/>
  <c r="D228" i="39"/>
  <c r="J228" i="39" s="1"/>
  <c r="N228" i="39" s="1"/>
  <c r="D276" i="39"/>
  <c r="J276" i="39" s="1"/>
  <c r="N276" i="39" s="1"/>
  <c r="D223" i="39"/>
  <c r="J223" i="39" s="1"/>
  <c r="N223" i="39" s="1"/>
  <c r="D251" i="39"/>
  <c r="J251" i="39" s="1"/>
  <c r="N251" i="39" s="1"/>
  <c r="D144" i="39"/>
  <c r="J144" i="39" s="1"/>
  <c r="N144" i="39" s="1"/>
  <c r="D188" i="39"/>
  <c r="J188" i="39" s="1"/>
  <c r="N188" i="39" s="1"/>
  <c r="D220" i="39"/>
  <c r="J220" i="39" s="1"/>
  <c r="N220" i="39" s="1"/>
  <c r="D154" i="39"/>
  <c r="J154" i="39" s="1"/>
  <c r="N154" i="39" s="1"/>
  <c r="D258" i="39"/>
  <c r="J258" i="39" s="1"/>
  <c r="N258" i="39" s="1"/>
  <c r="D131" i="39"/>
  <c r="J131" i="39" s="1"/>
  <c r="N131" i="39" s="1"/>
  <c r="D239" i="39"/>
  <c r="J239" i="39" s="1"/>
  <c r="N239" i="39" s="1"/>
  <c r="D263" i="39"/>
  <c r="J263" i="39" s="1"/>
  <c r="N263" i="39" s="1"/>
  <c r="D135" i="39"/>
  <c r="J135" i="39" s="1"/>
  <c r="N135" i="39" s="1"/>
  <c r="A208" i="31"/>
  <c r="M177" i="48"/>
  <c r="P8" i="39" l="1" a="1"/>
  <c r="Q12" i="39" l="1"/>
  <c r="Q8" i="39"/>
  <c r="P16" i="39" s="1"/>
  <c r="P11" i="39"/>
  <c r="Q11" i="39"/>
  <c r="P12" i="39"/>
  <c r="P8" i="39"/>
  <c r="P15" i="39" s="1"/>
  <c r="Q15" i="39" s="1"/>
  <c r="P9" i="39"/>
  <c r="P10" i="39"/>
  <c r="Q10" i="39"/>
  <c r="Q9" i="39"/>
  <c r="D200" i="40" l="1"/>
  <c r="J200" i="40" s="1"/>
  <c r="N200" i="40" s="1"/>
  <c r="D175" i="40"/>
  <c r="J175" i="40" s="1"/>
  <c r="N175" i="40" s="1"/>
  <c r="D184" i="40"/>
  <c r="J184" i="40" s="1"/>
  <c r="N184" i="40" s="1"/>
  <c r="D212" i="40"/>
  <c r="J212" i="40" s="1"/>
  <c r="N212" i="40" s="1"/>
  <c r="D290" i="40"/>
  <c r="J290" i="40" s="1"/>
  <c r="N290" i="40" s="1"/>
  <c r="D286" i="40"/>
  <c r="J286" i="40" s="1"/>
  <c r="N286" i="40" s="1"/>
  <c r="D250" i="40"/>
  <c r="J250" i="40" s="1"/>
  <c r="N250" i="40" s="1"/>
  <c r="D210" i="40"/>
  <c r="J210" i="40" s="1"/>
  <c r="N210" i="40" s="1"/>
  <c r="D288" i="40"/>
  <c r="J288" i="40" s="1"/>
  <c r="N288" i="40" s="1"/>
  <c r="D272" i="40"/>
  <c r="J272" i="40" s="1"/>
  <c r="N272" i="40" s="1"/>
  <c r="D207" i="40"/>
  <c r="J207" i="40" s="1"/>
  <c r="N207" i="40" s="1"/>
  <c r="D193" i="40"/>
  <c r="J193" i="40" s="1"/>
  <c r="N193" i="40" s="1"/>
  <c r="D224" i="40"/>
  <c r="J224" i="40" s="1"/>
  <c r="N224" i="40" s="1"/>
  <c r="D204" i="40"/>
  <c r="J204" i="40" s="1"/>
  <c r="N204" i="40" s="1"/>
  <c r="D145" i="40"/>
  <c r="J145" i="40" s="1"/>
  <c r="N145" i="40" s="1"/>
  <c r="D144" i="40"/>
  <c r="J144" i="40" s="1"/>
  <c r="N144" i="40" s="1"/>
  <c r="D221" i="40"/>
  <c r="J221" i="40" s="1"/>
  <c r="N221" i="40" s="1"/>
  <c r="D208" i="40"/>
  <c r="J208" i="40" s="1"/>
  <c r="N208" i="40" s="1"/>
  <c r="D266" i="40"/>
  <c r="J266" i="40" s="1"/>
  <c r="N266" i="40" s="1"/>
  <c r="D139" i="40"/>
  <c r="J139" i="40" s="1"/>
  <c r="N139" i="40" s="1"/>
  <c r="D241" i="40"/>
  <c r="J241" i="40" s="1"/>
  <c r="N241" i="40" s="1"/>
  <c r="D282" i="40"/>
  <c r="J282" i="40" s="1"/>
  <c r="N282" i="40" s="1"/>
  <c r="D237" i="40"/>
  <c r="J237" i="40" s="1"/>
  <c r="N237" i="40" s="1"/>
  <c r="D211" i="40"/>
  <c r="J211" i="40" s="1"/>
  <c r="N211" i="40" s="1"/>
  <c r="D171" i="40"/>
  <c r="J171" i="40" s="1"/>
  <c r="N171" i="40" s="1"/>
  <c r="D166" i="40"/>
  <c r="J166" i="40" s="1"/>
  <c r="N166" i="40" s="1"/>
  <c r="D190" i="40"/>
  <c r="J190" i="40" s="1"/>
  <c r="N190" i="40" s="1"/>
  <c r="D122" i="40"/>
  <c r="J122" i="40" s="1"/>
  <c r="N122" i="40" s="1"/>
  <c r="D225" i="40"/>
  <c r="J225" i="40" s="1"/>
  <c r="N225" i="40" s="1"/>
  <c r="D240" i="40"/>
  <c r="J240" i="40" s="1"/>
  <c r="N240" i="40" s="1"/>
  <c r="D174" i="40"/>
  <c r="J174" i="40" s="1"/>
  <c r="N174" i="40" s="1"/>
  <c r="D279" i="40"/>
  <c r="J279" i="40" s="1"/>
  <c r="N279" i="40" s="1"/>
  <c r="D172" i="40"/>
  <c r="J172" i="40" s="1"/>
  <c r="N172" i="40" s="1"/>
  <c r="D121" i="40"/>
  <c r="J121" i="40" s="1"/>
  <c r="N121" i="40" s="1"/>
  <c r="D140" i="40"/>
  <c r="J140" i="40" s="1"/>
  <c r="N140" i="40" s="1"/>
  <c r="D183" i="40"/>
  <c r="J183" i="40" s="1"/>
  <c r="N183" i="40" s="1"/>
  <c r="D213" i="40"/>
  <c r="J213" i="40" s="1"/>
  <c r="N213" i="40" s="1"/>
  <c r="D278" i="40"/>
  <c r="J278" i="40" s="1"/>
  <c r="N278" i="40" s="1"/>
  <c r="D248" i="40"/>
  <c r="J248" i="40" s="1"/>
  <c r="N248" i="40" s="1"/>
  <c r="D197" i="40"/>
  <c r="J197" i="40" s="1"/>
  <c r="N197" i="40" s="1"/>
  <c r="D176" i="40"/>
  <c r="J176" i="40" s="1"/>
  <c r="N176" i="40" s="1"/>
  <c r="D284" i="40"/>
  <c r="J284" i="40" s="1"/>
  <c r="N284" i="40" s="1"/>
  <c r="D277" i="40"/>
  <c r="J277" i="40" s="1"/>
  <c r="N277" i="40" s="1"/>
  <c r="D186" i="40"/>
  <c r="J186" i="40" s="1"/>
  <c r="N186" i="40" s="1"/>
  <c r="D158" i="40"/>
  <c r="J158" i="40" s="1"/>
  <c r="N158" i="40" s="1"/>
  <c r="D194" i="40"/>
  <c r="J194" i="40" s="1"/>
  <c r="N194" i="40" s="1"/>
  <c r="D242" i="40"/>
  <c r="J242" i="40" s="1"/>
  <c r="N242" i="40" s="1"/>
  <c r="D285" i="40"/>
  <c r="J285" i="40" s="1"/>
  <c r="N285" i="40" s="1"/>
  <c r="D244" i="40"/>
  <c r="J244" i="40" s="1"/>
  <c r="N244" i="40" s="1"/>
  <c r="D201" i="40"/>
  <c r="J201" i="40" s="1"/>
  <c r="N201" i="40" s="1"/>
  <c r="D261" i="40"/>
  <c r="J261" i="40" s="1"/>
  <c r="N261" i="40" s="1"/>
  <c r="D163" i="40"/>
  <c r="J163" i="40" s="1"/>
  <c r="N163" i="40" s="1"/>
  <c r="D254" i="40"/>
  <c r="J254" i="40" s="1"/>
  <c r="N254" i="40" s="1"/>
  <c r="D215" i="40"/>
  <c r="J215" i="40" s="1"/>
  <c r="N215" i="40" s="1"/>
  <c r="D161" i="40"/>
  <c r="J161" i="40" s="1"/>
  <c r="N161" i="40" s="1"/>
  <c r="D229" i="40"/>
  <c r="J229" i="40" s="1"/>
  <c r="N229" i="40" s="1"/>
  <c r="D203" i="40"/>
  <c r="J203" i="40" s="1"/>
  <c r="N203" i="40" s="1"/>
  <c r="D195" i="40"/>
  <c r="J195" i="40" s="1"/>
  <c r="N195" i="40" s="1"/>
  <c r="D182" i="40"/>
  <c r="J182" i="40" s="1"/>
  <c r="N182" i="40" s="1"/>
  <c r="D126" i="40"/>
  <c r="J126" i="40" s="1"/>
  <c r="N126" i="40" s="1"/>
  <c r="D280" i="40"/>
  <c r="J280" i="40" s="1"/>
  <c r="N280" i="40" s="1"/>
  <c r="D189" i="40"/>
  <c r="J189" i="40" s="1"/>
  <c r="N189" i="40" s="1"/>
  <c r="D127" i="40"/>
  <c r="J127" i="40" s="1"/>
  <c r="N127" i="40" s="1"/>
  <c r="D119" i="40"/>
  <c r="J119" i="40" s="1"/>
  <c r="N119" i="40" s="1"/>
  <c r="D120" i="40"/>
  <c r="J120" i="40" s="1"/>
  <c r="N120" i="40" s="1"/>
  <c r="D232" i="40"/>
  <c r="J232" i="40" s="1"/>
  <c r="N232" i="40" s="1"/>
  <c r="D133" i="40"/>
  <c r="J133" i="40" s="1"/>
  <c r="N133" i="40" s="1"/>
  <c r="D134" i="40"/>
  <c r="J134" i="40" s="1"/>
  <c r="N134" i="40" s="1"/>
  <c r="D239" i="40"/>
  <c r="J239" i="40" s="1"/>
  <c r="N239" i="40" s="1"/>
  <c r="D130" i="40"/>
  <c r="J130" i="40" s="1"/>
  <c r="N130" i="40" s="1"/>
  <c r="D275" i="40"/>
  <c r="J275" i="40" s="1"/>
  <c r="N275" i="40" s="1"/>
  <c r="D281" i="40"/>
  <c r="J281" i="40" s="1"/>
  <c r="N281" i="40" s="1"/>
  <c r="D223" i="40"/>
  <c r="J223" i="40" s="1"/>
  <c r="N223" i="40" s="1"/>
  <c r="D185" i="40"/>
  <c r="J185" i="40" s="1"/>
  <c r="N185" i="40" s="1"/>
  <c r="D264" i="40"/>
  <c r="J264" i="40" s="1"/>
  <c r="N264" i="40" s="1"/>
  <c r="D173" i="40"/>
  <c r="J173" i="40" s="1"/>
  <c r="N173" i="40" s="1"/>
  <c r="D234" i="40"/>
  <c r="J234" i="40" s="1"/>
  <c r="N234" i="40" s="1"/>
  <c r="D147" i="40"/>
  <c r="J147" i="40" s="1"/>
  <c r="N147" i="40" s="1"/>
  <c r="D216" i="40"/>
  <c r="J216" i="40" s="1"/>
  <c r="N216" i="40" s="1"/>
  <c r="D196" i="40"/>
  <c r="J196" i="40" s="1"/>
  <c r="N196" i="40" s="1"/>
  <c r="D262" i="40"/>
  <c r="J262" i="40" s="1"/>
  <c r="N262" i="40" s="1"/>
  <c r="D165" i="40"/>
  <c r="J165" i="40" s="1"/>
  <c r="N165" i="40" s="1"/>
  <c r="D269" i="40"/>
  <c r="J269" i="40" s="1"/>
  <c r="N269" i="40" s="1"/>
  <c r="D258" i="40"/>
  <c r="J258" i="40" s="1"/>
  <c r="N258" i="40" s="1"/>
  <c r="Q16" i="39"/>
  <c r="D247" i="40"/>
  <c r="J247" i="40" s="1"/>
  <c r="N247" i="40" s="1"/>
  <c r="D167" i="40"/>
  <c r="J167" i="40" s="1"/>
  <c r="N167" i="40" s="1"/>
  <c r="D245" i="40"/>
  <c r="J245" i="40" s="1"/>
  <c r="N245" i="40" s="1"/>
  <c r="D135" i="40"/>
  <c r="J135" i="40" s="1"/>
  <c r="N135" i="40" s="1"/>
  <c r="D168" i="40"/>
  <c r="J168" i="40" s="1"/>
  <c r="N168" i="40" s="1"/>
  <c r="D249" i="40"/>
  <c r="J249" i="40" s="1"/>
  <c r="N249" i="40" s="1"/>
  <c r="D150" i="40"/>
  <c r="J150" i="40" s="1"/>
  <c r="N150" i="40" s="1"/>
  <c r="D205" i="40"/>
  <c r="J205" i="40" s="1"/>
  <c r="N205" i="40" s="1"/>
  <c r="D160" i="40"/>
  <c r="J160" i="40" s="1"/>
  <c r="N160" i="40" s="1"/>
  <c r="D149" i="40"/>
  <c r="J149" i="40" s="1"/>
  <c r="N149" i="40" s="1"/>
  <c r="D118" i="40"/>
  <c r="J118" i="40" s="1"/>
  <c r="N118" i="40" s="1"/>
  <c r="D287" i="40"/>
  <c r="J287" i="40" s="1"/>
  <c r="N287" i="40" s="1"/>
  <c r="D257" i="40"/>
  <c r="J257" i="40" s="1"/>
  <c r="N257" i="40" s="1"/>
  <c r="D220" i="40"/>
  <c r="J220" i="40" s="1"/>
  <c r="N220" i="40" s="1"/>
  <c r="D187" i="40"/>
  <c r="J187" i="40" s="1"/>
  <c r="N187" i="40" s="1"/>
  <c r="D162" i="40"/>
  <c r="J162" i="40" s="1"/>
  <c r="N162" i="40" s="1"/>
  <c r="D291" i="40"/>
  <c r="J291" i="40" s="1"/>
  <c r="N291" i="40" s="1"/>
  <c r="D123" i="40"/>
  <c r="J123" i="40" s="1"/>
  <c r="N123" i="40" s="1"/>
  <c r="D289" i="40"/>
  <c r="J289" i="40" s="1"/>
  <c r="N289" i="40" s="1"/>
  <c r="D143" i="40"/>
  <c r="J143" i="40" s="1"/>
  <c r="N143" i="40" s="1"/>
  <c r="D155" i="40"/>
  <c r="J155" i="40" s="1"/>
  <c r="N155" i="40" s="1"/>
  <c r="D180" i="40"/>
  <c r="J180" i="40" s="1"/>
  <c r="N180" i="40" s="1"/>
  <c r="D179" i="40"/>
  <c r="J179" i="40" s="1"/>
  <c r="N179" i="40" s="1"/>
  <c r="D256" i="40"/>
  <c r="J256" i="40" s="1"/>
  <c r="N256" i="40" s="1"/>
  <c r="D153" i="40"/>
  <c r="J153" i="40" s="1"/>
  <c r="N153" i="40" s="1"/>
  <c r="D202" i="40"/>
  <c r="J202" i="40" s="1"/>
  <c r="N202" i="40" s="1"/>
  <c r="D217" i="40"/>
  <c r="J217" i="40" s="1"/>
  <c r="N217" i="40" s="1"/>
  <c r="D152" i="40"/>
  <c r="J152" i="40" s="1"/>
  <c r="N152" i="40" s="1"/>
  <c r="D159" i="40"/>
  <c r="J159" i="40" s="1"/>
  <c r="N159" i="40" s="1"/>
  <c r="D170" i="40"/>
  <c r="J170" i="40" s="1"/>
  <c r="N170" i="40" s="1"/>
  <c r="D219" i="40"/>
  <c r="J219" i="40" s="1"/>
  <c r="N219" i="40" s="1"/>
  <c r="D136" i="40"/>
  <c r="J136" i="40" s="1"/>
  <c r="N136" i="40" s="1"/>
  <c r="D255" i="40"/>
  <c r="J255" i="40" s="1"/>
  <c r="N255" i="40" s="1"/>
  <c r="D125" i="40"/>
  <c r="J125" i="40" s="1"/>
  <c r="N125" i="40" s="1"/>
  <c r="D132" i="40"/>
  <c r="J132" i="40" s="1"/>
  <c r="N132" i="40" s="1"/>
  <c r="D259" i="40"/>
  <c r="J259" i="40" s="1"/>
  <c r="N259" i="40" s="1"/>
  <c r="D270" i="40"/>
  <c r="J270" i="40" s="1"/>
  <c r="N270" i="40" s="1"/>
  <c r="D231" i="40"/>
  <c r="J231" i="40" s="1"/>
  <c r="N231" i="40" s="1"/>
  <c r="D251" i="40"/>
  <c r="J251" i="40" s="1"/>
  <c r="N251" i="40" s="1"/>
  <c r="D214" i="40"/>
  <c r="J214" i="40" s="1"/>
  <c r="N214" i="40" s="1"/>
  <c r="D199" i="40"/>
  <c r="J199" i="40" s="1"/>
  <c r="N199" i="40" s="1"/>
  <c r="D154" i="40"/>
  <c r="J154" i="40" s="1"/>
  <c r="N154" i="40" s="1"/>
  <c r="D292" i="40"/>
  <c r="J292" i="40" s="1"/>
  <c r="N292" i="40" s="1"/>
  <c r="D178" i="40"/>
  <c r="J178" i="40" s="1"/>
  <c r="N178" i="40" s="1"/>
  <c r="D238" i="40"/>
  <c r="J238" i="40" s="1"/>
  <c r="N238" i="40" s="1"/>
  <c r="D226" i="40"/>
  <c r="J226" i="40" s="1"/>
  <c r="N226" i="40" s="1"/>
  <c r="D271" i="40"/>
  <c r="J271" i="40" s="1"/>
  <c r="N271" i="40" s="1"/>
  <c r="D181" i="40"/>
  <c r="J181" i="40" s="1"/>
  <c r="N181" i="40" s="1"/>
  <c r="D141" i="40"/>
  <c r="J141" i="40" s="1"/>
  <c r="N141" i="40" s="1"/>
  <c r="D128" i="40"/>
  <c r="J128" i="40" s="1"/>
  <c r="N128" i="40" s="1"/>
  <c r="D137" i="40"/>
  <c r="J137" i="40" s="1"/>
  <c r="N137" i="40" s="1"/>
  <c r="D156" i="40"/>
  <c r="J156" i="40" s="1"/>
  <c r="N156" i="40" s="1"/>
  <c r="D192" i="40"/>
  <c r="J192" i="40" s="1"/>
  <c r="N192" i="40" s="1"/>
  <c r="D243" i="40"/>
  <c r="J243" i="40" s="1"/>
  <c r="N243" i="40" s="1"/>
  <c r="D267" i="40"/>
  <c r="J267" i="40" s="1"/>
  <c r="N267" i="40" s="1"/>
  <c r="D274" i="40"/>
  <c r="J274" i="40" s="1"/>
  <c r="N274" i="40" s="1"/>
  <c r="D265" i="40"/>
  <c r="J265" i="40" s="1"/>
  <c r="N265" i="40" s="1"/>
  <c r="D188" i="40"/>
  <c r="J188" i="40" s="1"/>
  <c r="N188" i="40" s="1"/>
  <c r="D246" i="40"/>
  <c r="J246" i="40" s="1"/>
  <c r="N246" i="40" s="1"/>
  <c r="D206" i="40"/>
  <c r="J206" i="40" s="1"/>
  <c r="N206" i="40" s="1"/>
  <c r="D227" i="40"/>
  <c r="J227" i="40" s="1"/>
  <c r="N227" i="40" s="1"/>
  <c r="D169" i="40"/>
  <c r="J169" i="40" s="1"/>
  <c r="N169" i="40" s="1"/>
  <c r="D124" i="40"/>
  <c r="J124" i="40" s="1"/>
  <c r="N124" i="40" s="1"/>
  <c r="D218" i="40"/>
  <c r="J218" i="40" s="1"/>
  <c r="N218" i="40" s="1"/>
  <c r="D146" i="40"/>
  <c r="J146" i="40" s="1"/>
  <c r="N146" i="40" s="1"/>
  <c r="D191" i="40"/>
  <c r="J191" i="40" s="1"/>
  <c r="N191" i="40" s="1"/>
  <c r="D151" i="40"/>
  <c r="J151" i="40" s="1"/>
  <c r="N151" i="40" s="1"/>
  <c r="D129" i="40"/>
  <c r="J129" i="40" s="1"/>
  <c r="N129" i="40" s="1"/>
  <c r="D236" i="40"/>
  <c r="J236" i="40" s="1"/>
  <c r="N236" i="40" s="1"/>
  <c r="D131" i="40"/>
  <c r="J131" i="40" s="1"/>
  <c r="N131" i="40" s="1"/>
  <c r="D253" i="40"/>
  <c r="J253" i="40" s="1"/>
  <c r="N253" i="40" s="1"/>
  <c r="D263" i="40"/>
  <c r="J263" i="40" s="1"/>
  <c r="N263" i="40" s="1"/>
  <c r="D233" i="40"/>
  <c r="J233" i="40" s="1"/>
  <c r="N233" i="40" s="1"/>
  <c r="D283" i="40"/>
  <c r="J283" i="40" s="1"/>
  <c r="N283" i="40" s="1"/>
  <c r="D230" i="40"/>
  <c r="J230" i="40" s="1"/>
  <c r="N230" i="40" s="1"/>
  <c r="D260" i="40"/>
  <c r="J260" i="40" s="1"/>
  <c r="N260" i="40" s="1"/>
  <c r="D198" i="40"/>
  <c r="J198" i="40" s="1"/>
  <c r="N198" i="40" s="1"/>
  <c r="D142" i="40"/>
  <c r="J142" i="40" s="1"/>
  <c r="N142" i="40" s="1"/>
  <c r="D138" i="40"/>
  <c r="J138" i="40" s="1"/>
  <c r="N138" i="40" s="1"/>
  <c r="D222" i="40"/>
  <c r="J222" i="40" s="1"/>
  <c r="N222" i="40" s="1"/>
  <c r="D252" i="40"/>
  <c r="J252" i="40" s="1"/>
  <c r="N252" i="40" s="1"/>
  <c r="D177" i="40"/>
  <c r="J177" i="40" s="1"/>
  <c r="N177" i="40" s="1"/>
  <c r="D273" i="40"/>
  <c r="J273" i="40" s="1"/>
  <c r="N273" i="40" s="1"/>
  <c r="D268" i="40"/>
  <c r="J268" i="40" s="1"/>
  <c r="N268" i="40" s="1"/>
  <c r="D209" i="40"/>
  <c r="J209" i="40" s="1"/>
  <c r="N209" i="40" s="1"/>
  <c r="D235" i="40"/>
  <c r="J235" i="40" s="1"/>
  <c r="N235" i="40" s="1"/>
  <c r="D276" i="40"/>
  <c r="J276" i="40" s="1"/>
  <c r="N276" i="40" s="1"/>
  <c r="D228" i="40"/>
  <c r="J228" i="40" s="1"/>
  <c r="N228" i="40" s="1"/>
  <c r="D164" i="40"/>
  <c r="J164" i="40" s="1"/>
  <c r="N164" i="40" s="1"/>
  <c r="D157" i="40"/>
  <c r="J157" i="40" s="1"/>
  <c r="N157" i="40" s="1"/>
  <c r="D148" i="40"/>
  <c r="J148" i="40" s="1"/>
  <c r="N148" i="40" s="1"/>
  <c r="P8" i="40" l="1" a="1"/>
  <c r="P10" i="40" l="1"/>
  <c r="P12" i="40"/>
  <c r="P9" i="40"/>
  <c r="Q10" i="40"/>
  <c r="P11" i="40"/>
  <c r="Q9" i="40"/>
  <c r="Q8" i="40"/>
  <c r="P16" i="40" s="1"/>
  <c r="P8" i="40"/>
  <c r="P15" i="40" s="1"/>
  <c r="Q15" i="40" s="1"/>
  <c r="Q12" i="40"/>
  <c r="Q11" i="40"/>
  <c r="D122" i="41" l="1"/>
  <c r="J122" i="41" s="1"/>
  <c r="N122" i="41" s="1"/>
  <c r="D221" i="41"/>
  <c r="J221" i="41" s="1"/>
  <c r="N221" i="41" s="1"/>
  <c r="D118" i="41"/>
  <c r="J118" i="41" s="1"/>
  <c r="N118" i="41" s="1"/>
  <c r="D148" i="41"/>
  <c r="J148" i="41" s="1"/>
  <c r="N148" i="41" s="1"/>
  <c r="D254" i="41"/>
  <c r="J254" i="41" s="1"/>
  <c r="N254" i="41" s="1"/>
  <c r="D160" i="41"/>
  <c r="J160" i="41" s="1"/>
  <c r="N160" i="41" s="1"/>
  <c r="D202" i="41"/>
  <c r="J202" i="41" s="1"/>
  <c r="N202" i="41" s="1"/>
  <c r="D264" i="41"/>
  <c r="J264" i="41" s="1"/>
  <c r="N264" i="41" s="1"/>
  <c r="D244" i="41"/>
  <c r="J244" i="41" s="1"/>
  <c r="N244" i="41" s="1"/>
  <c r="D172" i="41"/>
  <c r="J172" i="41" s="1"/>
  <c r="N172" i="41" s="1"/>
  <c r="D174" i="41"/>
  <c r="J174" i="41" s="1"/>
  <c r="N174" i="41" s="1"/>
  <c r="D175" i="41"/>
  <c r="J175" i="41" s="1"/>
  <c r="N175" i="41" s="1"/>
  <c r="D186" i="41"/>
  <c r="J186" i="41" s="1"/>
  <c r="N186" i="41" s="1"/>
  <c r="D154" i="41"/>
  <c r="J154" i="41" s="1"/>
  <c r="N154" i="41" s="1"/>
  <c r="D247" i="41"/>
  <c r="J247" i="41" s="1"/>
  <c r="N247" i="41" s="1"/>
  <c r="D288" i="41"/>
  <c r="J288" i="41" s="1"/>
  <c r="N288" i="41" s="1"/>
  <c r="D260" i="41"/>
  <c r="J260" i="41" s="1"/>
  <c r="N260" i="41" s="1"/>
  <c r="D268" i="41"/>
  <c r="J268" i="41" s="1"/>
  <c r="N268" i="41" s="1"/>
  <c r="D153" i="41"/>
  <c r="J153" i="41" s="1"/>
  <c r="N153" i="41" s="1"/>
  <c r="D265" i="41"/>
  <c r="J265" i="41" s="1"/>
  <c r="N265" i="41" s="1"/>
  <c r="D194" i="41"/>
  <c r="J194" i="41" s="1"/>
  <c r="N194" i="41" s="1"/>
  <c r="D237" i="41"/>
  <c r="J237" i="41" s="1"/>
  <c r="N237" i="41" s="1"/>
  <c r="D155" i="41"/>
  <c r="J155" i="41" s="1"/>
  <c r="N155" i="41" s="1"/>
  <c r="D205" i="41"/>
  <c r="J205" i="41" s="1"/>
  <c r="N205" i="41" s="1"/>
  <c r="D131" i="41"/>
  <c r="J131" i="41" s="1"/>
  <c r="N131" i="41" s="1"/>
  <c r="D252" i="41"/>
  <c r="J252" i="41" s="1"/>
  <c r="N252" i="41" s="1"/>
  <c r="D180" i="41"/>
  <c r="J180" i="41" s="1"/>
  <c r="N180" i="41" s="1"/>
  <c r="D248" i="41"/>
  <c r="J248" i="41" s="1"/>
  <c r="N248" i="41" s="1"/>
  <c r="D162" i="41"/>
  <c r="J162" i="41" s="1"/>
  <c r="N162" i="41" s="1"/>
  <c r="D269" i="41"/>
  <c r="J269" i="41" s="1"/>
  <c r="N269" i="41" s="1"/>
  <c r="D226" i="41"/>
  <c r="J226" i="41" s="1"/>
  <c r="N226" i="41" s="1"/>
  <c r="D280" i="41"/>
  <c r="J280" i="41" s="1"/>
  <c r="N280" i="41" s="1"/>
  <c r="D133" i="41"/>
  <c r="J133" i="41" s="1"/>
  <c r="N133" i="41" s="1"/>
  <c r="D188" i="41"/>
  <c r="J188" i="41" s="1"/>
  <c r="N188" i="41" s="1"/>
  <c r="D150" i="41"/>
  <c r="J150" i="41" s="1"/>
  <c r="N150" i="41" s="1"/>
  <c r="D157" i="41"/>
  <c r="J157" i="41" s="1"/>
  <c r="N157" i="41" s="1"/>
  <c r="D130" i="41"/>
  <c r="J130" i="41" s="1"/>
  <c r="N130" i="41" s="1"/>
  <c r="D207" i="41"/>
  <c r="J207" i="41" s="1"/>
  <c r="N207" i="41" s="1"/>
  <c r="D218" i="41"/>
  <c r="J218" i="41" s="1"/>
  <c r="N218" i="41" s="1"/>
  <c r="D137" i="41"/>
  <c r="J137" i="41" s="1"/>
  <c r="N137" i="41" s="1"/>
  <c r="D215" i="41"/>
  <c r="J215" i="41" s="1"/>
  <c r="N215" i="41" s="1"/>
  <c r="D164" i="41"/>
  <c r="J164" i="41" s="1"/>
  <c r="N164" i="41" s="1"/>
  <c r="D219" i="41"/>
  <c r="J219" i="41" s="1"/>
  <c r="N219" i="41" s="1"/>
  <c r="D220" i="41"/>
  <c r="J220" i="41" s="1"/>
  <c r="N220" i="41" s="1"/>
  <c r="D249" i="41"/>
  <c r="J249" i="41" s="1"/>
  <c r="N249" i="41" s="1"/>
  <c r="D231" i="41"/>
  <c r="J231" i="41" s="1"/>
  <c r="N231" i="41" s="1"/>
  <c r="D124" i="41"/>
  <c r="J124" i="41" s="1"/>
  <c r="N124" i="41" s="1"/>
  <c r="D239" i="41"/>
  <c r="J239" i="41" s="1"/>
  <c r="N239" i="41" s="1"/>
  <c r="D140" i="41"/>
  <c r="J140" i="41" s="1"/>
  <c r="N140" i="41" s="1"/>
  <c r="D138" i="41"/>
  <c r="J138" i="41" s="1"/>
  <c r="N138" i="41" s="1"/>
  <c r="D192" i="41"/>
  <c r="J192" i="41" s="1"/>
  <c r="N192" i="41" s="1"/>
  <c r="D119" i="41"/>
  <c r="J119" i="41" s="1"/>
  <c r="N119" i="41" s="1"/>
  <c r="D158" i="41"/>
  <c r="J158" i="41" s="1"/>
  <c r="N158" i="41" s="1"/>
  <c r="D263" i="41"/>
  <c r="J263" i="41" s="1"/>
  <c r="N263" i="41" s="1"/>
  <c r="D230" i="41"/>
  <c r="J230" i="41" s="1"/>
  <c r="N230" i="41" s="1"/>
  <c r="D212" i="41"/>
  <c r="J212" i="41" s="1"/>
  <c r="N212" i="41" s="1"/>
  <c r="D198" i="41"/>
  <c r="J198" i="41" s="1"/>
  <c r="N198" i="41" s="1"/>
  <c r="D200" i="41"/>
  <c r="J200" i="41" s="1"/>
  <c r="N200" i="41" s="1"/>
  <c r="D169" i="41"/>
  <c r="J169" i="41" s="1"/>
  <c r="N169" i="41" s="1"/>
  <c r="D123" i="41"/>
  <c r="J123" i="41" s="1"/>
  <c r="N123" i="41" s="1"/>
  <c r="D126" i="41"/>
  <c r="J126" i="41" s="1"/>
  <c r="N126" i="41" s="1"/>
  <c r="D181" i="41"/>
  <c r="J181" i="41" s="1"/>
  <c r="N181" i="41" s="1"/>
  <c r="D250" i="41"/>
  <c r="J250" i="41" s="1"/>
  <c r="N250" i="41" s="1"/>
  <c r="D223" i="41"/>
  <c r="J223" i="41" s="1"/>
  <c r="N223" i="41" s="1"/>
  <c r="D228" i="41"/>
  <c r="J228" i="41" s="1"/>
  <c r="N228" i="41" s="1"/>
  <c r="D190" i="41"/>
  <c r="J190" i="41" s="1"/>
  <c r="N190" i="41" s="1"/>
  <c r="D255" i="41"/>
  <c r="J255" i="41" s="1"/>
  <c r="N255" i="41" s="1"/>
  <c r="D168" i="41"/>
  <c r="J168" i="41" s="1"/>
  <c r="N168" i="41" s="1"/>
  <c r="D283" i="41"/>
  <c r="J283" i="41" s="1"/>
  <c r="N283" i="41" s="1"/>
  <c r="D159" i="41"/>
  <c r="J159" i="41" s="1"/>
  <c r="N159" i="41" s="1"/>
  <c r="D129" i="41"/>
  <c r="J129" i="41" s="1"/>
  <c r="N129" i="41" s="1"/>
  <c r="D178" i="41"/>
  <c r="J178" i="41" s="1"/>
  <c r="N178" i="41" s="1"/>
  <c r="D163" i="41"/>
  <c r="J163" i="41" s="1"/>
  <c r="N163" i="41" s="1"/>
  <c r="D259" i="41"/>
  <c r="J259" i="41" s="1"/>
  <c r="N259" i="41" s="1"/>
  <c r="D279" i="41"/>
  <c r="J279" i="41" s="1"/>
  <c r="N279" i="41" s="1"/>
  <c r="D290" i="41"/>
  <c r="J290" i="41" s="1"/>
  <c r="N290" i="41" s="1"/>
  <c r="D145" i="41"/>
  <c r="J145" i="41" s="1"/>
  <c r="N145" i="41" s="1"/>
  <c r="D273" i="41"/>
  <c r="J273" i="41" s="1"/>
  <c r="N273" i="41" s="1"/>
  <c r="D121" i="41"/>
  <c r="J121" i="41" s="1"/>
  <c r="N121" i="41" s="1"/>
  <c r="D274" i="41"/>
  <c r="J274" i="41" s="1"/>
  <c r="N274" i="41" s="1"/>
  <c r="D141" i="41"/>
  <c r="J141" i="41" s="1"/>
  <c r="N141" i="41" s="1"/>
  <c r="D193" i="41"/>
  <c r="J193" i="41" s="1"/>
  <c r="N193" i="41" s="1"/>
  <c r="D224" i="41"/>
  <c r="J224" i="41" s="1"/>
  <c r="N224" i="41" s="1"/>
  <c r="D245" i="41"/>
  <c r="J245" i="41" s="1"/>
  <c r="N245" i="41" s="1"/>
  <c r="D233" i="41"/>
  <c r="J233" i="41" s="1"/>
  <c r="N233" i="41" s="1"/>
  <c r="D276" i="41"/>
  <c r="J276" i="41" s="1"/>
  <c r="N276" i="41" s="1"/>
  <c r="D135" i="41"/>
  <c r="J135" i="41" s="1"/>
  <c r="N135" i="41" s="1"/>
  <c r="D144" i="41"/>
  <c r="J144" i="41" s="1"/>
  <c r="N144" i="41" s="1"/>
  <c r="D266" i="41"/>
  <c r="J266" i="41" s="1"/>
  <c r="N266" i="41" s="1"/>
  <c r="D171" i="41"/>
  <c r="J171" i="41" s="1"/>
  <c r="N171" i="41" s="1"/>
  <c r="D243" i="41"/>
  <c r="J243" i="41" s="1"/>
  <c r="N243" i="41" s="1"/>
  <c r="D262" i="41"/>
  <c r="J262" i="41" s="1"/>
  <c r="N262" i="41" s="1"/>
  <c r="D292" i="41"/>
  <c r="J292" i="41" s="1"/>
  <c r="N292" i="41" s="1"/>
  <c r="D187" i="41"/>
  <c r="J187" i="41" s="1"/>
  <c r="N187" i="41" s="1"/>
  <c r="D208" i="41"/>
  <c r="J208" i="41" s="1"/>
  <c r="N208" i="41" s="1"/>
  <c r="D289" i="41"/>
  <c r="J289" i="41" s="1"/>
  <c r="N289" i="41" s="1"/>
  <c r="D201" i="41"/>
  <c r="J201" i="41" s="1"/>
  <c r="N201" i="41" s="1"/>
  <c r="D246" i="41"/>
  <c r="J246" i="41" s="1"/>
  <c r="N246" i="41" s="1"/>
  <c r="D225" i="41"/>
  <c r="J225" i="41" s="1"/>
  <c r="N225" i="41" s="1"/>
  <c r="D179" i="41"/>
  <c r="J179" i="41" s="1"/>
  <c r="N179" i="41" s="1"/>
  <c r="D142" i="41"/>
  <c r="J142" i="41" s="1"/>
  <c r="N142" i="41" s="1"/>
  <c r="D222" i="41"/>
  <c r="J222" i="41" s="1"/>
  <c r="N222" i="41" s="1"/>
  <c r="D199" i="41"/>
  <c r="J199" i="41" s="1"/>
  <c r="N199" i="41" s="1"/>
  <c r="D191" i="41"/>
  <c r="J191" i="41" s="1"/>
  <c r="N191" i="41" s="1"/>
  <c r="D125" i="41"/>
  <c r="J125" i="41" s="1"/>
  <c r="N125" i="41" s="1"/>
  <c r="D277" i="41"/>
  <c r="J277" i="41" s="1"/>
  <c r="N277" i="41" s="1"/>
  <c r="D253" i="41"/>
  <c r="J253" i="41" s="1"/>
  <c r="N253" i="41" s="1"/>
  <c r="D232" i="41"/>
  <c r="J232" i="41" s="1"/>
  <c r="N232" i="41" s="1"/>
  <c r="D238" i="41"/>
  <c r="J238" i="41" s="1"/>
  <c r="N238" i="41" s="1"/>
  <c r="D185" i="41"/>
  <c r="J185" i="41" s="1"/>
  <c r="N185" i="41" s="1"/>
  <c r="D258" i="41"/>
  <c r="J258" i="41" s="1"/>
  <c r="N258" i="41" s="1"/>
  <c r="D143" i="41"/>
  <c r="J143" i="41" s="1"/>
  <c r="N143" i="41" s="1"/>
  <c r="D161" i="41"/>
  <c r="J161" i="41" s="1"/>
  <c r="N161" i="41" s="1"/>
  <c r="D206" i="41"/>
  <c r="J206" i="41" s="1"/>
  <c r="N206" i="41" s="1"/>
  <c r="D136" i="41"/>
  <c r="J136" i="41" s="1"/>
  <c r="N136" i="41" s="1"/>
  <c r="D196" i="41"/>
  <c r="J196" i="41" s="1"/>
  <c r="N196" i="41" s="1"/>
  <c r="D211" i="41"/>
  <c r="J211" i="41" s="1"/>
  <c r="N211" i="41" s="1"/>
  <c r="D165" i="41"/>
  <c r="J165" i="41" s="1"/>
  <c r="N165" i="41" s="1"/>
  <c r="D184" i="41"/>
  <c r="J184" i="41" s="1"/>
  <c r="N184" i="41" s="1"/>
  <c r="D209" i="41"/>
  <c r="J209" i="41" s="1"/>
  <c r="N209" i="41" s="1"/>
  <c r="D204" i="41"/>
  <c r="J204" i="41" s="1"/>
  <c r="N204" i="41" s="1"/>
  <c r="D216" i="41"/>
  <c r="J216" i="41" s="1"/>
  <c r="N216" i="41" s="1"/>
  <c r="D134" i="41"/>
  <c r="J134" i="41" s="1"/>
  <c r="N134" i="41" s="1"/>
  <c r="D176" i="41"/>
  <c r="J176" i="41" s="1"/>
  <c r="N176" i="41" s="1"/>
  <c r="D166" i="41"/>
  <c r="J166" i="41" s="1"/>
  <c r="N166" i="41" s="1"/>
  <c r="D241" i="41"/>
  <c r="J241" i="41" s="1"/>
  <c r="N241" i="41" s="1"/>
  <c r="D229" i="41"/>
  <c r="J229" i="41" s="1"/>
  <c r="N229" i="41" s="1"/>
  <c r="D214" i="41"/>
  <c r="J214" i="41" s="1"/>
  <c r="N214" i="41" s="1"/>
  <c r="D203" i="41"/>
  <c r="J203" i="41" s="1"/>
  <c r="N203" i="41" s="1"/>
  <c r="D281" i="41"/>
  <c r="J281" i="41" s="1"/>
  <c r="N281" i="41" s="1"/>
  <c r="D147" i="41"/>
  <c r="J147" i="41" s="1"/>
  <c r="N147" i="41" s="1"/>
  <c r="D217" i="41"/>
  <c r="J217" i="41" s="1"/>
  <c r="N217" i="41" s="1"/>
  <c r="D287" i="41"/>
  <c r="J287" i="41" s="1"/>
  <c r="N287" i="41" s="1"/>
  <c r="D285" i="41"/>
  <c r="J285" i="41" s="1"/>
  <c r="N285" i="41" s="1"/>
  <c r="D236" i="41"/>
  <c r="J236" i="41" s="1"/>
  <c r="N236" i="41" s="1"/>
  <c r="D291" i="41"/>
  <c r="J291" i="41" s="1"/>
  <c r="N291" i="41" s="1"/>
  <c r="D149" i="41"/>
  <c r="J149" i="41" s="1"/>
  <c r="N149" i="41" s="1"/>
  <c r="D139" i="41"/>
  <c r="J139" i="41" s="1"/>
  <c r="N139" i="41" s="1"/>
  <c r="D183" i="41"/>
  <c r="J183" i="41" s="1"/>
  <c r="N183" i="41" s="1"/>
  <c r="D120" i="41"/>
  <c r="J120" i="41" s="1"/>
  <c r="N120" i="41" s="1"/>
  <c r="D271" i="41"/>
  <c r="J271" i="41" s="1"/>
  <c r="N271" i="41" s="1"/>
  <c r="D261" i="41"/>
  <c r="J261" i="41" s="1"/>
  <c r="N261" i="41" s="1"/>
  <c r="D234" i="41"/>
  <c r="J234" i="41" s="1"/>
  <c r="N234" i="41" s="1"/>
  <c r="D286" i="41"/>
  <c r="J286" i="41" s="1"/>
  <c r="N286" i="41" s="1"/>
  <c r="D173" i="41"/>
  <c r="J173" i="41" s="1"/>
  <c r="N173" i="41" s="1"/>
  <c r="D146" i="41"/>
  <c r="J146" i="41" s="1"/>
  <c r="N146" i="41" s="1"/>
  <c r="D177" i="41"/>
  <c r="J177" i="41" s="1"/>
  <c r="N177" i="41" s="1"/>
  <c r="D213" i="41"/>
  <c r="J213" i="41" s="1"/>
  <c r="N213" i="41" s="1"/>
  <c r="Q16" i="40"/>
  <c r="D167" i="41"/>
  <c r="J167" i="41" s="1"/>
  <c r="N167" i="41" s="1"/>
  <c r="D182" i="41"/>
  <c r="J182" i="41" s="1"/>
  <c r="N182" i="41" s="1"/>
  <c r="D256" i="41"/>
  <c r="J256" i="41" s="1"/>
  <c r="N256" i="41" s="1"/>
  <c r="D267" i="41"/>
  <c r="J267" i="41" s="1"/>
  <c r="N267" i="41" s="1"/>
  <c r="D195" i="41"/>
  <c r="J195" i="41" s="1"/>
  <c r="N195" i="41" s="1"/>
  <c r="D227" i="41"/>
  <c r="J227" i="41" s="1"/>
  <c r="N227" i="41" s="1"/>
  <c r="D128" i="41"/>
  <c r="J128" i="41" s="1"/>
  <c r="N128" i="41" s="1"/>
  <c r="D282" i="41"/>
  <c r="J282" i="41" s="1"/>
  <c r="N282" i="41" s="1"/>
  <c r="D132" i="41"/>
  <c r="J132" i="41" s="1"/>
  <c r="N132" i="41" s="1"/>
  <c r="D189" i="41"/>
  <c r="J189" i="41" s="1"/>
  <c r="N189" i="41" s="1"/>
  <c r="D242" i="41"/>
  <c r="J242" i="41" s="1"/>
  <c r="N242" i="41" s="1"/>
  <c r="D272" i="41"/>
  <c r="J272" i="41" s="1"/>
  <c r="N272" i="41" s="1"/>
  <c r="D235" i="41"/>
  <c r="J235" i="41" s="1"/>
  <c r="N235" i="41" s="1"/>
  <c r="D210" i="41"/>
  <c r="J210" i="41" s="1"/>
  <c r="N210" i="41" s="1"/>
  <c r="D127" i="41"/>
  <c r="J127" i="41" s="1"/>
  <c r="N127" i="41" s="1"/>
  <c r="D278" i="41"/>
  <c r="J278" i="41" s="1"/>
  <c r="N278" i="41" s="1"/>
  <c r="D152" i="41"/>
  <c r="J152" i="41" s="1"/>
  <c r="N152" i="41" s="1"/>
  <c r="D156" i="41"/>
  <c r="J156" i="41" s="1"/>
  <c r="N156" i="41" s="1"/>
  <c r="D284" i="41"/>
  <c r="J284" i="41" s="1"/>
  <c r="N284" i="41" s="1"/>
  <c r="D151" i="41"/>
  <c r="J151" i="41" s="1"/>
  <c r="N151" i="41" s="1"/>
  <c r="D251" i="41"/>
  <c r="J251" i="41" s="1"/>
  <c r="N251" i="41" s="1"/>
  <c r="D197" i="41"/>
  <c r="J197" i="41" s="1"/>
  <c r="N197" i="41" s="1"/>
  <c r="D270" i="41"/>
  <c r="J270" i="41" s="1"/>
  <c r="N270" i="41" s="1"/>
  <c r="D170" i="41"/>
  <c r="J170" i="41" s="1"/>
  <c r="N170" i="41" s="1"/>
  <c r="D257" i="41"/>
  <c r="J257" i="41" s="1"/>
  <c r="N257" i="41" s="1"/>
  <c r="D275" i="41"/>
  <c r="J275" i="41" s="1"/>
  <c r="N275" i="41" s="1"/>
  <c r="D240" i="41"/>
  <c r="J240" i="41" s="1"/>
  <c r="N240" i="41" s="1"/>
  <c r="P8" i="41" l="1" a="1"/>
  <c r="P12" i="41" l="1"/>
  <c r="Q12" i="41"/>
  <c r="Q9" i="41"/>
  <c r="P10" i="41"/>
  <c r="Q10" i="41"/>
  <c r="P8" i="41"/>
  <c r="P15" i="41" s="1"/>
  <c r="Q15" i="41" s="1"/>
  <c r="Q11" i="41"/>
  <c r="Q8" i="41"/>
  <c r="P16" i="41" s="1"/>
  <c r="P9" i="41"/>
  <c r="P11" i="41"/>
  <c r="D123" i="42" l="1"/>
  <c r="J123" i="42" s="1"/>
  <c r="N123" i="42" s="1"/>
  <c r="D255" i="42"/>
  <c r="J255" i="42" s="1"/>
  <c r="N255" i="42" s="1"/>
  <c r="D149" i="42"/>
  <c r="J149" i="42" s="1"/>
  <c r="N149" i="42" s="1"/>
  <c r="D217" i="42"/>
  <c r="J217" i="42" s="1"/>
  <c r="N217" i="42" s="1"/>
  <c r="D189" i="42"/>
  <c r="J189" i="42" s="1"/>
  <c r="N189" i="42" s="1"/>
  <c r="D119" i="42"/>
  <c r="J119" i="42" s="1"/>
  <c r="N119" i="42" s="1"/>
  <c r="D154" i="42"/>
  <c r="J154" i="42" s="1"/>
  <c r="N154" i="42" s="1"/>
  <c r="D257" i="42"/>
  <c r="J257" i="42" s="1"/>
  <c r="N257" i="42" s="1"/>
  <c r="D168" i="42"/>
  <c r="J168" i="42" s="1"/>
  <c r="N168" i="42" s="1"/>
  <c r="D184" i="42"/>
  <c r="J184" i="42" s="1"/>
  <c r="N184" i="42" s="1"/>
  <c r="D192" i="42"/>
  <c r="J192" i="42" s="1"/>
  <c r="N192" i="42" s="1"/>
  <c r="D205" i="42"/>
  <c r="J205" i="42" s="1"/>
  <c r="N205" i="42" s="1"/>
  <c r="D263" i="42"/>
  <c r="J263" i="42" s="1"/>
  <c r="N263" i="42" s="1"/>
  <c r="D199" i="42"/>
  <c r="J199" i="42" s="1"/>
  <c r="N199" i="42" s="1"/>
  <c r="D159" i="42"/>
  <c r="J159" i="42" s="1"/>
  <c r="N159" i="42" s="1"/>
  <c r="D145" i="42"/>
  <c r="J145" i="42" s="1"/>
  <c r="N145" i="42" s="1"/>
  <c r="D140" i="42"/>
  <c r="J140" i="42" s="1"/>
  <c r="N140" i="42" s="1"/>
  <c r="D160" i="42"/>
  <c r="J160" i="42" s="1"/>
  <c r="N160" i="42" s="1"/>
  <c r="D233" i="42"/>
  <c r="J233" i="42" s="1"/>
  <c r="N233" i="42" s="1"/>
  <c r="D291" i="42"/>
  <c r="J291" i="42" s="1"/>
  <c r="N291" i="42" s="1"/>
  <c r="D130" i="42"/>
  <c r="J130" i="42" s="1"/>
  <c r="N130" i="42" s="1"/>
  <c r="D236" i="42"/>
  <c r="J236" i="42" s="1"/>
  <c r="N236" i="42" s="1"/>
  <c r="D227" i="42"/>
  <c r="J227" i="42" s="1"/>
  <c r="N227" i="42" s="1"/>
  <c r="D280" i="42"/>
  <c r="J280" i="42" s="1"/>
  <c r="N280" i="42" s="1"/>
  <c r="D164" i="42"/>
  <c r="J164" i="42" s="1"/>
  <c r="N164" i="42" s="1"/>
  <c r="D283" i="42"/>
  <c r="J283" i="42" s="1"/>
  <c r="N283" i="42" s="1"/>
  <c r="D242" i="42"/>
  <c r="J242" i="42" s="1"/>
  <c r="N242" i="42" s="1"/>
  <c r="D183" i="42"/>
  <c r="J183" i="42" s="1"/>
  <c r="N183" i="42" s="1"/>
  <c r="D218" i="42"/>
  <c r="J218" i="42" s="1"/>
  <c r="N218" i="42" s="1"/>
  <c r="D286" i="42"/>
  <c r="J286" i="42" s="1"/>
  <c r="N286" i="42" s="1"/>
  <c r="D235" i="42"/>
  <c r="J235" i="42" s="1"/>
  <c r="N235" i="42" s="1"/>
  <c r="D167" i="42"/>
  <c r="J167" i="42" s="1"/>
  <c r="N167" i="42" s="1"/>
  <c r="D258" i="42"/>
  <c r="J258" i="42" s="1"/>
  <c r="N258" i="42" s="1"/>
  <c r="D161" i="42"/>
  <c r="J161" i="42" s="1"/>
  <c r="N161" i="42" s="1"/>
  <c r="D142" i="42"/>
  <c r="J142" i="42" s="1"/>
  <c r="N142" i="42" s="1"/>
  <c r="D276" i="42"/>
  <c r="J276" i="42" s="1"/>
  <c r="N276" i="42" s="1"/>
  <c r="D153" i="42"/>
  <c r="J153" i="42" s="1"/>
  <c r="N153" i="42" s="1"/>
  <c r="D261" i="42"/>
  <c r="J261" i="42" s="1"/>
  <c r="N261" i="42" s="1"/>
  <c r="D128" i="42"/>
  <c r="J128" i="42" s="1"/>
  <c r="N128" i="42" s="1"/>
  <c r="D271" i="42"/>
  <c r="J271" i="42" s="1"/>
  <c r="N271" i="42" s="1"/>
  <c r="D122" i="42"/>
  <c r="J122" i="42" s="1"/>
  <c r="N122" i="42" s="1"/>
  <c r="D135" i="42"/>
  <c r="J135" i="42" s="1"/>
  <c r="N135" i="42" s="1"/>
  <c r="D193" i="42"/>
  <c r="J193" i="42" s="1"/>
  <c r="N193" i="42" s="1"/>
  <c r="D211" i="42"/>
  <c r="J211" i="42" s="1"/>
  <c r="N211" i="42" s="1"/>
  <c r="D198" i="42"/>
  <c r="J198" i="42" s="1"/>
  <c r="N198" i="42" s="1"/>
  <c r="D178" i="42"/>
  <c r="J178" i="42" s="1"/>
  <c r="N178" i="42" s="1"/>
  <c r="D177" i="42"/>
  <c r="J177" i="42" s="1"/>
  <c r="N177" i="42" s="1"/>
  <c r="D209" i="42"/>
  <c r="J209" i="42" s="1"/>
  <c r="N209" i="42" s="1"/>
  <c r="D246" i="42"/>
  <c r="J246" i="42" s="1"/>
  <c r="N246" i="42" s="1"/>
  <c r="D175" i="42"/>
  <c r="J175" i="42" s="1"/>
  <c r="N175" i="42" s="1"/>
  <c r="D287" i="42"/>
  <c r="J287" i="42" s="1"/>
  <c r="N287" i="42" s="1"/>
  <c r="D259" i="42"/>
  <c r="J259" i="42" s="1"/>
  <c r="N259" i="42" s="1"/>
  <c r="D181" i="42"/>
  <c r="J181" i="42" s="1"/>
  <c r="N181" i="42" s="1"/>
  <c r="D288" i="42"/>
  <c r="J288" i="42" s="1"/>
  <c r="N288" i="42" s="1"/>
  <c r="D180" i="42"/>
  <c r="J180" i="42" s="1"/>
  <c r="N180" i="42" s="1"/>
  <c r="D240" i="42"/>
  <c r="J240" i="42" s="1"/>
  <c r="N240" i="42" s="1"/>
  <c r="D243" i="42"/>
  <c r="J243" i="42" s="1"/>
  <c r="N243" i="42" s="1"/>
  <c r="D172" i="42"/>
  <c r="J172" i="42" s="1"/>
  <c r="N172" i="42" s="1"/>
  <c r="D277" i="42"/>
  <c r="J277" i="42" s="1"/>
  <c r="N277" i="42" s="1"/>
  <c r="D162" i="42"/>
  <c r="J162" i="42" s="1"/>
  <c r="N162" i="42" s="1"/>
  <c r="D256" i="42"/>
  <c r="J256" i="42" s="1"/>
  <c r="N256" i="42" s="1"/>
  <c r="D185" i="42"/>
  <c r="J185" i="42" s="1"/>
  <c r="N185" i="42" s="1"/>
  <c r="D203" i="42"/>
  <c r="J203" i="42" s="1"/>
  <c r="N203" i="42" s="1"/>
  <c r="D165" i="42"/>
  <c r="J165" i="42" s="1"/>
  <c r="N165" i="42" s="1"/>
  <c r="D284" i="42"/>
  <c r="J284" i="42" s="1"/>
  <c r="N284" i="42" s="1"/>
  <c r="D231" i="42"/>
  <c r="J231" i="42" s="1"/>
  <c r="N231" i="42" s="1"/>
  <c r="D118" i="42"/>
  <c r="J118" i="42" s="1"/>
  <c r="N118" i="42" s="1"/>
  <c r="D282" i="42"/>
  <c r="J282" i="42" s="1"/>
  <c r="N282" i="42" s="1"/>
  <c r="D215" i="42"/>
  <c r="J215" i="42" s="1"/>
  <c r="N215" i="42" s="1"/>
  <c r="D234" i="42"/>
  <c r="J234" i="42" s="1"/>
  <c r="N234" i="42" s="1"/>
  <c r="D174" i="42"/>
  <c r="J174" i="42" s="1"/>
  <c r="N174" i="42" s="1"/>
  <c r="D292" i="42"/>
  <c r="J292" i="42" s="1"/>
  <c r="N292" i="42" s="1"/>
  <c r="D279" i="42"/>
  <c r="J279" i="42" s="1"/>
  <c r="N279" i="42" s="1"/>
  <c r="D221" i="42"/>
  <c r="J221" i="42" s="1"/>
  <c r="N221" i="42" s="1"/>
  <c r="D270" i="42"/>
  <c r="J270" i="42" s="1"/>
  <c r="N270" i="42" s="1"/>
  <c r="D281" i="42"/>
  <c r="J281" i="42" s="1"/>
  <c r="N281" i="42" s="1"/>
  <c r="D150" i="42"/>
  <c r="J150" i="42" s="1"/>
  <c r="N150" i="42" s="1"/>
  <c r="D206" i="42"/>
  <c r="J206" i="42" s="1"/>
  <c r="N206" i="42" s="1"/>
  <c r="D222" i="42"/>
  <c r="J222" i="42" s="1"/>
  <c r="N222" i="42" s="1"/>
  <c r="D191" i="42"/>
  <c r="J191" i="42" s="1"/>
  <c r="N191" i="42" s="1"/>
  <c r="D265" i="42"/>
  <c r="J265" i="42" s="1"/>
  <c r="N265" i="42" s="1"/>
  <c r="D156" i="42"/>
  <c r="J156" i="42" s="1"/>
  <c r="N156" i="42" s="1"/>
  <c r="D157" i="42"/>
  <c r="J157" i="42" s="1"/>
  <c r="N157" i="42" s="1"/>
  <c r="D253" i="42"/>
  <c r="J253" i="42" s="1"/>
  <c r="N253" i="42" s="1"/>
  <c r="D129" i="42"/>
  <c r="J129" i="42" s="1"/>
  <c r="N129" i="42" s="1"/>
  <c r="D132" i="42"/>
  <c r="J132" i="42" s="1"/>
  <c r="N132" i="42" s="1"/>
  <c r="D210" i="42"/>
  <c r="J210" i="42" s="1"/>
  <c r="N210" i="42" s="1"/>
  <c r="D250" i="42"/>
  <c r="J250" i="42" s="1"/>
  <c r="N250" i="42" s="1"/>
  <c r="D170" i="42"/>
  <c r="J170" i="42" s="1"/>
  <c r="N170" i="42" s="1"/>
  <c r="D226" i="42"/>
  <c r="J226" i="42" s="1"/>
  <c r="N226" i="42" s="1"/>
  <c r="D176" i="42"/>
  <c r="J176" i="42" s="1"/>
  <c r="N176" i="42" s="1"/>
  <c r="D158" i="42"/>
  <c r="J158" i="42" s="1"/>
  <c r="N158" i="42" s="1"/>
  <c r="D267" i="42"/>
  <c r="J267" i="42" s="1"/>
  <c r="N267" i="42" s="1"/>
  <c r="D136" i="42"/>
  <c r="J136" i="42" s="1"/>
  <c r="N136" i="42" s="1"/>
  <c r="D151" i="42"/>
  <c r="J151" i="42" s="1"/>
  <c r="N151" i="42" s="1"/>
  <c r="D229" i="42"/>
  <c r="J229" i="42" s="1"/>
  <c r="N229" i="42" s="1"/>
  <c r="D248" i="42"/>
  <c r="J248" i="42" s="1"/>
  <c r="N248" i="42" s="1"/>
  <c r="D212" i="42"/>
  <c r="J212" i="42" s="1"/>
  <c r="N212" i="42" s="1"/>
  <c r="D254" i="42"/>
  <c r="J254" i="42" s="1"/>
  <c r="N254" i="42" s="1"/>
  <c r="D121" i="42"/>
  <c r="J121" i="42" s="1"/>
  <c r="N121" i="42" s="1"/>
  <c r="D146" i="42"/>
  <c r="J146" i="42" s="1"/>
  <c r="N146" i="42" s="1"/>
  <c r="D166" i="42"/>
  <c r="J166" i="42" s="1"/>
  <c r="N166" i="42" s="1"/>
  <c r="D148" i="42"/>
  <c r="J148" i="42" s="1"/>
  <c r="N148" i="42" s="1"/>
  <c r="D201" i="42"/>
  <c r="J201" i="42" s="1"/>
  <c r="N201" i="42" s="1"/>
  <c r="D260" i="42"/>
  <c r="J260" i="42" s="1"/>
  <c r="N260" i="42" s="1"/>
  <c r="D207" i="42"/>
  <c r="J207" i="42" s="1"/>
  <c r="N207" i="42" s="1"/>
  <c r="D194" i="42"/>
  <c r="J194" i="42" s="1"/>
  <c r="N194" i="42" s="1"/>
  <c r="D225" i="42"/>
  <c r="J225" i="42" s="1"/>
  <c r="N225" i="42" s="1"/>
  <c r="D173" i="42"/>
  <c r="J173" i="42" s="1"/>
  <c r="N173" i="42" s="1"/>
  <c r="D275" i="42"/>
  <c r="J275" i="42" s="1"/>
  <c r="N275" i="42" s="1"/>
  <c r="D125" i="42"/>
  <c r="J125" i="42" s="1"/>
  <c r="N125" i="42" s="1"/>
  <c r="D187" i="42"/>
  <c r="J187" i="42" s="1"/>
  <c r="N187" i="42" s="1"/>
  <c r="D230" i="42"/>
  <c r="J230" i="42" s="1"/>
  <c r="N230" i="42" s="1"/>
  <c r="D134" i="42"/>
  <c r="J134" i="42" s="1"/>
  <c r="N134" i="42" s="1"/>
  <c r="D127" i="42"/>
  <c r="J127" i="42" s="1"/>
  <c r="N127" i="42" s="1"/>
  <c r="D169" i="42"/>
  <c r="J169" i="42" s="1"/>
  <c r="N169" i="42" s="1"/>
  <c r="D196" i="42"/>
  <c r="J196" i="42" s="1"/>
  <c r="N196" i="42" s="1"/>
  <c r="D214" i="42"/>
  <c r="J214" i="42" s="1"/>
  <c r="N214" i="42" s="1"/>
  <c r="D120" i="42"/>
  <c r="J120" i="42" s="1"/>
  <c r="N120" i="42" s="1"/>
  <c r="D204" i="42"/>
  <c r="J204" i="42" s="1"/>
  <c r="N204" i="42" s="1"/>
  <c r="D190" i="42"/>
  <c r="J190" i="42" s="1"/>
  <c r="N190" i="42" s="1"/>
  <c r="D152" i="42"/>
  <c r="J152" i="42" s="1"/>
  <c r="N152" i="42" s="1"/>
  <c r="D266" i="42"/>
  <c r="J266" i="42" s="1"/>
  <c r="N266" i="42" s="1"/>
  <c r="D245" i="42"/>
  <c r="J245" i="42" s="1"/>
  <c r="N245" i="42" s="1"/>
  <c r="D216" i="42"/>
  <c r="J216" i="42" s="1"/>
  <c r="N216" i="42" s="1"/>
  <c r="D171" i="42"/>
  <c r="J171" i="42" s="1"/>
  <c r="N171" i="42" s="1"/>
  <c r="D285" i="42"/>
  <c r="J285" i="42" s="1"/>
  <c r="N285" i="42" s="1"/>
  <c r="D290" i="42"/>
  <c r="J290" i="42" s="1"/>
  <c r="N290" i="42" s="1"/>
  <c r="D262" i="42"/>
  <c r="J262" i="42" s="1"/>
  <c r="N262" i="42" s="1"/>
  <c r="D188" i="42"/>
  <c r="J188" i="42" s="1"/>
  <c r="N188" i="42" s="1"/>
  <c r="D237" i="42"/>
  <c r="J237" i="42" s="1"/>
  <c r="N237" i="42" s="1"/>
  <c r="D220" i="42"/>
  <c r="J220" i="42" s="1"/>
  <c r="N220" i="42" s="1"/>
  <c r="D213" i="42"/>
  <c r="J213" i="42" s="1"/>
  <c r="N213" i="42" s="1"/>
  <c r="D232" i="42"/>
  <c r="J232" i="42" s="1"/>
  <c r="N232" i="42" s="1"/>
  <c r="D223" i="42"/>
  <c r="J223" i="42" s="1"/>
  <c r="N223" i="42" s="1"/>
  <c r="D200" i="42"/>
  <c r="J200" i="42" s="1"/>
  <c r="N200" i="42" s="1"/>
  <c r="D238" i="42"/>
  <c r="J238" i="42" s="1"/>
  <c r="N238" i="42" s="1"/>
  <c r="D137" i="42"/>
  <c r="J137" i="42" s="1"/>
  <c r="N137" i="42" s="1"/>
  <c r="D264" i="42"/>
  <c r="J264" i="42" s="1"/>
  <c r="N264" i="42" s="1"/>
  <c r="D139" i="42"/>
  <c r="J139" i="42" s="1"/>
  <c r="N139" i="42" s="1"/>
  <c r="D124" i="42"/>
  <c r="J124" i="42" s="1"/>
  <c r="N124" i="42" s="1"/>
  <c r="D224" i="42"/>
  <c r="J224" i="42" s="1"/>
  <c r="N224" i="42" s="1"/>
  <c r="D143" i="42"/>
  <c r="J143" i="42" s="1"/>
  <c r="N143" i="42" s="1"/>
  <c r="D179" i="42"/>
  <c r="J179" i="42" s="1"/>
  <c r="N179" i="42" s="1"/>
  <c r="D268" i="42"/>
  <c r="J268" i="42" s="1"/>
  <c r="N268" i="42" s="1"/>
  <c r="D186" i="42"/>
  <c r="J186" i="42" s="1"/>
  <c r="N186" i="42" s="1"/>
  <c r="D141" i="42"/>
  <c r="J141" i="42" s="1"/>
  <c r="N141" i="42" s="1"/>
  <c r="D274" i="42"/>
  <c r="J274" i="42" s="1"/>
  <c r="N274" i="42" s="1"/>
  <c r="D131" i="42"/>
  <c r="J131" i="42" s="1"/>
  <c r="N131" i="42" s="1"/>
  <c r="D252" i="42"/>
  <c r="J252" i="42" s="1"/>
  <c r="N252" i="42" s="1"/>
  <c r="D228" i="42"/>
  <c r="J228" i="42" s="1"/>
  <c r="N228" i="42" s="1"/>
  <c r="D278" i="42"/>
  <c r="J278" i="42" s="1"/>
  <c r="N278" i="42" s="1"/>
  <c r="D163" i="42"/>
  <c r="J163" i="42" s="1"/>
  <c r="N163" i="42" s="1"/>
  <c r="Q16" i="41"/>
  <c r="D133" i="42"/>
  <c r="J133" i="42" s="1"/>
  <c r="N133" i="42" s="1"/>
  <c r="D249" i="42"/>
  <c r="J249" i="42" s="1"/>
  <c r="N249" i="42" s="1"/>
  <c r="D269" i="42"/>
  <c r="J269" i="42" s="1"/>
  <c r="N269" i="42" s="1"/>
  <c r="D289" i="42"/>
  <c r="J289" i="42" s="1"/>
  <c r="N289" i="42" s="1"/>
  <c r="D147" i="42"/>
  <c r="J147" i="42" s="1"/>
  <c r="N147" i="42" s="1"/>
  <c r="D241" i="42"/>
  <c r="J241" i="42" s="1"/>
  <c r="N241" i="42" s="1"/>
  <c r="D219" i="42"/>
  <c r="J219" i="42" s="1"/>
  <c r="N219" i="42" s="1"/>
  <c r="D195" i="42"/>
  <c r="J195" i="42" s="1"/>
  <c r="N195" i="42" s="1"/>
  <c r="D244" i="42"/>
  <c r="J244" i="42" s="1"/>
  <c r="N244" i="42" s="1"/>
  <c r="D155" i="42"/>
  <c r="J155" i="42" s="1"/>
  <c r="N155" i="42" s="1"/>
  <c r="D138" i="42"/>
  <c r="J138" i="42" s="1"/>
  <c r="N138" i="42" s="1"/>
  <c r="D144" i="42"/>
  <c r="J144" i="42" s="1"/>
  <c r="N144" i="42" s="1"/>
  <c r="D126" i="42"/>
  <c r="J126" i="42" s="1"/>
  <c r="N126" i="42" s="1"/>
  <c r="D251" i="42"/>
  <c r="J251" i="42" s="1"/>
  <c r="N251" i="42" s="1"/>
  <c r="D247" i="42"/>
  <c r="J247" i="42" s="1"/>
  <c r="N247" i="42" s="1"/>
  <c r="D202" i="42"/>
  <c r="J202" i="42" s="1"/>
  <c r="N202" i="42" s="1"/>
  <c r="D182" i="42"/>
  <c r="J182" i="42" s="1"/>
  <c r="N182" i="42" s="1"/>
  <c r="D239" i="42"/>
  <c r="J239" i="42" s="1"/>
  <c r="N239" i="42" s="1"/>
  <c r="D273" i="42"/>
  <c r="J273" i="42" s="1"/>
  <c r="N273" i="42" s="1"/>
  <c r="D197" i="42"/>
  <c r="J197" i="42" s="1"/>
  <c r="N197" i="42" s="1"/>
  <c r="D208" i="42"/>
  <c r="J208" i="42" s="1"/>
  <c r="N208" i="42" s="1"/>
  <c r="D272" i="42"/>
  <c r="J272" i="42" s="1"/>
  <c r="N272" i="42" s="1"/>
  <c r="P8" i="42" l="1" a="1"/>
  <c r="P11" i="42" l="1"/>
  <c r="Q9" i="42"/>
  <c r="P12" i="42"/>
  <c r="P10" i="42"/>
  <c r="P8" i="42"/>
  <c r="P15" i="42" s="1"/>
  <c r="Q15" i="42" s="1"/>
  <c r="Q8" i="42"/>
  <c r="P16" i="42" s="1"/>
  <c r="Q11" i="42"/>
  <c r="P9" i="42"/>
  <c r="Q12" i="42"/>
  <c r="Q10" i="42"/>
  <c r="D171" i="43" l="1"/>
  <c r="J171" i="43" s="1"/>
  <c r="N171" i="43" s="1"/>
  <c r="D202" i="43"/>
  <c r="J202" i="43" s="1"/>
  <c r="N202" i="43" s="1"/>
  <c r="D189" i="43"/>
  <c r="J189" i="43" s="1"/>
  <c r="N189" i="43" s="1"/>
  <c r="D213" i="43"/>
  <c r="J213" i="43" s="1"/>
  <c r="N213" i="43" s="1"/>
  <c r="D259" i="43"/>
  <c r="J259" i="43" s="1"/>
  <c r="N259" i="43" s="1"/>
  <c r="D165" i="43"/>
  <c r="J165" i="43" s="1"/>
  <c r="N165" i="43" s="1"/>
  <c r="D180" i="43"/>
  <c r="J180" i="43" s="1"/>
  <c r="N180" i="43" s="1"/>
  <c r="D146" i="43"/>
  <c r="J146" i="43" s="1"/>
  <c r="N146" i="43" s="1"/>
  <c r="D237" i="43"/>
  <c r="J237" i="43" s="1"/>
  <c r="N237" i="43" s="1"/>
  <c r="D239" i="43"/>
  <c r="J239" i="43" s="1"/>
  <c r="N239" i="43" s="1"/>
  <c r="D119" i="43"/>
  <c r="J119" i="43" s="1"/>
  <c r="N119" i="43" s="1"/>
  <c r="D138" i="43"/>
  <c r="J138" i="43" s="1"/>
  <c r="N138" i="43" s="1"/>
  <c r="D226" i="43"/>
  <c r="J226" i="43" s="1"/>
  <c r="N226" i="43" s="1"/>
  <c r="D143" i="43"/>
  <c r="J143" i="43" s="1"/>
  <c r="N143" i="43" s="1"/>
  <c r="D133" i="43"/>
  <c r="J133" i="43" s="1"/>
  <c r="N133" i="43" s="1"/>
  <c r="D120" i="43"/>
  <c r="J120" i="43" s="1"/>
  <c r="N120" i="43" s="1"/>
  <c r="D168" i="43"/>
  <c r="J168" i="43" s="1"/>
  <c r="N168" i="43" s="1"/>
  <c r="D223" i="43"/>
  <c r="J223" i="43" s="1"/>
  <c r="N223" i="43" s="1"/>
  <c r="D150" i="43"/>
  <c r="J150" i="43" s="1"/>
  <c r="N150" i="43" s="1"/>
  <c r="D141" i="43"/>
  <c r="J141" i="43" s="1"/>
  <c r="N141" i="43" s="1"/>
  <c r="D290" i="43"/>
  <c r="J290" i="43" s="1"/>
  <c r="N290" i="43" s="1"/>
  <c r="D162" i="43"/>
  <c r="J162" i="43" s="1"/>
  <c r="N162" i="43" s="1"/>
  <c r="D217" i="43"/>
  <c r="J217" i="43" s="1"/>
  <c r="N217" i="43" s="1"/>
  <c r="D174" i="43"/>
  <c r="J174" i="43" s="1"/>
  <c r="N174" i="43" s="1"/>
  <c r="D280" i="43"/>
  <c r="J280" i="43" s="1"/>
  <c r="N280" i="43" s="1"/>
  <c r="D276" i="43"/>
  <c r="J276" i="43" s="1"/>
  <c r="N276" i="43" s="1"/>
  <c r="D240" i="43"/>
  <c r="J240" i="43" s="1"/>
  <c r="N240" i="43" s="1"/>
  <c r="D136" i="43"/>
  <c r="J136" i="43" s="1"/>
  <c r="N136" i="43" s="1"/>
  <c r="D231" i="43"/>
  <c r="J231" i="43" s="1"/>
  <c r="N231" i="43" s="1"/>
  <c r="D164" i="43"/>
  <c r="J164" i="43" s="1"/>
  <c r="N164" i="43" s="1"/>
  <c r="D252" i="43"/>
  <c r="J252" i="43" s="1"/>
  <c r="N252" i="43" s="1"/>
  <c r="D131" i="43"/>
  <c r="J131" i="43" s="1"/>
  <c r="N131" i="43" s="1"/>
  <c r="D254" i="43"/>
  <c r="J254" i="43" s="1"/>
  <c r="N254" i="43" s="1"/>
  <c r="D210" i="43"/>
  <c r="J210" i="43" s="1"/>
  <c r="N210" i="43" s="1"/>
  <c r="D286" i="43"/>
  <c r="J286" i="43" s="1"/>
  <c r="N286" i="43" s="1"/>
  <c r="D211" i="43"/>
  <c r="J211" i="43" s="1"/>
  <c r="N211" i="43" s="1"/>
  <c r="D269" i="43"/>
  <c r="J269" i="43" s="1"/>
  <c r="N269" i="43" s="1"/>
  <c r="D163" i="43"/>
  <c r="J163" i="43" s="1"/>
  <c r="N163" i="43" s="1"/>
  <c r="D271" i="43"/>
  <c r="J271" i="43" s="1"/>
  <c r="N271" i="43" s="1"/>
  <c r="D197" i="43"/>
  <c r="J197" i="43" s="1"/>
  <c r="N197" i="43" s="1"/>
  <c r="D156" i="43"/>
  <c r="J156" i="43" s="1"/>
  <c r="N156" i="43" s="1"/>
  <c r="D246" i="43"/>
  <c r="J246" i="43" s="1"/>
  <c r="N246" i="43" s="1"/>
  <c r="D242" i="43"/>
  <c r="J242" i="43" s="1"/>
  <c r="N242" i="43" s="1"/>
  <c r="D158" i="43"/>
  <c r="J158" i="43" s="1"/>
  <c r="N158" i="43" s="1"/>
  <c r="D153" i="43"/>
  <c r="J153" i="43" s="1"/>
  <c r="N153" i="43" s="1"/>
  <c r="D261" i="43"/>
  <c r="J261" i="43" s="1"/>
  <c r="N261" i="43" s="1"/>
  <c r="D144" i="43"/>
  <c r="J144" i="43" s="1"/>
  <c r="N144" i="43" s="1"/>
  <c r="D264" i="43"/>
  <c r="J264" i="43" s="1"/>
  <c r="N264" i="43" s="1"/>
  <c r="D149" i="43"/>
  <c r="J149" i="43" s="1"/>
  <c r="N149" i="43" s="1"/>
  <c r="D219" i="43"/>
  <c r="J219" i="43" s="1"/>
  <c r="N219" i="43" s="1"/>
  <c r="D135" i="43"/>
  <c r="J135" i="43" s="1"/>
  <c r="N135" i="43" s="1"/>
  <c r="D178" i="43"/>
  <c r="J178" i="43" s="1"/>
  <c r="N178" i="43" s="1"/>
  <c r="D206" i="43"/>
  <c r="J206" i="43" s="1"/>
  <c r="N206" i="43" s="1"/>
  <c r="D176" i="43"/>
  <c r="J176" i="43" s="1"/>
  <c r="N176" i="43" s="1"/>
  <c r="D236" i="43"/>
  <c r="J236" i="43" s="1"/>
  <c r="N236" i="43" s="1"/>
  <c r="D221" i="43"/>
  <c r="J221" i="43" s="1"/>
  <c r="N221" i="43" s="1"/>
  <c r="D289" i="43"/>
  <c r="J289" i="43" s="1"/>
  <c r="N289" i="43" s="1"/>
  <c r="D139" i="43"/>
  <c r="J139" i="43" s="1"/>
  <c r="N139" i="43" s="1"/>
  <c r="D151" i="43"/>
  <c r="J151" i="43" s="1"/>
  <c r="N151" i="43" s="1"/>
  <c r="D250" i="43"/>
  <c r="J250" i="43" s="1"/>
  <c r="N250" i="43" s="1"/>
  <c r="D125" i="43"/>
  <c r="J125" i="43" s="1"/>
  <c r="N125" i="43" s="1"/>
  <c r="D247" i="43"/>
  <c r="J247" i="43" s="1"/>
  <c r="N247" i="43" s="1"/>
  <c r="D186" i="43"/>
  <c r="J186" i="43" s="1"/>
  <c r="N186" i="43" s="1"/>
  <c r="D224" i="43"/>
  <c r="J224" i="43" s="1"/>
  <c r="N224" i="43" s="1"/>
  <c r="D192" i="43"/>
  <c r="J192" i="43" s="1"/>
  <c r="N192" i="43" s="1"/>
  <c r="D166" i="43"/>
  <c r="J166" i="43" s="1"/>
  <c r="N166" i="43" s="1"/>
  <c r="D272" i="43"/>
  <c r="J272" i="43" s="1"/>
  <c r="N272" i="43" s="1"/>
  <c r="D121" i="43"/>
  <c r="J121" i="43" s="1"/>
  <c r="N121" i="43" s="1"/>
  <c r="D245" i="43"/>
  <c r="J245" i="43" s="1"/>
  <c r="N245" i="43" s="1"/>
  <c r="D232" i="43"/>
  <c r="J232" i="43" s="1"/>
  <c r="N232" i="43" s="1"/>
  <c r="D161" i="43"/>
  <c r="J161" i="43" s="1"/>
  <c r="N161" i="43" s="1"/>
  <c r="D194" i="43"/>
  <c r="J194" i="43" s="1"/>
  <c r="N194" i="43" s="1"/>
  <c r="D122" i="43"/>
  <c r="J122" i="43" s="1"/>
  <c r="N122" i="43" s="1"/>
  <c r="D185" i="43"/>
  <c r="J185" i="43" s="1"/>
  <c r="N185" i="43" s="1"/>
  <c r="D235" i="43"/>
  <c r="J235" i="43" s="1"/>
  <c r="N235" i="43" s="1"/>
  <c r="D258" i="43"/>
  <c r="J258" i="43" s="1"/>
  <c r="N258" i="43" s="1"/>
  <c r="D256" i="43"/>
  <c r="J256" i="43" s="1"/>
  <c r="N256" i="43" s="1"/>
  <c r="D159" i="43"/>
  <c r="J159" i="43" s="1"/>
  <c r="N159" i="43" s="1"/>
  <c r="D281" i="43"/>
  <c r="J281" i="43" s="1"/>
  <c r="N281" i="43" s="1"/>
  <c r="D283" i="43"/>
  <c r="J283" i="43" s="1"/>
  <c r="N283" i="43" s="1"/>
  <c r="D253" i="43"/>
  <c r="J253" i="43" s="1"/>
  <c r="N253" i="43" s="1"/>
  <c r="D263" i="43"/>
  <c r="J263" i="43" s="1"/>
  <c r="N263" i="43" s="1"/>
  <c r="D193" i="43"/>
  <c r="J193" i="43" s="1"/>
  <c r="N193" i="43" s="1"/>
  <c r="D222" i="43"/>
  <c r="J222" i="43" s="1"/>
  <c r="N222" i="43" s="1"/>
  <c r="D284" i="43"/>
  <c r="J284" i="43" s="1"/>
  <c r="N284" i="43" s="1"/>
  <c r="D200" i="43"/>
  <c r="J200" i="43" s="1"/>
  <c r="N200" i="43" s="1"/>
  <c r="D118" i="43"/>
  <c r="J118" i="43" s="1"/>
  <c r="N118" i="43" s="1"/>
  <c r="D228" i="43"/>
  <c r="J228" i="43" s="1"/>
  <c r="N228" i="43" s="1"/>
  <c r="D227" i="43"/>
  <c r="J227" i="43" s="1"/>
  <c r="N227" i="43" s="1"/>
  <c r="D265" i="43"/>
  <c r="J265" i="43" s="1"/>
  <c r="N265" i="43" s="1"/>
  <c r="D130" i="43"/>
  <c r="J130" i="43" s="1"/>
  <c r="N130" i="43" s="1"/>
  <c r="D137" i="43"/>
  <c r="J137" i="43" s="1"/>
  <c r="N137" i="43" s="1"/>
  <c r="D184" i="43"/>
  <c r="J184" i="43" s="1"/>
  <c r="N184" i="43" s="1"/>
  <c r="D123" i="43"/>
  <c r="J123" i="43" s="1"/>
  <c r="N123" i="43" s="1"/>
  <c r="D229" i="43"/>
  <c r="J229" i="43" s="1"/>
  <c r="N229" i="43" s="1"/>
  <c r="D147" i="43"/>
  <c r="J147" i="43" s="1"/>
  <c r="N147" i="43" s="1"/>
  <c r="D173" i="43"/>
  <c r="J173" i="43" s="1"/>
  <c r="N173" i="43" s="1"/>
  <c r="D288" i="43"/>
  <c r="J288" i="43" s="1"/>
  <c r="N288" i="43" s="1"/>
  <c r="D214" i="43"/>
  <c r="J214" i="43" s="1"/>
  <c r="N214" i="43" s="1"/>
  <c r="D266" i="43"/>
  <c r="J266" i="43" s="1"/>
  <c r="N266" i="43" s="1"/>
  <c r="D170" i="43"/>
  <c r="J170" i="43" s="1"/>
  <c r="N170" i="43" s="1"/>
  <c r="D132" i="43"/>
  <c r="J132" i="43" s="1"/>
  <c r="N132" i="43" s="1"/>
  <c r="D292" i="43"/>
  <c r="J292" i="43" s="1"/>
  <c r="N292" i="43" s="1"/>
  <c r="D201" i="43"/>
  <c r="J201" i="43" s="1"/>
  <c r="N201" i="43" s="1"/>
  <c r="D268" i="43"/>
  <c r="J268" i="43" s="1"/>
  <c r="N268" i="43" s="1"/>
  <c r="D291" i="43"/>
  <c r="J291" i="43" s="1"/>
  <c r="N291" i="43" s="1"/>
  <c r="D255" i="43"/>
  <c r="J255" i="43" s="1"/>
  <c r="N255" i="43" s="1"/>
  <c r="D267" i="43"/>
  <c r="J267" i="43" s="1"/>
  <c r="N267" i="43" s="1"/>
  <c r="D140" i="43"/>
  <c r="J140" i="43" s="1"/>
  <c r="N140" i="43" s="1"/>
  <c r="D195" i="43"/>
  <c r="J195" i="43" s="1"/>
  <c r="N195" i="43" s="1"/>
  <c r="D187" i="43"/>
  <c r="J187" i="43" s="1"/>
  <c r="N187" i="43" s="1"/>
  <c r="D167" i="43"/>
  <c r="J167" i="43" s="1"/>
  <c r="N167" i="43" s="1"/>
  <c r="D225" i="43"/>
  <c r="J225" i="43" s="1"/>
  <c r="N225" i="43" s="1"/>
  <c r="D188" i="43"/>
  <c r="J188" i="43" s="1"/>
  <c r="N188" i="43" s="1"/>
  <c r="D241" i="43"/>
  <c r="J241" i="43" s="1"/>
  <c r="N241" i="43" s="1"/>
  <c r="D157" i="43"/>
  <c r="J157" i="43" s="1"/>
  <c r="N157" i="43" s="1"/>
  <c r="D169" i="43"/>
  <c r="J169" i="43" s="1"/>
  <c r="N169" i="43" s="1"/>
  <c r="D203" i="43"/>
  <c r="J203" i="43" s="1"/>
  <c r="N203" i="43" s="1"/>
  <c r="D181" i="43"/>
  <c r="J181" i="43" s="1"/>
  <c r="N181" i="43" s="1"/>
  <c r="D148" i="43"/>
  <c r="J148" i="43" s="1"/>
  <c r="N148" i="43" s="1"/>
  <c r="D273" i="43"/>
  <c r="J273" i="43" s="1"/>
  <c r="N273" i="43" s="1"/>
  <c r="D190" i="43"/>
  <c r="J190" i="43" s="1"/>
  <c r="N190" i="43" s="1"/>
  <c r="D218" i="43"/>
  <c r="J218" i="43" s="1"/>
  <c r="N218" i="43" s="1"/>
  <c r="D209" i="43"/>
  <c r="J209" i="43" s="1"/>
  <c r="N209" i="43" s="1"/>
  <c r="D230" i="43"/>
  <c r="J230" i="43" s="1"/>
  <c r="N230" i="43" s="1"/>
  <c r="D179" i="43"/>
  <c r="J179" i="43" s="1"/>
  <c r="N179" i="43" s="1"/>
  <c r="D248" i="43"/>
  <c r="J248" i="43" s="1"/>
  <c r="N248" i="43" s="1"/>
  <c r="D251" i="43"/>
  <c r="J251" i="43" s="1"/>
  <c r="N251" i="43" s="1"/>
  <c r="D126" i="43"/>
  <c r="J126" i="43" s="1"/>
  <c r="N126" i="43" s="1"/>
  <c r="D128" i="43"/>
  <c r="J128" i="43" s="1"/>
  <c r="N128" i="43" s="1"/>
  <c r="D238" i="43"/>
  <c r="J238" i="43" s="1"/>
  <c r="N238" i="43" s="1"/>
  <c r="D196" i="43"/>
  <c r="J196" i="43" s="1"/>
  <c r="N196" i="43" s="1"/>
  <c r="D215" i="43"/>
  <c r="J215" i="43" s="1"/>
  <c r="N215" i="43" s="1"/>
  <c r="D212" i="43"/>
  <c r="J212" i="43" s="1"/>
  <c r="N212" i="43" s="1"/>
  <c r="D220" i="43"/>
  <c r="J220" i="43" s="1"/>
  <c r="N220" i="43" s="1"/>
  <c r="D234" i="43"/>
  <c r="J234" i="43" s="1"/>
  <c r="N234" i="43" s="1"/>
  <c r="Q16" i="42"/>
  <c r="D244" i="43"/>
  <c r="J244" i="43" s="1"/>
  <c r="N244" i="43" s="1"/>
  <c r="D208" i="43"/>
  <c r="J208" i="43" s="1"/>
  <c r="N208" i="43" s="1"/>
  <c r="D260" i="43"/>
  <c r="J260" i="43" s="1"/>
  <c r="N260" i="43" s="1"/>
  <c r="D198" i="43"/>
  <c r="J198" i="43" s="1"/>
  <c r="N198" i="43" s="1"/>
  <c r="D155" i="43"/>
  <c r="J155" i="43" s="1"/>
  <c r="N155" i="43" s="1"/>
  <c r="D278" i="43"/>
  <c r="J278" i="43" s="1"/>
  <c r="N278" i="43" s="1"/>
  <c r="D249" i="43"/>
  <c r="J249" i="43" s="1"/>
  <c r="N249" i="43" s="1"/>
  <c r="D142" i="43"/>
  <c r="J142" i="43" s="1"/>
  <c r="N142" i="43" s="1"/>
  <c r="D154" i="43"/>
  <c r="J154" i="43" s="1"/>
  <c r="N154" i="43" s="1"/>
  <c r="D262" i="43"/>
  <c r="J262" i="43" s="1"/>
  <c r="N262" i="43" s="1"/>
  <c r="D279" i="43"/>
  <c r="J279" i="43" s="1"/>
  <c r="N279" i="43" s="1"/>
  <c r="D199" i="43"/>
  <c r="J199" i="43" s="1"/>
  <c r="N199" i="43" s="1"/>
  <c r="D285" i="43"/>
  <c r="J285" i="43" s="1"/>
  <c r="N285" i="43" s="1"/>
  <c r="D243" i="43"/>
  <c r="J243" i="43" s="1"/>
  <c r="N243" i="43" s="1"/>
  <c r="D277" i="43"/>
  <c r="J277" i="43" s="1"/>
  <c r="N277" i="43" s="1"/>
  <c r="D233" i="43"/>
  <c r="J233" i="43" s="1"/>
  <c r="N233" i="43" s="1"/>
  <c r="D257" i="43"/>
  <c r="J257" i="43" s="1"/>
  <c r="N257" i="43" s="1"/>
  <c r="D172" i="43"/>
  <c r="J172" i="43" s="1"/>
  <c r="N172" i="43" s="1"/>
  <c r="D134" i="43"/>
  <c r="J134" i="43" s="1"/>
  <c r="N134" i="43" s="1"/>
  <c r="D183" i="43"/>
  <c r="J183" i="43" s="1"/>
  <c r="N183" i="43" s="1"/>
  <c r="D205" i="43"/>
  <c r="J205" i="43" s="1"/>
  <c r="N205" i="43" s="1"/>
  <c r="D275" i="43"/>
  <c r="J275" i="43" s="1"/>
  <c r="N275" i="43" s="1"/>
  <c r="D282" i="43"/>
  <c r="J282" i="43" s="1"/>
  <c r="N282" i="43" s="1"/>
  <c r="D274" i="43"/>
  <c r="J274" i="43" s="1"/>
  <c r="N274" i="43" s="1"/>
  <c r="D207" i="43"/>
  <c r="J207" i="43" s="1"/>
  <c r="N207" i="43" s="1"/>
  <c r="D145" i="43"/>
  <c r="J145" i="43" s="1"/>
  <c r="N145" i="43" s="1"/>
  <c r="D177" i="43"/>
  <c r="J177" i="43" s="1"/>
  <c r="N177" i="43" s="1"/>
  <c r="D287" i="43"/>
  <c r="J287" i="43" s="1"/>
  <c r="N287" i="43" s="1"/>
  <c r="D216" i="43"/>
  <c r="J216" i="43" s="1"/>
  <c r="N216" i="43" s="1"/>
  <c r="D152" i="43"/>
  <c r="J152" i="43" s="1"/>
  <c r="N152" i="43" s="1"/>
  <c r="D191" i="43"/>
  <c r="J191" i="43" s="1"/>
  <c r="N191" i="43" s="1"/>
  <c r="D127" i="43"/>
  <c r="J127" i="43" s="1"/>
  <c r="N127" i="43" s="1"/>
  <c r="D182" i="43"/>
  <c r="J182" i="43" s="1"/>
  <c r="N182" i="43" s="1"/>
  <c r="D129" i="43"/>
  <c r="J129" i="43" s="1"/>
  <c r="N129" i="43" s="1"/>
  <c r="D175" i="43"/>
  <c r="J175" i="43" s="1"/>
  <c r="N175" i="43" s="1"/>
  <c r="D270" i="43"/>
  <c r="J270" i="43" s="1"/>
  <c r="N270" i="43" s="1"/>
  <c r="D124" i="43"/>
  <c r="J124" i="43" s="1"/>
  <c r="N124" i="43" s="1"/>
  <c r="D204" i="43"/>
  <c r="J204" i="43" s="1"/>
  <c r="N204" i="43" s="1"/>
  <c r="D160" i="43"/>
  <c r="J160" i="43" s="1"/>
  <c r="N160" i="43" s="1"/>
  <c r="P8" i="43" l="1" a="1"/>
  <c r="Q10" i="43" l="1"/>
  <c r="P11" i="43"/>
  <c r="P10" i="43"/>
  <c r="P9" i="43"/>
  <c r="Q9" i="43"/>
  <c r="Q11" i="43"/>
  <c r="P8" i="43"/>
  <c r="P15" i="43" s="1"/>
  <c r="Q15" i="43" s="1"/>
  <c r="Q8" i="43"/>
  <c r="P16" i="43" s="1"/>
  <c r="P12" i="43"/>
  <c r="Q12" i="43"/>
  <c r="D129" i="44" l="1"/>
  <c r="J129" i="44" s="1"/>
  <c r="N129" i="44" s="1"/>
  <c r="D200" i="44"/>
  <c r="J200" i="44" s="1"/>
  <c r="N200" i="44" s="1"/>
  <c r="D272" i="44"/>
  <c r="J272" i="44" s="1"/>
  <c r="N272" i="44" s="1"/>
  <c r="D262" i="44"/>
  <c r="J262" i="44" s="1"/>
  <c r="N262" i="44" s="1"/>
  <c r="D222" i="44"/>
  <c r="J222" i="44" s="1"/>
  <c r="N222" i="44" s="1"/>
  <c r="D154" i="44"/>
  <c r="J154" i="44" s="1"/>
  <c r="N154" i="44" s="1"/>
  <c r="D266" i="44"/>
  <c r="J266" i="44" s="1"/>
  <c r="N266" i="44" s="1"/>
  <c r="D171" i="44"/>
  <c r="J171" i="44" s="1"/>
  <c r="N171" i="44" s="1"/>
  <c r="D277" i="44"/>
  <c r="J277" i="44" s="1"/>
  <c r="N277" i="44" s="1"/>
  <c r="D229" i="44"/>
  <c r="J229" i="44" s="1"/>
  <c r="N229" i="44" s="1"/>
  <c r="D283" i="44"/>
  <c r="J283" i="44" s="1"/>
  <c r="N283" i="44" s="1"/>
  <c r="D198" i="44"/>
  <c r="J198" i="44" s="1"/>
  <c r="N198" i="44" s="1"/>
  <c r="D289" i="44"/>
  <c r="J289" i="44" s="1"/>
  <c r="N289" i="44" s="1"/>
  <c r="D179" i="44"/>
  <c r="J179" i="44" s="1"/>
  <c r="N179" i="44" s="1"/>
  <c r="D251" i="44"/>
  <c r="J251" i="44" s="1"/>
  <c r="N251" i="44" s="1"/>
  <c r="D135" i="44"/>
  <c r="J135" i="44" s="1"/>
  <c r="N135" i="44" s="1"/>
  <c r="D247" i="44"/>
  <c r="J247" i="44" s="1"/>
  <c r="N247" i="44" s="1"/>
  <c r="D181" i="44"/>
  <c r="J181" i="44" s="1"/>
  <c r="N181" i="44" s="1"/>
  <c r="D215" i="44"/>
  <c r="J215" i="44" s="1"/>
  <c r="N215" i="44" s="1"/>
  <c r="D151" i="44"/>
  <c r="J151" i="44" s="1"/>
  <c r="N151" i="44" s="1"/>
  <c r="D119" i="44"/>
  <c r="J119" i="44" s="1"/>
  <c r="N119" i="44" s="1"/>
  <c r="D143" i="44"/>
  <c r="J143" i="44" s="1"/>
  <c r="N143" i="44" s="1"/>
  <c r="D148" i="44"/>
  <c r="J148" i="44" s="1"/>
  <c r="N148" i="44" s="1"/>
  <c r="D223" i="44"/>
  <c r="J223" i="44" s="1"/>
  <c r="N223" i="44" s="1"/>
  <c r="D118" i="44"/>
  <c r="J118" i="44" s="1"/>
  <c r="N118" i="44" s="1"/>
  <c r="D256" i="44"/>
  <c r="J256" i="44" s="1"/>
  <c r="N256" i="44" s="1"/>
  <c r="D160" i="44"/>
  <c r="J160" i="44" s="1"/>
  <c r="N160" i="44" s="1"/>
  <c r="D176" i="44"/>
  <c r="J176" i="44" s="1"/>
  <c r="N176" i="44" s="1"/>
  <c r="D224" i="44"/>
  <c r="J224" i="44" s="1"/>
  <c r="N224" i="44" s="1"/>
  <c r="D274" i="44"/>
  <c r="J274" i="44" s="1"/>
  <c r="N274" i="44" s="1"/>
  <c r="D249" i="44"/>
  <c r="J249" i="44" s="1"/>
  <c r="N249" i="44" s="1"/>
  <c r="D227" i="44"/>
  <c r="J227" i="44" s="1"/>
  <c r="N227" i="44" s="1"/>
  <c r="D270" i="44"/>
  <c r="J270" i="44" s="1"/>
  <c r="N270" i="44" s="1"/>
  <c r="D220" i="44"/>
  <c r="J220" i="44" s="1"/>
  <c r="N220" i="44" s="1"/>
  <c r="D237" i="44"/>
  <c r="J237" i="44" s="1"/>
  <c r="N237" i="44" s="1"/>
  <c r="D173" i="44"/>
  <c r="J173" i="44" s="1"/>
  <c r="N173" i="44" s="1"/>
  <c r="D226" i="44"/>
  <c r="J226" i="44" s="1"/>
  <c r="N226" i="44" s="1"/>
  <c r="D214" i="44"/>
  <c r="J214" i="44" s="1"/>
  <c r="N214" i="44" s="1"/>
  <c r="D211" i="44"/>
  <c r="J211" i="44" s="1"/>
  <c r="N211" i="44" s="1"/>
  <c r="D178" i="44"/>
  <c r="J178" i="44" s="1"/>
  <c r="N178" i="44" s="1"/>
  <c r="D159" i="44"/>
  <c r="J159" i="44" s="1"/>
  <c r="N159" i="44" s="1"/>
  <c r="D185" i="44"/>
  <c r="J185" i="44" s="1"/>
  <c r="N185" i="44" s="1"/>
  <c r="D125" i="44"/>
  <c r="J125" i="44" s="1"/>
  <c r="N125" i="44" s="1"/>
  <c r="D147" i="44"/>
  <c r="J147" i="44" s="1"/>
  <c r="N147" i="44" s="1"/>
  <c r="D276" i="44"/>
  <c r="J276" i="44" s="1"/>
  <c r="N276" i="44" s="1"/>
  <c r="D165" i="44"/>
  <c r="J165" i="44" s="1"/>
  <c r="N165" i="44" s="1"/>
  <c r="D267" i="44"/>
  <c r="J267" i="44" s="1"/>
  <c r="N267" i="44" s="1"/>
  <c r="D240" i="44"/>
  <c r="J240" i="44" s="1"/>
  <c r="N240" i="44" s="1"/>
  <c r="D169" i="44"/>
  <c r="J169" i="44" s="1"/>
  <c r="N169" i="44" s="1"/>
  <c r="D291" i="44"/>
  <c r="J291" i="44" s="1"/>
  <c r="N291" i="44" s="1"/>
  <c r="D133" i="44"/>
  <c r="J133" i="44" s="1"/>
  <c r="N133" i="44" s="1"/>
  <c r="D183" i="44"/>
  <c r="J183" i="44" s="1"/>
  <c r="N183" i="44" s="1"/>
  <c r="D279" i="44"/>
  <c r="J279" i="44" s="1"/>
  <c r="N279" i="44" s="1"/>
  <c r="D244" i="44"/>
  <c r="J244" i="44" s="1"/>
  <c r="N244" i="44" s="1"/>
  <c r="D163" i="44"/>
  <c r="J163" i="44" s="1"/>
  <c r="N163" i="44" s="1"/>
  <c r="D263" i="44"/>
  <c r="J263" i="44" s="1"/>
  <c r="N263" i="44" s="1"/>
  <c r="D275" i="44"/>
  <c r="J275" i="44" s="1"/>
  <c r="N275" i="44" s="1"/>
  <c r="D292" i="44"/>
  <c r="J292" i="44" s="1"/>
  <c r="N292" i="44" s="1"/>
  <c r="D172" i="44"/>
  <c r="J172" i="44" s="1"/>
  <c r="N172" i="44" s="1"/>
  <c r="D128" i="44"/>
  <c r="J128" i="44" s="1"/>
  <c r="N128" i="44" s="1"/>
  <c r="D282" i="44"/>
  <c r="J282" i="44" s="1"/>
  <c r="N282" i="44" s="1"/>
  <c r="D286" i="44"/>
  <c r="J286" i="44" s="1"/>
  <c r="N286" i="44" s="1"/>
  <c r="D175" i="44"/>
  <c r="J175" i="44" s="1"/>
  <c r="N175" i="44" s="1"/>
  <c r="D190" i="44"/>
  <c r="J190" i="44" s="1"/>
  <c r="N190" i="44" s="1"/>
  <c r="D259" i="44"/>
  <c r="J259" i="44" s="1"/>
  <c r="N259" i="44" s="1"/>
  <c r="D130" i="44"/>
  <c r="J130" i="44" s="1"/>
  <c r="N130" i="44" s="1"/>
  <c r="D242" i="44"/>
  <c r="J242" i="44" s="1"/>
  <c r="N242" i="44" s="1"/>
  <c r="D157" i="44"/>
  <c r="J157" i="44" s="1"/>
  <c r="N157" i="44" s="1"/>
  <c r="D218" i="44"/>
  <c r="J218" i="44" s="1"/>
  <c r="N218" i="44" s="1"/>
  <c r="D239" i="44"/>
  <c r="J239" i="44" s="1"/>
  <c r="N239" i="44" s="1"/>
  <c r="D142" i="44"/>
  <c r="J142" i="44" s="1"/>
  <c r="N142" i="44" s="1"/>
  <c r="D243" i="44"/>
  <c r="J243" i="44" s="1"/>
  <c r="N243" i="44" s="1"/>
  <c r="D257" i="44"/>
  <c r="J257" i="44" s="1"/>
  <c r="N257" i="44" s="1"/>
  <c r="D182" i="44"/>
  <c r="J182" i="44" s="1"/>
  <c r="N182" i="44" s="1"/>
  <c r="D127" i="44"/>
  <c r="J127" i="44" s="1"/>
  <c r="N127" i="44" s="1"/>
  <c r="D177" i="44"/>
  <c r="J177" i="44" s="1"/>
  <c r="N177" i="44" s="1"/>
  <c r="D153" i="44"/>
  <c r="J153" i="44" s="1"/>
  <c r="N153" i="44" s="1"/>
  <c r="D250" i="44"/>
  <c r="J250" i="44" s="1"/>
  <c r="N250" i="44" s="1"/>
  <c r="D232" i="44"/>
  <c r="J232" i="44" s="1"/>
  <c r="N232" i="44" s="1"/>
  <c r="D139" i="44"/>
  <c r="J139" i="44" s="1"/>
  <c r="N139" i="44" s="1"/>
  <c r="D207" i="44"/>
  <c r="J207" i="44" s="1"/>
  <c r="N207" i="44" s="1"/>
  <c r="D141" i="44"/>
  <c r="J141" i="44" s="1"/>
  <c r="N141" i="44" s="1"/>
  <c r="D167" i="44"/>
  <c r="J167" i="44" s="1"/>
  <c r="N167" i="44" s="1"/>
  <c r="D140" i="44"/>
  <c r="J140" i="44" s="1"/>
  <c r="N140" i="44" s="1"/>
  <c r="D235" i="44"/>
  <c r="J235" i="44" s="1"/>
  <c r="N235" i="44" s="1"/>
  <c r="D253" i="44"/>
  <c r="J253" i="44" s="1"/>
  <c r="N253" i="44" s="1"/>
  <c r="D121" i="44"/>
  <c r="J121" i="44" s="1"/>
  <c r="N121" i="44" s="1"/>
  <c r="D174" i="44"/>
  <c r="J174" i="44" s="1"/>
  <c r="N174" i="44" s="1"/>
  <c r="D126" i="44"/>
  <c r="J126" i="44" s="1"/>
  <c r="N126" i="44" s="1"/>
  <c r="D268" i="44"/>
  <c r="J268" i="44" s="1"/>
  <c r="N268" i="44" s="1"/>
  <c r="D252" i="44"/>
  <c r="J252" i="44" s="1"/>
  <c r="N252" i="44" s="1"/>
  <c r="D144" i="44"/>
  <c r="J144" i="44" s="1"/>
  <c r="N144" i="44" s="1"/>
  <c r="D281" i="44"/>
  <c r="J281" i="44" s="1"/>
  <c r="N281" i="44" s="1"/>
  <c r="D131" i="44"/>
  <c r="J131" i="44" s="1"/>
  <c r="N131" i="44" s="1"/>
  <c r="D269" i="44"/>
  <c r="J269" i="44" s="1"/>
  <c r="N269" i="44" s="1"/>
  <c r="D208" i="44"/>
  <c r="J208" i="44" s="1"/>
  <c r="N208" i="44" s="1"/>
  <c r="D278" i="44"/>
  <c r="J278" i="44" s="1"/>
  <c r="N278" i="44" s="1"/>
  <c r="D246" i="44"/>
  <c r="J246" i="44" s="1"/>
  <c r="N246" i="44" s="1"/>
  <c r="D166" i="44"/>
  <c r="J166" i="44" s="1"/>
  <c r="N166" i="44" s="1"/>
  <c r="D288" i="44"/>
  <c r="J288" i="44" s="1"/>
  <c r="N288" i="44" s="1"/>
  <c r="D248" i="44"/>
  <c r="J248" i="44" s="1"/>
  <c r="N248" i="44" s="1"/>
  <c r="D228" i="44"/>
  <c r="J228" i="44" s="1"/>
  <c r="N228" i="44" s="1"/>
  <c r="Q16" i="43"/>
  <c r="D205" i="44"/>
  <c r="J205" i="44" s="1"/>
  <c r="N205" i="44" s="1"/>
  <c r="D265" i="44"/>
  <c r="J265" i="44" s="1"/>
  <c r="N265" i="44" s="1"/>
  <c r="D241" i="44"/>
  <c r="J241" i="44" s="1"/>
  <c r="N241" i="44" s="1"/>
  <c r="D155" i="44"/>
  <c r="J155" i="44" s="1"/>
  <c r="N155" i="44" s="1"/>
  <c r="D193" i="44"/>
  <c r="J193" i="44" s="1"/>
  <c r="N193" i="44" s="1"/>
  <c r="D194" i="44"/>
  <c r="J194" i="44" s="1"/>
  <c r="N194" i="44" s="1"/>
  <c r="D124" i="44"/>
  <c r="J124" i="44" s="1"/>
  <c r="N124" i="44" s="1"/>
  <c r="D137" i="44"/>
  <c r="J137" i="44" s="1"/>
  <c r="N137" i="44" s="1"/>
  <c r="D287" i="44"/>
  <c r="J287" i="44" s="1"/>
  <c r="N287" i="44" s="1"/>
  <c r="D217" i="44"/>
  <c r="J217" i="44" s="1"/>
  <c r="N217" i="44" s="1"/>
  <c r="D180" i="44"/>
  <c r="J180" i="44" s="1"/>
  <c r="N180" i="44" s="1"/>
  <c r="D219" i="44"/>
  <c r="J219" i="44" s="1"/>
  <c r="N219" i="44" s="1"/>
  <c r="D203" i="44"/>
  <c r="J203" i="44" s="1"/>
  <c r="N203" i="44" s="1"/>
  <c r="D161" i="44"/>
  <c r="J161" i="44" s="1"/>
  <c r="N161" i="44" s="1"/>
  <c r="D221" i="44"/>
  <c r="J221" i="44" s="1"/>
  <c r="N221" i="44" s="1"/>
  <c r="D156" i="44"/>
  <c r="J156" i="44" s="1"/>
  <c r="N156" i="44" s="1"/>
  <c r="D162" i="44"/>
  <c r="J162" i="44" s="1"/>
  <c r="N162" i="44" s="1"/>
  <c r="D260" i="44"/>
  <c r="J260" i="44" s="1"/>
  <c r="N260" i="44" s="1"/>
  <c r="D201" i="44"/>
  <c r="J201" i="44" s="1"/>
  <c r="N201" i="44" s="1"/>
  <c r="D233" i="44"/>
  <c r="J233" i="44" s="1"/>
  <c r="N233" i="44" s="1"/>
  <c r="D258" i="44"/>
  <c r="J258" i="44" s="1"/>
  <c r="N258" i="44" s="1"/>
  <c r="D284" i="44"/>
  <c r="J284" i="44" s="1"/>
  <c r="N284" i="44" s="1"/>
  <c r="D168" i="44"/>
  <c r="J168" i="44" s="1"/>
  <c r="N168" i="44" s="1"/>
  <c r="D261" i="44"/>
  <c r="J261" i="44" s="1"/>
  <c r="N261" i="44" s="1"/>
  <c r="D234" i="44"/>
  <c r="J234" i="44" s="1"/>
  <c r="N234" i="44" s="1"/>
  <c r="D255" i="44"/>
  <c r="J255" i="44" s="1"/>
  <c r="N255" i="44" s="1"/>
  <c r="D230" i="44"/>
  <c r="J230" i="44" s="1"/>
  <c r="N230" i="44" s="1"/>
  <c r="D264" i="44"/>
  <c r="J264" i="44" s="1"/>
  <c r="N264" i="44" s="1"/>
  <c r="D134" i="44"/>
  <c r="J134" i="44" s="1"/>
  <c r="N134" i="44" s="1"/>
  <c r="D290" i="44"/>
  <c r="J290" i="44" s="1"/>
  <c r="N290" i="44" s="1"/>
  <c r="D186" i="44"/>
  <c r="J186" i="44" s="1"/>
  <c r="N186" i="44" s="1"/>
  <c r="D170" i="44"/>
  <c r="J170" i="44" s="1"/>
  <c r="N170" i="44" s="1"/>
  <c r="D196" i="44"/>
  <c r="J196" i="44" s="1"/>
  <c r="N196" i="44" s="1"/>
  <c r="D150" i="44"/>
  <c r="J150" i="44" s="1"/>
  <c r="N150" i="44" s="1"/>
  <c r="D271" i="44"/>
  <c r="J271" i="44" s="1"/>
  <c r="N271" i="44" s="1"/>
  <c r="D152" i="44"/>
  <c r="J152" i="44" s="1"/>
  <c r="N152" i="44" s="1"/>
  <c r="D195" i="44"/>
  <c r="J195" i="44" s="1"/>
  <c r="N195" i="44" s="1"/>
  <c r="D245" i="44"/>
  <c r="J245" i="44" s="1"/>
  <c r="N245" i="44" s="1"/>
  <c r="D189" i="44"/>
  <c r="J189" i="44" s="1"/>
  <c r="N189" i="44" s="1"/>
  <c r="D123" i="44"/>
  <c r="J123" i="44" s="1"/>
  <c r="N123" i="44" s="1"/>
  <c r="D145" i="44"/>
  <c r="J145" i="44" s="1"/>
  <c r="N145" i="44" s="1"/>
  <c r="D138" i="44"/>
  <c r="J138" i="44" s="1"/>
  <c r="N138" i="44" s="1"/>
  <c r="D197" i="44"/>
  <c r="J197" i="44" s="1"/>
  <c r="N197" i="44" s="1"/>
  <c r="D212" i="44"/>
  <c r="J212" i="44" s="1"/>
  <c r="N212" i="44" s="1"/>
  <c r="D188" i="44"/>
  <c r="J188" i="44" s="1"/>
  <c r="N188" i="44" s="1"/>
  <c r="D184" i="44"/>
  <c r="J184" i="44" s="1"/>
  <c r="N184" i="44" s="1"/>
  <c r="D120" i="44"/>
  <c r="J120" i="44" s="1"/>
  <c r="N120" i="44" s="1"/>
  <c r="D216" i="44"/>
  <c r="J216" i="44" s="1"/>
  <c r="N216" i="44" s="1"/>
  <c r="D136" i="44"/>
  <c r="J136" i="44" s="1"/>
  <c r="N136" i="44" s="1"/>
  <c r="D199" i="44"/>
  <c r="J199" i="44" s="1"/>
  <c r="N199" i="44" s="1"/>
  <c r="D122" i="44"/>
  <c r="J122" i="44" s="1"/>
  <c r="N122" i="44" s="1"/>
  <c r="D225" i="44"/>
  <c r="J225" i="44" s="1"/>
  <c r="N225" i="44" s="1"/>
  <c r="D285" i="44"/>
  <c r="J285" i="44" s="1"/>
  <c r="N285" i="44" s="1"/>
  <c r="D236" i="44"/>
  <c r="J236" i="44" s="1"/>
  <c r="N236" i="44" s="1"/>
  <c r="D158" i="44"/>
  <c r="J158" i="44" s="1"/>
  <c r="N158" i="44" s="1"/>
  <c r="D132" i="44"/>
  <c r="J132" i="44" s="1"/>
  <c r="N132" i="44" s="1"/>
  <c r="D231" i="44"/>
  <c r="J231" i="44" s="1"/>
  <c r="N231" i="44" s="1"/>
  <c r="D146" i="44"/>
  <c r="J146" i="44" s="1"/>
  <c r="N146" i="44" s="1"/>
  <c r="D192" i="44"/>
  <c r="J192" i="44" s="1"/>
  <c r="N192" i="44" s="1"/>
  <c r="D213" i="44"/>
  <c r="J213" i="44" s="1"/>
  <c r="N213" i="44" s="1"/>
  <c r="D209" i="44"/>
  <c r="J209" i="44" s="1"/>
  <c r="N209" i="44" s="1"/>
  <c r="D164" i="44"/>
  <c r="J164" i="44" s="1"/>
  <c r="N164" i="44" s="1"/>
  <c r="D149" i="44"/>
  <c r="J149" i="44" s="1"/>
  <c r="N149" i="44" s="1"/>
  <c r="D204" i="44"/>
  <c r="J204" i="44" s="1"/>
  <c r="N204" i="44" s="1"/>
  <c r="D206" i="44"/>
  <c r="J206" i="44" s="1"/>
  <c r="N206" i="44" s="1"/>
  <c r="D254" i="44"/>
  <c r="J254" i="44" s="1"/>
  <c r="N254" i="44" s="1"/>
  <c r="D210" i="44"/>
  <c r="J210" i="44" s="1"/>
  <c r="N210" i="44" s="1"/>
  <c r="D191" i="44"/>
  <c r="J191" i="44" s="1"/>
  <c r="N191" i="44" s="1"/>
  <c r="D202" i="44"/>
  <c r="J202" i="44" s="1"/>
  <c r="N202" i="44" s="1"/>
  <c r="D238" i="44"/>
  <c r="J238" i="44" s="1"/>
  <c r="N238" i="44" s="1"/>
  <c r="D273" i="44"/>
  <c r="J273" i="44" s="1"/>
  <c r="N273" i="44" s="1"/>
  <c r="D187" i="44"/>
  <c r="J187" i="44" s="1"/>
  <c r="N187" i="44" s="1"/>
  <c r="D280" i="44"/>
  <c r="J280" i="44" s="1"/>
  <c r="N280" i="44" s="1"/>
  <c r="P8" i="44" l="1" a="1"/>
  <c r="P12" i="44" l="1"/>
  <c r="Q8" i="44"/>
  <c r="P16" i="44" s="1"/>
  <c r="P10" i="44"/>
  <c r="Q11" i="44"/>
  <c r="P11" i="44"/>
  <c r="P8" i="44"/>
  <c r="P15" i="44" s="1"/>
  <c r="Q15" i="44" s="1"/>
  <c r="Q10" i="44"/>
  <c r="Q9" i="44"/>
  <c r="Q12" i="44"/>
  <c r="P9" i="44"/>
  <c r="D127" i="45" l="1"/>
  <c r="J127" i="45" s="1"/>
  <c r="N127" i="45" s="1"/>
  <c r="D276" i="45"/>
  <c r="J276" i="45" s="1"/>
  <c r="N276" i="45" s="1"/>
  <c r="D255" i="45"/>
  <c r="J255" i="45" s="1"/>
  <c r="N255" i="45" s="1"/>
  <c r="D223" i="45"/>
  <c r="J223" i="45" s="1"/>
  <c r="N223" i="45" s="1"/>
  <c r="D131" i="45"/>
  <c r="J131" i="45" s="1"/>
  <c r="N131" i="45" s="1"/>
  <c r="D119" i="45"/>
  <c r="J119" i="45" s="1"/>
  <c r="N119" i="45" s="1"/>
  <c r="D172" i="45"/>
  <c r="J172" i="45" s="1"/>
  <c r="N172" i="45" s="1"/>
  <c r="D177" i="45"/>
  <c r="J177" i="45" s="1"/>
  <c r="N177" i="45" s="1"/>
  <c r="D140" i="45"/>
  <c r="J140" i="45" s="1"/>
  <c r="N140" i="45" s="1"/>
  <c r="D205" i="45"/>
  <c r="J205" i="45" s="1"/>
  <c r="N205" i="45" s="1"/>
  <c r="D281" i="45"/>
  <c r="J281" i="45" s="1"/>
  <c r="N281" i="45" s="1"/>
  <c r="D245" i="45"/>
  <c r="J245" i="45" s="1"/>
  <c r="N245" i="45" s="1"/>
  <c r="D170" i="45"/>
  <c r="J170" i="45" s="1"/>
  <c r="N170" i="45" s="1"/>
  <c r="Q16" i="44"/>
  <c r="D201" i="45"/>
  <c r="J201" i="45" s="1"/>
  <c r="N201" i="45" s="1"/>
  <c r="D256" i="45"/>
  <c r="J256" i="45" s="1"/>
  <c r="N256" i="45" s="1"/>
  <c r="D224" i="45"/>
  <c r="J224" i="45" s="1"/>
  <c r="N224" i="45" s="1"/>
  <c r="D153" i="45"/>
  <c r="J153" i="45" s="1"/>
  <c r="N153" i="45" s="1"/>
  <c r="D197" i="45"/>
  <c r="J197" i="45" s="1"/>
  <c r="N197" i="45" s="1"/>
  <c r="D219" i="45"/>
  <c r="J219" i="45" s="1"/>
  <c r="N219" i="45" s="1"/>
  <c r="D273" i="45"/>
  <c r="J273" i="45" s="1"/>
  <c r="N273" i="45" s="1"/>
  <c r="D216" i="45"/>
  <c r="J216" i="45" s="1"/>
  <c r="N216" i="45" s="1"/>
  <c r="D178" i="45"/>
  <c r="J178" i="45" s="1"/>
  <c r="N178" i="45" s="1"/>
  <c r="D158" i="45"/>
  <c r="J158" i="45" s="1"/>
  <c r="N158" i="45" s="1"/>
  <c r="D259" i="45"/>
  <c r="J259" i="45" s="1"/>
  <c r="N259" i="45" s="1"/>
  <c r="D212" i="45"/>
  <c r="J212" i="45" s="1"/>
  <c r="N212" i="45" s="1"/>
  <c r="D206" i="45"/>
  <c r="J206" i="45" s="1"/>
  <c r="N206" i="45" s="1"/>
  <c r="D250" i="45"/>
  <c r="J250" i="45" s="1"/>
  <c r="N250" i="45" s="1"/>
  <c r="D128" i="45"/>
  <c r="J128" i="45" s="1"/>
  <c r="N128" i="45" s="1"/>
  <c r="D162" i="45"/>
  <c r="J162" i="45" s="1"/>
  <c r="N162" i="45" s="1"/>
  <c r="D122" i="45"/>
  <c r="J122" i="45" s="1"/>
  <c r="N122" i="45" s="1"/>
  <c r="D282" i="45"/>
  <c r="J282" i="45" s="1"/>
  <c r="N282" i="45" s="1"/>
  <c r="D275" i="45"/>
  <c r="J275" i="45" s="1"/>
  <c r="N275" i="45" s="1"/>
  <c r="D208" i="45"/>
  <c r="J208" i="45" s="1"/>
  <c r="N208" i="45" s="1"/>
  <c r="D118" i="45"/>
  <c r="J118" i="45" s="1"/>
  <c r="N118" i="45" s="1"/>
  <c r="D148" i="45"/>
  <c r="J148" i="45" s="1"/>
  <c r="N148" i="45" s="1"/>
  <c r="D184" i="45"/>
  <c r="J184" i="45" s="1"/>
  <c r="N184" i="45" s="1"/>
  <c r="D166" i="45"/>
  <c r="J166" i="45" s="1"/>
  <c r="N166" i="45" s="1"/>
  <c r="D222" i="45"/>
  <c r="J222" i="45" s="1"/>
  <c r="N222" i="45" s="1"/>
  <c r="D274" i="45"/>
  <c r="J274" i="45" s="1"/>
  <c r="N274" i="45" s="1"/>
  <c r="D264" i="45"/>
  <c r="J264" i="45" s="1"/>
  <c r="N264" i="45" s="1"/>
  <c r="D189" i="45"/>
  <c r="J189" i="45" s="1"/>
  <c r="N189" i="45" s="1"/>
  <c r="D214" i="45"/>
  <c r="J214" i="45" s="1"/>
  <c r="N214" i="45" s="1"/>
  <c r="D154" i="45"/>
  <c r="J154" i="45" s="1"/>
  <c r="N154" i="45" s="1"/>
  <c r="D199" i="45"/>
  <c r="J199" i="45" s="1"/>
  <c r="N199" i="45" s="1"/>
  <c r="D120" i="45"/>
  <c r="J120" i="45" s="1"/>
  <c r="N120" i="45" s="1"/>
  <c r="D149" i="45"/>
  <c r="J149" i="45" s="1"/>
  <c r="N149" i="45" s="1"/>
  <c r="D280" i="45"/>
  <c r="J280" i="45" s="1"/>
  <c r="N280" i="45" s="1"/>
  <c r="D138" i="45"/>
  <c r="J138" i="45" s="1"/>
  <c r="N138" i="45" s="1"/>
  <c r="D209" i="45"/>
  <c r="J209" i="45" s="1"/>
  <c r="N209" i="45" s="1"/>
  <c r="D143" i="45"/>
  <c r="J143" i="45" s="1"/>
  <c r="N143" i="45" s="1"/>
  <c r="D182" i="45"/>
  <c r="J182" i="45" s="1"/>
  <c r="N182" i="45" s="1"/>
  <c r="D179" i="45"/>
  <c r="J179" i="45" s="1"/>
  <c r="N179" i="45" s="1"/>
  <c r="D263" i="45"/>
  <c r="J263" i="45" s="1"/>
  <c r="N263" i="45" s="1"/>
  <c r="D232" i="45"/>
  <c r="J232" i="45" s="1"/>
  <c r="N232" i="45" s="1"/>
  <c r="D288" i="45"/>
  <c r="J288" i="45" s="1"/>
  <c r="N288" i="45" s="1"/>
  <c r="D139" i="45"/>
  <c r="J139" i="45" s="1"/>
  <c r="N139" i="45" s="1"/>
  <c r="D289" i="45"/>
  <c r="J289" i="45" s="1"/>
  <c r="N289" i="45" s="1"/>
  <c r="D136" i="45"/>
  <c r="J136" i="45" s="1"/>
  <c r="N136" i="45" s="1"/>
  <c r="D217" i="45"/>
  <c r="J217" i="45" s="1"/>
  <c r="N217" i="45" s="1"/>
  <c r="D277" i="45"/>
  <c r="J277" i="45" s="1"/>
  <c r="N277" i="45" s="1"/>
  <c r="D188" i="45"/>
  <c r="J188" i="45" s="1"/>
  <c r="N188" i="45" s="1"/>
  <c r="D171" i="45"/>
  <c r="J171" i="45" s="1"/>
  <c r="N171" i="45" s="1"/>
  <c r="D156" i="45"/>
  <c r="J156" i="45" s="1"/>
  <c r="N156" i="45" s="1"/>
  <c r="D253" i="45"/>
  <c r="J253" i="45" s="1"/>
  <c r="N253" i="45" s="1"/>
  <c r="D243" i="45"/>
  <c r="J243" i="45" s="1"/>
  <c r="N243" i="45" s="1"/>
  <c r="D192" i="45"/>
  <c r="J192" i="45" s="1"/>
  <c r="N192" i="45" s="1"/>
  <c r="D269" i="45"/>
  <c r="J269" i="45" s="1"/>
  <c r="N269" i="45" s="1"/>
  <c r="D235" i="45"/>
  <c r="J235" i="45" s="1"/>
  <c r="N235" i="45" s="1"/>
  <c r="D160" i="45"/>
  <c r="J160" i="45" s="1"/>
  <c r="N160" i="45" s="1"/>
  <c r="D213" i="45"/>
  <c r="J213" i="45" s="1"/>
  <c r="N213" i="45" s="1"/>
  <c r="D183" i="45"/>
  <c r="J183" i="45" s="1"/>
  <c r="N183" i="45" s="1"/>
  <c r="D202" i="45"/>
  <c r="J202" i="45" s="1"/>
  <c r="N202" i="45" s="1"/>
  <c r="D134" i="45"/>
  <c r="J134" i="45" s="1"/>
  <c r="N134" i="45" s="1"/>
  <c r="D284" i="45"/>
  <c r="J284" i="45" s="1"/>
  <c r="N284" i="45" s="1"/>
  <c r="D123" i="45"/>
  <c r="J123" i="45" s="1"/>
  <c r="N123" i="45" s="1"/>
  <c r="D129" i="45"/>
  <c r="J129" i="45" s="1"/>
  <c r="N129" i="45" s="1"/>
  <c r="D249" i="45"/>
  <c r="J249" i="45" s="1"/>
  <c r="N249" i="45" s="1"/>
  <c r="D142" i="45"/>
  <c r="J142" i="45" s="1"/>
  <c r="N142" i="45" s="1"/>
  <c r="D168" i="45"/>
  <c r="J168" i="45" s="1"/>
  <c r="N168" i="45" s="1"/>
  <c r="D169" i="45"/>
  <c r="J169" i="45" s="1"/>
  <c r="N169" i="45" s="1"/>
  <c r="D176" i="45"/>
  <c r="J176" i="45" s="1"/>
  <c r="N176" i="45" s="1"/>
  <c r="D234" i="45"/>
  <c r="J234" i="45" s="1"/>
  <c r="N234" i="45" s="1"/>
  <c r="D242" i="45"/>
  <c r="J242" i="45" s="1"/>
  <c r="N242" i="45" s="1"/>
  <c r="D292" i="45"/>
  <c r="J292" i="45" s="1"/>
  <c r="N292" i="45" s="1"/>
  <c r="D258" i="45"/>
  <c r="J258" i="45" s="1"/>
  <c r="N258" i="45" s="1"/>
  <c r="D193" i="45"/>
  <c r="J193" i="45" s="1"/>
  <c r="N193" i="45" s="1"/>
  <c r="D211" i="45"/>
  <c r="J211" i="45" s="1"/>
  <c r="N211" i="45" s="1"/>
  <c r="D221" i="45"/>
  <c r="J221" i="45" s="1"/>
  <c r="N221" i="45" s="1"/>
  <c r="D230" i="45"/>
  <c r="J230" i="45" s="1"/>
  <c r="N230" i="45" s="1"/>
  <c r="D167" i="45"/>
  <c r="J167" i="45" s="1"/>
  <c r="N167" i="45" s="1"/>
  <c r="D195" i="45"/>
  <c r="J195" i="45" s="1"/>
  <c r="N195" i="45" s="1"/>
  <c r="D144" i="45"/>
  <c r="J144" i="45" s="1"/>
  <c r="N144" i="45" s="1"/>
  <c r="D237" i="45"/>
  <c r="J237" i="45" s="1"/>
  <c r="N237" i="45" s="1"/>
  <c r="D147" i="45"/>
  <c r="J147" i="45" s="1"/>
  <c r="N147" i="45" s="1"/>
  <c r="D238" i="45"/>
  <c r="J238" i="45" s="1"/>
  <c r="N238" i="45" s="1"/>
  <c r="D244" i="45"/>
  <c r="J244" i="45" s="1"/>
  <c r="N244" i="45" s="1"/>
  <c r="D207" i="45"/>
  <c r="J207" i="45" s="1"/>
  <c r="N207" i="45" s="1"/>
  <c r="D271" i="45"/>
  <c r="J271" i="45" s="1"/>
  <c r="N271" i="45" s="1"/>
  <c r="D283" i="45"/>
  <c r="J283" i="45" s="1"/>
  <c r="N283" i="45" s="1"/>
  <c r="D185" i="45"/>
  <c r="J185" i="45" s="1"/>
  <c r="N185" i="45" s="1"/>
  <c r="D204" i="45"/>
  <c r="J204" i="45" s="1"/>
  <c r="N204" i="45" s="1"/>
  <c r="D228" i="45"/>
  <c r="J228" i="45" s="1"/>
  <c r="N228" i="45" s="1"/>
  <c r="D260" i="45"/>
  <c r="J260" i="45" s="1"/>
  <c r="N260" i="45" s="1"/>
  <c r="D285" i="45"/>
  <c r="J285" i="45" s="1"/>
  <c r="N285" i="45" s="1"/>
  <c r="D130" i="45"/>
  <c r="J130" i="45" s="1"/>
  <c r="N130" i="45" s="1"/>
  <c r="D239" i="45"/>
  <c r="J239" i="45" s="1"/>
  <c r="N239" i="45" s="1"/>
  <c r="D246" i="45"/>
  <c r="J246" i="45" s="1"/>
  <c r="N246" i="45" s="1"/>
  <c r="D187" i="45"/>
  <c r="J187" i="45" s="1"/>
  <c r="N187" i="45" s="1"/>
  <c r="D150" i="45"/>
  <c r="J150" i="45" s="1"/>
  <c r="N150" i="45" s="1"/>
  <c r="D233" i="45"/>
  <c r="J233" i="45" s="1"/>
  <c r="N233" i="45" s="1"/>
  <c r="D132" i="45"/>
  <c r="J132" i="45" s="1"/>
  <c r="N132" i="45" s="1"/>
  <c r="D291" i="45"/>
  <c r="J291" i="45" s="1"/>
  <c r="N291" i="45" s="1"/>
  <c r="D241" i="45"/>
  <c r="J241" i="45" s="1"/>
  <c r="N241" i="45" s="1"/>
  <c r="D254" i="45"/>
  <c r="J254" i="45" s="1"/>
  <c r="N254" i="45" s="1"/>
  <c r="D163" i="45"/>
  <c r="J163" i="45" s="1"/>
  <c r="N163" i="45" s="1"/>
  <c r="D164" i="45"/>
  <c r="J164" i="45" s="1"/>
  <c r="N164" i="45" s="1"/>
  <c r="D126" i="45"/>
  <c r="J126" i="45" s="1"/>
  <c r="N126" i="45" s="1"/>
  <c r="D278" i="45"/>
  <c r="J278" i="45" s="1"/>
  <c r="N278" i="45" s="1"/>
  <c r="D266" i="45"/>
  <c r="J266" i="45" s="1"/>
  <c r="N266" i="45" s="1"/>
  <c r="D121" i="45"/>
  <c r="J121" i="45" s="1"/>
  <c r="N121" i="45" s="1"/>
  <c r="D175" i="45"/>
  <c r="J175" i="45" s="1"/>
  <c r="N175" i="45" s="1"/>
  <c r="D155" i="45"/>
  <c r="J155" i="45" s="1"/>
  <c r="N155" i="45" s="1"/>
  <c r="D229" i="45"/>
  <c r="J229" i="45" s="1"/>
  <c r="N229" i="45" s="1"/>
  <c r="D272" i="45"/>
  <c r="J272" i="45" s="1"/>
  <c r="N272" i="45" s="1"/>
  <c r="D198" i="45"/>
  <c r="J198" i="45" s="1"/>
  <c r="N198" i="45" s="1"/>
  <c r="D125" i="45"/>
  <c r="J125" i="45" s="1"/>
  <c r="N125" i="45" s="1"/>
  <c r="D226" i="45"/>
  <c r="J226" i="45" s="1"/>
  <c r="N226" i="45" s="1"/>
  <c r="D286" i="45"/>
  <c r="J286" i="45" s="1"/>
  <c r="N286" i="45" s="1"/>
  <c r="D135" i="45"/>
  <c r="J135" i="45" s="1"/>
  <c r="N135" i="45" s="1"/>
  <c r="D218" i="45"/>
  <c r="J218" i="45" s="1"/>
  <c r="N218" i="45" s="1"/>
  <c r="D190" i="45"/>
  <c r="J190" i="45" s="1"/>
  <c r="N190" i="45" s="1"/>
  <c r="D203" i="45"/>
  <c r="J203" i="45" s="1"/>
  <c r="N203" i="45" s="1"/>
  <c r="D151" i="45"/>
  <c r="J151" i="45" s="1"/>
  <c r="N151" i="45" s="1"/>
  <c r="D174" i="45"/>
  <c r="J174" i="45" s="1"/>
  <c r="N174" i="45" s="1"/>
  <c r="D220" i="45"/>
  <c r="J220" i="45" s="1"/>
  <c r="N220" i="45" s="1"/>
  <c r="D152" i="45"/>
  <c r="J152" i="45" s="1"/>
  <c r="N152" i="45" s="1"/>
  <c r="D262" i="45"/>
  <c r="J262" i="45" s="1"/>
  <c r="N262" i="45" s="1"/>
  <c r="D231" i="45"/>
  <c r="J231" i="45" s="1"/>
  <c r="N231" i="45" s="1"/>
  <c r="D133" i="45"/>
  <c r="J133" i="45" s="1"/>
  <c r="N133" i="45" s="1"/>
  <c r="D270" i="45"/>
  <c r="J270" i="45" s="1"/>
  <c r="N270" i="45" s="1"/>
  <c r="D146" i="45"/>
  <c r="J146" i="45" s="1"/>
  <c r="N146" i="45" s="1"/>
  <c r="D180" i="45"/>
  <c r="J180" i="45" s="1"/>
  <c r="N180" i="45" s="1"/>
  <c r="D165" i="45"/>
  <c r="J165" i="45" s="1"/>
  <c r="N165" i="45" s="1"/>
  <c r="D257" i="45"/>
  <c r="J257" i="45" s="1"/>
  <c r="N257" i="45" s="1"/>
  <c r="D248" i="45"/>
  <c r="J248" i="45" s="1"/>
  <c r="N248" i="45" s="1"/>
  <c r="D261" i="45"/>
  <c r="J261" i="45" s="1"/>
  <c r="N261" i="45" s="1"/>
  <c r="D191" i="45"/>
  <c r="J191" i="45" s="1"/>
  <c r="N191" i="45" s="1"/>
  <c r="D227" i="45"/>
  <c r="J227" i="45" s="1"/>
  <c r="N227" i="45" s="1"/>
  <c r="D252" i="45"/>
  <c r="J252" i="45" s="1"/>
  <c r="N252" i="45" s="1"/>
  <c r="D279" i="45"/>
  <c r="J279" i="45" s="1"/>
  <c r="N279" i="45" s="1"/>
  <c r="D215" i="45"/>
  <c r="J215" i="45" s="1"/>
  <c r="N215" i="45" s="1"/>
  <c r="D267" i="45"/>
  <c r="J267" i="45" s="1"/>
  <c r="N267" i="45" s="1"/>
  <c r="D161" i="45"/>
  <c r="J161" i="45" s="1"/>
  <c r="N161" i="45" s="1"/>
  <c r="D181" i="45"/>
  <c r="J181" i="45" s="1"/>
  <c r="N181" i="45" s="1"/>
  <c r="D137" i="45"/>
  <c r="J137" i="45" s="1"/>
  <c r="N137" i="45" s="1"/>
  <c r="D287" i="45"/>
  <c r="J287" i="45" s="1"/>
  <c r="N287" i="45" s="1"/>
  <c r="D268" i="45"/>
  <c r="J268" i="45" s="1"/>
  <c r="N268" i="45" s="1"/>
  <c r="D196" i="45"/>
  <c r="J196" i="45" s="1"/>
  <c r="N196" i="45" s="1"/>
  <c r="D157" i="45"/>
  <c r="J157" i="45" s="1"/>
  <c r="N157" i="45" s="1"/>
  <c r="D236" i="45"/>
  <c r="J236" i="45" s="1"/>
  <c r="N236" i="45" s="1"/>
  <c r="D159" i="45"/>
  <c r="J159" i="45" s="1"/>
  <c r="N159" i="45" s="1"/>
  <c r="D225" i="45"/>
  <c r="J225" i="45" s="1"/>
  <c r="N225" i="45" s="1"/>
  <c r="D124" i="45"/>
  <c r="J124" i="45" s="1"/>
  <c r="N124" i="45" s="1"/>
  <c r="D210" i="45"/>
  <c r="J210" i="45" s="1"/>
  <c r="N210" i="45" s="1"/>
  <c r="D251" i="45"/>
  <c r="J251" i="45" s="1"/>
  <c r="N251" i="45" s="1"/>
  <c r="D247" i="45"/>
  <c r="J247" i="45" s="1"/>
  <c r="N247" i="45" s="1"/>
  <c r="D186" i="45"/>
  <c r="J186" i="45" s="1"/>
  <c r="N186" i="45" s="1"/>
  <c r="D200" i="45"/>
  <c r="J200" i="45" s="1"/>
  <c r="N200" i="45" s="1"/>
  <c r="D141" i="45"/>
  <c r="J141" i="45" s="1"/>
  <c r="N141" i="45" s="1"/>
  <c r="D145" i="45"/>
  <c r="J145" i="45" s="1"/>
  <c r="N145" i="45" s="1"/>
  <c r="D194" i="45"/>
  <c r="J194" i="45" s="1"/>
  <c r="N194" i="45" s="1"/>
  <c r="D290" i="45"/>
  <c r="J290" i="45" s="1"/>
  <c r="N290" i="45" s="1"/>
  <c r="D240" i="45"/>
  <c r="J240" i="45" s="1"/>
  <c r="N240" i="45" s="1"/>
  <c r="D265" i="45"/>
  <c r="J265" i="45" s="1"/>
  <c r="N265" i="45" s="1"/>
  <c r="D173" i="45"/>
  <c r="J173" i="45" s="1"/>
  <c r="N173" i="45" s="1"/>
  <c r="P8" i="45" l="1" a="1"/>
  <c r="P9" i="45" l="1"/>
  <c r="Q12" i="45"/>
  <c r="Q10" i="45"/>
  <c r="P8" i="45"/>
  <c r="P15" i="45" s="1"/>
  <c r="Q15" i="45" s="1"/>
  <c r="Q8" i="45"/>
  <c r="P16" i="45" s="1"/>
  <c r="Q11" i="45"/>
  <c r="P10" i="45"/>
  <c r="P11" i="45"/>
  <c r="P12" i="45"/>
  <c r="Q9" i="45"/>
  <c r="D260" i="46" l="1"/>
  <c r="J260" i="46" s="1"/>
  <c r="N260" i="46" s="1"/>
  <c r="D133" i="46"/>
  <c r="J133" i="46" s="1"/>
  <c r="N133" i="46" s="1"/>
  <c r="D270" i="46"/>
  <c r="J270" i="46" s="1"/>
  <c r="N270" i="46" s="1"/>
  <c r="D146" i="46"/>
  <c r="J146" i="46" s="1"/>
  <c r="N146" i="46" s="1"/>
  <c r="D156" i="46"/>
  <c r="J156" i="46" s="1"/>
  <c r="N156" i="46" s="1"/>
  <c r="D247" i="46"/>
  <c r="J247" i="46" s="1"/>
  <c r="N247" i="46" s="1"/>
  <c r="D267" i="46"/>
  <c r="J267" i="46" s="1"/>
  <c r="N267" i="46" s="1"/>
  <c r="D197" i="46"/>
  <c r="J197" i="46" s="1"/>
  <c r="N197" i="46" s="1"/>
  <c r="D280" i="46"/>
  <c r="J280" i="46" s="1"/>
  <c r="N280" i="46" s="1"/>
  <c r="D212" i="46"/>
  <c r="J212" i="46" s="1"/>
  <c r="N212" i="46" s="1"/>
  <c r="D243" i="46"/>
  <c r="J243" i="46" s="1"/>
  <c r="N243" i="46" s="1"/>
  <c r="D188" i="46"/>
  <c r="J188" i="46" s="1"/>
  <c r="N188" i="46" s="1"/>
  <c r="D191" i="46"/>
  <c r="J191" i="46" s="1"/>
  <c r="N191" i="46" s="1"/>
  <c r="D168" i="46"/>
  <c r="J168" i="46" s="1"/>
  <c r="N168" i="46" s="1"/>
  <c r="D206" i="46"/>
  <c r="J206" i="46" s="1"/>
  <c r="N206" i="46" s="1"/>
  <c r="D281" i="46"/>
  <c r="J281" i="46" s="1"/>
  <c r="N281" i="46" s="1"/>
  <c r="D121" i="46"/>
  <c r="J121" i="46" s="1"/>
  <c r="N121" i="46" s="1"/>
  <c r="D128" i="46"/>
  <c r="J128" i="46" s="1"/>
  <c r="N128" i="46" s="1"/>
  <c r="D135" i="46"/>
  <c r="J135" i="46" s="1"/>
  <c r="N135" i="46" s="1"/>
  <c r="D272" i="46"/>
  <c r="J272" i="46" s="1"/>
  <c r="N272" i="46" s="1"/>
  <c r="D118" i="46"/>
  <c r="J118" i="46" s="1"/>
  <c r="N118" i="46" s="1"/>
  <c r="D123" i="46"/>
  <c r="J123" i="46" s="1"/>
  <c r="N123" i="46" s="1"/>
  <c r="D285" i="46"/>
  <c r="J285" i="46" s="1"/>
  <c r="N285" i="46" s="1"/>
  <c r="D124" i="46"/>
  <c r="J124" i="46" s="1"/>
  <c r="N124" i="46" s="1"/>
  <c r="D284" i="46"/>
  <c r="J284" i="46" s="1"/>
  <c r="N284" i="46" s="1"/>
  <c r="D195" i="46"/>
  <c r="J195" i="46" s="1"/>
  <c r="N195" i="46" s="1"/>
  <c r="D269" i="46"/>
  <c r="J269" i="46" s="1"/>
  <c r="N269" i="46" s="1"/>
  <c r="D256" i="46"/>
  <c r="J256" i="46" s="1"/>
  <c r="N256" i="46" s="1"/>
  <c r="D119" i="46"/>
  <c r="J119" i="46" s="1"/>
  <c r="N119" i="46" s="1"/>
  <c r="D265" i="46"/>
  <c r="J265" i="46" s="1"/>
  <c r="N265" i="46" s="1"/>
  <c r="D159" i="46"/>
  <c r="J159" i="46" s="1"/>
  <c r="N159" i="46" s="1"/>
  <c r="D274" i="46"/>
  <c r="J274" i="46" s="1"/>
  <c r="N274" i="46" s="1"/>
  <c r="D164" i="46"/>
  <c r="J164" i="46" s="1"/>
  <c r="N164" i="46" s="1"/>
  <c r="D171" i="46"/>
  <c r="J171" i="46" s="1"/>
  <c r="N171" i="46" s="1"/>
  <c r="D175" i="46"/>
  <c r="J175" i="46" s="1"/>
  <c r="N175" i="46" s="1"/>
  <c r="D259" i="46"/>
  <c r="J259" i="46" s="1"/>
  <c r="N259" i="46" s="1"/>
  <c r="D173" i="46"/>
  <c r="J173" i="46" s="1"/>
  <c r="N173" i="46" s="1"/>
  <c r="D251" i="46"/>
  <c r="J251" i="46" s="1"/>
  <c r="N251" i="46" s="1"/>
  <c r="D161" i="46"/>
  <c r="J161" i="46" s="1"/>
  <c r="N161" i="46" s="1"/>
  <c r="D139" i="46"/>
  <c r="J139" i="46" s="1"/>
  <c r="N139" i="46" s="1"/>
  <c r="D279" i="46"/>
  <c r="J279" i="46" s="1"/>
  <c r="N279" i="46" s="1"/>
  <c r="D196" i="46"/>
  <c r="J196" i="46" s="1"/>
  <c r="N196" i="46" s="1"/>
  <c r="D200" i="46"/>
  <c r="J200" i="46" s="1"/>
  <c r="N200" i="46" s="1"/>
  <c r="D248" i="46"/>
  <c r="J248" i="46" s="1"/>
  <c r="N248" i="46" s="1"/>
  <c r="D262" i="46"/>
  <c r="J262" i="46" s="1"/>
  <c r="N262" i="46" s="1"/>
  <c r="D130" i="46"/>
  <c r="J130" i="46" s="1"/>
  <c r="N130" i="46" s="1"/>
  <c r="D179" i="46"/>
  <c r="J179" i="46" s="1"/>
  <c r="N179" i="46" s="1"/>
  <c r="D218" i="46"/>
  <c r="J218" i="46" s="1"/>
  <c r="N218" i="46" s="1"/>
  <c r="D154" i="46"/>
  <c r="J154" i="46" s="1"/>
  <c r="N154" i="46" s="1"/>
  <c r="D230" i="46"/>
  <c r="J230" i="46" s="1"/>
  <c r="N230" i="46" s="1"/>
  <c r="D263" i="46"/>
  <c r="J263" i="46" s="1"/>
  <c r="N263" i="46" s="1"/>
  <c r="D144" i="46"/>
  <c r="J144" i="46" s="1"/>
  <c r="N144" i="46" s="1"/>
  <c r="D208" i="46"/>
  <c r="J208" i="46" s="1"/>
  <c r="N208" i="46" s="1"/>
  <c r="D216" i="46"/>
  <c r="J216" i="46" s="1"/>
  <c r="N216" i="46" s="1"/>
  <c r="D158" i="46"/>
  <c r="J158" i="46" s="1"/>
  <c r="N158" i="46" s="1"/>
  <c r="D286" i="46"/>
  <c r="J286" i="46" s="1"/>
  <c r="N286" i="46" s="1"/>
  <c r="D147" i="46"/>
  <c r="J147" i="46" s="1"/>
  <c r="N147" i="46" s="1"/>
  <c r="D177" i="46"/>
  <c r="J177" i="46" s="1"/>
  <c r="N177" i="46" s="1"/>
  <c r="D153" i="46"/>
  <c r="J153" i="46" s="1"/>
  <c r="N153" i="46" s="1"/>
  <c r="D287" i="46"/>
  <c r="J287" i="46" s="1"/>
  <c r="N287" i="46" s="1"/>
  <c r="D184" i="46"/>
  <c r="J184" i="46" s="1"/>
  <c r="N184" i="46" s="1"/>
  <c r="D253" i="46"/>
  <c r="J253" i="46" s="1"/>
  <c r="N253" i="46" s="1"/>
  <c r="D220" i="46"/>
  <c r="J220" i="46" s="1"/>
  <c r="N220" i="46" s="1"/>
  <c r="D234" i="46"/>
  <c r="J234" i="46" s="1"/>
  <c r="N234" i="46" s="1"/>
  <c r="D235" i="46"/>
  <c r="J235" i="46" s="1"/>
  <c r="N235" i="46" s="1"/>
  <c r="D141" i="46"/>
  <c r="J141" i="46" s="1"/>
  <c r="N141" i="46" s="1"/>
  <c r="D226" i="46"/>
  <c r="J226" i="46" s="1"/>
  <c r="N226" i="46" s="1"/>
  <c r="D126" i="46"/>
  <c r="J126" i="46" s="1"/>
  <c r="N126" i="46" s="1"/>
  <c r="D244" i="46"/>
  <c r="J244" i="46" s="1"/>
  <c r="N244" i="46" s="1"/>
  <c r="D166" i="46"/>
  <c r="J166" i="46" s="1"/>
  <c r="N166" i="46" s="1"/>
  <c r="D233" i="46"/>
  <c r="J233" i="46" s="1"/>
  <c r="N233" i="46" s="1"/>
  <c r="D245" i="46"/>
  <c r="J245" i="46" s="1"/>
  <c r="N245" i="46" s="1"/>
  <c r="D127" i="46"/>
  <c r="J127" i="46" s="1"/>
  <c r="N127" i="46" s="1"/>
  <c r="D207" i="46"/>
  <c r="J207" i="46" s="1"/>
  <c r="N207" i="46" s="1"/>
  <c r="D182" i="46"/>
  <c r="J182" i="46" s="1"/>
  <c r="N182" i="46" s="1"/>
  <c r="D273" i="46"/>
  <c r="J273" i="46" s="1"/>
  <c r="N273" i="46" s="1"/>
  <c r="D202" i="46"/>
  <c r="J202" i="46" s="1"/>
  <c r="N202" i="46" s="1"/>
  <c r="D148" i="46"/>
  <c r="J148" i="46" s="1"/>
  <c r="N148" i="46" s="1"/>
  <c r="D178" i="46"/>
  <c r="J178" i="46" s="1"/>
  <c r="N178" i="46" s="1"/>
  <c r="D170" i="46"/>
  <c r="J170" i="46" s="1"/>
  <c r="N170" i="46" s="1"/>
  <c r="D204" i="46"/>
  <c r="J204" i="46" s="1"/>
  <c r="N204" i="46" s="1"/>
  <c r="D223" i="46"/>
  <c r="J223" i="46" s="1"/>
  <c r="N223" i="46" s="1"/>
  <c r="D291" i="46"/>
  <c r="J291" i="46" s="1"/>
  <c r="N291" i="46" s="1"/>
  <c r="D192" i="46"/>
  <c r="J192" i="46" s="1"/>
  <c r="N192" i="46" s="1"/>
  <c r="D143" i="46"/>
  <c r="J143" i="46" s="1"/>
  <c r="N143" i="46" s="1"/>
  <c r="D210" i="46"/>
  <c r="J210" i="46" s="1"/>
  <c r="N210" i="46" s="1"/>
  <c r="D201" i="46"/>
  <c r="J201" i="46" s="1"/>
  <c r="N201" i="46" s="1"/>
  <c r="D221" i="46"/>
  <c r="J221" i="46" s="1"/>
  <c r="N221" i="46" s="1"/>
  <c r="D134" i="46"/>
  <c r="J134" i="46" s="1"/>
  <c r="N134" i="46" s="1"/>
  <c r="D162" i="46"/>
  <c r="J162" i="46" s="1"/>
  <c r="N162" i="46" s="1"/>
  <c r="D254" i="46"/>
  <c r="J254" i="46" s="1"/>
  <c r="N254" i="46" s="1"/>
  <c r="D211" i="46"/>
  <c r="J211" i="46" s="1"/>
  <c r="N211" i="46" s="1"/>
  <c r="D213" i="46"/>
  <c r="J213" i="46" s="1"/>
  <c r="N213" i="46" s="1"/>
  <c r="D252" i="46"/>
  <c r="J252" i="46" s="1"/>
  <c r="N252" i="46" s="1"/>
  <c r="D163" i="46"/>
  <c r="J163" i="46" s="1"/>
  <c r="N163" i="46" s="1"/>
  <c r="D122" i="46"/>
  <c r="J122" i="46" s="1"/>
  <c r="N122" i="46" s="1"/>
  <c r="D283" i="46"/>
  <c r="J283" i="46" s="1"/>
  <c r="N283" i="46" s="1"/>
  <c r="D205" i="46"/>
  <c r="J205" i="46" s="1"/>
  <c r="N205" i="46" s="1"/>
  <c r="D239" i="46"/>
  <c r="J239" i="46" s="1"/>
  <c r="N239" i="46" s="1"/>
  <c r="D176" i="46"/>
  <c r="J176" i="46" s="1"/>
  <c r="N176" i="46" s="1"/>
  <c r="D240" i="46"/>
  <c r="J240" i="46" s="1"/>
  <c r="N240" i="46" s="1"/>
  <c r="D152" i="46"/>
  <c r="J152" i="46" s="1"/>
  <c r="N152" i="46" s="1"/>
  <c r="D165" i="46"/>
  <c r="J165" i="46" s="1"/>
  <c r="N165" i="46" s="1"/>
  <c r="D209" i="46"/>
  <c r="J209" i="46" s="1"/>
  <c r="N209" i="46" s="1"/>
  <c r="D231" i="46"/>
  <c r="J231" i="46" s="1"/>
  <c r="N231" i="46" s="1"/>
  <c r="D132" i="46"/>
  <c r="J132" i="46" s="1"/>
  <c r="N132" i="46" s="1"/>
  <c r="D217" i="46"/>
  <c r="J217" i="46" s="1"/>
  <c r="N217" i="46" s="1"/>
  <c r="D187" i="46"/>
  <c r="J187" i="46" s="1"/>
  <c r="N187" i="46" s="1"/>
  <c r="D282" i="46"/>
  <c r="J282" i="46" s="1"/>
  <c r="N282" i="46" s="1"/>
  <c r="D268" i="46"/>
  <c r="J268" i="46" s="1"/>
  <c r="N268" i="46" s="1"/>
  <c r="D137" i="46"/>
  <c r="J137" i="46" s="1"/>
  <c r="N137" i="46" s="1"/>
  <c r="D180" i="46"/>
  <c r="J180" i="46" s="1"/>
  <c r="N180" i="46" s="1"/>
  <c r="D258" i="46"/>
  <c r="J258" i="46" s="1"/>
  <c r="N258" i="46" s="1"/>
  <c r="D190" i="46"/>
  <c r="J190" i="46" s="1"/>
  <c r="N190" i="46" s="1"/>
  <c r="D198" i="46"/>
  <c r="J198" i="46" s="1"/>
  <c r="N198" i="46" s="1"/>
  <c r="D228" i="46"/>
  <c r="J228" i="46" s="1"/>
  <c r="N228" i="46" s="1"/>
  <c r="D250" i="46"/>
  <c r="J250" i="46" s="1"/>
  <c r="N250" i="46" s="1"/>
  <c r="D277" i="46"/>
  <c r="J277" i="46" s="1"/>
  <c r="N277" i="46" s="1"/>
  <c r="D199" i="46"/>
  <c r="J199" i="46" s="1"/>
  <c r="N199" i="46" s="1"/>
  <c r="D271" i="46"/>
  <c r="J271" i="46" s="1"/>
  <c r="N271" i="46" s="1"/>
  <c r="D120" i="46"/>
  <c r="J120" i="46" s="1"/>
  <c r="N120" i="46" s="1"/>
  <c r="D264" i="46"/>
  <c r="J264" i="46" s="1"/>
  <c r="N264" i="46" s="1"/>
  <c r="D186" i="46"/>
  <c r="J186" i="46" s="1"/>
  <c r="N186" i="46" s="1"/>
  <c r="D157" i="46"/>
  <c r="J157" i="46" s="1"/>
  <c r="N157" i="46" s="1"/>
  <c r="D131" i="46"/>
  <c r="J131" i="46" s="1"/>
  <c r="N131" i="46" s="1"/>
  <c r="D266" i="46"/>
  <c r="J266" i="46" s="1"/>
  <c r="N266" i="46" s="1"/>
  <c r="D138" i="46"/>
  <c r="J138" i="46" s="1"/>
  <c r="N138" i="46" s="1"/>
  <c r="D229" i="46"/>
  <c r="J229" i="46" s="1"/>
  <c r="N229" i="46" s="1"/>
  <c r="D160" i="46"/>
  <c r="J160" i="46" s="1"/>
  <c r="N160" i="46" s="1"/>
  <c r="D227" i="46"/>
  <c r="J227" i="46" s="1"/>
  <c r="N227" i="46" s="1"/>
  <c r="D215" i="46"/>
  <c r="J215" i="46" s="1"/>
  <c r="N215" i="46" s="1"/>
  <c r="D145" i="46"/>
  <c r="J145" i="46" s="1"/>
  <c r="N145" i="46" s="1"/>
  <c r="D232" i="46"/>
  <c r="J232" i="46" s="1"/>
  <c r="N232" i="46" s="1"/>
  <c r="D224" i="46"/>
  <c r="J224" i="46" s="1"/>
  <c r="N224" i="46" s="1"/>
  <c r="D257" i="46"/>
  <c r="J257" i="46" s="1"/>
  <c r="N257" i="46" s="1"/>
  <c r="D149" i="46"/>
  <c r="J149" i="46" s="1"/>
  <c r="N149" i="46" s="1"/>
  <c r="D194" i="46"/>
  <c r="J194" i="46" s="1"/>
  <c r="N194" i="46" s="1"/>
  <c r="D276" i="46"/>
  <c r="J276" i="46" s="1"/>
  <c r="N276" i="46" s="1"/>
  <c r="D225" i="46"/>
  <c r="J225" i="46" s="1"/>
  <c r="N225" i="46" s="1"/>
  <c r="D249" i="46"/>
  <c r="J249" i="46" s="1"/>
  <c r="N249" i="46" s="1"/>
  <c r="D185" i="46"/>
  <c r="J185" i="46" s="1"/>
  <c r="N185" i="46" s="1"/>
  <c r="D237" i="46"/>
  <c r="J237" i="46" s="1"/>
  <c r="N237" i="46" s="1"/>
  <c r="D183" i="46"/>
  <c r="J183" i="46" s="1"/>
  <c r="N183" i="46" s="1"/>
  <c r="D289" i="46"/>
  <c r="J289" i="46" s="1"/>
  <c r="N289" i="46" s="1"/>
  <c r="D181" i="46"/>
  <c r="J181" i="46" s="1"/>
  <c r="N181" i="46" s="1"/>
  <c r="D261" i="46"/>
  <c r="J261" i="46" s="1"/>
  <c r="N261" i="46" s="1"/>
  <c r="D136" i="46"/>
  <c r="J136" i="46" s="1"/>
  <c r="N136" i="46" s="1"/>
  <c r="D241" i="46"/>
  <c r="J241" i="46" s="1"/>
  <c r="N241" i="46" s="1"/>
  <c r="D167" i="46"/>
  <c r="J167" i="46" s="1"/>
  <c r="N167" i="46" s="1"/>
  <c r="D238" i="46"/>
  <c r="J238" i="46" s="1"/>
  <c r="N238" i="46" s="1"/>
  <c r="D214" i="46"/>
  <c r="J214" i="46" s="1"/>
  <c r="N214" i="46" s="1"/>
  <c r="D236" i="46"/>
  <c r="J236" i="46" s="1"/>
  <c r="N236" i="46" s="1"/>
  <c r="D142" i="46"/>
  <c r="J142" i="46" s="1"/>
  <c r="N142" i="46" s="1"/>
  <c r="D275" i="46"/>
  <c r="J275" i="46" s="1"/>
  <c r="N275" i="46" s="1"/>
  <c r="D255" i="46"/>
  <c r="J255" i="46" s="1"/>
  <c r="N255" i="46" s="1"/>
  <c r="D125" i="46"/>
  <c r="J125" i="46" s="1"/>
  <c r="N125" i="46" s="1"/>
  <c r="D151" i="46"/>
  <c r="J151" i="46" s="1"/>
  <c r="N151" i="46" s="1"/>
  <c r="D150" i="46"/>
  <c r="J150" i="46" s="1"/>
  <c r="N150" i="46" s="1"/>
  <c r="D288" i="46"/>
  <c r="J288" i="46" s="1"/>
  <c r="N288" i="46" s="1"/>
  <c r="D140" i="46"/>
  <c r="J140" i="46" s="1"/>
  <c r="N140" i="46" s="1"/>
  <c r="Q16" i="45"/>
  <c r="D193" i="46"/>
  <c r="J193" i="46" s="1"/>
  <c r="N193" i="46" s="1"/>
  <c r="D292" i="46"/>
  <c r="J292" i="46" s="1"/>
  <c r="N292" i="46" s="1"/>
  <c r="D155" i="46"/>
  <c r="J155" i="46" s="1"/>
  <c r="N155" i="46" s="1"/>
  <c r="D290" i="46"/>
  <c r="J290" i="46" s="1"/>
  <c r="N290" i="46" s="1"/>
  <c r="D169" i="46"/>
  <c r="J169" i="46" s="1"/>
  <c r="N169" i="46" s="1"/>
  <c r="D189" i="46"/>
  <c r="J189" i="46" s="1"/>
  <c r="N189" i="46" s="1"/>
  <c r="D246" i="46"/>
  <c r="J246" i="46" s="1"/>
  <c r="N246" i="46" s="1"/>
  <c r="D278" i="46"/>
  <c r="J278" i="46" s="1"/>
  <c r="N278" i="46" s="1"/>
  <c r="D129" i="46"/>
  <c r="J129" i="46" s="1"/>
  <c r="N129" i="46" s="1"/>
  <c r="D219" i="46"/>
  <c r="J219" i="46" s="1"/>
  <c r="N219" i="46" s="1"/>
  <c r="D203" i="46"/>
  <c r="J203" i="46" s="1"/>
  <c r="N203" i="46" s="1"/>
  <c r="D222" i="46"/>
  <c r="J222" i="46" s="1"/>
  <c r="N222" i="46" s="1"/>
  <c r="D174" i="46"/>
  <c r="J174" i="46" s="1"/>
  <c r="N174" i="46" s="1"/>
  <c r="D172" i="46"/>
  <c r="J172" i="46" s="1"/>
  <c r="N172" i="46" s="1"/>
  <c r="D242" i="46"/>
  <c r="J242" i="46" s="1"/>
  <c r="N242" i="46" s="1"/>
  <c r="P8" i="46" l="1" a="1"/>
  <c r="Q11" i="46" l="1"/>
  <c r="Q12" i="46"/>
  <c r="P12" i="46"/>
  <c r="Q8" i="46"/>
  <c r="P16" i="46" s="1"/>
  <c r="Q9" i="46"/>
  <c r="P8" i="46"/>
  <c r="P15" i="46" s="1"/>
  <c r="Q15" i="46" s="1"/>
  <c r="Q10" i="46"/>
  <c r="P11" i="46"/>
  <c r="P9" i="46"/>
  <c r="P10" i="46"/>
  <c r="D249" i="47" l="1"/>
  <c r="J249" i="47" s="1"/>
  <c r="N249" i="47" s="1"/>
  <c r="D254" i="47"/>
  <c r="J254" i="47" s="1"/>
  <c r="N254" i="47" s="1"/>
  <c r="D162" i="47"/>
  <c r="J162" i="47" s="1"/>
  <c r="N162" i="47" s="1"/>
  <c r="D184" i="47"/>
  <c r="J184" i="47" s="1"/>
  <c r="N184" i="47" s="1"/>
  <c r="D169" i="47"/>
  <c r="J169" i="47" s="1"/>
  <c r="N169" i="47" s="1"/>
  <c r="D129" i="47"/>
  <c r="J129" i="47" s="1"/>
  <c r="N129" i="47" s="1"/>
  <c r="D215" i="47"/>
  <c r="J215" i="47" s="1"/>
  <c r="N215" i="47" s="1"/>
  <c r="D173" i="47"/>
  <c r="J173" i="47" s="1"/>
  <c r="N173" i="47" s="1"/>
  <c r="D190" i="47"/>
  <c r="J190" i="47" s="1"/>
  <c r="N190" i="47" s="1"/>
  <c r="D271" i="47"/>
  <c r="J271" i="47" s="1"/>
  <c r="N271" i="47" s="1"/>
  <c r="D121" i="47"/>
  <c r="J121" i="47" s="1"/>
  <c r="N121" i="47" s="1"/>
  <c r="D213" i="47"/>
  <c r="J213" i="47" s="1"/>
  <c r="N213" i="47" s="1"/>
  <c r="D278" i="47"/>
  <c r="J278" i="47" s="1"/>
  <c r="N278" i="47" s="1"/>
  <c r="D233" i="47"/>
  <c r="J233" i="47" s="1"/>
  <c r="N233" i="47" s="1"/>
  <c r="D212" i="47"/>
  <c r="J212" i="47" s="1"/>
  <c r="N212" i="47" s="1"/>
  <c r="D197" i="47"/>
  <c r="J197" i="47" s="1"/>
  <c r="N197" i="47" s="1"/>
  <c r="D134" i="47"/>
  <c r="J134" i="47" s="1"/>
  <c r="N134" i="47" s="1"/>
  <c r="D202" i="47"/>
  <c r="J202" i="47" s="1"/>
  <c r="N202" i="47" s="1"/>
  <c r="D255" i="47"/>
  <c r="J255" i="47" s="1"/>
  <c r="N255" i="47" s="1"/>
  <c r="D118" i="47"/>
  <c r="J118" i="47" s="1"/>
  <c r="N118" i="47" s="1"/>
  <c r="D199" i="47"/>
  <c r="J199" i="47" s="1"/>
  <c r="N199" i="47" s="1"/>
  <c r="D128" i="47"/>
  <c r="J128" i="47" s="1"/>
  <c r="N128" i="47" s="1"/>
  <c r="Q16" i="46"/>
  <c r="D196" i="47"/>
  <c r="J196" i="47" s="1"/>
  <c r="N196" i="47" s="1"/>
  <c r="D272" i="47"/>
  <c r="J272" i="47" s="1"/>
  <c r="N272" i="47" s="1"/>
  <c r="D227" i="47"/>
  <c r="J227" i="47" s="1"/>
  <c r="N227" i="47" s="1"/>
  <c r="D216" i="47"/>
  <c r="J216" i="47" s="1"/>
  <c r="N216" i="47" s="1"/>
  <c r="D236" i="47"/>
  <c r="J236" i="47" s="1"/>
  <c r="N236" i="47" s="1"/>
  <c r="D200" i="47"/>
  <c r="J200" i="47" s="1"/>
  <c r="N200" i="47" s="1"/>
  <c r="D158" i="47"/>
  <c r="J158" i="47" s="1"/>
  <c r="N158" i="47" s="1"/>
  <c r="D250" i="47"/>
  <c r="J250" i="47" s="1"/>
  <c r="N250" i="47" s="1"/>
  <c r="D160" i="47"/>
  <c r="J160" i="47" s="1"/>
  <c r="N160" i="47" s="1"/>
  <c r="D191" i="47"/>
  <c r="J191" i="47" s="1"/>
  <c r="N191" i="47" s="1"/>
  <c r="D174" i="47"/>
  <c r="J174" i="47" s="1"/>
  <c r="N174" i="47" s="1"/>
  <c r="D225" i="47"/>
  <c r="J225" i="47" s="1"/>
  <c r="N225" i="47" s="1"/>
  <c r="D167" i="47"/>
  <c r="J167" i="47" s="1"/>
  <c r="N167" i="47" s="1"/>
  <c r="D209" i="47"/>
  <c r="J209" i="47" s="1"/>
  <c r="N209" i="47" s="1"/>
  <c r="D177" i="47"/>
  <c r="J177" i="47" s="1"/>
  <c r="N177" i="47" s="1"/>
  <c r="D133" i="47"/>
  <c r="J133" i="47" s="1"/>
  <c r="N133" i="47" s="1"/>
  <c r="D287" i="47"/>
  <c r="J287" i="47" s="1"/>
  <c r="N287" i="47" s="1"/>
  <c r="D182" i="47"/>
  <c r="J182" i="47" s="1"/>
  <c r="N182" i="47" s="1"/>
  <c r="D122" i="47"/>
  <c r="J122" i="47" s="1"/>
  <c r="N122" i="47" s="1"/>
  <c r="D161" i="47"/>
  <c r="J161" i="47" s="1"/>
  <c r="N161" i="47" s="1"/>
  <c r="D153" i="47"/>
  <c r="J153" i="47" s="1"/>
  <c r="N153" i="47" s="1"/>
  <c r="D208" i="47"/>
  <c r="J208" i="47" s="1"/>
  <c r="N208" i="47" s="1"/>
  <c r="D131" i="47"/>
  <c r="J131" i="47" s="1"/>
  <c r="N131" i="47" s="1"/>
  <c r="D143" i="47"/>
  <c r="J143" i="47" s="1"/>
  <c r="N143" i="47" s="1"/>
  <c r="D146" i="47"/>
  <c r="J146" i="47" s="1"/>
  <c r="N146" i="47" s="1"/>
  <c r="D292" i="47"/>
  <c r="J292" i="47" s="1"/>
  <c r="N292" i="47" s="1"/>
  <c r="D210" i="47"/>
  <c r="J210" i="47" s="1"/>
  <c r="N210" i="47" s="1"/>
  <c r="D247" i="47"/>
  <c r="J247" i="47" s="1"/>
  <c r="N247" i="47" s="1"/>
  <c r="D285" i="47"/>
  <c r="J285" i="47" s="1"/>
  <c r="N285" i="47" s="1"/>
  <c r="D240" i="47"/>
  <c r="J240" i="47" s="1"/>
  <c r="N240" i="47" s="1"/>
  <c r="D284" i="47"/>
  <c r="J284" i="47" s="1"/>
  <c r="N284" i="47" s="1"/>
  <c r="D224" i="47"/>
  <c r="J224" i="47" s="1"/>
  <c r="N224" i="47" s="1"/>
  <c r="D159" i="47"/>
  <c r="J159" i="47" s="1"/>
  <c r="N159" i="47" s="1"/>
  <c r="D127" i="47"/>
  <c r="J127" i="47" s="1"/>
  <c r="N127" i="47" s="1"/>
  <c r="D124" i="47"/>
  <c r="J124" i="47" s="1"/>
  <c r="N124" i="47" s="1"/>
  <c r="D229" i="47"/>
  <c r="J229" i="47" s="1"/>
  <c r="N229" i="47" s="1"/>
  <c r="D137" i="47"/>
  <c r="J137" i="47" s="1"/>
  <c r="N137" i="47" s="1"/>
  <c r="D130" i="47"/>
  <c r="J130" i="47" s="1"/>
  <c r="N130" i="47" s="1"/>
  <c r="D281" i="47"/>
  <c r="J281" i="47" s="1"/>
  <c r="N281" i="47" s="1"/>
  <c r="D201" i="47"/>
  <c r="J201" i="47" s="1"/>
  <c r="N201" i="47" s="1"/>
  <c r="D289" i="47"/>
  <c r="J289" i="47" s="1"/>
  <c r="N289" i="47" s="1"/>
  <c r="D276" i="47"/>
  <c r="J276" i="47" s="1"/>
  <c r="N276" i="47" s="1"/>
  <c r="D179" i="47"/>
  <c r="J179" i="47" s="1"/>
  <c r="N179" i="47" s="1"/>
  <c r="D150" i="47"/>
  <c r="J150" i="47" s="1"/>
  <c r="N150" i="47" s="1"/>
  <c r="D181" i="47"/>
  <c r="J181" i="47" s="1"/>
  <c r="N181" i="47" s="1"/>
  <c r="D214" i="47"/>
  <c r="J214" i="47" s="1"/>
  <c r="N214" i="47" s="1"/>
  <c r="D244" i="47"/>
  <c r="J244" i="47" s="1"/>
  <c r="N244" i="47" s="1"/>
  <c r="D223" i="47"/>
  <c r="J223" i="47" s="1"/>
  <c r="N223" i="47" s="1"/>
  <c r="D230" i="47"/>
  <c r="J230" i="47" s="1"/>
  <c r="N230" i="47" s="1"/>
  <c r="D163" i="47"/>
  <c r="J163" i="47" s="1"/>
  <c r="N163" i="47" s="1"/>
  <c r="D198" i="47"/>
  <c r="J198" i="47" s="1"/>
  <c r="N198" i="47" s="1"/>
  <c r="D221" i="47"/>
  <c r="J221" i="47" s="1"/>
  <c r="N221" i="47" s="1"/>
  <c r="D170" i="47"/>
  <c r="J170" i="47" s="1"/>
  <c r="N170" i="47" s="1"/>
  <c r="D220" i="47"/>
  <c r="J220" i="47" s="1"/>
  <c r="N220" i="47" s="1"/>
  <c r="D288" i="47"/>
  <c r="J288" i="47" s="1"/>
  <c r="N288" i="47" s="1"/>
  <c r="D267" i="47"/>
  <c r="J267" i="47" s="1"/>
  <c r="N267" i="47" s="1"/>
  <c r="D165" i="47"/>
  <c r="J165" i="47" s="1"/>
  <c r="N165" i="47" s="1"/>
  <c r="D203" i="47"/>
  <c r="J203" i="47" s="1"/>
  <c r="N203" i="47" s="1"/>
  <c r="D192" i="47"/>
  <c r="J192" i="47" s="1"/>
  <c r="N192" i="47" s="1"/>
  <c r="D185" i="47"/>
  <c r="J185" i="47" s="1"/>
  <c r="N185" i="47" s="1"/>
  <c r="D205" i="47"/>
  <c r="J205" i="47" s="1"/>
  <c r="N205" i="47" s="1"/>
  <c r="D237" i="47"/>
  <c r="J237" i="47" s="1"/>
  <c r="N237" i="47" s="1"/>
  <c r="D194" i="47"/>
  <c r="J194" i="47" s="1"/>
  <c r="N194" i="47" s="1"/>
  <c r="D286" i="47"/>
  <c r="J286" i="47" s="1"/>
  <c r="N286" i="47" s="1"/>
  <c r="D277" i="47"/>
  <c r="J277" i="47" s="1"/>
  <c r="N277" i="47" s="1"/>
  <c r="D142" i="47"/>
  <c r="J142" i="47" s="1"/>
  <c r="N142" i="47" s="1"/>
  <c r="D258" i="47"/>
  <c r="J258" i="47" s="1"/>
  <c r="N258" i="47" s="1"/>
  <c r="D239" i="47"/>
  <c r="J239" i="47" s="1"/>
  <c r="N239" i="47" s="1"/>
  <c r="D245" i="47"/>
  <c r="J245" i="47" s="1"/>
  <c r="N245" i="47" s="1"/>
  <c r="D242" i="47"/>
  <c r="J242" i="47" s="1"/>
  <c r="N242" i="47" s="1"/>
  <c r="D207" i="47"/>
  <c r="J207" i="47" s="1"/>
  <c r="N207" i="47" s="1"/>
  <c r="D282" i="47"/>
  <c r="J282" i="47" s="1"/>
  <c r="N282" i="47" s="1"/>
  <c r="D211" i="47"/>
  <c r="J211" i="47" s="1"/>
  <c r="N211" i="47" s="1"/>
  <c r="D243" i="47"/>
  <c r="J243" i="47" s="1"/>
  <c r="N243" i="47" s="1"/>
  <c r="D195" i="47"/>
  <c r="J195" i="47" s="1"/>
  <c r="N195" i="47" s="1"/>
  <c r="D238" i="47"/>
  <c r="J238" i="47" s="1"/>
  <c r="N238" i="47" s="1"/>
  <c r="D263" i="47"/>
  <c r="J263" i="47" s="1"/>
  <c r="N263" i="47" s="1"/>
  <c r="D157" i="47"/>
  <c r="J157" i="47" s="1"/>
  <c r="N157" i="47" s="1"/>
  <c r="D189" i="47"/>
  <c r="J189" i="47" s="1"/>
  <c r="N189" i="47" s="1"/>
  <c r="D152" i="47"/>
  <c r="J152" i="47" s="1"/>
  <c r="N152" i="47" s="1"/>
  <c r="D138" i="47"/>
  <c r="J138" i="47" s="1"/>
  <c r="N138" i="47" s="1"/>
  <c r="D171" i="47"/>
  <c r="J171" i="47" s="1"/>
  <c r="N171" i="47" s="1"/>
  <c r="D219" i="47"/>
  <c r="J219" i="47" s="1"/>
  <c r="N219" i="47" s="1"/>
  <c r="D269" i="47"/>
  <c r="J269" i="47" s="1"/>
  <c r="N269" i="47" s="1"/>
  <c r="D119" i="47"/>
  <c r="J119" i="47" s="1"/>
  <c r="N119" i="47" s="1"/>
  <c r="D261" i="47"/>
  <c r="J261" i="47" s="1"/>
  <c r="N261" i="47" s="1"/>
  <c r="D218" i="47"/>
  <c r="J218" i="47" s="1"/>
  <c r="N218" i="47" s="1"/>
  <c r="D232" i="47"/>
  <c r="J232" i="47" s="1"/>
  <c r="N232" i="47" s="1"/>
  <c r="D156" i="47"/>
  <c r="J156" i="47" s="1"/>
  <c r="N156" i="47" s="1"/>
  <c r="D175" i="47"/>
  <c r="J175" i="47" s="1"/>
  <c r="N175" i="47" s="1"/>
  <c r="D186" i="47"/>
  <c r="J186" i="47" s="1"/>
  <c r="N186" i="47" s="1"/>
  <c r="D147" i="47"/>
  <c r="J147" i="47" s="1"/>
  <c r="N147" i="47" s="1"/>
  <c r="D132" i="47"/>
  <c r="J132" i="47" s="1"/>
  <c r="N132" i="47" s="1"/>
  <c r="D135" i="47"/>
  <c r="J135" i="47" s="1"/>
  <c r="N135" i="47" s="1"/>
  <c r="D270" i="47"/>
  <c r="J270" i="47" s="1"/>
  <c r="N270" i="47" s="1"/>
  <c r="D164" i="47"/>
  <c r="J164" i="47" s="1"/>
  <c r="N164" i="47" s="1"/>
  <c r="D280" i="47"/>
  <c r="J280" i="47" s="1"/>
  <c r="N280" i="47" s="1"/>
  <c r="D180" i="47"/>
  <c r="J180" i="47" s="1"/>
  <c r="N180" i="47" s="1"/>
  <c r="D125" i="47"/>
  <c r="J125" i="47" s="1"/>
  <c r="N125" i="47" s="1"/>
  <c r="D279" i="47"/>
  <c r="J279" i="47" s="1"/>
  <c r="N279" i="47" s="1"/>
  <c r="D168" i="47"/>
  <c r="J168" i="47" s="1"/>
  <c r="N168" i="47" s="1"/>
  <c r="D193" i="47"/>
  <c r="J193" i="47" s="1"/>
  <c r="N193" i="47" s="1"/>
  <c r="D154" i="47"/>
  <c r="J154" i="47" s="1"/>
  <c r="N154" i="47" s="1"/>
  <c r="D264" i="47"/>
  <c r="J264" i="47" s="1"/>
  <c r="N264" i="47" s="1"/>
  <c r="D234" i="47"/>
  <c r="J234" i="47" s="1"/>
  <c r="N234" i="47" s="1"/>
  <c r="D187" i="47"/>
  <c r="J187" i="47" s="1"/>
  <c r="N187" i="47" s="1"/>
  <c r="D172" i="47"/>
  <c r="J172" i="47" s="1"/>
  <c r="N172" i="47" s="1"/>
  <c r="D257" i="47"/>
  <c r="J257" i="47" s="1"/>
  <c r="N257" i="47" s="1"/>
  <c r="D246" i="47"/>
  <c r="J246" i="47" s="1"/>
  <c r="N246" i="47" s="1"/>
  <c r="D291" i="47"/>
  <c r="J291" i="47" s="1"/>
  <c r="N291" i="47" s="1"/>
  <c r="D166" i="47"/>
  <c r="J166" i="47" s="1"/>
  <c r="N166" i="47" s="1"/>
  <c r="D123" i="47"/>
  <c r="J123" i="47" s="1"/>
  <c r="N123" i="47" s="1"/>
  <c r="D266" i="47"/>
  <c r="J266" i="47" s="1"/>
  <c r="N266" i="47" s="1"/>
  <c r="D206" i="47"/>
  <c r="J206" i="47" s="1"/>
  <c r="N206" i="47" s="1"/>
  <c r="D139" i="47"/>
  <c r="J139" i="47" s="1"/>
  <c r="N139" i="47" s="1"/>
  <c r="D253" i="47"/>
  <c r="J253" i="47" s="1"/>
  <c r="N253" i="47" s="1"/>
  <c r="D217" i="47"/>
  <c r="J217" i="47" s="1"/>
  <c r="N217" i="47" s="1"/>
  <c r="D241" i="47"/>
  <c r="J241" i="47" s="1"/>
  <c r="N241" i="47" s="1"/>
  <c r="D144" i="47"/>
  <c r="J144" i="47" s="1"/>
  <c r="N144" i="47" s="1"/>
  <c r="D149" i="47"/>
  <c r="J149" i="47" s="1"/>
  <c r="N149" i="47" s="1"/>
  <c r="D274" i="47"/>
  <c r="J274" i="47" s="1"/>
  <c r="N274" i="47" s="1"/>
  <c r="D265" i="47"/>
  <c r="J265" i="47" s="1"/>
  <c r="N265" i="47" s="1"/>
  <c r="D204" i="47"/>
  <c r="J204" i="47" s="1"/>
  <c r="N204" i="47" s="1"/>
  <c r="D145" i="47"/>
  <c r="J145" i="47" s="1"/>
  <c r="N145" i="47" s="1"/>
  <c r="D140" i="47"/>
  <c r="J140" i="47" s="1"/>
  <c r="N140" i="47" s="1"/>
  <c r="D228" i="47"/>
  <c r="J228" i="47" s="1"/>
  <c r="N228" i="47" s="1"/>
  <c r="D188" i="47"/>
  <c r="J188" i="47" s="1"/>
  <c r="N188" i="47" s="1"/>
  <c r="D252" i="47"/>
  <c r="J252" i="47" s="1"/>
  <c r="N252" i="47" s="1"/>
  <c r="D290" i="47"/>
  <c r="J290" i="47" s="1"/>
  <c r="N290" i="47" s="1"/>
  <c r="D268" i="47"/>
  <c r="J268" i="47" s="1"/>
  <c r="N268" i="47" s="1"/>
  <c r="D226" i="47"/>
  <c r="J226" i="47" s="1"/>
  <c r="N226" i="47" s="1"/>
  <c r="D151" i="47"/>
  <c r="J151" i="47" s="1"/>
  <c r="N151" i="47" s="1"/>
  <c r="D273" i="47"/>
  <c r="J273" i="47" s="1"/>
  <c r="N273" i="47" s="1"/>
  <c r="D126" i="47"/>
  <c r="J126" i="47" s="1"/>
  <c r="N126" i="47" s="1"/>
  <c r="D222" i="47"/>
  <c r="J222" i="47" s="1"/>
  <c r="N222" i="47" s="1"/>
  <c r="D283" i="47"/>
  <c r="J283" i="47" s="1"/>
  <c r="N283" i="47" s="1"/>
  <c r="D141" i="47"/>
  <c r="J141" i="47" s="1"/>
  <c r="N141" i="47" s="1"/>
  <c r="D259" i="47"/>
  <c r="J259" i="47" s="1"/>
  <c r="N259" i="47" s="1"/>
  <c r="D248" i="47"/>
  <c r="J248" i="47" s="1"/>
  <c r="N248" i="47" s="1"/>
  <c r="D120" i="47"/>
  <c r="J120" i="47" s="1"/>
  <c r="N120" i="47" s="1"/>
  <c r="D262" i="47"/>
  <c r="J262" i="47" s="1"/>
  <c r="N262" i="47" s="1"/>
  <c r="D231" i="47"/>
  <c r="J231" i="47" s="1"/>
  <c r="N231" i="47" s="1"/>
  <c r="D176" i="47"/>
  <c r="J176" i="47" s="1"/>
  <c r="N176" i="47" s="1"/>
  <c r="D155" i="47"/>
  <c r="J155" i="47" s="1"/>
  <c r="N155" i="47" s="1"/>
  <c r="D256" i="47"/>
  <c r="J256" i="47" s="1"/>
  <c r="N256" i="47" s="1"/>
  <c r="D178" i="47"/>
  <c r="J178" i="47" s="1"/>
  <c r="N178" i="47" s="1"/>
  <c r="D251" i="47"/>
  <c r="J251" i="47" s="1"/>
  <c r="N251" i="47" s="1"/>
  <c r="D148" i="47"/>
  <c r="J148" i="47" s="1"/>
  <c r="N148" i="47" s="1"/>
  <c r="D235" i="47"/>
  <c r="J235" i="47" s="1"/>
  <c r="N235" i="47" s="1"/>
  <c r="D260" i="47"/>
  <c r="J260" i="47" s="1"/>
  <c r="N260" i="47" s="1"/>
  <c r="D275" i="47"/>
  <c r="J275" i="47" s="1"/>
  <c r="N275" i="47" s="1"/>
  <c r="D136" i="47"/>
  <c r="J136" i="47" s="1"/>
  <c r="N136" i="47" s="1"/>
  <c r="D183" i="47"/>
  <c r="J183" i="47" s="1"/>
  <c r="N183" i="47" s="1"/>
  <c r="P8" i="47" l="1" a="1"/>
  <c r="P10" i="47" l="1"/>
  <c r="Q11" i="47"/>
  <c r="Q12" i="47"/>
  <c r="Q10" i="47"/>
  <c r="P8" i="47"/>
  <c r="P15" i="47" s="1"/>
  <c r="Q15" i="47" s="1"/>
  <c r="Q8" i="47"/>
  <c r="P16" i="47" s="1"/>
  <c r="P9" i="47"/>
  <c r="Q9" i="47"/>
  <c r="P12" i="47"/>
  <c r="P11" i="47"/>
  <c r="D288" i="48" l="1"/>
  <c r="J288" i="48" s="1"/>
  <c r="C319" i="31" s="1"/>
  <c r="D319" i="31" s="1"/>
  <c r="D166" i="48"/>
  <c r="J166" i="48" s="1"/>
  <c r="D287" i="48"/>
  <c r="J287" i="48" s="1"/>
  <c r="C318" i="31" s="1"/>
  <c r="D318" i="31" s="1"/>
  <c r="D157" i="48"/>
  <c r="J157" i="48" s="1"/>
  <c r="D224" i="48"/>
  <c r="J224" i="48" s="1"/>
  <c r="D238" i="48"/>
  <c r="J238" i="48" s="1"/>
  <c r="D292" i="48"/>
  <c r="J292" i="48" s="1"/>
  <c r="D171" i="48"/>
  <c r="J171" i="48" s="1"/>
  <c r="D267" i="48"/>
  <c r="J267" i="48" s="1"/>
  <c r="D253" i="48"/>
  <c r="J253" i="48" s="1"/>
  <c r="D160" i="48"/>
  <c r="J160" i="48" s="1"/>
  <c r="D151" i="48"/>
  <c r="J151" i="48" s="1"/>
  <c r="D266" i="48"/>
  <c r="J266" i="48" s="1"/>
  <c r="D135" i="48"/>
  <c r="J135" i="48" s="1"/>
  <c r="D193" i="48"/>
  <c r="J193" i="48" s="1"/>
  <c r="D149" i="48"/>
  <c r="J149" i="48" s="1"/>
  <c r="D250" i="48"/>
  <c r="J250" i="48" s="1"/>
  <c r="D242" i="48"/>
  <c r="J242" i="48" s="1"/>
  <c r="D132" i="48"/>
  <c r="J132" i="48" s="1"/>
  <c r="D137" i="48"/>
  <c r="J137" i="48" s="1"/>
  <c r="D207" i="48"/>
  <c r="J207" i="48" s="1"/>
  <c r="D222" i="48"/>
  <c r="J222" i="48" s="1"/>
  <c r="D182" i="48"/>
  <c r="J182" i="48" s="1"/>
  <c r="D197" i="48"/>
  <c r="J197" i="48" s="1"/>
  <c r="D254" i="48"/>
  <c r="J254" i="48" s="1"/>
  <c r="D251" i="48"/>
  <c r="J251" i="48" s="1"/>
  <c r="D245" i="48"/>
  <c r="J245" i="48" s="1"/>
  <c r="D170" i="48"/>
  <c r="J170" i="48" s="1"/>
  <c r="D257" i="48"/>
  <c r="J257" i="48" s="1"/>
  <c r="D275" i="48"/>
  <c r="J275" i="48" s="1"/>
  <c r="D190" i="48"/>
  <c r="J190" i="48" s="1"/>
  <c r="D176" i="48"/>
  <c r="J176" i="48" s="1"/>
  <c r="D191" i="48"/>
  <c r="J191" i="48" s="1"/>
  <c r="D179" i="48"/>
  <c r="J179" i="48" s="1"/>
  <c r="D239" i="48"/>
  <c r="J239" i="48" s="1"/>
  <c r="D147" i="48"/>
  <c r="J147" i="48" s="1"/>
  <c r="D258" i="48"/>
  <c r="J258" i="48" s="1"/>
  <c r="D183" i="48"/>
  <c r="J183" i="48" s="1"/>
  <c r="D232" i="48"/>
  <c r="J232" i="48" s="1"/>
  <c r="D153" i="48"/>
  <c r="J153" i="48" s="1"/>
  <c r="D148" i="48"/>
  <c r="J148" i="48" s="1"/>
  <c r="D289" i="48"/>
  <c r="J289" i="48" s="1"/>
  <c r="C320" i="31" s="1"/>
  <c r="D320" i="31" s="1"/>
  <c r="D138" i="48"/>
  <c r="J138" i="48" s="1"/>
  <c r="D286" i="48"/>
  <c r="J286" i="48" s="1"/>
  <c r="D201" i="48"/>
  <c r="J201" i="48" s="1"/>
  <c r="D156" i="48"/>
  <c r="J156" i="48" s="1"/>
  <c r="D259" i="48"/>
  <c r="J259" i="48" s="1"/>
  <c r="D134" i="48"/>
  <c r="J134" i="48" s="1"/>
  <c r="D143" i="48"/>
  <c r="J143" i="48" s="1"/>
  <c r="D194" i="48"/>
  <c r="J194" i="48" s="1"/>
  <c r="D150" i="48"/>
  <c r="J150" i="48" s="1"/>
  <c r="D277" i="48"/>
  <c r="J277" i="48" s="1"/>
  <c r="D164" i="48"/>
  <c r="J164" i="48" s="1"/>
  <c r="D279" i="48"/>
  <c r="J279" i="48" s="1"/>
  <c r="D131" i="48"/>
  <c r="J131" i="48" s="1"/>
  <c r="D215" i="48"/>
  <c r="J215" i="48" s="1"/>
  <c r="D195" i="48"/>
  <c r="J195" i="48" s="1"/>
  <c r="D285" i="48"/>
  <c r="J285" i="48" s="1"/>
  <c r="D214" i="48"/>
  <c r="J214" i="48" s="1"/>
  <c r="D174" i="48"/>
  <c r="J174" i="48" s="1"/>
  <c r="D225" i="48"/>
  <c r="J225" i="48" s="1"/>
  <c r="D278" i="48"/>
  <c r="J278" i="48" s="1"/>
  <c r="D280" i="48"/>
  <c r="J280" i="48" s="1"/>
  <c r="D262" i="48"/>
  <c r="J262" i="48" s="1"/>
  <c r="D291" i="48"/>
  <c r="J291" i="48" s="1"/>
  <c r="D178" i="48"/>
  <c r="J178" i="48" s="1"/>
  <c r="D204" i="48"/>
  <c r="J204" i="48" s="1"/>
  <c r="D140" i="48"/>
  <c r="J140" i="48" s="1"/>
  <c r="D212" i="48"/>
  <c r="J212" i="48" s="1"/>
  <c r="D230" i="48"/>
  <c r="J230" i="48" s="1"/>
  <c r="D272" i="48"/>
  <c r="J272" i="48" s="1"/>
  <c r="D154" i="48"/>
  <c r="J154" i="48" s="1"/>
  <c r="D240" i="48"/>
  <c r="J240" i="48" s="1"/>
  <c r="D213" i="48"/>
  <c r="J213" i="48" s="1"/>
  <c r="D141" i="48"/>
  <c r="J141" i="48" s="1"/>
  <c r="D270" i="48"/>
  <c r="J270" i="48" s="1"/>
  <c r="D177" i="48"/>
  <c r="J177" i="48" s="1"/>
  <c r="D169" i="48"/>
  <c r="J169" i="48" s="1"/>
  <c r="D273" i="48"/>
  <c r="J273" i="48" s="1"/>
  <c r="D255" i="48"/>
  <c r="J255" i="48" s="1"/>
  <c r="D264" i="48"/>
  <c r="J264" i="48" s="1"/>
  <c r="D189" i="48"/>
  <c r="J189" i="48" s="1"/>
  <c r="D139" i="48"/>
  <c r="J139" i="48" s="1"/>
  <c r="D200" i="48"/>
  <c r="J200" i="48" s="1"/>
  <c r="D162" i="48"/>
  <c r="J162" i="48" s="1"/>
  <c r="D243" i="48"/>
  <c r="J243" i="48" s="1"/>
  <c r="D155" i="48"/>
  <c r="J155" i="48" s="1"/>
  <c r="D271" i="48"/>
  <c r="J271" i="48" s="1"/>
  <c r="D196" i="48"/>
  <c r="J196" i="48" s="1"/>
  <c r="D265" i="48"/>
  <c r="J265" i="48" s="1"/>
  <c r="D192" i="48"/>
  <c r="J192" i="48" s="1"/>
  <c r="D199" i="48"/>
  <c r="J199" i="48" s="1"/>
  <c r="D274" i="48"/>
  <c r="J274" i="48" s="1"/>
  <c r="D218" i="48"/>
  <c r="J218" i="48" s="1"/>
  <c r="D249" i="48"/>
  <c r="J249" i="48" s="1"/>
  <c r="D158" i="48"/>
  <c r="J158" i="48" s="1"/>
  <c r="D185" i="48"/>
  <c r="J185" i="48" s="1"/>
  <c r="D144" i="48"/>
  <c r="J144" i="48" s="1"/>
  <c r="D263" i="48"/>
  <c r="J263" i="48" s="1"/>
  <c r="D123" i="48"/>
  <c r="J123" i="48" s="1"/>
  <c r="D233" i="48"/>
  <c r="J233" i="48" s="1"/>
  <c r="D119" i="48"/>
  <c r="J119" i="48" s="1"/>
  <c r="D181" i="48"/>
  <c r="J181" i="48" s="1"/>
  <c r="D237" i="48"/>
  <c r="J237" i="48" s="1"/>
  <c r="D126" i="48"/>
  <c r="J126" i="48" s="1"/>
  <c r="D159" i="48"/>
  <c r="J159" i="48" s="1"/>
  <c r="D290" i="48"/>
  <c r="J290" i="48" s="1"/>
  <c r="D244" i="48"/>
  <c r="J244" i="48" s="1"/>
  <c r="D235" i="48"/>
  <c r="J235" i="48" s="1"/>
  <c r="D208" i="48"/>
  <c r="J208" i="48" s="1"/>
  <c r="D167" i="48"/>
  <c r="J167" i="48" s="1"/>
  <c r="D229" i="48"/>
  <c r="J229" i="48" s="1"/>
  <c r="D247" i="48"/>
  <c r="J247" i="48" s="1"/>
  <c r="D241" i="48"/>
  <c r="J241" i="48" s="1"/>
  <c r="Q16" i="47"/>
  <c r="D128" i="48"/>
  <c r="J128" i="48" s="1"/>
  <c r="D161" i="48"/>
  <c r="J161" i="48" s="1"/>
  <c r="D180" i="48"/>
  <c r="J180" i="48" s="1"/>
  <c r="D217" i="48"/>
  <c r="J217" i="48" s="1"/>
  <c r="D145" i="48"/>
  <c r="J145" i="48" s="1"/>
  <c r="D188" i="48"/>
  <c r="J188" i="48" s="1"/>
  <c r="D219" i="48"/>
  <c r="J219" i="48" s="1"/>
  <c r="D163" i="48"/>
  <c r="J163" i="48" s="1"/>
  <c r="D281" i="48"/>
  <c r="J281" i="48" s="1"/>
  <c r="D205" i="48"/>
  <c r="J205" i="48" s="1"/>
  <c r="D168" i="48"/>
  <c r="J168" i="48" s="1"/>
  <c r="D283" i="48"/>
  <c r="J283" i="48" s="1"/>
  <c r="D210" i="48"/>
  <c r="J210" i="48" s="1"/>
  <c r="D152" i="48"/>
  <c r="J152" i="48" s="1"/>
  <c r="D248" i="48"/>
  <c r="J248" i="48" s="1"/>
  <c r="D252" i="48"/>
  <c r="J252" i="48" s="1"/>
  <c r="D216" i="48"/>
  <c r="J216" i="48" s="1"/>
  <c r="D120" i="48"/>
  <c r="J120" i="48" s="1"/>
  <c r="D256" i="48"/>
  <c r="J256" i="48" s="1"/>
  <c r="D129" i="48"/>
  <c r="J129" i="48" s="1"/>
  <c r="D268" i="48"/>
  <c r="J268" i="48" s="1"/>
  <c r="D284" i="48"/>
  <c r="J284" i="48" s="1"/>
  <c r="D186" i="48"/>
  <c r="J186" i="48" s="1"/>
  <c r="D246" i="48"/>
  <c r="J246" i="48" s="1"/>
  <c r="D211" i="48"/>
  <c r="J211" i="48" s="1"/>
  <c r="D221" i="48"/>
  <c r="J221" i="48" s="1"/>
  <c r="D276" i="48"/>
  <c r="J276" i="48" s="1"/>
  <c r="D175" i="48"/>
  <c r="J175" i="48" s="1"/>
  <c r="D142" i="48"/>
  <c r="J142" i="48" s="1"/>
  <c r="D136" i="48"/>
  <c r="J136" i="48" s="1"/>
  <c r="D226" i="48"/>
  <c r="J226" i="48" s="1"/>
  <c r="D173" i="48"/>
  <c r="J173" i="48" s="1"/>
  <c r="D228" i="48"/>
  <c r="J228" i="48" s="1"/>
  <c r="D146" i="48"/>
  <c r="J146" i="48" s="1"/>
  <c r="D260" i="48"/>
  <c r="J260" i="48" s="1"/>
  <c r="D133" i="48"/>
  <c r="J133" i="48" s="1"/>
  <c r="D231" i="48"/>
  <c r="J231" i="48" s="1"/>
  <c r="D165" i="48"/>
  <c r="J165" i="48" s="1"/>
  <c r="D234" i="48"/>
  <c r="J234" i="48" s="1"/>
  <c r="D198" i="48"/>
  <c r="J198" i="48" s="1"/>
  <c r="D223" i="48"/>
  <c r="J223" i="48" s="1"/>
  <c r="D227" i="48"/>
  <c r="J227" i="48" s="1"/>
  <c r="D236" i="48"/>
  <c r="J236" i="48" s="1"/>
  <c r="D127" i="48"/>
  <c r="J127" i="48" s="1"/>
  <c r="D220" i="48"/>
  <c r="J220" i="48" s="1"/>
  <c r="D122" i="48"/>
  <c r="J122" i="48" s="1"/>
  <c r="D209" i="48"/>
  <c r="J209" i="48" s="1"/>
  <c r="D125" i="48"/>
  <c r="J125" i="48" s="1"/>
  <c r="D206" i="48"/>
  <c r="J206" i="48" s="1"/>
  <c r="D172" i="48"/>
  <c r="J172" i="48" s="1"/>
  <c r="D261" i="48"/>
  <c r="J261" i="48" s="1"/>
  <c r="D184" i="48"/>
  <c r="J184" i="48" s="1"/>
  <c r="D187" i="48"/>
  <c r="J187" i="48" s="1"/>
  <c r="D124" i="48"/>
  <c r="J124" i="48" s="1"/>
  <c r="D269" i="48"/>
  <c r="J269" i="48" s="1"/>
  <c r="D282" i="48"/>
  <c r="J282" i="48" s="1"/>
  <c r="D203" i="48"/>
  <c r="J203" i="48" s="1"/>
  <c r="D121" i="48"/>
  <c r="J121" i="48" s="1"/>
  <c r="D118" i="48"/>
  <c r="J118" i="48" s="1"/>
  <c r="D130" i="48"/>
  <c r="J130" i="48" s="1"/>
  <c r="D202" i="48"/>
  <c r="J202" i="48" s="1"/>
  <c r="N290" i="48" l="1"/>
  <c r="C321" i="31"/>
  <c r="D321" i="31" s="1"/>
  <c r="N292" i="48"/>
  <c r="C323" i="31"/>
  <c r="N291" i="48"/>
  <c r="C322" i="31"/>
  <c r="D322" i="31" s="1"/>
  <c r="C234" i="31"/>
  <c r="D234" i="31" s="1"/>
  <c r="N203" i="48"/>
  <c r="C237" i="31"/>
  <c r="D237" i="31" s="1"/>
  <c r="N206" i="48"/>
  <c r="C254" i="31"/>
  <c r="D254" i="31" s="1"/>
  <c r="N223" i="48"/>
  <c r="C259" i="31"/>
  <c r="D259" i="31" s="1"/>
  <c r="N228" i="48"/>
  <c r="N211" i="48"/>
  <c r="C242" i="31"/>
  <c r="D242" i="31" s="1"/>
  <c r="C247" i="31"/>
  <c r="D247" i="31" s="1"/>
  <c r="N216" i="48"/>
  <c r="C312" i="31"/>
  <c r="D312" i="31" s="1"/>
  <c r="N281" i="48"/>
  <c r="N128" i="48"/>
  <c r="C159" i="31"/>
  <c r="D159" i="31" s="1"/>
  <c r="N244" i="48"/>
  <c r="C275" i="31"/>
  <c r="D275" i="31" s="1"/>
  <c r="C268" i="31"/>
  <c r="D268" i="31" s="1"/>
  <c r="N237" i="48"/>
  <c r="C189" i="31"/>
  <c r="D189" i="31" s="1"/>
  <c r="N158" i="48"/>
  <c r="C302" i="31"/>
  <c r="D302" i="31" s="1"/>
  <c r="N271" i="48"/>
  <c r="C286" i="31"/>
  <c r="D286" i="31" s="1"/>
  <c r="N255" i="48"/>
  <c r="N154" i="48"/>
  <c r="C185" i="31"/>
  <c r="D185" i="31" s="1"/>
  <c r="N262" i="48"/>
  <c r="C293" i="31"/>
  <c r="D293" i="31" s="1"/>
  <c r="C246" i="31"/>
  <c r="D246" i="31" s="1"/>
  <c r="N215" i="48"/>
  <c r="N134" i="48"/>
  <c r="C165" i="31"/>
  <c r="D165" i="31" s="1"/>
  <c r="C184" i="31"/>
  <c r="D184" i="31" s="1"/>
  <c r="N153" i="48"/>
  <c r="C207" i="31"/>
  <c r="D207" i="31" s="1"/>
  <c r="N176" i="48"/>
  <c r="N137" i="48"/>
  <c r="C168" i="31"/>
  <c r="D168" i="31" s="1"/>
  <c r="N157" i="48"/>
  <c r="C188" i="31"/>
  <c r="D188" i="31" s="1"/>
  <c r="N282" i="48"/>
  <c r="C313" i="31"/>
  <c r="D313" i="31" s="1"/>
  <c r="C156" i="31"/>
  <c r="D156" i="31" s="1"/>
  <c r="N125" i="48"/>
  <c r="N129" i="48"/>
  <c r="C160" i="31"/>
  <c r="D160" i="31" s="1"/>
  <c r="C149" i="31"/>
  <c r="D149" i="31" s="1"/>
  <c r="N118" i="48"/>
  <c r="C300" i="31"/>
  <c r="D300" i="31" s="1"/>
  <c r="N269" i="48"/>
  <c r="N261" i="48"/>
  <c r="C292" i="31"/>
  <c r="D292" i="31" s="1"/>
  <c r="N209" i="48"/>
  <c r="C240" i="31"/>
  <c r="D240" i="31" s="1"/>
  <c r="N236" i="48"/>
  <c r="C267" i="31"/>
  <c r="D267" i="31" s="1"/>
  <c r="C265" i="31"/>
  <c r="D265" i="31" s="1"/>
  <c r="N234" i="48"/>
  <c r="C291" i="31"/>
  <c r="D291" i="31" s="1"/>
  <c r="N260" i="48"/>
  <c r="N226" i="48"/>
  <c r="C257" i="31"/>
  <c r="D257" i="31" s="1"/>
  <c r="N276" i="48"/>
  <c r="C307" i="31"/>
  <c r="D307" i="31" s="1"/>
  <c r="N186" i="48"/>
  <c r="C217" i="31"/>
  <c r="D217" i="31" s="1"/>
  <c r="N256" i="48"/>
  <c r="C287" i="31"/>
  <c r="C279" i="31"/>
  <c r="D279" i="31" s="1"/>
  <c r="N248" i="48"/>
  <c r="N168" i="48"/>
  <c r="C199" i="31"/>
  <c r="D199" i="31" s="1"/>
  <c r="C250" i="31"/>
  <c r="D250" i="31" s="1"/>
  <c r="N219" i="48"/>
  <c r="C211" i="31"/>
  <c r="D211" i="31" s="1"/>
  <c r="N180" i="48"/>
  <c r="N241" i="48"/>
  <c r="C272" i="31"/>
  <c r="D272" i="31" s="1"/>
  <c r="C239" i="31"/>
  <c r="D239" i="31" s="1"/>
  <c r="N208" i="48"/>
  <c r="C190" i="31"/>
  <c r="D190" i="31" s="1"/>
  <c r="N159" i="48"/>
  <c r="C150" i="31"/>
  <c r="D150" i="31" s="1"/>
  <c r="N119" i="48"/>
  <c r="C175" i="31"/>
  <c r="D175" i="31" s="1"/>
  <c r="N144" i="48"/>
  <c r="C249" i="31"/>
  <c r="D249" i="31" s="1"/>
  <c r="N218" i="48"/>
  <c r="N265" i="48"/>
  <c r="C296" i="31"/>
  <c r="D296" i="31" s="1"/>
  <c r="N243" i="48"/>
  <c r="C274" i="31"/>
  <c r="D274" i="31" s="1"/>
  <c r="C220" i="31"/>
  <c r="D220" i="31" s="1"/>
  <c r="N189" i="48"/>
  <c r="C200" i="31"/>
  <c r="D200" i="31" s="1"/>
  <c r="N169" i="48"/>
  <c r="N213" i="48"/>
  <c r="C244" i="31"/>
  <c r="D244" i="31" s="1"/>
  <c r="N230" i="48"/>
  <c r="C261" i="31"/>
  <c r="D261" i="31" s="1"/>
  <c r="N178" i="48"/>
  <c r="C209" i="31"/>
  <c r="D209" i="31" s="1"/>
  <c r="C309" i="31"/>
  <c r="D309" i="31" s="1"/>
  <c r="N278" i="48"/>
  <c r="C316" i="31"/>
  <c r="D316" i="31" s="1"/>
  <c r="N285" i="48"/>
  <c r="N279" i="48"/>
  <c r="C310" i="31"/>
  <c r="D310" i="31" s="1"/>
  <c r="N194" i="48"/>
  <c r="C225" i="31"/>
  <c r="D225" i="31" s="1"/>
  <c r="N156" i="48"/>
  <c r="C187" i="31"/>
  <c r="D187" i="31" s="1"/>
  <c r="N289" i="48"/>
  <c r="C214" i="31"/>
  <c r="D214" i="31" s="1"/>
  <c r="N183" i="48"/>
  <c r="N179" i="48"/>
  <c r="C210" i="31"/>
  <c r="D210" i="31" s="1"/>
  <c r="N275" i="48"/>
  <c r="C306" i="31"/>
  <c r="D306" i="31" s="1"/>
  <c r="C282" i="31"/>
  <c r="D282" i="31" s="1"/>
  <c r="N251" i="48"/>
  <c r="N222" i="48"/>
  <c r="C253" i="31"/>
  <c r="D253" i="31" s="1"/>
  <c r="C273" i="31"/>
  <c r="D273" i="31" s="1"/>
  <c r="N242" i="48"/>
  <c r="N135" i="48"/>
  <c r="C166" i="31"/>
  <c r="D166" i="31" s="1"/>
  <c r="C284" i="31"/>
  <c r="D284" i="31" s="1"/>
  <c r="N253" i="48"/>
  <c r="N238" i="48"/>
  <c r="C269" i="31"/>
  <c r="D269" i="31" s="1"/>
  <c r="C197" i="31"/>
  <c r="D197" i="31" s="1"/>
  <c r="N166" i="48"/>
  <c r="C233" i="31"/>
  <c r="D233" i="31" s="1"/>
  <c r="N202" i="48"/>
  <c r="N187" i="48"/>
  <c r="C218" i="31"/>
  <c r="D218" i="31" s="1"/>
  <c r="N220" i="48"/>
  <c r="C251" i="31"/>
  <c r="D251" i="31" s="1"/>
  <c r="C262" i="31"/>
  <c r="D262" i="31" s="1"/>
  <c r="N231" i="48"/>
  <c r="N142" i="48"/>
  <c r="C173" i="31"/>
  <c r="D173" i="31" s="1"/>
  <c r="N268" i="48"/>
  <c r="C299" i="31"/>
  <c r="D299" i="31" s="1"/>
  <c r="N210" i="48"/>
  <c r="C241" i="31"/>
  <c r="D241" i="31" s="1"/>
  <c r="N145" i="48"/>
  <c r="C176" i="31"/>
  <c r="D176" i="31" s="1"/>
  <c r="C260" i="31"/>
  <c r="D260" i="31" s="1"/>
  <c r="N229" i="48"/>
  <c r="C154" i="31"/>
  <c r="D154" i="31" s="1"/>
  <c r="N123" i="48"/>
  <c r="C230" i="31"/>
  <c r="D230" i="31" s="1"/>
  <c r="N199" i="48"/>
  <c r="N200" i="48"/>
  <c r="C231" i="31"/>
  <c r="D231" i="31" s="1"/>
  <c r="N270" i="48"/>
  <c r="C301" i="31"/>
  <c r="C171" i="31"/>
  <c r="D171" i="31" s="1"/>
  <c r="N140" i="48"/>
  <c r="N174" i="48"/>
  <c r="C205" i="31"/>
  <c r="D205" i="31" s="1"/>
  <c r="N277" i="48"/>
  <c r="C308" i="31"/>
  <c r="D308" i="31" s="1"/>
  <c r="N286" i="48"/>
  <c r="C317" i="31"/>
  <c r="D317" i="31" s="1"/>
  <c r="N147" i="48"/>
  <c r="C178" i="31"/>
  <c r="D178" i="31" s="1"/>
  <c r="C201" i="31"/>
  <c r="D201" i="31" s="1"/>
  <c r="N170" i="48"/>
  <c r="C228" i="31"/>
  <c r="D228" i="31" s="1"/>
  <c r="N197" i="48"/>
  <c r="C180" i="31"/>
  <c r="D180" i="31" s="1"/>
  <c r="N149" i="48"/>
  <c r="N151" i="48"/>
  <c r="C182" i="31"/>
  <c r="D182" i="31" s="1"/>
  <c r="C202" i="31"/>
  <c r="D202" i="31" s="1"/>
  <c r="N171" i="48"/>
  <c r="C161" i="31"/>
  <c r="D161" i="31" s="1"/>
  <c r="N130" i="48"/>
  <c r="N184" i="48"/>
  <c r="C215" i="31"/>
  <c r="D215" i="31" s="1"/>
  <c r="C158" i="31"/>
  <c r="D158" i="31" s="1"/>
  <c r="N127" i="48"/>
  <c r="C229" i="31"/>
  <c r="D229" i="31" s="1"/>
  <c r="N198" i="48"/>
  <c r="C164" i="31"/>
  <c r="D164" i="31" s="1"/>
  <c r="N133" i="48"/>
  <c r="N173" i="48"/>
  <c r="C204" i="31"/>
  <c r="D204" i="31" s="1"/>
  <c r="C206" i="31"/>
  <c r="D206" i="31" s="1"/>
  <c r="N175" i="48"/>
  <c r="N246" i="48"/>
  <c r="C277" i="31"/>
  <c r="D277" i="31" s="1"/>
  <c r="N252" i="48"/>
  <c r="C283" i="31"/>
  <c r="C314" i="31"/>
  <c r="N283" i="48"/>
  <c r="C194" i="31"/>
  <c r="D194" i="31" s="1"/>
  <c r="N163" i="48"/>
  <c r="C248" i="31"/>
  <c r="D248" i="31" s="1"/>
  <c r="N217" i="48"/>
  <c r="C198" i="31"/>
  <c r="D198" i="31" s="1"/>
  <c r="N167" i="48"/>
  <c r="C212" i="31"/>
  <c r="D212" i="31" s="1"/>
  <c r="N181" i="48"/>
  <c r="N263" i="48"/>
  <c r="C294" i="31"/>
  <c r="D294" i="31" s="1"/>
  <c r="N249" i="48"/>
  <c r="C280" i="31"/>
  <c r="D280" i="31" s="1"/>
  <c r="N192" i="48"/>
  <c r="C223" i="31"/>
  <c r="D223" i="31" s="1"/>
  <c r="C186" i="31"/>
  <c r="D186" i="31" s="1"/>
  <c r="N155" i="48"/>
  <c r="N139" i="48"/>
  <c r="C170" i="31"/>
  <c r="D170" i="31" s="1"/>
  <c r="N273" i="48"/>
  <c r="C304" i="31"/>
  <c r="D304" i="31" s="1"/>
  <c r="C172" i="31"/>
  <c r="D172" i="31" s="1"/>
  <c r="N141" i="48"/>
  <c r="C303" i="31"/>
  <c r="N272" i="48"/>
  <c r="N204" i="48"/>
  <c r="C235" i="31"/>
  <c r="D235" i="31" s="1"/>
  <c r="C311" i="31"/>
  <c r="N280" i="48"/>
  <c r="N214" i="48"/>
  <c r="C245" i="31"/>
  <c r="D245" i="31" s="1"/>
  <c r="C162" i="31"/>
  <c r="D162" i="31" s="1"/>
  <c r="N131" i="48"/>
  <c r="C181" i="31"/>
  <c r="D181" i="31" s="1"/>
  <c r="N150" i="48"/>
  <c r="N259" i="48"/>
  <c r="C290" i="31"/>
  <c r="D290" i="31" s="1"/>
  <c r="C169" i="31"/>
  <c r="D169" i="31" s="1"/>
  <c r="N138" i="48"/>
  <c r="N232" i="48"/>
  <c r="C263" i="31"/>
  <c r="D263" i="31" s="1"/>
  <c r="C270" i="31"/>
  <c r="D270" i="31" s="1"/>
  <c r="N239" i="48"/>
  <c r="C221" i="31"/>
  <c r="D221" i="31" s="1"/>
  <c r="N190" i="48"/>
  <c r="N245" i="48"/>
  <c r="C276" i="31"/>
  <c r="D276" i="31" s="1"/>
  <c r="C213" i="31"/>
  <c r="D213" i="31" s="1"/>
  <c r="N182" i="48"/>
  <c r="C163" i="31"/>
  <c r="D163" i="31" s="1"/>
  <c r="N132" i="48"/>
  <c r="N193" i="48"/>
  <c r="C224" i="31"/>
  <c r="D224" i="31" s="1"/>
  <c r="N160" i="48"/>
  <c r="C191" i="31"/>
  <c r="D191" i="31" s="1"/>
  <c r="N287" i="48"/>
  <c r="N121" i="48"/>
  <c r="C152" i="31"/>
  <c r="D152" i="31" s="1"/>
  <c r="N124" i="48"/>
  <c r="C155" i="31"/>
  <c r="D155" i="31" s="1"/>
  <c r="C203" i="31"/>
  <c r="D203" i="31" s="1"/>
  <c r="N172" i="48"/>
  <c r="N122" i="48"/>
  <c r="C153" i="31"/>
  <c r="D153" i="31" s="1"/>
  <c r="N227" i="48"/>
  <c r="C258" i="31"/>
  <c r="D258" i="31" s="1"/>
  <c r="C196" i="31"/>
  <c r="D196" i="31" s="1"/>
  <c r="N165" i="48"/>
  <c r="N146" i="48"/>
  <c r="C177" i="31"/>
  <c r="D177" i="31" s="1"/>
  <c r="N136" i="48"/>
  <c r="C167" i="31"/>
  <c r="D167" i="31" s="1"/>
  <c r="C252" i="31"/>
  <c r="D252" i="31" s="1"/>
  <c r="N221" i="48"/>
  <c r="N284" i="48"/>
  <c r="C315" i="31"/>
  <c r="N120" i="48"/>
  <c r="C151" i="31"/>
  <c r="D151" i="31" s="1"/>
  <c r="N152" i="48"/>
  <c r="C183" i="31"/>
  <c r="D183" i="31" s="1"/>
  <c r="C236" i="31"/>
  <c r="D236" i="31" s="1"/>
  <c r="N205" i="48"/>
  <c r="N188" i="48"/>
  <c r="C219" i="31"/>
  <c r="D219" i="31" s="1"/>
  <c r="N161" i="48"/>
  <c r="C192" i="31"/>
  <c r="D192" i="31" s="1"/>
  <c r="C278" i="31"/>
  <c r="D278" i="31" s="1"/>
  <c r="N247" i="48"/>
  <c r="C266" i="31"/>
  <c r="D266" i="31" s="1"/>
  <c r="N235" i="48"/>
  <c r="N126" i="48"/>
  <c r="C157" i="31"/>
  <c r="D157" i="31" s="1"/>
  <c r="C264" i="31"/>
  <c r="D264" i="31" s="1"/>
  <c r="N233" i="48"/>
  <c r="C216" i="31"/>
  <c r="D216" i="31" s="1"/>
  <c r="N185" i="48"/>
  <c r="C305" i="31"/>
  <c r="N274" i="48"/>
  <c r="N196" i="48"/>
  <c r="C227" i="31"/>
  <c r="D227" i="31" s="1"/>
  <c r="N162" i="48"/>
  <c r="C193" i="31"/>
  <c r="D193" i="31" s="1"/>
  <c r="C295" i="31"/>
  <c r="D295" i="31" s="1"/>
  <c r="N264" i="48"/>
  <c r="N177" i="48"/>
  <c r="C208" i="31"/>
  <c r="D208" i="31" s="1"/>
  <c r="N240" i="48"/>
  <c r="C271" i="31"/>
  <c r="D271" i="31" s="1"/>
  <c r="C243" i="31"/>
  <c r="D243" i="31" s="1"/>
  <c r="N212" i="48"/>
  <c r="N225" i="48"/>
  <c r="C256" i="31"/>
  <c r="D256" i="31" s="1"/>
  <c r="N195" i="48"/>
  <c r="C226" i="31"/>
  <c r="D226" i="31" s="1"/>
  <c r="N164" i="48"/>
  <c r="C195" i="31"/>
  <c r="D195" i="31" s="1"/>
  <c r="C174" i="31"/>
  <c r="D174" i="31" s="1"/>
  <c r="N143" i="48"/>
  <c r="C232" i="31"/>
  <c r="D232" i="31" s="1"/>
  <c r="N201" i="48"/>
  <c r="C179" i="31"/>
  <c r="D179" i="31" s="1"/>
  <c r="N148" i="48"/>
  <c r="C289" i="31"/>
  <c r="N258" i="48"/>
  <c r="C222" i="31"/>
  <c r="D222" i="31" s="1"/>
  <c r="N191" i="48"/>
  <c r="N257" i="48"/>
  <c r="C288" i="31"/>
  <c r="D288" i="31" s="1"/>
  <c r="N254" i="48"/>
  <c r="C285" i="31"/>
  <c r="D285" i="31" s="1"/>
  <c r="C238" i="31"/>
  <c r="D238" i="31" s="1"/>
  <c r="N207" i="48"/>
  <c r="C281" i="31"/>
  <c r="N250" i="48"/>
  <c r="N266" i="48"/>
  <c r="C297" i="31"/>
  <c r="N267" i="48"/>
  <c r="C298" i="31"/>
  <c r="D298" i="31" s="1"/>
  <c r="C255" i="31"/>
  <c r="D255" i="31" s="1"/>
  <c r="N224" i="48"/>
  <c r="N288" i="48"/>
  <c r="D323" i="31" l="1"/>
  <c r="D315" i="31"/>
  <c r="D314" i="31"/>
  <c r="D311" i="31"/>
  <c r="D305" i="31"/>
  <c r="D303" i="31"/>
  <c r="D301" i="31"/>
  <c r="D297" i="31"/>
  <c r="D289" i="31"/>
  <c r="D287" i="31"/>
  <c r="D283" i="31"/>
  <c r="P8" i="48" a="1"/>
  <c r="D281" i="31"/>
  <c r="P10" i="48" l="1"/>
  <c r="Q10" i="48"/>
  <c r="P11" i="48"/>
  <c r="Q8" i="48"/>
  <c r="P16" i="48" s="1"/>
  <c r="Q12" i="48"/>
  <c r="P12" i="48"/>
  <c r="Q9" i="48"/>
  <c r="Q11" i="48"/>
  <c r="P9" i="48"/>
  <c r="P8" i="48"/>
  <c r="P15" i="48" s="1"/>
  <c r="Q15" i="48" s="1"/>
  <c r="Q16" i="48" l="1"/>
  <c r="D37" i="31"/>
</calcChain>
</file>

<file path=xl/sharedStrings.xml><?xml version="1.0" encoding="utf-8"?>
<sst xmlns="http://schemas.openxmlformats.org/spreadsheetml/2006/main" count="4065" uniqueCount="987">
  <si>
    <t>Project</t>
  </si>
  <si>
    <t>R2</t>
  </si>
  <si>
    <t>Total MW</t>
  </si>
  <si>
    <t>Greenfield</t>
  </si>
  <si>
    <t>Upgrade</t>
  </si>
  <si>
    <t> </t>
  </si>
  <si>
    <t>y=cx^m, where c=e^b</t>
  </si>
  <si>
    <t>Type *</t>
  </si>
  <si>
    <t>Greenfield MW</t>
  </si>
  <si>
    <t>Greenfield Cost</t>
  </si>
  <si>
    <t>Greenfield Year</t>
  </si>
  <si>
    <t>Upgrade MW</t>
  </si>
  <si>
    <t>Upgrade Cost</t>
  </si>
  <si>
    <t>Upgrade Year</t>
  </si>
  <si>
    <t>Total Cost</t>
  </si>
  <si>
    <t>Total Year</t>
  </si>
  <si>
    <t>LN(MW)</t>
  </si>
  <si>
    <t>LN(Cost)</t>
  </si>
  <si>
    <t>GF</t>
  </si>
  <si>
    <t>m</t>
  </si>
  <si>
    <t>b</t>
  </si>
  <si>
    <t>se</t>
  </si>
  <si>
    <t>seb</t>
  </si>
  <si>
    <t>sev</t>
  </si>
  <si>
    <t>F</t>
  </si>
  <si>
    <t>df</t>
  </si>
  <si>
    <t>ssreg</t>
  </si>
  <si>
    <t>ssresid</t>
  </si>
  <si>
    <t>c</t>
  </si>
  <si>
    <t>* Type is either Greenfield (“GF”) or Upgrade (“UG”), where Upgrade refers to additional facilities that increase the capacity of an existing Greenfield project</t>
  </si>
  <si>
    <t>Greenfield Cost **</t>
  </si>
  <si>
    <t>change</t>
  </si>
  <si>
    <t>from</t>
  </si>
  <si>
    <t>prior</t>
  </si>
  <si>
    <t>iteration</t>
  </si>
  <si>
    <t>UG</t>
  </si>
  <si>
    <t>** For Iteration 1, Greenfield Cost for an Upgrade project is estimated using the power curve for greenfield-only projects</t>
  </si>
  <si>
    <t>** For Iteration 2, Greenfield Cost for an Upgrade project is estimated using the Iteration 1 power curve for greenfield and upgrade projects</t>
  </si>
  <si>
    <t>** For Iteration 3, Greenfield Cost for an Upgrade project is estimated using the Iteration 2 power curve for greenfield and upgrade projects</t>
  </si>
  <si>
    <t>** For Iteration 4, Greenfield Cost for an Upgrade project is estimated using the Iteration 3 power curve for greenfield and upgrade projects</t>
  </si>
  <si>
    <t>** For Iteration 5, Greenfield Cost for an Upgrade project is estimated using the Iteration 4 power curve for greenfield and upgrade projects</t>
  </si>
  <si>
    <t>** For Iteration 6, Greenfield Cost for an Upgrade project is estimated using the Iteration 5 power curve for greenfield and upgrade projects</t>
  </si>
  <si>
    <t>** For Iteration 7, Greenfield Cost for an Upgrade project is estimated using the Iteration 6 power curve for greenfield and upgrade projects</t>
  </si>
  <si>
    <t>** For Iteration 8, Greenfield Cost for an Upgrade project is estimated using the Iteration 7 power curve for greenfield and upgrade projects</t>
  </si>
  <si>
    <t>** For Iteration 9, Greenfield Cost for an Upgrade project is estimated using the Iteration 8 power curve for greenfield and upgrade projects</t>
  </si>
  <si>
    <t>** For Iteration 10, Greenfield Cost for an Upgrade project is estimated using the Iteration 9 power curve for greenfield and upgrade projects</t>
  </si>
  <si>
    <t>** For Iteration 11, Greenfield Cost for an Upgrade project is estimated using the Iteration 10 power curve for greenfield and upgrade projects</t>
  </si>
  <si>
    <t>** For Iteration 12, Greenfield Cost for an Upgrade project is estimated using the Iteration 11 power curve for greenfield and upgrade projects</t>
  </si>
  <si>
    <t>** For Iteration 13, Greenfield Cost for an Upgrade project is estimated using the Iteration 12 power curve for greenfield and upgrade projects</t>
  </si>
  <si>
    <t>** For Iteration 14, Greenfield Cost for an Upgrade project is estimated using the Iteration 13 power curve for greenfield and upgrade projects</t>
  </si>
  <si>
    <t>** For Iteration 15, Greenfield Cost for an Upgrade project is estimated using the Iteration 14 power curve for greenfield and upgrade projects</t>
  </si>
  <si>
    <t>http://webs.wichita.edu/facsme/cbl/functions/pcm.pdf</t>
  </si>
  <si>
    <t>Source:</t>
  </si>
  <si>
    <t>ln(y)=m*ln(x) + b
Linear Regression</t>
  </si>
  <si>
    <t>Alberta Electric System Operator</t>
  </si>
  <si>
    <t>Proj #</t>
  </si>
  <si>
    <t>TFO</t>
  </si>
  <si>
    <t>Connect Type</t>
  </si>
  <si>
    <t>Name/Sub</t>
  </si>
  <si>
    <t>Location</t>
  </si>
  <si>
    <t>Sub #</t>
  </si>
  <si>
    <t>Sub kV</t>
  </si>
  <si>
    <t># of Tx</t>
  </si>
  <si>
    <t>High kV</t>
  </si>
  <si>
    <t>Winter MVA</t>
  </si>
  <si>
    <t>Project Type</t>
  </si>
  <si>
    <t>TX Line (km)</t>
  </si>
  <si>
    <t>Sub Costs
($ nominal)</t>
  </si>
  <si>
    <t>Line Costs
($ nominal)</t>
  </si>
  <si>
    <t>Distributed and Indirect
($ nominal)</t>
  </si>
  <si>
    <t>Participant-Related Costs
($ nominal)</t>
  </si>
  <si>
    <t>Contributions
($ nominal)</t>
  </si>
  <si>
    <t>Investment
($ nominal)</t>
  </si>
  <si>
    <t>O&amp;M?</t>
  </si>
  <si>
    <t>Facilities in Excess of Standard</t>
  </si>
  <si>
    <t>Estimate / Actual Cost Year</t>
  </si>
  <si>
    <t>Type of Estimate</t>
  </si>
  <si>
    <t>1st Stage DTS</t>
  </si>
  <si>
    <t>Final Stage DTS</t>
  </si>
  <si>
    <t>Max DTS</t>
  </si>
  <si>
    <t>Tariff Year</t>
  </si>
  <si>
    <t>App Date</t>
  </si>
  <si>
    <t>NID</t>
  </si>
  <si>
    <t>ISD</t>
  </si>
  <si>
    <t>ISD-1</t>
  </si>
  <si>
    <t>Notes</t>
  </si>
  <si>
    <t>Escalation to 2018</t>
  </si>
  <si>
    <t>Participant-Related Costs
($ 2018)</t>
  </si>
  <si>
    <t>Participant-Related Costs
($ 2018) for Installed</t>
  </si>
  <si>
    <t>Tx Capacity (MVA)</t>
  </si>
  <si>
    <t>Tx Adjusted Capacity (MVA)</t>
  </si>
  <si>
    <t>Capacity (MW)</t>
  </si>
  <si>
    <t>AML</t>
  </si>
  <si>
    <t>AESO</t>
  </si>
  <si>
    <t>Watson Creek</t>
  </si>
  <si>
    <t>33-49-26W5</t>
  </si>
  <si>
    <t>104S</t>
  </si>
  <si>
    <t>138/4.16kV</t>
  </si>
  <si>
    <t>Greenfield Load</t>
  </si>
  <si>
    <t>N</t>
  </si>
  <si>
    <t>Final</t>
  </si>
  <si>
    <t>Paddle River 106S</t>
  </si>
  <si>
    <t>14-21-53-10W5</t>
  </si>
  <si>
    <t>106S</t>
  </si>
  <si>
    <t>Amelia 108S</t>
  </si>
  <si>
    <t>SW10-56-21W4</t>
  </si>
  <si>
    <t>108S</t>
  </si>
  <si>
    <t>240/25kV</t>
  </si>
  <si>
    <t>DFO-D</t>
  </si>
  <si>
    <t>Fortis Lac La Biche (Thompson 140S)</t>
  </si>
  <si>
    <t>13-6-67-12W4</t>
  </si>
  <si>
    <t>140S</t>
  </si>
  <si>
    <t>Energized</t>
  </si>
  <si>
    <t>Blackmud 155S</t>
  </si>
  <si>
    <t>NE34-50-25W4</t>
  </si>
  <si>
    <t>155S</t>
  </si>
  <si>
    <t>138/25kV</t>
  </si>
  <si>
    <t>#443 + #733</t>
  </si>
  <si>
    <t>Fortis Kirby/Underwood Sub</t>
  </si>
  <si>
    <t>NW-5-74-5W4</t>
  </si>
  <si>
    <t>183S</t>
  </si>
  <si>
    <t>138/6.9kV</t>
  </si>
  <si>
    <t>Air Products Bretville</t>
  </si>
  <si>
    <t>E8-53-23-W4M</t>
  </si>
  <si>
    <t>185S</t>
  </si>
  <si>
    <t>#420 + #592</t>
  </si>
  <si>
    <t>Airdrie Dry Creek 186S</t>
  </si>
  <si>
    <t>5-25-26-1W5</t>
  </si>
  <si>
    <t>186S</t>
  </si>
  <si>
    <t>Y</t>
  </si>
  <si>
    <t>DTS is limited by system constraints, #801 upgrade</t>
  </si>
  <si>
    <t>ATCO</t>
  </si>
  <si>
    <t>DFO-T</t>
  </si>
  <si>
    <t>Enbridge Halfway 2014S (Lynton)</t>
  </si>
  <si>
    <t>2-15-88-9-W4M</t>
  </si>
  <si>
    <t>2014S</t>
  </si>
  <si>
    <t>144/4.16kV</t>
  </si>
  <si>
    <t>Pinedale</t>
  </si>
  <si>
    <t>01-29-53-15W5</t>
  </si>
  <si>
    <t>207S</t>
  </si>
  <si>
    <t>Dog Rib 2082S Substation</t>
  </si>
  <si>
    <t>11-14-25-91-10-W4M</t>
  </si>
  <si>
    <t>2082S</t>
  </si>
  <si>
    <t>144/25kV</t>
  </si>
  <si>
    <t>Terasen - Wardlow/Jenner</t>
  </si>
  <si>
    <t>4-6-22-9-W4M</t>
  </si>
  <si>
    <t>230S</t>
  </si>
  <si>
    <t>TAU</t>
  </si>
  <si>
    <t>Flat Lake</t>
  </si>
  <si>
    <t>NE19-66-18-W4M</t>
  </si>
  <si>
    <t>242S</t>
  </si>
  <si>
    <t>Hull 257S New Substation</t>
  </si>
  <si>
    <t>17-12-16-W4M</t>
  </si>
  <si>
    <t>257S</t>
  </si>
  <si>
    <t>PetroCan Yasa Sub</t>
  </si>
  <si>
    <t>14-5-53-23-W4M</t>
  </si>
  <si>
    <t>286S</t>
  </si>
  <si>
    <t>138/13.8kV</t>
  </si>
  <si>
    <t>$900k considered SF, now totalized with 184S</t>
  </si>
  <si>
    <t>Enbridge Bernese 293S Sub</t>
  </si>
  <si>
    <t>13-32-52-23-W4M</t>
  </si>
  <si>
    <t>293S</t>
  </si>
  <si>
    <t>Leduc</t>
  </si>
  <si>
    <t>SW-28-49-25-W4M</t>
  </si>
  <si>
    <t>325S</t>
  </si>
  <si>
    <t>Marlboro Substation</t>
  </si>
  <si>
    <t>19-54-19-W5M</t>
  </si>
  <si>
    <t>348S</t>
  </si>
  <si>
    <t>EPCOR</t>
  </si>
  <si>
    <t>Poundmaker Edmonton West</t>
  </si>
  <si>
    <t>4-35-53-25W4</t>
  </si>
  <si>
    <t>37S</t>
  </si>
  <si>
    <t>Terasen - Peace Butte</t>
  </si>
  <si>
    <t>15-26-09-06W4</t>
  </si>
  <si>
    <t>404S</t>
  </si>
  <si>
    <t>Enbridge Waupisoo</t>
  </si>
  <si>
    <t>NE22-68-17W4</t>
  </si>
  <si>
    <t>405S</t>
  </si>
  <si>
    <t>Broadmoor</t>
  </si>
  <si>
    <t>NW3-53-22W4</t>
  </si>
  <si>
    <t>420S</t>
  </si>
  <si>
    <t>Fortis Westwood Sub</t>
  </si>
  <si>
    <t>NW8-54-22W4</t>
  </si>
  <si>
    <t>422S</t>
  </si>
  <si>
    <t>138/35kV</t>
  </si>
  <si>
    <t>EnCana Countess / Hussar</t>
  </si>
  <si>
    <t>2-24-23-20W4</t>
  </si>
  <si>
    <t>431S</t>
  </si>
  <si>
    <t>130/4.16kV</t>
  </si>
  <si>
    <t>Carvel</t>
  </si>
  <si>
    <t>NW-5-53-1W5</t>
  </si>
  <si>
    <t>432S</t>
  </si>
  <si>
    <t>Bassano Sub</t>
  </si>
  <si>
    <t>XX-14-21-17W4</t>
  </si>
  <si>
    <t>435S</t>
  </si>
  <si>
    <t>Fortis - Bretona Sub</t>
  </si>
  <si>
    <t>21-03-52-23W4</t>
  </si>
  <si>
    <t>45S</t>
  </si>
  <si>
    <t>Fortis Tucuman</t>
  </si>
  <si>
    <t>SW32-42-9W4</t>
  </si>
  <si>
    <t>478S</t>
  </si>
  <si>
    <t>#702 + #858 TX lines ultimately systemized</t>
  </si>
  <si>
    <t>AML and ATCO</t>
  </si>
  <si>
    <t>Keystone 1 - Lakesend</t>
  </si>
  <si>
    <t>22-38-8W4</t>
  </si>
  <si>
    <t>508S</t>
  </si>
  <si>
    <t>Taylor Gas/Brookfield Sub</t>
  </si>
  <si>
    <t>SW29-38-25W4</t>
  </si>
  <si>
    <t>536S</t>
  </si>
  <si>
    <t>KXL#2 Eyre</t>
  </si>
  <si>
    <t>3-14-39-6-W4M</t>
  </si>
  <si>
    <t>558S</t>
  </si>
  <si>
    <t>144/6.9kV</t>
  </si>
  <si>
    <t>PPS</t>
  </si>
  <si>
    <t>Not yet energized</t>
  </si>
  <si>
    <t>Fortis Sylvan Lake</t>
  </si>
  <si>
    <t>SW-5-38-1-W5M</t>
  </si>
  <si>
    <t>580S</t>
  </si>
  <si>
    <t>Fortis Spruce Grove</t>
  </si>
  <si>
    <t>SW 9-53-27-W4M</t>
  </si>
  <si>
    <t>595S</t>
  </si>
  <si>
    <t>TAU Rose Valley</t>
  </si>
  <si>
    <t>NW25-51-4W5</t>
  </si>
  <si>
    <t>635S</t>
  </si>
  <si>
    <t>Fortis Kirby In-Situ</t>
  </si>
  <si>
    <t>13-21-073-07W4</t>
  </si>
  <si>
    <t>651S</t>
  </si>
  <si>
    <t>Fortis Bannerman - NW Upgrader Ft Sask</t>
  </si>
  <si>
    <t>18-56-21-W4M</t>
  </si>
  <si>
    <t>681S</t>
  </si>
  <si>
    <t>245/34.5kV</t>
  </si>
  <si>
    <t>Jackfish 698S</t>
  </si>
  <si>
    <t>16-30-75-6-W4M</t>
  </si>
  <si>
    <t>698S</t>
  </si>
  <si>
    <t>Lloydminister</t>
  </si>
  <si>
    <t>SW 26-49-1W4</t>
  </si>
  <si>
    <t>716S</t>
  </si>
  <si>
    <t>Fortis Christina Lake</t>
  </si>
  <si>
    <t>10-10-77-08-W4M</t>
  </si>
  <si>
    <t>723S</t>
  </si>
  <si>
    <t># 821 upgrade project</t>
  </si>
  <si>
    <t>79A</t>
  </si>
  <si>
    <t>Hangingstone</t>
  </si>
  <si>
    <t>NE10-88-9W4</t>
  </si>
  <si>
    <t>820S</t>
  </si>
  <si>
    <t>#79 + #666</t>
  </si>
  <si>
    <t>10A</t>
  </si>
  <si>
    <t>Mariana</t>
  </si>
  <si>
    <t>NW33-80-13W4</t>
  </si>
  <si>
    <t>833S</t>
  </si>
  <si>
    <t>#10 + #613 TX lines ultimately systemized</t>
  </si>
  <si>
    <t>Joslyn Creek</t>
  </si>
  <si>
    <t>NW3-96-12W4</t>
  </si>
  <si>
    <t>849S</t>
  </si>
  <si>
    <t>260/27kV</t>
  </si>
  <si>
    <t>Fortis Round Hill</t>
  </si>
  <si>
    <t>6-29-72-14W4</t>
  </si>
  <si>
    <t>852S</t>
  </si>
  <si>
    <t>Kinosis</t>
  </si>
  <si>
    <t>4-30-84-6W4</t>
  </si>
  <si>
    <t>856S</t>
  </si>
  <si>
    <t>#230 + #511 + #1094</t>
  </si>
  <si>
    <t>79B</t>
  </si>
  <si>
    <t>Crow Lake</t>
  </si>
  <si>
    <t>NE 17-77-14 W4</t>
  </si>
  <si>
    <t>860S</t>
  </si>
  <si>
    <t>#79 + #775 TX lines ultimately systemized</t>
  </si>
  <si>
    <t>10B</t>
  </si>
  <si>
    <t>Algar</t>
  </si>
  <si>
    <t>NW19-84-11W4</t>
  </si>
  <si>
    <t>875S</t>
  </si>
  <si>
    <t>TX lines ultimately systemized</t>
  </si>
  <si>
    <t>Brintnell</t>
  </si>
  <si>
    <t>36-82-23W4</t>
  </si>
  <si>
    <t>876S</t>
  </si>
  <si>
    <t>#8 + #437</t>
  </si>
  <si>
    <t>Updike 886S</t>
  </si>
  <si>
    <t>18-74-12W6</t>
  </si>
  <si>
    <t>886S</t>
  </si>
  <si>
    <t>Terasen Ribstone Creek</t>
  </si>
  <si>
    <t>01-03-37-09-W4M</t>
  </si>
  <si>
    <t>892S</t>
  </si>
  <si>
    <t>KXL#5 Cavendish</t>
  </si>
  <si>
    <t>16-20-21-2-W4M</t>
  </si>
  <si>
    <t>893S</t>
  </si>
  <si>
    <t>KXL#3 Currant Lake</t>
  </si>
  <si>
    <t>7-25-33-W5M</t>
  </si>
  <si>
    <t>896S</t>
  </si>
  <si>
    <t>Keystone 2 - Loyalist</t>
  </si>
  <si>
    <t>SW23-34-5W4</t>
  </si>
  <si>
    <t>903S</t>
  </si>
  <si>
    <t>ATCO Stat Oil Waddell</t>
  </si>
  <si>
    <t>6-2-79-10W4</t>
  </si>
  <si>
    <t>907S</t>
  </si>
  <si>
    <t>Keystone 3 - Excel</t>
  </si>
  <si>
    <t>20-28-4W4</t>
  </si>
  <si>
    <t>910S</t>
  </si>
  <si>
    <t xml:space="preserve">Keystone 4 - Blindloss </t>
  </si>
  <si>
    <t>10-22-3W4</t>
  </si>
  <si>
    <t>914S</t>
  </si>
  <si>
    <t xml:space="preserve">Bauer 918S </t>
  </si>
  <si>
    <t>8-24-49-8-W4M</t>
  </si>
  <si>
    <t>918S</t>
  </si>
  <si>
    <t>Husky Green Stocking 925S</t>
  </si>
  <si>
    <t>1-16-95-7W7</t>
  </si>
  <si>
    <t>925S</t>
  </si>
  <si>
    <t>Final 150 d</t>
  </si>
  <si>
    <t>Buchanan Creek</t>
  </si>
  <si>
    <t>SW-3-91-23-W5M</t>
  </si>
  <si>
    <t>927S</t>
  </si>
  <si>
    <t>Fortis - Viscount</t>
  </si>
  <si>
    <t>SE 14-54-25W4</t>
  </si>
  <si>
    <t>92S</t>
  </si>
  <si>
    <t>ATCO Enbridge Janvier PS</t>
  </si>
  <si>
    <t>1-12-79-6W4</t>
  </si>
  <si>
    <t>931S</t>
  </si>
  <si>
    <t>240/144kV</t>
  </si>
  <si>
    <t>Tower Road POD</t>
  </si>
  <si>
    <t>27-89-10W4</t>
  </si>
  <si>
    <t>933S</t>
  </si>
  <si>
    <t>Norberg Cold Lake Pipline PS</t>
  </si>
  <si>
    <t>7-61-10W4</t>
  </si>
  <si>
    <t>936S</t>
  </si>
  <si>
    <t>ATCO Bear Trap Sub</t>
  </si>
  <si>
    <t>12-23-60-4W4</t>
  </si>
  <si>
    <t>940S</t>
  </si>
  <si>
    <t>ATCO and AML</t>
  </si>
  <si>
    <t>Weasel Creek 947S</t>
  </si>
  <si>
    <t>15-32-59-19-W4M</t>
  </si>
  <si>
    <t>947S</t>
  </si>
  <si>
    <t>KXL#4 Armitage</t>
  </si>
  <si>
    <t>16-20-27-4-W4M</t>
  </si>
  <si>
    <t>949S</t>
  </si>
  <si>
    <t>Laricina Germain</t>
  </si>
  <si>
    <t>5-15-85-22-W4M</t>
  </si>
  <si>
    <t>950S</t>
  </si>
  <si>
    <t>IPF - Lindbergh</t>
  </si>
  <si>
    <t>SW7-58-4W4</t>
  </si>
  <si>
    <t>969S</t>
  </si>
  <si>
    <t>ConocoPhillips Quigley</t>
  </si>
  <si>
    <t>NE28-83-6W4</t>
  </si>
  <si>
    <t>989S</t>
  </si>
  <si>
    <t>144/26kV</t>
  </si>
  <si>
    <t>Enbridge Abee 993S</t>
  </si>
  <si>
    <t>6-61-19-W4M</t>
  </si>
  <si>
    <t>993S</t>
  </si>
  <si>
    <t>Cloverbar</t>
  </si>
  <si>
    <t>4-20-53-23W4</t>
  </si>
  <si>
    <t>AML and ENMAX</t>
  </si>
  <si>
    <t>Enmax 47 Sub</t>
  </si>
  <si>
    <t>29-25-1W5</t>
  </si>
  <si>
    <t>S47</t>
  </si>
  <si>
    <t>#1107 upgrade</t>
  </si>
  <si>
    <t>ENMAX</t>
  </si>
  <si>
    <t>ENMAX No. 24</t>
  </si>
  <si>
    <t>14-23-29W4</t>
  </si>
  <si>
    <t>SS-24</t>
  </si>
  <si>
    <t>#895 upgrade</t>
  </si>
  <si>
    <t>Enmax No. 26</t>
  </si>
  <si>
    <t>28-22-29W4</t>
  </si>
  <si>
    <t>SS26</t>
  </si>
  <si>
    <t>ENMAX No 54</t>
  </si>
  <si>
    <t>29-22W4</t>
  </si>
  <si>
    <t>SS-54</t>
  </si>
  <si>
    <t>Enmax #6</t>
  </si>
  <si>
    <t>30-22-1W5</t>
  </si>
  <si>
    <t>SS-6</t>
  </si>
  <si>
    <t>#861 upgrade project</t>
  </si>
  <si>
    <t>Enmax No. 7</t>
  </si>
  <si>
    <t>NW 21-24-02W5</t>
  </si>
  <si>
    <t>SS-7</t>
  </si>
  <si>
    <t>#333 + #682</t>
  </si>
  <si>
    <t>AML and EPCOR</t>
  </si>
  <si>
    <t>EPCOR Summerside</t>
  </si>
  <si>
    <t>NW4-27-51-24-W4M</t>
  </si>
  <si>
    <t>SUMMERSIDE</t>
  </si>
  <si>
    <t>Brion AMR02 Substation</t>
  </si>
  <si>
    <t>SE-11-90-14-W4M</t>
  </si>
  <si>
    <t>937S</t>
  </si>
  <si>
    <t>240/3.5kV</t>
  </si>
  <si>
    <t>ConocoPhilips Surmont 2 Stage II Engstrom</t>
  </si>
  <si>
    <t>7-83-6-W4M</t>
  </si>
  <si>
    <t>2060S</t>
  </si>
  <si>
    <t>AOC Hangingstone SAGD</t>
  </si>
  <si>
    <t>16-24-86-10-W4M</t>
  </si>
  <si>
    <t>279S</t>
  </si>
  <si>
    <t>ATCO JACOS Sweetheart Lake</t>
  </si>
  <si>
    <t>2-14-84-11-W4M</t>
  </si>
  <si>
    <t>2032S</t>
  </si>
  <si>
    <t>AML and Red Deer</t>
  </si>
  <si>
    <t>Timberlands 209S Substation</t>
  </si>
  <si>
    <t>23-38-27-W4M</t>
  </si>
  <si>
    <t>209S</t>
  </si>
  <si>
    <t>Cheecham POD (Meadow Creek)</t>
  </si>
  <si>
    <t>7-8-84-6-W4M</t>
  </si>
  <si>
    <t>2081S</t>
  </si>
  <si>
    <t>Enbridge Queensland 301S Substation</t>
  </si>
  <si>
    <t>1-5-49-20-W5M</t>
  </si>
  <si>
    <t>301S</t>
  </si>
  <si>
    <t>20MW only for the "Queensland" part.</t>
  </si>
  <si>
    <t>Enbridge Bernese 293S Substation</t>
  </si>
  <si>
    <t>11-32-52-23-W5M</t>
  </si>
  <si>
    <t>Cenovus Narrows Lake Substation (Boreal)</t>
  </si>
  <si>
    <t>16-05-77-6-W5M</t>
  </si>
  <si>
    <t>193S</t>
  </si>
  <si>
    <t>ATCO Grand Rapids MacKay Pumpstation</t>
  </si>
  <si>
    <t>SW-34-89-14-W4M</t>
  </si>
  <si>
    <t>2015S</t>
  </si>
  <si>
    <t>Final 180 d</t>
  </si>
  <si>
    <t>Fortis Deer Hill</t>
  </si>
  <si>
    <t>SW-33-55-18-W5M</t>
  </si>
  <si>
    <t>1012S</t>
  </si>
  <si>
    <t>ATCO Spirit River Mowatt</t>
  </si>
  <si>
    <t>NW-10-78-7-W6M</t>
  </si>
  <si>
    <t>2033S</t>
  </si>
  <si>
    <t>ATCO Thornton New POD</t>
  </si>
  <si>
    <t>19-63-5-W6M</t>
  </si>
  <si>
    <t>2091S</t>
  </si>
  <si>
    <t>Fortis Alberta Grist Lake (Pike) Substation</t>
  </si>
  <si>
    <t>NE-26-74-W4M</t>
  </si>
  <si>
    <t>190S</t>
  </si>
  <si>
    <t>Nilrem 574S</t>
  </si>
  <si>
    <t>574S</t>
  </si>
  <si>
    <t>Totals</t>
  </si>
  <si>
    <t>Category</t>
  </si>
  <si>
    <t>Book Value
($ nominal)</t>
  </si>
  <si>
    <t>Original DTS</t>
  </si>
  <si>
    <t>Current DTS</t>
  </si>
  <si>
    <t>Capacity (MVA)</t>
  </si>
  <si>
    <t>Adjusted Capacity (MVA)</t>
  </si>
  <si>
    <t>Pre-01</t>
  </si>
  <si>
    <t>Laura Lake</t>
  </si>
  <si>
    <t>661S</t>
  </si>
  <si>
    <t>Small</t>
  </si>
  <si>
    <t>Pre-02</t>
  </si>
  <si>
    <t>ESSO Judy Creek</t>
  </si>
  <si>
    <t>638S</t>
  </si>
  <si>
    <t>Pre-03</t>
  </si>
  <si>
    <t>Whitewood Mine</t>
  </si>
  <si>
    <t>292S</t>
  </si>
  <si>
    <t>Pre-04</t>
  </si>
  <si>
    <t>Chappice Lake</t>
  </si>
  <si>
    <t>649S</t>
  </si>
  <si>
    <t>Pre-05</t>
  </si>
  <si>
    <t>Ricinus</t>
  </si>
  <si>
    <t>581S</t>
  </si>
  <si>
    <t>Pre-06</t>
  </si>
  <si>
    <t>Baymag</t>
  </si>
  <si>
    <t>437S</t>
  </si>
  <si>
    <t>$61,574 buydown</t>
  </si>
  <si>
    <t>Pre-07</t>
  </si>
  <si>
    <t>Fickle Lake</t>
  </si>
  <si>
    <t>406S</t>
  </si>
  <si>
    <t>Pre-08</t>
  </si>
  <si>
    <t>Monarch</t>
  </si>
  <si>
    <t>492S</t>
  </si>
  <si>
    <t>Pre-09</t>
  </si>
  <si>
    <t>Buck Lake</t>
  </si>
  <si>
    <t>454S</t>
  </si>
  <si>
    <t>Pre-10</t>
  </si>
  <si>
    <t>Riverbend</t>
  </si>
  <si>
    <t>618S</t>
  </si>
  <si>
    <t>Pre-11</t>
  </si>
  <si>
    <t>Haynes</t>
  </si>
  <si>
    <t>482S</t>
  </si>
  <si>
    <t>Pre-12</t>
  </si>
  <si>
    <t>Leismer</t>
  </si>
  <si>
    <t>72S</t>
  </si>
  <si>
    <t>Pre-13</t>
  </si>
  <si>
    <t>Pegasus Lake</t>
  </si>
  <si>
    <t>659S</t>
  </si>
  <si>
    <t>Pre-14</t>
  </si>
  <si>
    <t>Canadian Oxy</t>
  </si>
  <si>
    <t>365S</t>
  </si>
  <si>
    <t>Large</t>
  </si>
  <si>
    <t>buydown</t>
  </si>
  <si>
    <t>Pre-15</t>
  </si>
  <si>
    <t>Albchem Beaverhill Creek</t>
  </si>
  <si>
    <t>308S</t>
  </si>
  <si>
    <t>$2,753 buydown</t>
  </si>
  <si>
    <t>Pre-16</t>
  </si>
  <si>
    <t>Millar Western</t>
  </si>
  <si>
    <t>484S</t>
  </si>
  <si>
    <t>Pre-17</t>
  </si>
  <si>
    <t>Ellis</t>
  </si>
  <si>
    <t>332S</t>
  </si>
  <si>
    <t>Pre-18</t>
  </si>
  <si>
    <t>Alberta Newsprint</t>
  </si>
  <si>
    <t>122S</t>
  </si>
  <si>
    <t>Pre-Upgrade</t>
  </si>
  <si>
    <t>Post-Upgrade</t>
  </si>
  <si>
    <t>GF ISD</t>
  </si>
  <si>
    <t>Pre-Upgrade DTS</t>
  </si>
  <si>
    <t>Incr DTS</t>
  </si>
  <si>
    <t>Final DTS</t>
  </si>
  <si>
    <t>Upgrade Details</t>
  </si>
  <si>
    <t>Transformer Installed Capacity</t>
  </si>
  <si>
    <t># of Breakers Pre-Upgrade</t>
  </si>
  <si>
    <t>Total Installed Capacity</t>
  </si>
  <si>
    <t># of Breakers</t>
  </si>
  <si>
    <t>Pre-Upgrade Capacity (MVA)</t>
  </si>
  <si>
    <t>Pre-upgrade MWs</t>
  </si>
  <si>
    <t>Added MVA</t>
  </si>
  <si>
    <t>Added Capacity MW</t>
  </si>
  <si>
    <t>Fortis Amelia 108S Tx Addition</t>
  </si>
  <si>
    <t>Upgrade Load</t>
  </si>
  <si>
    <t>Add second 240/25 kV 30/40/50 MVA Tx</t>
  </si>
  <si>
    <t>Fortis Amelia 108S Breaker Additions</t>
  </si>
  <si>
    <t>Add four 25kV breakers</t>
  </si>
  <si>
    <t>2 x 25kV</t>
  </si>
  <si>
    <t>Fortis Canmore Upgrade</t>
  </si>
  <si>
    <t>118S</t>
  </si>
  <si>
    <t>Add one 15/20/25MVA tx (138/25kV) and one 25kV breaker</t>
  </si>
  <si>
    <t>Fortis Brooks</t>
  </si>
  <si>
    <t>121S</t>
  </si>
  <si>
    <t>Add one 25kV breaker</t>
  </si>
  <si>
    <t>5 x 25kV</t>
  </si>
  <si>
    <t>Fortis Bruderheim Upgrade</t>
  </si>
  <si>
    <t>127S</t>
  </si>
  <si>
    <t>Add one 25/33/42MVA tx and two 25kV breakers</t>
  </si>
  <si>
    <t>1 x 25kV</t>
  </si>
  <si>
    <t>Fortis Bruderheim Breaker Add</t>
  </si>
  <si>
    <t>3 x 25kV</t>
  </si>
  <si>
    <t>Fortis Bruderheim 127S Sub Upgrade</t>
  </si>
  <si>
    <t>Replace 15/20/25MVA tx with one 25/33/42MVA tx and add two 25kV breakers</t>
  </si>
  <si>
    <t>4 x 25kV</t>
  </si>
  <si>
    <t>Fortis Moon Lake Breaker Add</t>
  </si>
  <si>
    <t>131S</t>
  </si>
  <si>
    <t>Add two 25kV breakers</t>
  </si>
  <si>
    <t>Fortis Devon Conductor Repl.</t>
  </si>
  <si>
    <t>14S</t>
  </si>
  <si>
    <t>Upgrades to jumpers swithches and cables for backup</t>
  </si>
  <si>
    <t>Fortis Blackmud Tx Add</t>
  </si>
  <si>
    <t>Add one 25/33/42MVA tx (138/25kV) and two 25kV breakers</t>
  </si>
  <si>
    <t>Fortis Lac La Biche Tx Addition</t>
  </si>
  <si>
    <t>157S</t>
  </si>
  <si>
    <t>Add one 42MVS tx (138/25KV) and moving one breaker</t>
  </si>
  <si>
    <t>Fortis Colinton 159S Transformer Replacement</t>
  </si>
  <si>
    <t>159S</t>
  </si>
  <si>
    <t>Replace tx with 138/25kV and add one 138kv switch</t>
  </si>
  <si>
    <t>Fortis Gainford Tx Replacement</t>
  </si>
  <si>
    <t>165S</t>
  </si>
  <si>
    <t>Replace 3MVA tx  with 10MVA tx (138/69-4.16kV) - 8.4MVA currently</t>
  </si>
  <si>
    <t>1 x 4.16kV</t>
  </si>
  <si>
    <t>Replace tx with 138/4.16kV 15/20/14 MVA LTC tx</t>
  </si>
  <si>
    <t>FortisAlberta Redwater 171S Two Breaker Addition</t>
  </si>
  <si>
    <t>171S</t>
  </si>
  <si>
    <t>Cynthia Upgrade</t>
  </si>
  <si>
    <t>178S</t>
  </si>
  <si>
    <t>Upgrade 15MVA regulator with 28MVA regulator and add one 25kV breaker</t>
  </si>
  <si>
    <t>Fortis Dry Creek</t>
  </si>
  <si>
    <t>Add one 25/33/42MVA tx and three 25kV breakers</t>
  </si>
  <si>
    <t>NW Cardiff Upgrade</t>
  </si>
  <si>
    <t>191S</t>
  </si>
  <si>
    <t>Add one 15/20/25MVA tx (138/25kV) and two 25kV breakers</t>
  </si>
  <si>
    <t>Fortis Blackfalds</t>
  </si>
  <si>
    <t>198S</t>
  </si>
  <si>
    <t>Fortis Blackfalds Upgrade</t>
  </si>
  <si>
    <t>Add one 15/20/25MVA tx and two 25kV breakers</t>
  </si>
  <si>
    <t>Fortis Blackfalds 198S Upgrade</t>
  </si>
  <si>
    <t>Replace two 25 MVA source tx with two 42 MVA source tx and add two 25kV breakers</t>
  </si>
  <si>
    <t xml:space="preserve">East Airdrie </t>
  </si>
  <si>
    <t>199S</t>
  </si>
  <si>
    <t>Fortis Hughenden 213S Upgrade</t>
  </si>
  <si>
    <t>213S</t>
  </si>
  <si>
    <t>unknown</t>
  </si>
  <si>
    <t>Add one 138/25kV 42 MVA tx, change existing T-tap to In/Out</t>
  </si>
  <si>
    <t>Innisfail Breaker Add</t>
  </si>
  <si>
    <t>214S</t>
  </si>
  <si>
    <t>UNC</t>
  </si>
  <si>
    <t>Enbridge Terrace Expansion</t>
  </si>
  <si>
    <t>216S</t>
  </si>
  <si>
    <t>Replace 9/12/13.4MVA tx with 15/20/25 MVA tx (138/4.16kV)</t>
  </si>
  <si>
    <t>2 x 4.16kV</t>
  </si>
  <si>
    <t>Enbridge Edmonton 216S Transformer</t>
  </si>
  <si>
    <t>Add one 25MVA tx (138/4.14kV) and one 138kV breaker</t>
  </si>
  <si>
    <t>221S</t>
  </si>
  <si>
    <t>Replace 9/12/13.4MVA tx and 10/13.3/16.7MVA with two 15/20/25MVA (138/4.16kV)</t>
  </si>
  <si>
    <t>Enbridge Sunken Lake Substation Expansion</t>
  </si>
  <si>
    <t>Add one 138/4.16kV, 20/26/33 MVA tx</t>
  </si>
  <si>
    <t>223S</t>
  </si>
  <si>
    <t>Add 15/20/25MVA tx and install two 138kV breakers</t>
  </si>
  <si>
    <t>Strome 223S Transformer Addition</t>
  </si>
  <si>
    <t>add one 138/6.9kV, 20/26/33 tx</t>
  </si>
  <si>
    <t>Ft Assiniboine Upgrade</t>
  </si>
  <si>
    <t>234S</t>
  </si>
  <si>
    <t>Replace existing 7.5MVA tx with 15/20/25MVA tx (138/25kV), add one 25kV breaker</t>
  </si>
  <si>
    <t>Fort Assiniboine Upgrade</t>
  </si>
  <si>
    <t>Coaldale Capacity Upgrade</t>
  </si>
  <si>
    <t>254S</t>
  </si>
  <si>
    <t>Add one 25/33/42MVA tx (138/25kV)</t>
  </si>
  <si>
    <t>Fortis Strachan 263S Transformer Addition</t>
  </si>
  <si>
    <t>263S</t>
  </si>
  <si>
    <t>Add on 138/25kV 25/33/42 MVA LTC tx and add one 25kV breaker</t>
  </si>
  <si>
    <t>Fortis Jenner Breaker Add</t>
  </si>
  <si>
    <t>275S</t>
  </si>
  <si>
    <t>9 x 25kV</t>
  </si>
  <si>
    <t>Fortis Jenner 275S Feeder Breaker Addition</t>
  </si>
  <si>
    <t>Add three 25kV breaker</t>
  </si>
  <si>
    <t>Hayter</t>
  </si>
  <si>
    <t>277S</t>
  </si>
  <si>
    <t>Hayter Breaker Add</t>
  </si>
  <si>
    <t>Fortis Hayter 277S 42MVA Transformer and 25KV Breaker Add.</t>
  </si>
  <si>
    <t>Add one 138/25kV 25/33/42 MVA tx and add one 25kV breaker</t>
  </si>
  <si>
    <t>Fortis East Camrose 285S Upgrades</t>
  </si>
  <si>
    <t>285S</t>
  </si>
  <si>
    <t>Fortis Cochrane Tx Upgrade</t>
  </si>
  <si>
    <t>291S</t>
  </si>
  <si>
    <t>Fortis Cochrane 291S Upgrades</t>
  </si>
  <si>
    <t>Replace 138/25kV 15/20/25 MVA tx and 20MVA 25kV regulator with 138/25kV 25/33/52MVA LTC tx, add three  25kV breakers</t>
  </si>
  <si>
    <t>296S</t>
  </si>
  <si>
    <t>Changed line configuration to in-out</t>
  </si>
  <si>
    <t>Rosyth Capacity Upgrade</t>
  </si>
  <si>
    <t>Add one 15/20/25MVA tx (138/4.16kV) and one 138kV breaker</t>
  </si>
  <si>
    <t>Rimbey Upgrade</t>
  </si>
  <si>
    <t>297S</t>
  </si>
  <si>
    <t>Add one 25/33/42MVA tx and one 25kV breaker and one 138kV breaker</t>
  </si>
  <si>
    <t>299S</t>
  </si>
  <si>
    <t>Replace 9/12/15MVA tx with 15/20/25MVA tx (138/4.16kV)</t>
  </si>
  <si>
    <t>Fortis - Acheson Upgrade</t>
  </si>
  <si>
    <t>305S</t>
  </si>
  <si>
    <t>Acheson Capacity Upgrade</t>
  </si>
  <si>
    <t>Acheson Breaker Add</t>
  </si>
  <si>
    <t>Fortis Leduc Transformer and Breakers Addition</t>
  </si>
  <si>
    <t>Add one 138/25kV 25/33/42 MVA LTC tx and add three 25kV breakers</t>
  </si>
  <si>
    <t>Fortis Air Liquide</t>
  </si>
  <si>
    <t>337S</t>
  </si>
  <si>
    <t>Add one 20/26/33.3MVA tx (138/13.8kV)</t>
  </si>
  <si>
    <t>Fortis Stavely Tx Replace</t>
  </si>
  <si>
    <t>349S</t>
  </si>
  <si>
    <t>Replace 12/13.5MVA tx with 15/20/25MVA tx (138/25kV)</t>
  </si>
  <si>
    <t>Fortis Plamandon</t>
  </si>
  <si>
    <t>353S</t>
  </si>
  <si>
    <t>Fortis Plamondon 353S Capacity Increase</t>
  </si>
  <si>
    <t>Add one 138/25kV 42MVA tx</t>
  </si>
  <si>
    <t>Fortis Whitecourt</t>
  </si>
  <si>
    <t>364S</t>
  </si>
  <si>
    <t>Fortis Burdett Tx Addition</t>
  </si>
  <si>
    <t>368S</t>
  </si>
  <si>
    <t>Fortis - Hardisty</t>
  </si>
  <si>
    <t>377S</t>
  </si>
  <si>
    <t>Keystone Upgrade</t>
  </si>
  <si>
    <t>384S</t>
  </si>
  <si>
    <t>Add one 25/33/42MVA tx and one 138kV breaker</t>
  </si>
  <si>
    <t>Fortis Spring Coulee Upgrade</t>
  </si>
  <si>
    <t>385S</t>
  </si>
  <si>
    <t>Add 69/25kV 15/20/25MVA LTC tx</t>
  </si>
  <si>
    <t>EnCana Deepcut</t>
  </si>
  <si>
    <t>394S</t>
  </si>
  <si>
    <t>Add 30/40/50MVA tx (138/13.8kV) and add one 138kV breaker</t>
  </si>
  <si>
    <t>Fortis Empress Regulator Add</t>
  </si>
  <si>
    <t>Upgrade VR1 regulator to 25MVA</t>
  </si>
  <si>
    <t>Fortis Empress 394S Upgrade</t>
  </si>
  <si>
    <t>Relocate 25kV breaker from T2 to T2, add one 138kV bus tie breaker and add 25kV voltage regulator</t>
  </si>
  <si>
    <t>Fortis Benbow 397S-Feeder breaker</t>
  </si>
  <si>
    <t>397S</t>
  </si>
  <si>
    <t>Fortis Benbow 397S Transformer Upgrade</t>
  </si>
  <si>
    <t>Replace 138/25kV 25 MVA tx-regulatory with one 138/25kV 42MVA LTC tx</t>
  </si>
  <si>
    <t>Fortis Fickle Lake Tx Upgrade</t>
  </si>
  <si>
    <t>Replace 7.5/8.5MVA tx with 15/20/25MVA tx</t>
  </si>
  <si>
    <t>Wetaskiwin Breaker Add</t>
  </si>
  <si>
    <t>40S</t>
  </si>
  <si>
    <t>Fortis Broadmoor 420S Additional Circuit Breaker</t>
  </si>
  <si>
    <t>Add one circuit breaker and one 25kV feeder</t>
  </si>
  <si>
    <t>Fortis Broadmoor 420S Upgrade</t>
  </si>
  <si>
    <t>Add one 138/25kV 25/33/42 MVA LTC tx and connecting three new 25kV feeders</t>
  </si>
  <si>
    <t>Fortis Hays 421S Transformer Upgrade</t>
  </si>
  <si>
    <t>421S</t>
  </si>
  <si>
    <t>Replace 138/25kV 15/20/25/28.1 MVA tx with one 138/25kV 42 MVA tx and add two 25kV breakers</t>
  </si>
  <si>
    <t>Fortis Stony Plain</t>
  </si>
  <si>
    <t>434S</t>
  </si>
  <si>
    <t>Add two 25KV breakers</t>
  </si>
  <si>
    <t>Fortis Enchant 447S Upgrade</t>
  </si>
  <si>
    <t>447S</t>
  </si>
  <si>
    <t>Fortis Tucuman Upgrade</t>
  </si>
  <si>
    <t>Fortis Tucuman 478S-T2 25KV Feeder Breaker Addition</t>
  </si>
  <si>
    <t>Fortis Tilley Upgrade</t>
  </si>
  <si>
    <t>498S</t>
  </si>
  <si>
    <t>Add one 15/20/25MVA tx and one 25kV breaker</t>
  </si>
  <si>
    <t>Fortis Tilley 498S Upgrade</t>
  </si>
  <si>
    <t>Replace two existing 25MVA tx with two 42MVA tx and add three 25kV breakers</t>
  </si>
  <si>
    <t>Fortis Wainwright Tx Add</t>
  </si>
  <si>
    <t>51S</t>
  </si>
  <si>
    <t>Fortis Wainwright Tx Enhanced Reliability</t>
  </si>
  <si>
    <t>Additional line to existing 704L tap-off point, add one 138kV circuit breaker</t>
  </si>
  <si>
    <t>Fortis Cooking Lake Capacity Increase</t>
  </si>
  <si>
    <t>522S</t>
  </si>
  <si>
    <t>Add one 138/25kV 42MVA tx and one 25kv breaker</t>
  </si>
  <si>
    <t>Fortis Buffalo Creek Upgrade</t>
  </si>
  <si>
    <t>526S</t>
  </si>
  <si>
    <t>Add one 15/20/25MVA tx (138/25kV), two 138kV breakers and one 25kV breaker</t>
  </si>
  <si>
    <t>Fort Saskatchewan</t>
  </si>
  <si>
    <t>54S</t>
  </si>
  <si>
    <t>Ft Saskatchewan Brkr Add</t>
  </si>
  <si>
    <t>Fortis Boyle Conductor Repl</t>
  </si>
  <si>
    <t>56S</t>
  </si>
  <si>
    <t>Replace 60m (per feeder) of 1/0ACSR conductor with 477MCM overhead conductor</t>
  </si>
  <si>
    <t>Fortis Boyle 56S Transformer Upgrade</t>
  </si>
  <si>
    <t>Add one 138/25kV 42MVA LTD tx, add one 138kV circuit breaker</t>
  </si>
  <si>
    <t>Fortis Sundre Capacity Increase</t>
  </si>
  <si>
    <t>575S</t>
  </si>
  <si>
    <t>Fortis Edson Cable Repl.</t>
  </si>
  <si>
    <t>58S</t>
  </si>
  <si>
    <t>25kV cable replacement</t>
  </si>
  <si>
    <t>Fortis Cold Creek</t>
  </si>
  <si>
    <t>602S</t>
  </si>
  <si>
    <t>Replace two 15/20/25MVA tx with two 25/33/42MVA (138/25kV) and one 25kV breaker</t>
  </si>
  <si>
    <t>Fortis Lodgepole Upgrade</t>
  </si>
  <si>
    <t>61S</t>
  </si>
  <si>
    <t>Fortis Red Deer Breaker Add</t>
  </si>
  <si>
    <t>63S</t>
  </si>
  <si>
    <t>Add one 25kV breaker and voltage regulator</t>
  </si>
  <si>
    <t>Fortis Red Deer 63S Upgrades</t>
  </si>
  <si>
    <t>Fortis Pegasus Lake 659S - Upgrade</t>
  </si>
  <si>
    <t>Add one 69/25kV 15/20/25 MVA tx</t>
  </si>
  <si>
    <t>Fortis Okotoks 678S-High River 65S Upgrades</t>
  </si>
  <si>
    <t>65S</t>
  </si>
  <si>
    <t>Lethbridge</t>
  </si>
  <si>
    <t>Bowron Upgrade</t>
  </si>
  <si>
    <t>674S</t>
  </si>
  <si>
    <t xml:space="preserve">Add one 18/24/30MVA tx </t>
  </si>
  <si>
    <t>4 x 13.8kV</t>
  </si>
  <si>
    <t>678S</t>
  </si>
  <si>
    <t>Add one 138/25kV 25/33/42 MVA tx and add two 25kV breakeres</t>
  </si>
  <si>
    <t>Willesden Green Upgrade</t>
  </si>
  <si>
    <t>68S</t>
  </si>
  <si>
    <t>Add one 30/40/50MVA tx and two 240kV breakers and one 25kV breaker</t>
  </si>
  <si>
    <t>ATCO Irish Creek Upgrade</t>
  </si>
  <si>
    <t>706S</t>
  </si>
  <si>
    <t>Add one 25kV breaker (5th)</t>
  </si>
  <si>
    <t>ATCO Irish Creek 706S Upgrades</t>
  </si>
  <si>
    <t>Add one 144/25kV 25/33/42 MVA tx, one 144kV circuit breaker, one 25 breaker</t>
  </si>
  <si>
    <t>Vegreville Sub Upgrade</t>
  </si>
  <si>
    <t>709S</t>
  </si>
  <si>
    <t>Install second stage cooling fans (tx cap goes from 33 to 41.7MVA)</t>
  </si>
  <si>
    <t>Vermilion Tx Add</t>
  </si>
  <si>
    <t>710S</t>
  </si>
  <si>
    <t>Add one 25/33/41.7MVA tx (144/25kV) and one 144kV breaker</t>
  </si>
  <si>
    <t>Leming Lake 715S</t>
  </si>
  <si>
    <t>715S</t>
  </si>
  <si>
    <t>Add one 30/40/50MVA tx (144/25kV) and one 144kV breaker</t>
  </si>
  <si>
    <t>6 x 25kv</t>
  </si>
  <si>
    <t>Wabasca Sub Upgrade</t>
  </si>
  <si>
    <t>720S</t>
  </si>
  <si>
    <t>Add one 30/40/50MVA tx (240/25kV)</t>
  </si>
  <si>
    <t>LaCorey Area Capacity Increase</t>
  </si>
  <si>
    <t>721S</t>
  </si>
  <si>
    <t>Ad one 144/25kV 30/40/50 MVA TC tx and four 25kV breakers</t>
  </si>
  <si>
    <t>Crystal Lake Tx Add</t>
  </si>
  <si>
    <t>722S</t>
  </si>
  <si>
    <t>7 x 25kv</t>
  </si>
  <si>
    <t>Crystal Lake Sub Upgrade</t>
  </si>
  <si>
    <t>Christina Lake Tx Add</t>
  </si>
  <si>
    <t>Add one 30/40/50MVA tx (260/25kV) and five 25kV breakers</t>
  </si>
  <si>
    <t>Mercer Hill Sub</t>
  </si>
  <si>
    <t>728S</t>
  </si>
  <si>
    <t>Add fans increasing rating to 16.0MVA</t>
  </si>
  <si>
    <t>Mercer Hill Upgrade</t>
  </si>
  <si>
    <t>Replace 16MVA and 17.5MVA regulator with one 25/33/41.6MVA tx (144/25kV)</t>
  </si>
  <si>
    <t>Mercer Hill Breaker Addition</t>
  </si>
  <si>
    <t>Otauwau</t>
  </si>
  <si>
    <t>729S</t>
  </si>
  <si>
    <t>Add two 25kV breakers and cooling fans</t>
  </si>
  <si>
    <t>Simonette Transformer Upgrade Capacity Increase</t>
  </si>
  <si>
    <t>733S</t>
  </si>
  <si>
    <t>Replace 144/25kV 10/13MVA tx with 144/35kV 30/40/50MVA LTC tx</t>
  </si>
  <si>
    <t>Sturgeon Tx Upgrade</t>
  </si>
  <si>
    <t>734S</t>
  </si>
  <si>
    <t>Add one 25/33/41.6MVA tx</t>
  </si>
  <si>
    <t>Swan River Sub Upgrade</t>
  </si>
  <si>
    <t>735S</t>
  </si>
  <si>
    <t>Replace one 6/8MVA tx with one 15/20/25MVA tx</t>
  </si>
  <si>
    <t>Edith Lake Sub Upgrade</t>
  </si>
  <si>
    <t>739S</t>
  </si>
  <si>
    <t xml:space="preserve">Replace two 6/8MVA tx with one 25/33/41.6MVA tx </t>
  </si>
  <si>
    <t>Fox Creek 25KV Breaker Addition</t>
  </si>
  <si>
    <t>741S</t>
  </si>
  <si>
    <t>Fortis - Sherwood Park</t>
  </si>
  <si>
    <t>746S</t>
  </si>
  <si>
    <t>6 x 25kV</t>
  </si>
  <si>
    <t>Flyingshot Sub Upgrade</t>
  </si>
  <si>
    <t>749S</t>
  </si>
  <si>
    <t>7 x 25kV</t>
  </si>
  <si>
    <t>Ksituan River Regulator Upgrade</t>
  </si>
  <si>
    <t>754S</t>
  </si>
  <si>
    <t>Add one 25kV breaker and upgrade the voltage regulator to 25/33.3/41.6MVA</t>
  </si>
  <si>
    <t>Oyen Upgrade</t>
  </si>
  <si>
    <t>767S</t>
  </si>
  <si>
    <t>Add fans to 72/25kV tx (capacity increase from 5MVA to 6.67MVA)</t>
  </si>
  <si>
    <t>Three Hills Breaker Add</t>
  </si>
  <si>
    <t>770S</t>
  </si>
  <si>
    <t>Monitor Upgrades</t>
  </si>
  <si>
    <t>774S</t>
  </si>
  <si>
    <t>Replace 20MVA tx with 144kV 41.6MVA tx</t>
  </si>
  <si>
    <t>High Level Tx Upgrade</t>
  </si>
  <si>
    <t>786S</t>
  </si>
  <si>
    <t>Replace 7.5/10MVA with 15/20/25MVA tx (144/25kV)</t>
  </si>
  <si>
    <t>8 x 25kV</t>
  </si>
  <si>
    <t>Valleyview Tx Add</t>
  </si>
  <si>
    <t>794S</t>
  </si>
  <si>
    <t>Add one 15/20/25MVA tx (144/25kV) and one 144kV breaker</t>
  </si>
  <si>
    <t>Bridge Creek Upgrade</t>
  </si>
  <si>
    <t>798S</t>
  </si>
  <si>
    <t>Replace 15/20/25MVA tx (144/25kV) with 25/33.3/41.6MVA tx</t>
  </si>
  <si>
    <t>Friedenstal Tx Add</t>
  </si>
  <si>
    <t>800S</t>
  </si>
  <si>
    <t>Add one 25/33.3MVA tx (144/72kV) and two 144kV breakers</t>
  </si>
  <si>
    <t>Michichi Creek Breaker Add</t>
  </si>
  <si>
    <t>802S</t>
  </si>
  <si>
    <t>Weyerhaeuser Tx Add</t>
  </si>
  <si>
    <t>808S</t>
  </si>
  <si>
    <t>Add one 25/33.3/41.7MVA tx (144/38kV) and one 144kV breaker</t>
  </si>
  <si>
    <t>1 x 13.8kV</t>
  </si>
  <si>
    <t>Dome Cutbank Regulator</t>
  </si>
  <si>
    <t>810S</t>
  </si>
  <si>
    <t>Replace the 10/13MVA regulator with a bank of 3x800A voltage regulators</t>
  </si>
  <si>
    <t>Dome Cutbank Breaker Add</t>
  </si>
  <si>
    <t>Norcen-812S 144/25 kV Station Upgrade</t>
  </si>
  <si>
    <t>812S</t>
  </si>
  <si>
    <t xml:space="preserve">Add one 25kV breaker, new 25kV bus, add fans </t>
  </si>
  <si>
    <t>Norcen Substation Capacity</t>
  </si>
  <si>
    <t>Replace one 15.5 MVA tx with 25 MVA tx</t>
  </si>
  <si>
    <t>Winefred Sub Upgrade</t>
  </si>
  <si>
    <t>818S</t>
  </si>
  <si>
    <t>Add one 25/33/42MVA tx</t>
  </si>
  <si>
    <t>Hanginstone Upgrade</t>
  </si>
  <si>
    <t>Add one 25/33/42MVA tx (144/25kV) and one 144kV breaker</t>
  </si>
  <si>
    <t>Cranberry Lake</t>
  </si>
  <si>
    <t>827S</t>
  </si>
  <si>
    <t>Add one 15/20/25MVA tx (144kV/25kV) and a 144kV breaker</t>
  </si>
  <si>
    <t>Blumenort Upgrade</t>
  </si>
  <si>
    <t>832S</t>
  </si>
  <si>
    <t>Mariana Lake Add</t>
  </si>
  <si>
    <t>Add one set of 3x400A voltage regulators</t>
  </si>
  <si>
    <t>Mahihkan Breaker Add</t>
  </si>
  <si>
    <t>837S</t>
  </si>
  <si>
    <t>Mahihkan Load Increase-25 KV Breaker Addition</t>
  </si>
  <si>
    <t>ATCO Ruth Lake 848S Capacity Upgrade</t>
  </si>
  <si>
    <t>848S</t>
  </si>
  <si>
    <t>Add one 30/40/50MVA tx</t>
  </si>
  <si>
    <t>Fortis Round Hill 852S Breaker Addition</t>
  </si>
  <si>
    <t>Kinosis Breaker Add</t>
  </si>
  <si>
    <t xml:space="preserve">Kinosis Breaker Add </t>
  </si>
  <si>
    <t>Crow Lake Breaker Add</t>
  </si>
  <si>
    <t>Eureka River 861S Capacity Increase</t>
  </si>
  <si>
    <t>861S</t>
  </si>
  <si>
    <t>Add one 16.6MVA tx</t>
  </si>
  <si>
    <t>Seal Lake</t>
  </si>
  <si>
    <t>869S</t>
  </si>
  <si>
    <t>Add one 25/30/35MVA tx and one 25kV breaker</t>
  </si>
  <si>
    <t>Brintnell Upgrade</t>
  </si>
  <si>
    <t xml:space="preserve">Replace one 41.6MVA with one 30/40/50MVA tx </t>
  </si>
  <si>
    <t>Britnell 876S Upgrade</t>
  </si>
  <si>
    <t>Fortis Suffield 895S</t>
  </si>
  <si>
    <t>895S</t>
  </si>
  <si>
    <t>Fortis Suffield Breaker Add</t>
  </si>
  <si>
    <t>Edgerton Tx Upgrade</t>
  </si>
  <si>
    <t>899S</t>
  </si>
  <si>
    <t>Replace 10MVA tx with 15/20/25MVA tx (138/25kV)</t>
  </si>
  <si>
    <t>Bauer 918S Transformer Addition</t>
  </si>
  <si>
    <t>Add one 144/4.16kV 15/20/25 MVA tx</t>
  </si>
  <si>
    <t>Bohn Capacity Increase-Transformer Addition</t>
  </si>
  <si>
    <t>Add one 144/4.16kV 25 MVA tx and one 144kV circuit breaker</t>
  </si>
  <si>
    <t>Bear Trap 940S Substation Capacity Addition</t>
  </si>
  <si>
    <t>IOL</t>
  </si>
  <si>
    <t>95S</t>
  </si>
  <si>
    <t>Install 3 mid span structures to provide clearance and result in increased thermal rating</t>
  </si>
  <si>
    <t>2 x 13.8kV</t>
  </si>
  <si>
    <t>Pengrowth Lindbergh 969S Breaker Add</t>
  </si>
  <si>
    <t>St. Albert</t>
  </si>
  <si>
    <t>99S</t>
  </si>
  <si>
    <t>Add 25/33/42MVA 138/25kV tx and add one 25kV breaker</t>
  </si>
  <si>
    <t>Fortis North St. Albert 99S Breaker Add.</t>
  </si>
  <si>
    <t>Dome Substation D84 Feeder Reactor Addition</t>
  </si>
  <si>
    <t>DOME</t>
  </si>
  <si>
    <t>Add one 15kV feeder</t>
  </si>
  <si>
    <t>East Industrial</t>
  </si>
  <si>
    <t>EASTINDUST</t>
  </si>
  <si>
    <t>Add one 37.5/50/63MVA tx and two 25kV breakers</t>
  </si>
  <si>
    <t>Petrolia Breaker Add</t>
  </si>
  <si>
    <t>PETROLIA</t>
  </si>
  <si>
    <t>Add one 15kV breaker</t>
  </si>
  <si>
    <t>10 x 15kV</t>
  </si>
  <si>
    <t>Petrolia Substation Upgrade</t>
  </si>
  <si>
    <t>11 x 15kV</t>
  </si>
  <si>
    <t>Red Deer</t>
  </si>
  <si>
    <t>Red Deer Upgrade</t>
  </si>
  <si>
    <t>RD14S</t>
  </si>
  <si>
    <t>Add cooling fans increase from 40MVA to 56MVA</t>
  </si>
  <si>
    <t>Red Deer Breaker Add</t>
  </si>
  <si>
    <t>Red Deer POD RD15S 25KV Switchgear Circuit Addition</t>
  </si>
  <si>
    <t>RD15S</t>
  </si>
  <si>
    <t>Add two 25kV switchgear circuit breakers</t>
  </si>
  <si>
    <t>Rossdale Substation R19 Breaker Addition</t>
  </si>
  <si>
    <t>ROSSDALE</t>
  </si>
  <si>
    <t>No.11 Substation-25KV Breaker Addition</t>
  </si>
  <si>
    <t>SS-11</t>
  </si>
  <si>
    <t>162 Substation 138-25KV 2nd Transformer Addition</t>
  </si>
  <si>
    <t>SS-162</t>
  </si>
  <si>
    <t>Add one 138/25kV 50MVA tx, one 138kV circuit breaker and three 25kV breakers</t>
  </si>
  <si>
    <t>No 21 Sub Breaker Add</t>
  </si>
  <si>
    <t>SS-21</t>
  </si>
  <si>
    <t>Add one 13.8kV breaker (1 x 138/69kV and 2 x 138/13.8kV tx)</t>
  </si>
  <si>
    <t>No 26 Sub</t>
  </si>
  <si>
    <t>SS-26</t>
  </si>
  <si>
    <t>Replace two 18/24/30MVA  (138/13.8kV) with two 50 MVA txs and six 25kV breakers (remove 4 x 13.8kV breakers)</t>
  </si>
  <si>
    <t>No 31 Substation 13KV Breakers Addition</t>
  </si>
  <si>
    <t>SS-31</t>
  </si>
  <si>
    <t>Add two 13.8kV breakers</t>
  </si>
  <si>
    <t>SS 32 Sub Upgrade</t>
  </si>
  <si>
    <t>SS-32</t>
  </si>
  <si>
    <t>Add one (138/13.8kV) 50 MVA tx and one 138kV breaker and one 13.8kV breaker</t>
  </si>
  <si>
    <t>6 x 13.8kV</t>
  </si>
  <si>
    <t>No. 36 Capacity Increase</t>
  </si>
  <si>
    <t>SS-36</t>
  </si>
  <si>
    <t>Add one 50MVA tx (138/25kV) and one 138kV bus and 4 x 25kV breakers (tx = one 50MVA (138/69kV) two 30MVA (138/13.8kV and one 16.7MVA (13.8/25kV))</t>
  </si>
  <si>
    <t>No. 37</t>
  </si>
  <si>
    <t>SS-37</t>
  </si>
  <si>
    <t>Add two 13kV-1200A feeders for backup</t>
  </si>
  <si>
    <t>SS 47 Tx Add</t>
  </si>
  <si>
    <t>SS-47</t>
  </si>
  <si>
    <t>Add one 50MVA tx (138/25kV) and six 25kV breakers</t>
  </si>
  <si>
    <t>No. 7 Tx Add</t>
  </si>
  <si>
    <t>Add one 30MVA tx (138/25kV) and two 25kV breakers</t>
  </si>
  <si>
    <t>No. 8 Cap Increase</t>
  </si>
  <si>
    <t>SS-8</t>
  </si>
  <si>
    <t>Add one 50MVA tx (138/13.2k) and two 13.2kV breakers (existing 3 x 50MVA 138/13.8kV tx and 2 x 80MVA 138/25kV) upgrade for reliability</t>
  </si>
  <si>
    <t>4 x 25kV   6 x 13.8kV</t>
  </si>
  <si>
    <t>No. 9 Upgrade</t>
  </si>
  <si>
    <t>SS-9</t>
  </si>
  <si>
    <t>Replace two 28MVA tx with two 50MVA tx, and one 25kV breaker (existing 2 x 28MVA 138/13.8 and 1 x 30MVA 138/13.8kV)</t>
  </si>
  <si>
    <t>Contract Capacity (MW)</t>
  </si>
  <si>
    <t>Installed Capacity (MW)</t>
  </si>
  <si>
    <t>Values</t>
  </si>
  <si>
    <t>Sum of Contract Capacity (MW)</t>
  </si>
  <si>
    <t>Sum of Installed Capacity (MW)</t>
  </si>
  <si>
    <t>Pre-AESO</t>
  </si>
  <si>
    <t>Year</t>
  </si>
  <si>
    <t>Basis</t>
  </si>
  <si>
    <r>
      <t>Alberta AWE</t>
    </r>
    <r>
      <rPr>
        <b/>
        <sz val="10"/>
        <rFont val="Calibri"/>
        <family val="2"/>
      </rPr>
      <t>¹</t>
    </r>
  </si>
  <si>
    <r>
      <t>Alberta AWE</t>
    </r>
    <r>
      <rPr>
        <b/>
        <sz val="10"/>
        <rFont val="Calibri"/>
        <family val="2"/>
      </rPr>
      <t>²</t>
    </r>
  </si>
  <si>
    <r>
      <t>Alberta CPI</t>
    </r>
    <r>
      <rPr>
        <b/>
        <sz val="10"/>
        <rFont val="Calibri"/>
        <family val="2"/>
      </rPr>
      <t>³</t>
    </r>
  </si>
  <si>
    <t>Transmission Escalator</t>
  </si>
  <si>
    <t>PV Factor</t>
  </si>
  <si>
    <t>2014 Escalator</t>
  </si>
  <si>
    <t>[1]</t>
  </si>
  <si>
    <t>[2]</t>
  </si>
  <si>
    <t>[3]</t>
  </si>
  <si>
    <t>[4] = 65% X [1]or[2] + 35% X [3]</t>
  </si>
  <si>
    <t>2018 = 1</t>
  </si>
  <si>
    <t>Actual</t>
  </si>
  <si>
    <t>Actual*</t>
  </si>
  <si>
    <t>Forecast</t>
  </si>
  <si>
    <t>Average, 1986-2014</t>
  </si>
  <si>
    <t>Average, 1986-2018</t>
  </si>
  <si>
    <r>
      <rPr>
        <sz val="10"/>
        <rFont val="Calibri"/>
        <family val="2"/>
      </rPr>
      <t xml:space="preserve">¹ </t>
    </r>
    <r>
      <rPr>
        <sz val="10"/>
        <rFont val="Arial"/>
        <family val="2"/>
      </rPr>
      <t>Alberta Average Weekly Earnings (AWE) index from Statistics Canada Table 281-0028, Data Vector V1597350 *TERMINATED*</t>
    </r>
  </si>
  <si>
    <r>
      <t xml:space="preserve">² Alberta Average Weekly Earnings (AWE) index from </t>
    </r>
    <r>
      <rPr>
        <sz val="10"/>
        <rFont val="Arial"/>
        <family val="2"/>
      </rPr>
      <t>Statistics Canada, CANSIM, Table 281-0063, v79311387</t>
    </r>
  </si>
  <si>
    <t xml:space="preserve">  Forecast values from Conference Board of Canada, Provincial Outlook Long-Term Economic Forecast for Alberta: 2016, Timeseries File ID RLAWWIA</t>
  </si>
  <si>
    <r>
      <rPr>
        <sz val="10"/>
        <rFont val="Calibri"/>
        <family val="2"/>
      </rPr>
      <t>³</t>
    </r>
    <r>
      <rPr>
        <sz val="10"/>
        <rFont val="Arial"/>
        <family val="2"/>
      </rPr>
      <t xml:space="preserve"> Alberta Consumer Price Index (CPI) from Statistics Canada, CANSIM, Table 326-0020, v41692327</t>
    </r>
  </si>
  <si>
    <t xml:space="preserve">   Forecast values from Conference Board of Canada, Provincial Outlook Summer 2016: for Alberta, Timeseries File ID RPCPIA</t>
  </si>
  <si>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Composite is created using a weighted average of CPI (35%) as a proxy for material price increases, and AWE (65%) as a proxy for labour price increases</t>
    </r>
  </si>
  <si>
    <t>* Aug-Dec 2016 value were trended using year to date actuals and Sep-Dec 2016 forecast</t>
  </si>
  <si>
    <t>Data for Greenfield Projects With 1999-2017 In-Service Dates ("AESO-Era")</t>
  </si>
  <si>
    <t>Data for Greenfield Projects With 1987-1999 In-Service Dates ("Pre-AESO")</t>
  </si>
  <si>
    <t>Data for Upgrade Projects With 2000-2017 In-Service Dates</t>
  </si>
  <si>
    <t>Contract Capacity vs Installed Capacity</t>
  </si>
  <si>
    <t>Transmission Cost Escalator, 1986-2018</t>
  </si>
  <si>
    <t>Point of Delivery Cost Function for Greenfield and Upgrade Projects</t>
  </si>
  <si>
    <t>Calculation of Power Curve for Greenfield Projects</t>
  </si>
  <si>
    <t>First-Interation Calculation of Power Curve for Greenfield and Upgrade Projects</t>
  </si>
  <si>
    <t>Second-Interation Calculation of Power Curve for Greenfield and Upgrade Projects</t>
  </si>
  <si>
    <t>Third-Interation Calculation of Power Curve for Greenfield and Upgrade Projects</t>
  </si>
  <si>
    <t>Fourth-Interation Calculation of Power Curve for Greenfield and Upgrade Projects</t>
  </si>
  <si>
    <t>Fifth-Interation Calculation of Power Curve for Greenfield and Upgrade Projects</t>
  </si>
  <si>
    <t>Sixth-Interation Calculation of Power Curve for Greenfield and Upgrade Projects</t>
  </si>
  <si>
    <t>Seventh-Interation Calculation of Power Curve for Greenfield and Upgrade Projects</t>
  </si>
  <si>
    <t>Eight-Interation Calculation of Power Curve for Greenfield and Upgrade Projects</t>
  </si>
  <si>
    <t>Ninth-Interation Calculation of Power Curve for Greenfield and Upgrade Projects</t>
  </si>
  <si>
    <t>Tenth-Interation Calculation of Power Curve for Greenfield and Upgrade Projects</t>
  </si>
  <si>
    <t>Eleventh-Interation Calculation of Power Curve for Greenfield and Upgrade Projects</t>
  </si>
  <si>
    <t>Twelvth-Interation Calculation of Power Curve for Greenfield and Upgrade Projects</t>
  </si>
  <si>
    <t>Thirteenth-Interation Calculation of Power Curve for Greenfield and Upgrade Projects</t>
  </si>
  <si>
    <t>Fourtheenth-Interation Calculation of Power Curve for Greenfield and Upgrade Projects</t>
  </si>
  <si>
    <t>Fifteenth-Interation Calculation of Power Curve for Greenfield and Upgrade Projects</t>
  </si>
  <si>
    <t>x</t>
  </si>
  <si>
    <t>Average of Installed / Contract</t>
  </si>
  <si>
    <t>Installed / Contract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</si>
</sst>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4" formatCode="_(&quot;$&quot;* #,##0.00_);_(&quot;$&quot;* \(#,##0.00\);_(&quot;$&quot;* &quot;-&quot;??_);_(@_)"/>
    <numFmt numFmtId="164" formatCode="0.0"/>
    <numFmt numFmtId="165" formatCode="#,##0.000"/>
    <numFmt numFmtId="166" formatCode="&quot;$&quot;#,##0.0"/>
    <numFmt numFmtId="167" formatCode="???0"/>
    <numFmt numFmtId="168" formatCode="#,##0.0"/>
    <numFmt numFmtId="169" formatCode="???0;\-???0;&quot;  &quot;@"/>
    <numFmt numFmtId="170" formatCode="#,##0.00000"/>
    <numFmt numFmtId="171" formatCode="#,##0.0000"/>
    <numFmt numFmtId="172" formatCode="0.000%"/>
    <numFmt numFmtId="173" formatCode="[$-409]mmmm\ d\,\ yyyy;@"/>
    <numFmt numFmtId="174" formatCode="???0.0"/>
    <numFmt numFmtId="175" formatCode="_(&quot;$&quot;* #,##0.0_);_(&quot;$&quot;* \(#,##0.0\);_(&quot;$&quot;* &quot;-&quot;??_);_(@_)"/>
    <numFmt numFmtId="176" formatCode="#,##0.0;\-#,##0.0;&quot;-&quot;_0"/>
    <numFmt numFmtId="177" formatCode="#,##0;\-#,##0;&quot;-&quot;"/>
    <numFmt numFmtId="178" formatCode="yyyy/mm"/>
    <numFmt numFmtId="179" formatCode="yyyy"/>
    <numFmt numFmtId="180" formatCode="#,##0.0;\-#,##0.0;&quot;-&quot;"/>
    <numFmt numFmtId="181" formatCode="#,##0.0;\-#;##0.0;&quot;-&quot;_0"/>
    <numFmt numFmtId="182" formatCode="_(&quot;$&quot;* #,##0_);_(&quot;$&quot;* \(#,##0\);_(&quot;$&quot;* &quot;-&quot;??_);_(@_)"/>
    <numFmt numFmtId="183" formatCode="0.0%"/>
    <numFmt numFmtId="184" formatCode="0.000"/>
    <numFmt numFmtId="185" formatCode="0.0000"/>
  </numFmts>
  <fonts count="29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Narrow"/>
      <family val="2"/>
    </font>
    <font>
      <i/>
      <sz val="10"/>
      <name val="Arial Narrow"/>
      <family val="2"/>
    </font>
    <font>
      <sz val="10"/>
      <name val="Arial"/>
      <family val="2"/>
    </font>
    <font>
      <b/>
      <i/>
      <sz val="10"/>
      <name val="Arial"/>
      <family val="2"/>
    </font>
    <font>
      <b/>
      <sz val="10"/>
      <name val="Calibri"/>
      <family val="2"/>
    </font>
    <font>
      <sz val="10"/>
      <color rgb="FFFF0000"/>
      <name val="Arial"/>
      <family val="2"/>
    </font>
    <font>
      <sz val="10"/>
      <name val="Calibri"/>
      <family val="2"/>
    </font>
    <font>
      <vertAlign val="superscript"/>
      <sz val="10"/>
      <name val="Arial"/>
      <family val="2"/>
    </font>
    <font>
      <sz val="10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499984740745262"/>
        <bgColor indexed="64"/>
      </patternFill>
    </fill>
  </fills>
  <borders count="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6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7" borderId="1" applyNumberFormat="0" applyAlignment="0" applyProtection="0"/>
    <xf numFmtId="0" fontId="14" fillId="0" borderId="6" applyNumberFormat="0" applyFill="0" applyAlignment="0" applyProtection="0"/>
    <xf numFmtId="0" fontId="15" fillId="22" borderId="0" applyNumberFormat="0" applyBorder="0" applyAlignment="0" applyProtection="0"/>
    <xf numFmtId="0" fontId="1" fillId="23" borderId="7" applyNumberFormat="0" applyFont="0" applyAlignment="0" applyProtection="0"/>
    <xf numFmtId="0" fontId="16" fillId="20" borderId="8" applyNumberForma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</cellStyleXfs>
  <cellXfs count="167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0" fontId="20" fillId="0" borderId="0" xfId="0" applyFont="1" applyAlignment="1">
      <alignment horizontal="right"/>
    </xf>
    <xf numFmtId="167" fontId="20" fillId="0" borderId="0" xfId="0" applyNumberFormat="1" applyFont="1" applyAlignment="1">
      <alignment horizontal="center"/>
    </xf>
    <xf numFmtId="0" fontId="20" fillId="0" borderId="0" xfId="0" applyFont="1"/>
    <xf numFmtId="0" fontId="0" fillId="0" borderId="0" xfId="0" applyAlignment="1">
      <alignment horizontal="center" wrapText="1"/>
    </xf>
    <xf numFmtId="164" fontId="0" fillId="0" borderId="0" xfId="0" applyNumberFormat="1"/>
    <xf numFmtId="166" fontId="0" fillId="0" borderId="0" xfId="0" applyNumberFormat="1"/>
    <xf numFmtId="164" fontId="20" fillId="0" borderId="0" xfId="0" applyNumberFormat="1" applyFont="1"/>
    <xf numFmtId="167" fontId="20" fillId="0" borderId="10" xfId="0" applyNumberFormat="1" applyFont="1" applyBorder="1" applyAlignment="1">
      <alignment horizontal="center" wrapText="1"/>
    </xf>
    <xf numFmtId="168" fontId="20" fillId="0" borderId="10" xfId="0" applyNumberFormat="1" applyFont="1" applyBorder="1" applyAlignment="1">
      <alignment horizontal="center" wrapText="1"/>
    </xf>
    <xf numFmtId="164" fontId="20" fillId="0" borderId="10" xfId="0" applyNumberFormat="1" applyFont="1" applyBorder="1" applyAlignment="1">
      <alignment horizontal="center" wrapText="1"/>
    </xf>
    <xf numFmtId="166" fontId="20" fillId="0" borderId="10" xfId="0" applyNumberFormat="1" applyFont="1" applyBorder="1" applyAlignment="1">
      <alignment horizontal="center" wrapText="1"/>
    </xf>
    <xf numFmtId="1" fontId="20" fillId="0" borderId="10" xfId="0" applyNumberFormat="1" applyFont="1" applyBorder="1" applyAlignment="1">
      <alignment horizontal="center" wrapText="1"/>
    </xf>
    <xf numFmtId="0" fontId="20" fillId="0" borderId="10" xfId="0" applyFont="1" applyBorder="1" applyAlignment="1">
      <alignment horizontal="centerContinuous"/>
    </xf>
    <xf numFmtId="169" fontId="20" fillId="24" borderId="0" xfId="0" applyNumberFormat="1" applyFont="1" applyFill="1" applyAlignment="1">
      <alignment horizontal="center"/>
    </xf>
    <xf numFmtId="168" fontId="20" fillId="24" borderId="0" xfId="0" applyNumberFormat="1" applyFont="1" applyFill="1" applyAlignment="1">
      <alignment horizontal="center"/>
    </xf>
    <xf numFmtId="164" fontId="20" fillId="24" borderId="0" xfId="0" applyNumberFormat="1" applyFont="1" applyFill="1"/>
    <xf numFmtId="166" fontId="20" fillId="24" borderId="0" xfId="0" applyNumberFormat="1" applyFont="1" applyFill="1"/>
    <xf numFmtId="1" fontId="20" fillId="24" borderId="0" xfId="0" applyNumberFormat="1" applyFont="1" applyFill="1"/>
    <xf numFmtId="165" fontId="20" fillId="0" borderId="0" xfId="0" applyNumberFormat="1" applyFont="1"/>
    <xf numFmtId="170" fontId="20" fillId="0" borderId="0" xfId="0" applyNumberFormat="1" applyFont="1"/>
    <xf numFmtId="171" fontId="20" fillId="0" borderId="0" xfId="0" applyNumberFormat="1" applyFont="1"/>
    <xf numFmtId="3" fontId="20" fillId="0" borderId="0" xfId="0" applyNumberFormat="1" applyFont="1"/>
    <xf numFmtId="167" fontId="20" fillId="24" borderId="0" xfId="0" applyNumberFormat="1" applyFont="1" applyFill="1" applyAlignment="1">
      <alignment horizontal="center"/>
    </xf>
    <xf numFmtId="167" fontId="20" fillId="0" borderId="0" xfId="0" applyNumberFormat="1" applyFont="1" applyAlignment="1">
      <alignment horizontal="left"/>
    </xf>
    <xf numFmtId="166" fontId="20" fillId="0" borderId="0" xfId="0" applyNumberFormat="1" applyFont="1"/>
    <xf numFmtId="1" fontId="20" fillId="0" borderId="0" xfId="0" applyNumberFormat="1" applyFont="1"/>
    <xf numFmtId="0" fontId="20" fillId="0" borderId="0" xfId="0" applyFont="1" applyAlignment="1">
      <alignment horizontal="center"/>
    </xf>
    <xf numFmtId="1" fontId="20" fillId="24" borderId="0" xfId="0" applyNumberFormat="1" applyFont="1" applyFill="1" applyAlignment="1">
      <alignment horizontal="right"/>
    </xf>
    <xf numFmtId="172" fontId="20" fillId="0" borderId="0" xfId="0" applyNumberFormat="1" applyFont="1"/>
    <xf numFmtId="0" fontId="21" fillId="0" borderId="0" xfId="0" applyFont="1"/>
    <xf numFmtId="167" fontId="20" fillId="25" borderId="0" xfId="0" applyNumberFormat="1" applyFont="1" applyFill="1" applyAlignment="1">
      <alignment horizontal="center"/>
    </xf>
    <xf numFmtId="0" fontId="20" fillId="25" borderId="0" xfId="0" applyFont="1" applyFill="1" applyAlignment="1">
      <alignment horizontal="center"/>
    </xf>
    <xf numFmtId="164" fontId="20" fillId="25" borderId="0" xfId="0" applyNumberFormat="1" applyFont="1" applyFill="1"/>
    <xf numFmtId="166" fontId="20" fillId="25" borderId="0" xfId="0" applyNumberFormat="1" applyFont="1" applyFill="1"/>
    <xf numFmtId="1" fontId="20" fillId="25" borderId="0" xfId="0" applyNumberFormat="1" applyFont="1" applyFill="1" applyAlignment="1">
      <alignment horizontal="right"/>
    </xf>
    <xf numFmtId="1" fontId="20" fillId="25" borderId="0" xfId="0" applyNumberFormat="1" applyFont="1" applyFill="1"/>
    <xf numFmtId="1" fontId="20" fillId="0" borderId="0" xfId="0" applyNumberFormat="1" applyFont="1" applyAlignment="1">
      <alignment horizontal="right"/>
    </xf>
    <xf numFmtId="0" fontId="0" fillId="0" borderId="0" xfId="0" applyAlignment="1" applyProtection="1"/>
    <xf numFmtId="0" fontId="20" fillId="0" borderId="10" xfId="0" applyFont="1" applyBorder="1" applyAlignment="1">
      <alignment horizontal="centerContinuous" wrapText="1"/>
    </xf>
    <xf numFmtId="15" fontId="2" fillId="0" borderId="0" xfId="0" applyNumberFormat="1" applyFont="1" applyAlignment="1">
      <alignment horizontal="left"/>
    </xf>
    <xf numFmtId="173" fontId="2" fillId="0" borderId="0" xfId="0" applyNumberFormat="1" applyFont="1" applyAlignment="1"/>
    <xf numFmtId="173" fontId="0" fillId="0" borderId="0" xfId="0" applyNumberFormat="1" applyAlignment="1"/>
    <xf numFmtId="174" fontId="20" fillId="0" borderId="0" xfId="0" applyNumberFormat="1" applyFont="1" applyAlignment="1">
      <alignment horizontal="center"/>
    </xf>
    <xf numFmtId="175" fontId="20" fillId="0" borderId="0" xfId="42" applyNumberFormat="1" applyFont="1" applyAlignment="1">
      <alignment horizontal="center"/>
    </xf>
    <xf numFmtId="0" fontId="2" fillId="0" borderId="0" xfId="0" applyFont="1" applyFill="1"/>
    <xf numFmtId="1" fontId="2" fillId="0" borderId="0" xfId="0" applyNumberFormat="1" applyFont="1" applyFill="1"/>
    <xf numFmtId="173" fontId="2" fillId="0" borderId="0" xfId="0" applyNumberFormat="1" applyFont="1" applyFill="1" applyAlignment="1"/>
    <xf numFmtId="173" fontId="0" fillId="0" borderId="0" xfId="0" applyNumberFormat="1" applyFill="1" applyAlignment="1"/>
    <xf numFmtId="173" fontId="2" fillId="0" borderId="0" xfId="0" applyNumberFormat="1" applyFont="1" applyFill="1" applyAlignment="1">
      <alignment horizontal="left"/>
    </xf>
    <xf numFmtId="173" fontId="0" fillId="0" borderId="0" xfId="0" applyNumberFormat="1" applyFill="1" applyAlignment="1">
      <alignment horizontal="left"/>
    </xf>
    <xf numFmtId="0" fontId="23" fillId="0" borderId="10" xfId="0" applyFont="1" applyFill="1" applyBorder="1" applyAlignment="1">
      <alignment horizontal="center" wrapText="1"/>
    </xf>
    <xf numFmtId="3" fontId="23" fillId="0" borderId="10" xfId="0" applyNumberFormat="1" applyFont="1" applyFill="1" applyBorder="1" applyAlignment="1">
      <alignment horizontal="center" wrapText="1"/>
    </xf>
    <xf numFmtId="1" fontId="23" fillId="0" borderId="10" xfId="0" applyNumberFormat="1" applyFont="1" applyFill="1" applyBorder="1" applyAlignment="1">
      <alignment horizontal="center" wrapText="1"/>
    </xf>
    <xf numFmtId="0" fontId="23" fillId="0" borderId="0" xfId="0" applyFont="1" applyFill="1" applyAlignment="1">
      <alignment horizontal="center" wrapText="1"/>
    </xf>
    <xf numFmtId="0" fontId="0" fillId="0" borderId="0" xfId="0" applyFill="1" applyAlignment="1">
      <alignment horizontal="left"/>
    </xf>
    <xf numFmtId="0" fontId="0" fillId="0" borderId="0" xfId="0" applyFill="1"/>
    <xf numFmtId="176" fontId="0" fillId="0" borderId="0" xfId="0" applyNumberFormat="1" applyFill="1"/>
    <xf numFmtId="177" fontId="0" fillId="0" borderId="0" xfId="0" applyNumberFormat="1" applyFill="1"/>
    <xf numFmtId="0" fontId="0" fillId="0" borderId="0" xfId="0" applyFill="1" applyAlignment="1">
      <alignment horizontal="center"/>
    </xf>
    <xf numFmtId="168" fontId="0" fillId="0" borderId="0" xfId="0" applyNumberFormat="1" applyFill="1"/>
    <xf numFmtId="178" fontId="0" fillId="0" borderId="0" xfId="0" applyNumberFormat="1" applyFill="1" applyAlignment="1">
      <alignment horizontal="center"/>
    </xf>
    <xf numFmtId="179" fontId="0" fillId="0" borderId="0" xfId="0" applyNumberFormat="1" applyFill="1" applyAlignment="1">
      <alignment horizontal="center"/>
    </xf>
    <xf numFmtId="1" fontId="0" fillId="0" borderId="0" xfId="0" applyNumberFormat="1" applyFill="1" applyAlignment="1">
      <alignment horizontal="center"/>
    </xf>
    <xf numFmtId="165" fontId="0" fillId="0" borderId="0" xfId="0" applyNumberFormat="1" applyFill="1"/>
    <xf numFmtId="0" fontId="1" fillId="0" borderId="0" xfId="0" applyFont="1" applyFill="1" applyAlignment="1">
      <alignment horizontal="left"/>
    </xf>
    <xf numFmtId="0" fontId="0" fillId="0" borderId="0" xfId="0" applyFont="1" applyFill="1"/>
    <xf numFmtId="0" fontId="1" fillId="0" borderId="0" xfId="0" applyFont="1" applyFill="1"/>
    <xf numFmtId="0" fontId="0" fillId="25" borderId="0" xfId="0" applyFill="1" applyAlignment="1">
      <alignment horizontal="left"/>
    </xf>
    <xf numFmtId="0" fontId="1" fillId="25" borderId="0" xfId="0" applyFont="1" applyFill="1" applyAlignment="1">
      <alignment horizontal="left"/>
    </xf>
    <xf numFmtId="0" fontId="0" fillId="0" borderId="0" xfId="0" quotePrefix="1" applyFill="1"/>
    <xf numFmtId="0" fontId="1" fillId="0" borderId="0" xfId="0" applyFont="1" applyFill="1" applyAlignment="1">
      <alignment horizontal="center"/>
    </xf>
    <xf numFmtId="0" fontId="0" fillId="26" borderId="0" xfId="0" applyFill="1" applyAlignment="1">
      <alignment horizontal="left"/>
    </xf>
    <xf numFmtId="0" fontId="0" fillId="0" borderId="11" xfId="0" applyFont="1" applyFill="1" applyBorder="1"/>
    <xf numFmtId="0" fontId="0" fillId="0" borderId="11" xfId="0" applyFill="1" applyBorder="1"/>
    <xf numFmtId="177" fontId="0" fillId="0" borderId="11" xfId="0" applyNumberFormat="1" applyFill="1" applyBorder="1"/>
    <xf numFmtId="180" fontId="0" fillId="0" borderId="11" xfId="0" applyNumberFormat="1" applyFill="1" applyBorder="1"/>
    <xf numFmtId="1" fontId="0" fillId="0" borderId="0" xfId="0" applyNumberFormat="1" applyFill="1"/>
    <xf numFmtId="180" fontId="0" fillId="0" borderId="0" xfId="0" applyNumberFormat="1" applyFill="1"/>
    <xf numFmtId="0" fontId="23" fillId="0" borderId="10" xfId="0" applyFont="1" applyBorder="1" applyAlignment="1">
      <alignment horizontal="center" wrapText="1"/>
    </xf>
    <xf numFmtId="0" fontId="23" fillId="0" borderId="10" xfId="0" applyFont="1" applyBorder="1" applyAlignment="1">
      <alignment horizontal="center"/>
    </xf>
    <xf numFmtId="0" fontId="23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3" fontId="0" fillId="0" borderId="0" xfId="0" applyNumberFormat="1"/>
    <xf numFmtId="168" fontId="0" fillId="0" borderId="0" xfId="0" applyNumberFormat="1"/>
    <xf numFmtId="165" fontId="0" fillId="0" borderId="0" xfId="0" applyNumberFormat="1"/>
    <xf numFmtId="177" fontId="0" fillId="0" borderId="0" xfId="0" applyNumberFormat="1"/>
    <xf numFmtId="0" fontId="0" fillId="0" borderId="0" xfId="0" quotePrefix="1"/>
    <xf numFmtId="0" fontId="1" fillId="0" borderId="0" xfId="0" applyFont="1"/>
    <xf numFmtId="0" fontId="0" fillId="0" borderId="11" xfId="0" applyFont="1" applyBorder="1"/>
    <xf numFmtId="0" fontId="0" fillId="0" borderId="11" xfId="0" applyBorder="1"/>
    <xf numFmtId="3" fontId="0" fillId="0" borderId="11" xfId="0" applyNumberFormat="1" applyBorder="1"/>
    <xf numFmtId="168" fontId="0" fillId="0" borderId="11" xfId="0" applyNumberFormat="1" applyBorder="1"/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left"/>
    </xf>
    <xf numFmtId="177" fontId="2" fillId="0" borderId="0" xfId="0" applyNumberFormat="1" applyFont="1" applyFill="1"/>
    <xf numFmtId="0" fontId="23" fillId="25" borderId="10" xfId="0" applyFont="1" applyFill="1" applyBorder="1" applyAlignment="1">
      <alignment horizontal="center" wrapText="1"/>
    </xf>
    <xf numFmtId="0" fontId="1" fillId="0" borderId="0" xfId="0" applyFont="1" applyFill="1" applyBorder="1"/>
    <xf numFmtId="0" fontId="0" fillId="0" borderId="0" xfId="0" applyFill="1" applyBorder="1"/>
    <xf numFmtId="0" fontId="1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177" fontId="0" fillId="0" borderId="0" xfId="0" applyNumberFormat="1" applyFill="1" applyBorder="1"/>
    <xf numFmtId="177" fontId="0" fillId="25" borderId="0" xfId="0" applyNumberFormat="1" applyFill="1" applyBorder="1"/>
    <xf numFmtId="181" fontId="0" fillId="0" borderId="0" xfId="0" applyNumberFormat="1" applyFill="1" applyBorder="1"/>
    <xf numFmtId="181" fontId="0" fillId="25" borderId="0" xfId="0" applyNumberFormat="1" applyFill="1" applyBorder="1"/>
    <xf numFmtId="0" fontId="0" fillId="25" borderId="0" xfId="0" applyFill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164" fontId="0" fillId="0" borderId="0" xfId="0" applyNumberFormat="1" applyFill="1" applyBorder="1" applyAlignment="1">
      <alignment horizontal="right"/>
    </xf>
    <xf numFmtId="164" fontId="0" fillId="25" borderId="0" xfId="0" applyNumberFormat="1" applyFill="1" applyBorder="1" applyAlignment="1">
      <alignment horizontal="right"/>
    </xf>
    <xf numFmtId="165" fontId="0" fillId="25" borderId="0" xfId="0" applyNumberFormat="1" applyFill="1" applyBorder="1"/>
    <xf numFmtId="164" fontId="0" fillId="0" borderId="0" xfId="0" applyNumberFormat="1" applyFill="1" applyAlignment="1">
      <alignment horizontal="right"/>
    </xf>
    <xf numFmtId="164" fontId="0" fillId="25" borderId="0" xfId="0" applyNumberFormat="1" applyFill="1" applyAlignment="1">
      <alignment horizontal="right"/>
    </xf>
    <xf numFmtId="165" fontId="0" fillId="25" borderId="0" xfId="0" applyNumberFormat="1" applyFill="1"/>
    <xf numFmtId="177" fontId="0" fillId="25" borderId="0" xfId="0" applyNumberFormat="1" applyFill="1"/>
    <xf numFmtId="181" fontId="0" fillId="0" borderId="0" xfId="0" applyNumberFormat="1" applyFill="1"/>
    <xf numFmtId="181" fontId="0" fillId="25" borderId="0" xfId="0" applyNumberFormat="1" applyFill="1"/>
    <xf numFmtId="0" fontId="0" fillId="25" borderId="0" xfId="0" applyFill="1" applyAlignment="1">
      <alignment horizontal="center"/>
    </xf>
    <xf numFmtId="0" fontId="0" fillId="0" borderId="0" xfId="0" applyFont="1" applyFill="1" applyAlignment="1">
      <alignment horizontal="center"/>
    </xf>
    <xf numFmtId="0" fontId="1" fillId="0" borderId="0" xfId="0" applyFont="1" applyFill="1" applyAlignment="1">
      <alignment horizontal="left" wrapText="1"/>
    </xf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 vertical="center" wrapText="1"/>
    </xf>
    <xf numFmtId="164" fontId="1" fillId="0" borderId="0" xfId="0" applyNumberFormat="1" applyFont="1" applyFill="1" applyAlignment="1">
      <alignment horizontal="right"/>
    </xf>
    <xf numFmtId="1" fontId="1" fillId="0" borderId="0" xfId="0" applyNumberFormat="1" applyFont="1" applyFill="1" applyAlignment="1">
      <alignment horizontal="center"/>
    </xf>
    <xf numFmtId="2" fontId="1" fillId="0" borderId="0" xfId="0" applyNumberFormat="1" applyFont="1" applyFill="1" applyAlignment="1">
      <alignment horizontal="center"/>
    </xf>
    <xf numFmtId="177" fontId="0" fillId="25" borderId="11" xfId="0" applyNumberFormat="1" applyFill="1" applyBorder="1"/>
    <xf numFmtId="181" fontId="0" fillId="25" borderId="11" xfId="0" applyNumberFormat="1" applyFill="1" applyBorder="1"/>
    <xf numFmtId="182" fontId="0" fillId="0" borderId="0" xfId="43" applyNumberFormat="1" applyFont="1" applyFill="1"/>
    <xf numFmtId="0" fontId="0" fillId="0" borderId="0" xfId="0" applyAlignment="1">
      <alignment horizontal="left"/>
    </xf>
    <xf numFmtId="0" fontId="0" fillId="24" borderId="0" xfId="0" applyFill="1" applyAlignment="1">
      <alignment horizontal="left"/>
    </xf>
    <xf numFmtId="0" fontId="0" fillId="24" borderId="0" xfId="0" applyFill="1"/>
    <xf numFmtId="168" fontId="0" fillId="24" borderId="0" xfId="0" applyNumberFormat="1" applyFill="1"/>
    <xf numFmtId="177" fontId="0" fillId="24" borderId="0" xfId="0" applyNumberFormat="1" applyFill="1"/>
    <xf numFmtId="0" fontId="0" fillId="0" borderId="0" xfId="0" applyNumberFormat="1"/>
    <xf numFmtId="10" fontId="0" fillId="0" borderId="0" xfId="0" applyNumberFormat="1"/>
    <xf numFmtId="0" fontId="0" fillId="28" borderId="0" xfId="0" applyFill="1" applyAlignment="1">
      <alignment horizontal="left"/>
    </xf>
    <xf numFmtId="0" fontId="0" fillId="28" borderId="0" xfId="0" applyFill="1"/>
    <xf numFmtId="168" fontId="0" fillId="28" borderId="0" xfId="0" applyNumberFormat="1" applyFill="1"/>
    <xf numFmtId="177" fontId="0" fillId="28" borderId="0" xfId="0" applyNumberFormat="1" applyFill="1"/>
    <xf numFmtId="0" fontId="0" fillId="29" borderId="0" xfId="0" applyFill="1" applyAlignment="1">
      <alignment horizontal="left"/>
    </xf>
    <xf numFmtId="0" fontId="0" fillId="29" borderId="0" xfId="0" applyFill="1"/>
    <xf numFmtId="177" fontId="0" fillId="29" borderId="0" xfId="0" applyNumberFormat="1" applyFill="1"/>
    <xf numFmtId="0" fontId="23" fillId="0" borderId="0" xfId="0" applyFont="1" applyBorder="1" applyAlignment="1">
      <alignment horizontal="center" wrapText="1"/>
    </xf>
    <xf numFmtId="0" fontId="23" fillId="0" borderId="0" xfId="0" applyFont="1" applyFill="1" applyBorder="1" applyAlignment="1">
      <alignment horizontal="center" wrapText="1"/>
    </xf>
    <xf numFmtId="0" fontId="0" fillId="0" borderId="0" xfId="0" applyBorder="1"/>
    <xf numFmtId="10" fontId="0" fillId="0" borderId="0" xfId="44" applyNumberFormat="1" applyFont="1"/>
    <xf numFmtId="10" fontId="0" fillId="30" borderId="0" xfId="44" applyNumberFormat="1" applyFont="1" applyFill="1"/>
    <xf numFmtId="184" fontId="0" fillId="0" borderId="0" xfId="0" applyNumberFormat="1"/>
    <xf numFmtId="10" fontId="1" fillId="0" borderId="0" xfId="44" applyNumberFormat="1" applyFont="1"/>
    <xf numFmtId="10" fontId="25" fillId="30" borderId="0" xfId="44" applyNumberFormat="1" applyFont="1" applyFill="1"/>
    <xf numFmtId="184" fontId="1" fillId="0" borderId="0" xfId="0" applyNumberFormat="1" applyFont="1"/>
    <xf numFmtId="0" fontId="1" fillId="0" borderId="0" xfId="0" applyFont="1" applyBorder="1" applyAlignment="1">
      <alignment horizontal="left" vertical="center"/>
    </xf>
    <xf numFmtId="184" fontId="1" fillId="27" borderId="0" xfId="0" applyNumberFormat="1" applyFont="1" applyFill="1"/>
    <xf numFmtId="0" fontId="26" fillId="0" borderId="0" xfId="0" applyFont="1"/>
    <xf numFmtId="0" fontId="1" fillId="0" borderId="0" xfId="0" applyFont="1" applyAlignment="1">
      <alignment horizontal="left" vertical="center"/>
    </xf>
    <xf numFmtId="0" fontId="0" fillId="0" borderId="0" xfId="0" pivotButton="1"/>
    <xf numFmtId="168" fontId="0" fillId="27" borderId="0" xfId="0" applyNumberFormat="1" applyFill="1"/>
    <xf numFmtId="10" fontId="0" fillId="0" borderId="0" xfId="45" applyNumberFormat="1" applyFont="1"/>
    <xf numFmtId="0" fontId="0" fillId="0" borderId="0" xfId="0" applyFill="1" applyBorder="1" applyAlignment="1">
      <alignment horizontal="left"/>
    </xf>
    <xf numFmtId="185" fontId="0" fillId="24" borderId="0" xfId="44" applyNumberFormat="1" applyFont="1" applyFill="1"/>
    <xf numFmtId="185" fontId="0" fillId="28" borderId="0" xfId="44" applyNumberFormat="1" applyFont="1" applyFill="1"/>
    <xf numFmtId="185" fontId="0" fillId="29" borderId="0" xfId="44" applyNumberFormat="1" applyFont="1" applyFill="1"/>
    <xf numFmtId="185" fontId="0" fillId="0" borderId="0" xfId="0" applyNumberFormat="1"/>
    <xf numFmtId="164" fontId="0" fillId="0" borderId="0" xfId="0" applyNumberFormat="1" applyFill="1"/>
    <xf numFmtId="0" fontId="0" fillId="27" borderId="0" xfId="0" applyFill="1" applyAlignment="1">
      <alignment horizontal="center"/>
    </xf>
    <xf numFmtId="0" fontId="23" fillId="0" borderId="0" xfId="0" applyFont="1" applyFill="1" applyAlignment="1">
      <alignment horizontal="center"/>
    </xf>
  </cellXfs>
  <cellStyles count="46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urrency" xfId="42" builtinId="4"/>
    <cellStyle name="Currency 2" xfId="43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Percent" xfId="45" builtinId="5"/>
    <cellStyle name="Percent 2" xfId="44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'Cost Function'!$B$38</c:f>
              <c:strCache>
                <c:ptCount val="1"/>
                <c:pt idx="0">
                  <c:v>Greenfield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accent3">
                  <a:lumMod val="50000"/>
                </a:schemeClr>
              </a:solidFill>
              <a:ln w="12700">
                <a:solidFill>
                  <a:schemeClr val="accent3">
                    <a:lumMod val="50000"/>
                  </a:schemeClr>
                </a:solidFill>
              </a:ln>
            </c:spPr>
          </c:marker>
          <c:xVal>
            <c:numRef>
              <c:f>'Cost Function'!$A$39:$A$323</c:f>
              <c:numCache>
                <c:formatCode>0.0</c:formatCode>
                <c:ptCount val="285"/>
                <c:pt idx="0">
                  <c:v>14</c:v>
                </c:pt>
                <c:pt idx="1">
                  <c:v>8.5</c:v>
                </c:pt>
                <c:pt idx="2">
                  <c:v>30</c:v>
                </c:pt>
                <c:pt idx="3">
                  <c:v>13</c:v>
                </c:pt>
                <c:pt idx="4">
                  <c:v>24.3</c:v>
                </c:pt>
                <c:pt idx="5">
                  <c:v>18</c:v>
                </c:pt>
                <c:pt idx="6">
                  <c:v>6</c:v>
                </c:pt>
                <c:pt idx="7">
                  <c:v>10</c:v>
                </c:pt>
                <c:pt idx="8">
                  <c:v>20</c:v>
                </c:pt>
                <c:pt idx="9">
                  <c:v>17.2</c:v>
                </c:pt>
                <c:pt idx="10">
                  <c:v>20</c:v>
                </c:pt>
                <c:pt idx="11">
                  <c:v>9</c:v>
                </c:pt>
                <c:pt idx="12">
                  <c:v>8</c:v>
                </c:pt>
                <c:pt idx="13">
                  <c:v>13.6</c:v>
                </c:pt>
                <c:pt idx="14">
                  <c:v>10.548</c:v>
                </c:pt>
                <c:pt idx="15">
                  <c:v>27</c:v>
                </c:pt>
                <c:pt idx="16">
                  <c:v>28</c:v>
                </c:pt>
                <c:pt idx="17">
                  <c:v>24</c:v>
                </c:pt>
                <c:pt idx="18">
                  <c:v>43</c:v>
                </c:pt>
                <c:pt idx="19">
                  <c:v>7.5</c:v>
                </c:pt>
                <c:pt idx="20">
                  <c:v>17.8</c:v>
                </c:pt>
                <c:pt idx="21">
                  <c:v>20.6</c:v>
                </c:pt>
                <c:pt idx="22">
                  <c:v>19.600000000000001</c:v>
                </c:pt>
                <c:pt idx="23">
                  <c:v>22</c:v>
                </c:pt>
                <c:pt idx="24">
                  <c:v>18.8</c:v>
                </c:pt>
                <c:pt idx="25">
                  <c:v>15.6</c:v>
                </c:pt>
                <c:pt idx="26">
                  <c:v>19.8</c:v>
                </c:pt>
                <c:pt idx="27">
                  <c:v>28.4</c:v>
                </c:pt>
                <c:pt idx="28">
                  <c:v>19</c:v>
                </c:pt>
                <c:pt idx="29">
                  <c:v>12</c:v>
                </c:pt>
                <c:pt idx="30">
                  <c:v>25</c:v>
                </c:pt>
                <c:pt idx="31">
                  <c:v>15</c:v>
                </c:pt>
                <c:pt idx="32">
                  <c:v>23</c:v>
                </c:pt>
                <c:pt idx="33">
                  <c:v>9.8000000000000007</c:v>
                </c:pt>
                <c:pt idx="34">
                  <c:v>30</c:v>
                </c:pt>
                <c:pt idx="35">
                  <c:v>115</c:v>
                </c:pt>
                <c:pt idx="36">
                  <c:v>67</c:v>
                </c:pt>
                <c:pt idx="37">
                  <c:v>16</c:v>
                </c:pt>
                <c:pt idx="38">
                  <c:v>25</c:v>
                </c:pt>
                <c:pt idx="39">
                  <c:v>8</c:v>
                </c:pt>
                <c:pt idx="40">
                  <c:v>6.2</c:v>
                </c:pt>
                <c:pt idx="41">
                  <c:v>35</c:v>
                </c:pt>
                <c:pt idx="42">
                  <c:v>15.2</c:v>
                </c:pt>
                <c:pt idx="43">
                  <c:v>17</c:v>
                </c:pt>
                <c:pt idx="44">
                  <c:v>8</c:v>
                </c:pt>
                <c:pt idx="45">
                  <c:v>9.4060000000000006</c:v>
                </c:pt>
                <c:pt idx="46">
                  <c:v>18</c:v>
                </c:pt>
                <c:pt idx="47">
                  <c:v>22</c:v>
                </c:pt>
                <c:pt idx="48">
                  <c:v>7.5</c:v>
                </c:pt>
                <c:pt idx="49">
                  <c:v>25</c:v>
                </c:pt>
                <c:pt idx="50">
                  <c:v>25</c:v>
                </c:pt>
                <c:pt idx="51">
                  <c:v>17</c:v>
                </c:pt>
                <c:pt idx="52">
                  <c:v>11</c:v>
                </c:pt>
                <c:pt idx="53">
                  <c:v>17</c:v>
                </c:pt>
                <c:pt idx="54">
                  <c:v>17</c:v>
                </c:pt>
                <c:pt idx="55">
                  <c:v>18</c:v>
                </c:pt>
                <c:pt idx="56">
                  <c:v>46</c:v>
                </c:pt>
                <c:pt idx="57">
                  <c:v>3</c:v>
                </c:pt>
                <c:pt idx="58">
                  <c:v>22</c:v>
                </c:pt>
                <c:pt idx="59">
                  <c:v>12</c:v>
                </c:pt>
                <c:pt idx="60">
                  <c:v>25</c:v>
                </c:pt>
                <c:pt idx="61">
                  <c:v>11</c:v>
                </c:pt>
                <c:pt idx="62">
                  <c:v>10</c:v>
                </c:pt>
                <c:pt idx="63">
                  <c:v>9</c:v>
                </c:pt>
                <c:pt idx="64">
                  <c:v>25</c:v>
                </c:pt>
                <c:pt idx="65">
                  <c:v>45</c:v>
                </c:pt>
                <c:pt idx="66">
                  <c:v>10.5</c:v>
                </c:pt>
                <c:pt idx="67">
                  <c:v>60</c:v>
                </c:pt>
                <c:pt idx="68">
                  <c:v>11.2</c:v>
                </c:pt>
                <c:pt idx="69">
                  <c:v>20</c:v>
                </c:pt>
                <c:pt idx="70">
                  <c:v>16</c:v>
                </c:pt>
                <c:pt idx="71">
                  <c:v>18</c:v>
                </c:pt>
                <c:pt idx="72">
                  <c:v>10</c:v>
                </c:pt>
                <c:pt idx="73">
                  <c:v>20</c:v>
                </c:pt>
                <c:pt idx="74">
                  <c:v>17</c:v>
                </c:pt>
                <c:pt idx="75">
                  <c:v>12</c:v>
                </c:pt>
                <c:pt idx="76">
                  <c:v>40</c:v>
                </c:pt>
                <c:pt idx="77">
                  <c:v>57</c:v>
                </c:pt>
                <c:pt idx="78">
                  <c:v>45</c:v>
                </c:pt>
                <c:pt idx="79">
                  <c:v>52</c:v>
                </c:pt>
                <c:pt idx="80">
                  <c:v>20</c:v>
                </c:pt>
                <c:pt idx="81">
                  <c:v>8</c:v>
                </c:pt>
                <c:pt idx="82">
                  <c:v>15</c:v>
                </c:pt>
                <c:pt idx="83">
                  <c:v>34</c:v>
                </c:pt>
                <c:pt idx="84">
                  <c:v>27</c:v>
                </c:pt>
                <c:pt idx="85">
                  <c:v>35</c:v>
                </c:pt>
                <c:pt idx="86">
                  <c:v>18.399999999999999</c:v>
                </c:pt>
                <c:pt idx="87">
                  <c:v>7.2</c:v>
                </c:pt>
                <c:pt idx="88">
                  <c:v>21</c:v>
                </c:pt>
                <c:pt idx="89">
                  <c:v>17.899999999999999</c:v>
                </c:pt>
                <c:pt idx="90">
                  <c:v>46</c:v>
                </c:pt>
                <c:pt idx="91">
                  <c:v>24.1</c:v>
                </c:pt>
                <c:pt idx="92">
                  <c:v>2.2000000000000002</c:v>
                </c:pt>
                <c:pt idx="93">
                  <c:v>1.464</c:v>
                </c:pt>
                <c:pt idx="94">
                  <c:v>4.0750000000000002</c:v>
                </c:pt>
                <c:pt idx="95">
                  <c:v>10</c:v>
                </c:pt>
                <c:pt idx="96">
                  <c:v>4.8</c:v>
                </c:pt>
                <c:pt idx="97">
                  <c:v>5.0999999999999996</c:v>
                </c:pt>
                <c:pt idx="98">
                  <c:v>6.9</c:v>
                </c:pt>
                <c:pt idx="99">
                  <c:v>11.8</c:v>
                </c:pt>
                <c:pt idx="100">
                  <c:v>9.6999999999999993</c:v>
                </c:pt>
                <c:pt idx="101">
                  <c:v>6.12</c:v>
                </c:pt>
                <c:pt idx="102">
                  <c:v>6.2671999999999999</c:v>
                </c:pt>
                <c:pt idx="103">
                  <c:v>6.3659999999999997</c:v>
                </c:pt>
                <c:pt idx="104">
                  <c:v>8.5</c:v>
                </c:pt>
                <c:pt idx="105">
                  <c:v>46.55</c:v>
                </c:pt>
                <c:pt idx="106">
                  <c:v>56.8</c:v>
                </c:pt>
                <c:pt idx="107">
                  <c:v>81.575999999999993</c:v>
                </c:pt>
                <c:pt idx="108">
                  <c:v>95.2</c:v>
                </c:pt>
                <c:pt idx="109">
                  <c:v>122.77200000000001</c:v>
                </c:pt>
                <c:pt idx="110">
                  <c:v>48.2</c:v>
                </c:pt>
                <c:pt idx="111">
                  <c:v>48.2</c:v>
                </c:pt>
                <c:pt idx="112">
                  <c:v>20.77</c:v>
                </c:pt>
                <c:pt idx="113">
                  <c:v>27.4</c:v>
                </c:pt>
                <c:pt idx="114">
                  <c:v>29.1</c:v>
                </c:pt>
                <c:pt idx="115">
                  <c:v>38.9</c:v>
                </c:pt>
                <c:pt idx="116">
                  <c:v>46.1</c:v>
                </c:pt>
                <c:pt idx="117">
                  <c:v>25.6</c:v>
                </c:pt>
                <c:pt idx="118">
                  <c:v>14.391999999999999</c:v>
                </c:pt>
                <c:pt idx="119">
                  <c:v>41.4</c:v>
                </c:pt>
                <c:pt idx="120">
                  <c:v>13.4</c:v>
                </c:pt>
                <c:pt idx="121">
                  <c:v>17.7</c:v>
                </c:pt>
                <c:pt idx="122">
                  <c:v>3.5</c:v>
                </c:pt>
                <c:pt idx="123">
                  <c:v>14.5</c:v>
                </c:pt>
                <c:pt idx="124">
                  <c:v>51.2</c:v>
                </c:pt>
                <c:pt idx="125">
                  <c:v>15.400000000000002</c:v>
                </c:pt>
                <c:pt idx="126">
                  <c:v>10</c:v>
                </c:pt>
                <c:pt idx="127">
                  <c:v>24.3</c:v>
                </c:pt>
                <c:pt idx="128">
                  <c:v>16.169</c:v>
                </c:pt>
                <c:pt idx="129">
                  <c:v>27.7</c:v>
                </c:pt>
                <c:pt idx="130">
                  <c:v>35.799999999999997</c:v>
                </c:pt>
                <c:pt idx="131">
                  <c:v>29.329000000000001</c:v>
                </c:pt>
                <c:pt idx="132">
                  <c:v>18.899999999999999</c:v>
                </c:pt>
                <c:pt idx="133">
                  <c:v>41</c:v>
                </c:pt>
                <c:pt idx="134">
                  <c:v>26</c:v>
                </c:pt>
                <c:pt idx="135">
                  <c:v>23.63</c:v>
                </c:pt>
                <c:pt idx="136">
                  <c:v>22.6</c:v>
                </c:pt>
                <c:pt idx="137">
                  <c:v>39.5</c:v>
                </c:pt>
                <c:pt idx="138">
                  <c:v>16</c:v>
                </c:pt>
                <c:pt idx="139">
                  <c:v>36</c:v>
                </c:pt>
                <c:pt idx="140">
                  <c:v>14.8</c:v>
                </c:pt>
                <c:pt idx="141">
                  <c:v>17.8</c:v>
                </c:pt>
                <c:pt idx="142">
                  <c:v>38.799999999999997</c:v>
                </c:pt>
                <c:pt idx="143">
                  <c:v>19.3</c:v>
                </c:pt>
                <c:pt idx="144">
                  <c:v>65.5</c:v>
                </c:pt>
                <c:pt idx="145">
                  <c:v>65.5</c:v>
                </c:pt>
                <c:pt idx="146">
                  <c:v>23.87</c:v>
                </c:pt>
                <c:pt idx="147">
                  <c:v>29.3</c:v>
                </c:pt>
                <c:pt idx="148">
                  <c:v>29.3</c:v>
                </c:pt>
                <c:pt idx="149">
                  <c:v>46.2</c:v>
                </c:pt>
                <c:pt idx="150">
                  <c:v>21.5</c:v>
                </c:pt>
                <c:pt idx="151">
                  <c:v>37.799999999999997</c:v>
                </c:pt>
                <c:pt idx="152">
                  <c:v>26.5</c:v>
                </c:pt>
                <c:pt idx="153">
                  <c:v>60.3</c:v>
                </c:pt>
                <c:pt idx="154">
                  <c:v>24.6</c:v>
                </c:pt>
                <c:pt idx="155">
                  <c:v>14</c:v>
                </c:pt>
                <c:pt idx="156">
                  <c:v>25.425999999999998</c:v>
                </c:pt>
                <c:pt idx="157">
                  <c:v>28.7</c:v>
                </c:pt>
                <c:pt idx="158">
                  <c:v>32.9</c:v>
                </c:pt>
                <c:pt idx="159">
                  <c:v>28</c:v>
                </c:pt>
                <c:pt idx="160">
                  <c:v>19</c:v>
                </c:pt>
                <c:pt idx="161">
                  <c:v>13.6</c:v>
                </c:pt>
                <c:pt idx="162">
                  <c:v>15.9</c:v>
                </c:pt>
                <c:pt idx="163">
                  <c:v>18.399999999999999</c:v>
                </c:pt>
                <c:pt idx="164">
                  <c:v>12.211</c:v>
                </c:pt>
                <c:pt idx="165">
                  <c:v>23</c:v>
                </c:pt>
                <c:pt idx="166">
                  <c:v>32.700000000000003</c:v>
                </c:pt>
                <c:pt idx="167">
                  <c:v>21</c:v>
                </c:pt>
                <c:pt idx="168">
                  <c:v>9.5</c:v>
                </c:pt>
                <c:pt idx="169">
                  <c:v>64.55</c:v>
                </c:pt>
                <c:pt idx="170">
                  <c:v>65.87</c:v>
                </c:pt>
                <c:pt idx="171">
                  <c:v>65.87</c:v>
                </c:pt>
                <c:pt idx="172">
                  <c:v>36.1</c:v>
                </c:pt>
                <c:pt idx="173">
                  <c:v>36.1</c:v>
                </c:pt>
                <c:pt idx="174">
                  <c:v>6.9</c:v>
                </c:pt>
                <c:pt idx="175">
                  <c:v>28.9</c:v>
                </c:pt>
                <c:pt idx="176">
                  <c:v>26</c:v>
                </c:pt>
                <c:pt idx="177">
                  <c:v>53.3</c:v>
                </c:pt>
                <c:pt idx="178">
                  <c:v>32.799999999999997</c:v>
                </c:pt>
                <c:pt idx="179">
                  <c:v>46.904000000000003</c:v>
                </c:pt>
                <c:pt idx="180">
                  <c:v>25.2</c:v>
                </c:pt>
                <c:pt idx="181">
                  <c:v>41.7</c:v>
                </c:pt>
                <c:pt idx="182">
                  <c:v>47.4</c:v>
                </c:pt>
                <c:pt idx="183">
                  <c:v>23.9</c:v>
                </c:pt>
                <c:pt idx="184">
                  <c:v>39.299999999999997</c:v>
                </c:pt>
                <c:pt idx="185">
                  <c:v>24.4</c:v>
                </c:pt>
                <c:pt idx="186">
                  <c:v>24.4</c:v>
                </c:pt>
                <c:pt idx="187">
                  <c:v>21.1</c:v>
                </c:pt>
                <c:pt idx="188">
                  <c:v>25.2</c:v>
                </c:pt>
                <c:pt idx="189">
                  <c:v>39.741999999999997</c:v>
                </c:pt>
                <c:pt idx="190">
                  <c:v>60.6</c:v>
                </c:pt>
                <c:pt idx="191">
                  <c:v>17.2</c:v>
                </c:pt>
                <c:pt idx="192">
                  <c:v>17.2</c:v>
                </c:pt>
                <c:pt idx="193">
                  <c:v>34.9</c:v>
                </c:pt>
                <c:pt idx="194">
                  <c:v>39.04</c:v>
                </c:pt>
                <c:pt idx="195">
                  <c:v>41.7</c:v>
                </c:pt>
                <c:pt idx="196">
                  <c:v>23.9</c:v>
                </c:pt>
                <c:pt idx="197">
                  <c:v>11.7</c:v>
                </c:pt>
                <c:pt idx="198">
                  <c:v>21.7</c:v>
                </c:pt>
                <c:pt idx="199">
                  <c:v>10.1</c:v>
                </c:pt>
                <c:pt idx="200">
                  <c:v>55.7</c:v>
                </c:pt>
                <c:pt idx="201">
                  <c:v>28.1</c:v>
                </c:pt>
                <c:pt idx="202">
                  <c:v>49.3</c:v>
                </c:pt>
                <c:pt idx="203">
                  <c:v>13.4</c:v>
                </c:pt>
                <c:pt idx="204">
                  <c:v>30.7</c:v>
                </c:pt>
                <c:pt idx="205">
                  <c:v>50</c:v>
                </c:pt>
                <c:pt idx="206">
                  <c:v>25</c:v>
                </c:pt>
                <c:pt idx="207">
                  <c:v>12.974</c:v>
                </c:pt>
                <c:pt idx="208">
                  <c:v>8.51</c:v>
                </c:pt>
                <c:pt idx="209">
                  <c:v>22</c:v>
                </c:pt>
                <c:pt idx="210">
                  <c:v>42.5</c:v>
                </c:pt>
                <c:pt idx="211">
                  <c:v>47</c:v>
                </c:pt>
                <c:pt idx="212">
                  <c:v>56</c:v>
                </c:pt>
                <c:pt idx="213">
                  <c:v>57</c:v>
                </c:pt>
                <c:pt idx="214">
                  <c:v>13.95</c:v>
                </c:pt>
                <c:pt idx="215">
                  <c:v>18</c:v>
                </c:pt>
                <c:pt idx="216">
                  <c:v>24</c:v>
                </c:pt>
                <c:pt idx="217">
                  <c:v>31.26</c:v>
                </c:pt>
                <c:pt idx="218">
                  <c:v>16.8</c:v>
                </c:pt>
                <c:pt idx="219">
                  <c:v>11</c:v>
                </c:pt>
                <c:pt idx="220">
                  <c:v>15</c:v>
                </c:pt>
                <c:pt idx="221">
                  <c:v>32</c:v>
                </c:pt>
                <c:pt idx="222">
                  <c:v>47.43</c:v>
                </c:pt>
                <c:pt idx="223">
                  <c:v>52.8</c:v>
                </c:pt>
                <c:pt idx="224">
                  <c:v>52</c:v>
                </c:pt>
                <c:pt idx="225">
                  <c:v>26.29</c:v>
                </c:pt>
                <c:pt idx="226">
                  <c:v>9.2460000000000004</c:v>
                </c:pt>
                <c:pt idx="227">
                  <c:v>26.541</c:v>
                </c:pt>
                <c:pt idx="228">
                  <c:v>20</c:v>
                </c:pt>
                <c:pt idx="229">
                  <c:v>13.05</c:v>
                </c:pt>
                <c:pt idx="230">
                  <c:v>10.496</c:v>
                </c:pt>
                <c:pt idx="231">
                  <c:v>22.5</c:v>
                </c:pt>
                <c:pt idx="232">
                  <c:v>8.5</c:v>
                </c:pt>
                <c:pt idx="233">
                  <c:v>31</c:v>
                </c:pt>
                <c:pt idx="234">
                  <c:v>45</c:v>
                </c:pt>
                <c:pt idx="235">
                  <c:v>12</c:v>
                </c:pt>
                <c:pt idx="236">
                  <c:v>16</c:v>
                </c:pt>
                <c:pt idx="237">
                  <c:v>10.071999999999999</c:v>
                </c:pt>
                <c:pt idx="238">
                  <c:v>15</c:v>
                </c:pt>
                <c:pt idx="239">
                  <c:v>40.4</c:v>
                </c:pt>
                <c:pt idx="240">
                  <c:v>40</c:v>
                </c:pt>
                <c:pt idx="241">
                  <c:v>13</c:v>
                </c:pt>
                <c:pt idx="242">
                  <c:v>14.4</c:v>
                </c:pt>
                <c:pt idx="243">
                  <c:v>8.4</c:v>
                </c:pt>
                <c:pt idx="244">
                  <c:v>2</c:v>
                </c:pt>
                <c:pt idx="245">
                  <c:v>13</c:v>
                </c:pt>
                <c:pt idx="246">
                  <c:v>25.55</c:v>
                </c:pt>
                <c:pt idx="247">
                  <c:v>28.1</c:v>
                </c:pt>
                <c:pt idx="248">
                  <c:v>18</c:v>
                </c:pt>
                <c:pt idx="249">
                  <c:v>24</c:v>
                </c:pt>
                <c:pt idx="250">
                  <c:v>15</c:v>
                </c:pt>
                <c:pt idx="251">
                  <c:v>6.4</c:v>
                </c:pt>
                <c:pt idx="252">
                  <c:v>13.6</c:v>
                </c:pt>
                <c:pt idx="253">
                  <c:v>40</c:v>
                </c:pt>
                <c:pt idx="254">
                  <c:v>50</c:v>
                </c:pt>
                <c:pt idx="255">
                  <c:v>25.22</c:v>
                </c:pt>
                <c:pt idx="256">
                  <c:v>26.22</c:v>
                </c:pt>
                <c:pt idx="257">
                  <c:v>9.1999999999999993</c:v>
                </c:pt>
                <c:pt idx="258">
                  <c:v>31</c:v>
                </c:pt>
                <c:pt idx="259">
                  <c:v>19</c:v>
                </c:pt>
                <c:pt idx="260">
                  <c:v>20</c:v>
                </c:pt>
                <c:pt idx="261">
                  <c:v>58</c:v>
                </c:pt>
                <c:pt idx="262">
                  <c:v>21</c:v>
                </c:pt>
                <c:pt idx="263">
                  <c:v>35.130000000000003</c:v>
                </c:pt>
                <c:pt idx="264">
                  <c:v>35.130000000000003</c:v>
                </c:pt>
                <c:pt idx="265">
                  <c:v>75</c:v>
                </c:pt>
                <c:pt idx="266">
                  <c:v>50.9</c:v>
                </c:pt>
                <c:pt idx="267">
                  <c:v>67.040000000000006</c:v>
                </c:pt>
                <c:pt idx="268">
                  <c:v>69.040000000000006</c:v>
                </c:pt>
                <c:pt idx="269">
                  <c:v>36.963000000000001</c:v>
                </c:pt>
                <c:pt idx="270">
                  <c:v>44</c:v>
                </c:pt>
                <c:pt idx="271">
                  <c:v>56</c:v>
                </c:pt>
                <c:pt idx="272">
                  <c:v>110</c:v>
                </c:pt>
                <c:pt idx="273">
                  <c:v>101</c:v>
                </c:pt>
                <c:pt idx="274">
                  <c:v>39</c:v>
                </c:pt>
                <c:pt idx="275">
                  <c:v>38</c:v>
                </c:pt>
                <c:pt idx="276">
                  <c:v>35</c:v>
                </c:pt>
                <c:pt idx="277">
                  <c:v>77</c:v>
                </c:pt>
                <c:pt idx="278">
                  <c:v>50</c:v>
                </c:pt>
                <c:pt idx="279">
                  <c:v>48</c:v>
                </c:pt>
                <c:pt idx="280">
                  <c:v>40</c:v>
                </c:pt>
                <c:pt idx="281">
                  <c:v>40</c:v>
                </c:pt>
                <c:pt idx="282">
                  <c:v>30</c:v>
                </c:pt>
                <c:pt idx="283">
                  <c:v>117</c:v>
                </c:pt>
                <c:pt idx="284">
                  <c:v>53.87</c:v>
                </c:pt>
              </c:numCache>
            </c:numRef>
          </c:xVal>
          <c:yVal>
            <c:numRef>
              <c:f>'Cost Function'!$B$39:$B$323</c:f>
              <c:numCache>
                <c:formatCode>"$"#,##0.0</c:formatCode>
                <c:ptCount val="285"/>
                <c:pt idx="0">
                  <c:v>16.861812370959647</c:v>
                </c:pt>
                <c:pt idx="1">
                  <c:v>6.0182252638842719</c:v>
                </c:pt>
                <c:pt idx="2">
                  <c:v>14.998991377977235</c:v>
                </c:pt>
                <c:pt idx="3">
                  <c:v>11.164764224012115</c:v>
                </c:pt>
                <c:pt idx="4">
                  <c:v>11.705577131494863</c:v>
                </c:pt>
                <c:pt idx="5">
                  <c:v>31.659927445331629</c:v>
                </c:pt>
                <c:pt idx="6">
                  <c:v>9.6396451057157435</c:v>
                </c:pt>
                <c:pt idx="7">
                  <c:v>16.009559216092757</c:v>
                </c:pt>
                <c:pt idx="8">
                  <c:v>16.293644713264708</c:v>
                </c:pt>
                <c:pt idx="9">
                  <c:v>8.9094125785416409</c:v>
                </c:pt>
                <c:pt idx="10">
                  <c:v>17.299482978955592</c:v>
                </c:pt>
                <c:pt idx="11">
                  <c:v>9.9511250787738224</c:v>
                </c:pt>
                <c:pt idx="12">
                  <c:v>6.0754029342110369</c:v>
                </c:pt>
                <c:pt idx="13">
                  <c:v>10.90270245998838</c:v>
                </c:pt>
                <c:pt idx="14">
                  <c:v>9.3004925979781259</c:v>
                </c:pt>
                <c:pt idx="15">
                  <c:v>13.07265503282744</c:v>
                </c:pt>
                <c:pt idx="16">
                  <c:v>34.903749706800433</c:v>
                </c:pt>
                <c:pt idx="17">
                  <c:v>13.650794587226329</c:v>
                </c:pt>
                <c:pt idx="18">
                  <c:v>26.816090615909914</c:v>
                </c:pt>
                <c:pt idx="19">
                  <c:v>9.5130592102135658</c:v>
                </c:pt>
                <c:pt idx="20">
                  <c:v>13.152201549137706</c:v>
                </c:pt>
                <c:pt idx="21">
                  <c:v>11.291169205189183</c:v>
                </c:pt>
                <c:pt idx="22">
                  <c:v>20.965601428070691</c:v>
                </c:pt>
                <c:pt idx="23">
                  <c:v>13.309615571039751</c:v>
                </c:pt>
                <c:pt idx="24">
                  <c:v>7.9463711126733889</c:v>
                </c:pt>
                <c:pt idx="25">
                  <c:v>13.99971574022935</c:v>
                </c:pt>
                <c:pt idx="26">
                  <c:v>7.2248521864398549</c:v>
                </c:pt>
                <c:pt idx="27">
                  <c:v>5.2101531080390755</c:v>
                </c:pt>
                <c:pt idx="28">
                  <c:v>13.758834109767626</c:v>
                </c:pt>
                <c:pt idx="29">
                  <c:v>4.4533584840568787</c:v>
                </c:pt>
                <c:pt idx="30">
                  <c:v>12.931754132918639</c:v>
                </c:pt>
                <c:pt idx="31">
                  <c:v>14.973718181093032</c:v>
                </c:pt>
                <c:pt idx="32">
                  <c:v>28.66706963950903</c:v>
                </c:pt>
                <c:pt idx="33">
                  <c:v>7.0657947644327148</c:v>
                </c:pt>
                <c:pt idx="34">
                  <c:v>16.03232257186292</c:v>
                </c:pt>
                <c:pt idx="35">
                  <c:v>56.859498956472109</c:v>
                </c:pt>
                <c:pt idx="36">
                  <c:v>43.13883453102715</c:v>
                </c:pt>
                <c:pt idx="37">
                  <c:v>7.5134124542159286</c:v>
                </c:pt>
                <c:pt idx="38">
                  <c:v>22.308265318441425</c:v>
                </c:pt>
                <c:pt idx="39">
                  <c:v>5.0823375539699818</c:v>
                </c:pt>
                <c:pt idx="40">
                  <c:v>8.9160103759227685</c:v>
                </c:pt>
                <c:pt idx="41">
                  <c:v>8.3689831482940882</c:v>
                </c:pt>
                <c:pt idx="42">
                  <c:v>54.551770509232071</c:v>
                </c:pt>
                <c:pt idx="43">
                  <c:v>10.739901169983137</c:v>
                </c:pt>
                <c:pt idx="44">
                  <c:v>3.3788339951362953</c:v>
                </c:pt>
                <c:pt idx="45">
                  <c:v>9.7991326901064184</c:v>
                </c:pt>
                <c:pt idx="46">
                  <c:v>11.984110505191126</c:v>
                </c:pt>
                <c:pt idx="47">
                  <c:v>16.606728766354362</c:v>
                </c:pt>
                <c:pt idx="48">
                  <c:v>8.5880709825089685</c:v>
                </c:pt>
                <c:pt idx="49">
                  <c:v>8.6091983279462436</c:v>
                </c:pt>
                <c:pt idx="50">
                  <c:v>8.2434360504581008</c:v>
                </c:pt>
                <c:pt idx="51">
                  <c:v>6.9318595783251213</c:v>
                </c:pt>
                <c:pt idx="52">
                  <c:v>19.087371326529755</c:v>
                </c:pt>
                <c:pt idx="53">
                  <c:v>5.2657663175025586</c:v>
                </c:pt>
                <c:pt idx="54">
                  <c:v>7.7921694439597555</c:v>
                </c:pt>
                <c:pt idx="55">
                  <c:v>11.923356574074873</c:v>
                </c:pt>
                <c:pt idx="56">
                  <c:v>58.100097147658744</c:v>
                </c:pt>
                <c:pt idx="57">
                  <c:v>10.634643135603309</c:v>
                </c:pt>
                <c:pt idx="58">
                  <c:v>7.1174715515965792</c:v>
                </c:pt>
                <c:pt idx="59">
                  <c:v>20.217898457447252</c:v>
                </c:pt>
                <c:pt idx="60">
                  <c:v>15.17251837286627</c:v>
                </c:pt>
                <c:pt idx="61">
                  <c:v>12.628076471206382</c:v>
                </c:pt>
                <c:pt idx="62">
                  <c:v>24.362790290493837</c:v>
                </c:pt>
                <c:pt idx="63">
                  <c:v>14.71443826778331</c:v>
                </c:pt>
                <c:pt idx="64">
                  <c:v>9.825778201045452</c:v>
                </c:pt>
                <c:pt idx="65">
                  <c:v>25.798393978216257</c:v>
                </c:pt>
                <c:pt idx="66">
                  <c:v>13.501544643115857</c:v>
                </c:pt>
                <c:pt idx="67">
                  <c:v>25.887106037100622</c:v>
                </c:pt>
                <c:pt idx="68">
                  <c:v>26.918199168374588</c:v>
                </c:pt>
                <c:pt idx="69">
                  <c:v>13.969254162639503</c:v>
                </c:pt>
                <c:pt idx="70">
                  <c:v>17.647037003819346</c:v>
                </c:pt>
                <c:pt idx="71">
                  <c:v>8.4369732753123952</c:v>
                </c:pt>
                <c:pt idx="72">
                  <c:v>8.8753762889293544</c:v>
                </c:pt>
                <c:pt idx="73">
                  <c:v>27.761077137379147</c:v>
                </c:pt>
                <c:pt idx="74">
                  <c:v>11.725448588458148</c:v>
                </c:pt>
                <c:pt idx="75">
                  <c:v>7.5607136656563343</c:v>
                </c:pt>
                <c:pt idx="76">
                  <c:v>26.381292343151443</c:v>
                </c:pt>
                <c:pt idx="77">
                  <c:v>12.653662771089085</c:v>
                </c:pt>
                <c:pt idx="78">
                  <c:v>63.556235718349399</c:v>
                </c:pt>
                <c:pt idx="79">
                  <c:v>22.631695273294461</c:v>
                </c:pt>
                <c:pt idx="80">
                  <c:v>18.636695744675041</c:v>
                </c:pt>
                <c:pt idx="81">
                  <c:v>19.611656992669992</c:v>
                </c:pt>
                <c:pt idx="82">
                  <c:v>16.109333942693336</c:v>
                </c:pt>
                <c:pt idx="83">
                  <c:v>8.9679522578977586</c:v>
                </c:pt>
                <c:pt idx="84">
                  <c:v>13.07265503282744</c:v>
                </c:pt>
                <c:pt idx="85">
                  <c:v>35.276341164894447</c:v>
                </c:pt>
                <c:pt idx="86">
                  <c:v>18.765793673519447</c:v>
                </c:pt>
                <c:pt idx="87">
                  <c:v>12.99271394051414</c:v>
                </c:pt>
                <c:pt idx="88">
                  <c:v>15.965955598995766</c:v>
                </c:pt>
                <c:pt idx="89">
                  <c:v>17.172783979023848</c:v>
                </c:pt>
                <c:pt idx="90">
                  <c:v>53.518330212347877</c:v>
                </c:pt>
                <c:pt idx="91">
                  <c:v>7.0843108002972475</c:v>
                </c:pt>
                <c:pt idx="92">
                  <c:v>2.4933711786255444</c:v>
                </c:pt>
                <c:pt idx="93">
                  <c:v>1.4940223849019025</c:v>
                </c:pt>
                <c:pt idx="94">
                  <c:v>1.9369408873503524</c:v>
                </c:pt>
                <c:pt idx="95">
                  <c:v>8.526519330793306</c:v>
                </c:pt>
                <c:pt idx="96">
                  <c:v>4.0521826998299986</c:v>
                </c:pt>
                <c:pt idx="97">
                  <c:v>9.6482174286466869</c:v>
                </c:pt>
                <c:pt idx="98">
                  <c:v>5.029432718717521</c:v>
                </c:pt>
                <c:pt idx="99">
                  <c:v>6.372939235597177</c:v>
                </c:pt>
                <c:pt idx="100">
                  <c:v>2.9443376052628771</c:v>
                </c:pt>
                <c:pt idx="101">
                  <c:v>13.481108575958453</c:v>
                </c:pt>
                <c:pt idx="102">
                  <c:v>2.9102311039234974</c:v>
                </c:pt>
                <c:pt idx="103">
                  <c:v>9.8906921245327926</c:v>
                </c:pt>
                <c:pt idx="104">
                  <c:v>5.9446476688134462</c:v>
                </c:pt>
                <c:pt idx="105">
                  <c:v>7.1936227504100643</c:v>
                </c:pt>
                <c:pt idx="106">
                  <c:v>17.594466678549747</c:v>
                </c:pt>
                <c:pt idx="107">
                  <c:v>14.026199251012313</c:v>
                </c:pt>
                <c:pt idx="108">
                  <c:v>14.219904176944949</c:v>
                </c:pt>
                <c:pt idx="109">
                  <c:v>23.447549869052086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'Cost Function'!$C$38</c:f>
              <c:strCache>
                <c:ptCount val="1"/>
                <c:pt idx="0">
                  <c:v>Upgrade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12700">
                <a:solidFill>
                  <a:schemeClr val="accent6">
                    <a:lumMod val="50000"/>
                  </a:schemeClr>
                </a:solidFill>
              </a:ln>
            </c:spPr>
          </c:marker>
          <c:xVal>
            <c:numRef>
              <c:f>'Cost Function'!$A$39:$A$323</c:f>
              <c:numCache>
                <c:formatCode>0.0</c:formatCode>
                <c:ptCount val="285"/>
                <c:pt idx="0">
                  <c:v>14</c:v>
                </c:pt>
                <c:pt idx="1">
                  <c:v>8.5</c:v>
                </c:pt>
                <c:pt idx="2">
                  <c:v>30</c:v>
                </c:pt>
                <c:pt idx="3">
                  <c:v>13</c:v>
                </c:pt>
                <c:pt idx="4">
                  <c:v>24.3</c:v>
                </c:pt>
                <c:pt idx="5">
                  <c:v>18</c:v>
                </c:pt>
                <c:pt idx="6">
                  <c:v>6</c:v>
                </c:pt>
                <c:pt idx="7">
                  <c:v>10</c:v>
                </c:pt>
                <c:pt idx="8">
                  <c:v>20</c:v>
                </c:pt>
                <c:pt idx="9">
                  <c:v>17.2</c:v>
                </c:pt>
                <c:pt idx="10">
                  <c:v>20</c:v>
                </c:pt>
                <c:pt idx="11">
                  <c:v>9</c:v>
                </c:pt>
                <c:pt idx="12">
                  <c:v>8</c:v>
                </c:pt>
                <c:pt idx="13">
                  <c:v>13.6</c:v>
                </c:pt>
                <c:pt idx="14">
                  <c:v>10.548</c:v>
                </c:pt>
                <c:pt idx="15">
                  <c:v>27</c:v>
                </c:pt>
                <c:pt idx="16">
                  <c:v>28</c:v>
                </c:pt>
                <c:pt idx="17">
                  <c:v>24</c:v>
                </c:pt>
                <c:pt idx="18">
                  <c:v>43</c:v>
                </c:pt>
                <c:pt idx="19">
                  <c:v>7.5</c:v>
                </c:pt>
                <c:pt idx="20">
                  <c:v>17.8</c:v>
                </c:pt>
                <c:pt idx="21">
                  <c:v>20.6</c:v>
                </c:pt>
                <c:pt idx="22">
                  <c:v>19.600000000000001</c:v>
                </c:pt>
                <c:pt idx="23">
                  <c:v>22</c:v>
                </c:pt>
                <c:pt idx="24">
                  <c:v>18.8</c:v>
                </c:pt>
                <c:pt idx="25">
                  <c:v>15.6</c:v>
                </c:pt>
                <c:pt idx="26">
                  <c:v>19.8</c:v>
                </c:pt>
                <c:pt idx="27">
                  <c:v>28.4</c:v>
                </c:pt>
                <c:pt idx="28">
                  <c:v>19</c:v>
                </c:pt>
                <c:pt idx="29">
                  <c:v>12</c:v>
                </c:pt>
                <c:pt idx="30">
                  <c:v>25</c:v>
                </c:pt>
                <c:pt idx="31">
                  <c:v>15</c:v>
                </c:pt>
                <c:pt idx="32">
                  <c:v>23</c:v>
                </c:pt>
                <c:pt idx="33">
                  <c:v>9.8000000000000007</c:v>
                </c:pt>
                <c:pt idx="34">
                  <c:v>30</c:v>
                </c:pt>
                <c:pt idx="35">
                  <c:v>115</c:v>
                </c:pt>
                <c:pt idx="36">
                  <c:v>67</c:v>
                </c:pt>
                <c:pt idx="37">
                  <c:v>16</c:v>
                </c:pt>
                <c:pt idx="38">
                  <c:v>25</c:v>
                </c:pt>
                <c:pt idx="39">
                  <c:v>8</c:v>
                </c:pt>
                <c:pt idx="40">
                  <c:v>6.2</c:v>
                </c:pt>
                <c:pt idx="41">
                  <c:v>35</c:v>
                </c:pt>
                <c:pt idx="42">
                  <c:v>15.2</c:v>
                </c:pt>
                <c:pt idx="43">
                  <c:v>17</c:v>
                </c:pt>
                <c:pt idx="44">
                  <c:v>8</c:v>
                </c:pt>
                <c:pt idx="45">
                  <c:v>9.4060000000000006</c:v>
                </c:pt>
                <c:pt idx="46">
                  <c:v>18</c:v>
                </c:pt>
                <c:pt idx="47">
                  <c:v>22</c:v>
                </c:pt>
                <c:pt idx="48">
                  <c:v>7.5</c:v>
                </c:pt>
                <c:pt idx="49">
                  <c:v>25</c:v>
                </c:pt>
                <c:pt idx="50">
                  <c:v>25</c:v>
                </c:pt>
                <c:pt idx="51">
                  <c:v>17</c:v>
                </c:pt>
                <c:pt idx="52">
                  <c:v>11</c:v>
                </c:pt>
                <c:pt idx="53">
                  <c:v>17</c:v>
                </c:pt>
                <c:pt idx="54">
                  <c:v>17</c:v>
                </c:pt>
                <c:pt idx="55">
                  <c:v>18</c:v>
                </c:pt>
                <c:pt idx="56">
                  <c:v>46</c:v>
                </c:pt>
                <c:pt idx="57">
                  <c:v>3</c:v>
                </c:pt>
                <c:pt idx="58">
                  <c:v>22</c:v>
                </c:pt>
                <c:pt idx="59">
                  <c:v>12</c:v>
                </c:pt>
                <c:pt idx="60">
                  <c:v>25</c:v>
                </c:pt>
                <c:pt idx="61">
                  <c:v>11</c:v>
                </c:pt>
                <c:pt idx="62">
                  <c:v>10</c:v>
                </c:pt>
                <c:pt idx="63">
                  <c:v>9</c:v>
                </c:pt>
                <c:pt idx="64">
                  <c:v>25</c:v>
                </c:pt>
                <c:pt idx="65">
                  <c:v>45</c:v>
                </c:pt>
                <c:pt idx="66">
                  <c:v>10.5</c:v>
                </c:pt>
                <c:pt idx="67">
                  <c:v>60</c:v>
                </c:pt>
                <c:pt idx="68">
                  <c:v>11.2</c:v>
                </c:pt>
                <c:pt idx="69">
                  <c:v>20</c:v>
                </c:pt>
                <c:pt idx="70">
                  <c:v>16</c:v>
                </c:pt>
                <c:pt idx="71">
                  <c:v>18</c:v>
                </c:pt>
                <c:pt idx="72">
                  <c:v>10</c:v>
                </c:pt>
                <c:pt idx="73">
                  <c:v>20</c:v>
                </c:pt>
                <c:pt idx="74">
                  <c:v>17</c:v>
                </c:pt>
                <c:pt idx="75">
                  <c:v>12</c:v>
                </c:pt>
                <c:pt idx="76">
                  <c:v>40</c:v>
                </c:pt>
                <c:pt idx="77">
                  <c:v>57</c:v>
                </c:pt>
                <c:pt idx="78">
                  <c:v>45</c:v>
                </c:pt>
                <c:pt idx="79">
                  <c:v>52</c:v>
                </c:pt>
                <c:pt idx="80">
                  <c:v>20</c:v>
                </c:pt>
                <c:pt idx="81">
                  <c:v>8</c:v>
                </c:pt>
                <c:pt idx="82">
                  <c:v>15</c:v>
                </c:pt>
                <c:pt idx="83">
                  <c:v>34</c:v>
                </c:pt>
                <c:pt idx="84">
                  <c:v>27</c:v>
                </c:pt>
                <c:pt idx="85">
                  <c:v>35</c:v>
                </c:pt>
                <c:pt idx="86">
                  <c:v>18.399999999999999</c:v>
                </c:pt>
                <c:pt idx="87">
                  <c:v>7.2</c:v>
                </c:pt>
                <c:pt idx="88">
                  <c:v>21</c:v>
                </c:pt>
                <c:pt idx="89">
                  <c:v>17.899999999999999</c:v>
                </c:pt>
                <c:pt idx="90">
                  <c:v>46</c:v>
                </c:pt>
                <c:pt idx="91">
                  <c:v>24.1</c:v>
                </c:pt>
                <c:pt idx="92">
                  <c:v>2.2000000000000002</c:v>
                </c:pt>
                <c:pt idx="93">
                  <c:v>1.464</c:v>
                </c:pt>
                <c:pt idx="94">
                  <c:v>4.0750000000000002</c:v>
                </c:pt>
                <c:pt idx="95">
                  <c:v>10</c:v>
                </c:pt>
                <c:pt idx="96">
                  <c:v>4.8</c:v>
                </c:pt>
                <c:pt idx="97">
                  <c:v>5.0999999999999996</c:v>
                </c:pt>
                <c:pt idx="98">
                  <c:v>6.9</c:v>
                </c:pt>
                <c:pt idx="99">
                  <c:v>11.8</c:v>
                </c:pt>
                <c:pt idx="100">
                  <c:v>9.6999999999999993</c:v>
                </c:pt>
                <c:pt idx="101">
                  <c:v>6.12</c:v>
                </c:pt>
                <c:pt idx="102">
                  <c:v>6.2671999999999999</c:v>
                </c:pt>
                <c:pt idx="103">
                  <c:v>6.3659999999999997</c:v>
                </c:pt>
                <c:pt idx="104">
                  <c:v>8.5</c:v>
                </c:pt>
                <c:pt idx="105">
                  <c:v>46.55</c:v>
                </c:pt>
                <c:pt idx="106">
                  <c:v>56.8</c:v>
                </c:pt>
                <c:pt idx="107">
                  <c:v>81.575999999999993</c:v>
                </c:pt>
                <c:pt idx="108">
                  <c:v>95.2</c:v>
                </c:pt>
                <c:pt idx="109">
                  <c:v>122.77200000000001</c:v>
                </c:pt>
                <c:pt idx="110">
                  <c:v>48.2</c:v>
                </c:pt>
                <c:pt idx="111">
                  <c:v>48.2</c:v>
                </c:pt>
                <c:pt idx="112">
                  <c:v>20.77</c:v>
                </c:pt>
                <c:pt idx="113">
                  <c:v>27.4</c:v>
                </c:pt>
                <c:pt idx="114">
                  <c:v>29.1</c:v>
                </c:pt>
                <c:pt idx="115">
                  <c:v>38.9</c:v>
                </c:pt>
                <c:pt idx="116">
                  <c:v>46.1</c:v>
                </c:pt>
                <c:pt idx="117">
                  <c:v>25.6</c:v>
                </c:pt>
                <c:pt idx="118">
                  <c:v>14.391999999999999</c:v>
                </c:pt>
                <c:pt idx="119">
                  <c:v>41.4</c:v>
                </c:pt>
                <c:pt idx="120">
                  <c:v>13.4</c:v>
                </c:pt>
                <c:pt idx="121">
                  <c:v>17.7</c:v>
                </c:pt>
                <c:pt idx="122">
                  <c:v>3.5</c:v>
                </c:pt>
                <c:pt idx="123">
                  <c:v>14.5</c:v>
                </c:pt>
                <c:pt idx="124">
                  <c:v>51.2</c:v>
                </c:pt>
                <c:pt idx="125">
                  <c:v>15.400000000000002</c:v>
                </c:pt>
                <c:pt idx="126">
                  <c:v>10</c:v>
                </c:pt>
                <c:pt idx="127">
                  <c:v>24.3</c:v>
                </c:pt>
                <c:pt idx="128">
                  <c:v>16.169</c:v>
                </c:pt>
                <c:pt idx="129">
                  <c:v>27.7</c:v>
                </c:pt>
                <c:pt idx="130">
                  <c:v>35.799999999999997</c:v>
                </c:pt>
                <c:pt idx="131">
                  <c:v>29.329000000000001</c:v>
                </c:pt>
                <c:pt idx="132">
                  <c:v>18.899999999999999</c:v>
                </c:pt>
                <c:pt idx="133">
                  <c:v>41</c:v>
                </c:pt>
                <c:pt idx="134">
                  <c:v>26</c:v>
                </c:pt>
                <c:pt idx="135">
                  <c:v>23.63</c:v>
                </c:pt>
                <c:pt idx="136">
                  <c:v>22.6</c:v>
                </c:pt>
                <c:pt idx="137">
                  <c:v>39.5</c:v>
                </c:pt>
                <c:pt idx="138">
                  <c:v>16</c:v>
                </c:pt>
                <c:pt idx="139">
                  <c:v>36</c:v>
                </c:pt>
                <c:pt idx="140">
                  <c:v>14.8</c:v>
                </c:pt>
                <c:pt idx="141">
                  <c:v>17.8</c:v>
                </c:pt>
                <c:pt idx="142">
                  <c:v>38.799999999999997</c:v>
                </c:pt>
                <c:pt idx="143">
                  <c:v>19.3</c:v>
                </c:pt>
                <c:pt idx="144">
                  <c:v>65.5</c:v>
                </c:pt>
                <c:pt idx="145">
                  <c:v>65.5</c:v>
                </c:pt>
                <c:pt idx="146">
                  <c:v>23.87</c:v>
                </c:pt>
                <c:pt idx="147">
                  <c:v>29.3</c:v>
                </c:pt>
                <c:pt idx="148">
                  <c:v>29.3</c:v>
                </c:pt>
                <c:pt idx="149">
                  <c:v>46.2</c:v>
                </c:pt>
                <c:pt idx="150">
                  <c:v>21.5</c:v>
                </c:pt>
                <c:pt idx="151">
                  <c:v>37.799999999999997</c:v>
                </c:pt>
                <c:pt idx="152">
                  <c:v>26.5</c:v>
                </c:pt>
                <c:pt idx="153">
                  <c:v>60.3</c:v>
                </c:pt>
                <c:pt idx="154">
                  <c:v>24.6</c:v>
                </c:pt>
                <c:pt idx="155">
                  <c:v>14</c:v>
                </c:pt>
                <c:pt idx="156">
                  <c:v>25.425999999999998</c:v>
                </c:pt>
                <c:pt idx="157">
                  <c:v>28.7</c:v>
                </c:pt>
                <c:pt idx="158">
                  <c:v>32.9</c:v>
                </c:pt>
                <c:pt idx="159">
                  <c:v>28</c:v>
                </c:pt>
                <c:pt idx="160">
                  <c:v>19</c:v>
                </c:pt>
                <c:pt idx="161">
                  <c:v>13.6</c:v>
                </c:pt>
                <c:pt idx="162">
                  <c:v>15.9</c:v>
                </c:pt>
                <c:pt idx="163">
                  <c:v>18.399999999999999</c:v>
                </c:pt>
                <c:pt idx="164">
                  <c:v>12.211</c:v>
                </c:pt>
                <c:pt idx="165">
                  <c:v>23</c:v>
                </c:pt>
                <c:pt idx="166">
                  <c:v>32.700000000000003</c:v>
                </c:pt>
                <c:pt idx="167">
                  <c:v>21</c:v>
                </c:pt>
                <c:pt idx="168">
                  <c:v>9.5</c:v>
                </c:pt>
                <c:pt idx="169">
                  <c:v>64.55</c:v>
                </c:pt>
                <c:pt idx="170">
                  <c:v>65.87</c:v>
                </c:pt>
                <c:pt idx="171">
                  <c:v>65.87</c:v>
                </c:pt>
                <c:pt idx="172">
                  <c:v>36.1</c:v>
                </c:pt>
                <c:pt idx="173">
                  <c:v>36.1</c:v>
                </c:pt>
                <c:pt idx="174">
                  <c:v>6.9</c:v>
                </c:pt>
                <c:pt idx="175">
                  <c:v>28.9</c:v>
                </c:pt>
                <c:pt idx="176">
                  <c:v>26</c:v>
                </c:pt>
                <c:pt idx="177">
                  <c:v>53.3</c:v>
                </c:pt>
                <c:pt idx="178">
                  <c:v>32.799999999999997</c:v>
                </c:pt>
                <c:pt idx="179">
                  <c:v>46.904000000000003</c:v>
                </c:pt>
                <c:pt idx="180">
                  <c:v>25.2</c:v>
                </c:pt>
                <c:pt idx="181">
                  <c:v>41.7</c:v>
                </c:pt>
                <c:pt idx="182">
                  <c:v>47.4</c:v>
                </c:pt>
                <c:pt idx="183">
                  <c:v>23.9</c:v>
                </c:pt>
                <c:pt idx="184">
                  <c:v>39.299999999999997</c:v>
                </c:pt>
                <c:pt idx="185">
                  <c:v>24.4</c:v>
                </c:pt>
                <c:pt idx="186">
                  <c:v>24.4</c:v>
                </c:pt>
                <c:pt idx="187">
                  <c:v>21.1</c:v>
                </c:pt>
                <c:pt idx="188">
                  <c:v>25.2</c:v>
                </c:pt>
                <c:pt idx="189">
                  <c:v>39.741999999999997</c:v>
                </c:pt>
                <c:pt idx="190">
                  <c:v>60.6</c:v>
                </c:pt>
                <c:pt idx="191">
                  <c:v>17.2</c:v>
                </c:pt>
                <c:pt idx="192">
                  <c:v>17.2</c:v>
                </c:pt>
                <c:pt idx="193">
                  <c:v>34.9</c:v>
                </c:pt>
                <c:pt idx="194">
                  <c:v>39.04</c:v>
                </c:pt>
                <c:pt idx="195">
                  <c:v>41.7</c:v>
                </c:pt>
                <c:pt idx="196">
                  <c:v>23.9</c:v>
                </c:pt>
                <c:pt idx="197">
                  <c:v>11.7</c:v>
                </c:pt>
                <c:pt idx="198">
                  <c:v>21.7</c:v>
                </c:pt>
                <c:pt idx="199">
                  <c:v>10.1</c:v>
                </c:pt>
                <c:pt idx="200">
                  <c:v>55.7</c:v>
                </c:pt>
                <c:pt idx="201">
                  <c:v>28.1</c:v>
                </c:pt>
                <c:pt idx="202">
                  <c:v>49.3</c:v>
                </c:pt>
                <c:pt idx="203">
                  <c:v>13.4</c:v>
                </c:pt>
                <c:pt idx="204">
                  <c:v>30.7</c:v>
                </c:pt>
                <c:pt idx="205">
                  <c:v>50</c:v>
                </c:pt>
                <c:pt idx="206">
                  <c:v>25</c:v>
                </c:pt>
                <c:pt idx="207">
                  <c:v>12.974</c:v>
                </c:pt>
                <c:pt idx="208">
                  <c:v>8.51</c:v>
                </c:pt>
                <c:pt idx="209">
                  <c:v>22</c:v>
                </c:pt>
                <c:pt idx="210">
                  <c:v>42.5</c:v>
                </c:pt>
                <c:pt idx="211">
                  <c:v>47</c:v>
                </c:pt>
                <c:pt idx="212">
                  <c:v>56</c:v>
                </c:pt>
                <c:pt idx="213">
                  <c:v>57</c:v>
                </c:pt>
                <c:pt idx="214">
                  <c:v>13.95</c:v>
                </c:pt>
                <c:pt idx="215">
                  <c:v>18</c:v>
                </c:pt>
                <c:pt idx="216">
                  <c:v>24</c:v>
                </c:pt>
                <c:pt idx="217">
                  <c:v>31.26</c:v>
                </c:pt>
                <c:pt idx="218">
                  <c:v>16.8</c:v>
                </c:pt>
                <c:pt idx="219">
                  <c:v>11</c:v>
                </c:pt>
                <c:pt idx="220">
                  <c:v>15</c:v>
                </c:pt>
                <c:pt idx="221">
                  <c:v>32</c:v>
                </c:pt>
                <c:pt idx="222">
                  <c:v>47.43</c:v>
                </c:pt>
                <c:pt idx="223">
                  <c:v>52.8</c:v>
                </c:pt>
                <c:pt idx="224">
                  <c:v>52</c:v>
                </c:pt>
                <c:pt idx="225">
                  <c:v>26.29</c:v>
                </c:pt>
                <c:pt idx="226">
                  <c:v>9.2460000000000004</c:v>
                </c:pt>
                <c:pt idx="227">
                  <c:v>26.541</c:v>
                </c:pt>
                <c:pt idx="228">
                  <c:v>20</c:v>
                </c:pt>
                <c:pt idx="229">
                  <c:v>13.05</c:v>
                </c:pt>
                <c:pt idx="230">
                  <c:v>10.496</c:v>
                </c:pt>
                <c:pt idx="231">
                  <c:v>22.5</c:v>
                </c:pt>
                <c:pt idx="232">
                  <c:v>8.5</c:v>
                </c:pt>
                <c:pt idx="233">
                  <c:v>31</c:v>
                </c:pt>
                <c:pt idx="234">
                  <c:v>45</c:v>
                </c:pt>
                <c:pt idx="235">
                  <c:v>12</c:v>
                </c:pt>
                <c:pt idx="236">
                  <c:v>16</c:v>
                </c:pt>
                <c:pt idx="237">
                  <c:v>10.071999999999999</c:v>
                </c:pt>
                <c:pt idx="238">
                  <c:v>15</c:v>
                </c:pt>
                <c:pt idx="239">
                  <c:v>40.4</c:v>
                </c:pt>
                <c:pt idx="240">
                  <c:v>40</c:v>
                </c:pt>
                <c:pt idx="241">
                  <c:v>13</c:v>
                </c:pt>
                <c:pt idx="242">
                  <c:v>14.4</c:v>
                </c:pt>
                <c:pt idx="243">
                  <c:v>8.4</c:v>
                </c:pt>
                <c:pt idx="244">
                  <c:v>2</c:v>
                </c:pt>
                <c:pt idx="245">
                  <c:v>13</c:v>
                </c:pt>
                <c:pt idx="246">
                  <c:v>25.55</c:v>
                </c:pt>
                <c:pt idx="247">
                  <c:v>28.1</c:v>
                </c:pt>
                <c:pt idx="248">
                  <c:v>18</c:v>
                </c:pt>
                <c:pt idx="249">
                  <c:v>24</c:v>
                </c:pt>
                <c:pt idx="250">
                  <c:v>15</c:v>
                </c:pt>
                <c:pt idx="251">
                  <c:v>6.4</c:v>
                </c:pt>
                <c:pt idx="252">
                  <c:v>13.6</c:v>
                </c:pt>
                <c:pt idx="253">
                  <c:v>40</c:v>
                </c:pt>
                <c:pt idx="254">
                  <c:v>50</c:v>
                </c:pt>
                <c:pt idx="255">
                  <c:v>25.22</c:v>
                </c:pt>
                <c:pt idx="256">
                  <c:v>26.22</c:v>
                </c:pt>
                <c:pt idx="257">
                  <c:v>9.1999999999999993</c:v>
                </c:pt>
                <c:pt idx="258">
                  <c:v>31</c:v>
                </c:pt>
                <c:pt idx="259">
                  <c:v>19</c:v>
                </c:pt>
                <c:pt idx="260">
                  <c:v>20</c:v>
                </c:pt>
                <c:pt idx="261">
                  <c:v>58</c:v>
                </c:pt>
                <c:pt idx="262">
                  <c:v>21</c:v>
                </c:pt>
                <c:pt idx="263">
                  <c:v>35.130000000000003</c:v>
                </c:pt>
                <c:pt idx="264">
                  <c:v>35.130000000000003</c:v>
                </c:pt>
                <c:pt idx="265">
                  <c:v>75</c:v>
                </c:pt>
                <c:pt idx="266">
                  <c:v>50.9</c:v>
                </c:pt>
                <c:pt idx="267">
                  <c:v>67.040000000000006</c:v>
                </c:pt>
                <c:pt idx="268">
                  <c:v>69.040000000000006</c:v>
                </c:pt>
                <c:pt idx="269">
                  <c:v>36.963000000000001</c:v>
                </c:pt>
                <c:pt idx="270">
                  <c:v>44</c:v>
                </c:pt>
                <c:pt idx="271">
                  <c:v>56</c:v>
                </c:pt>
                <c:pt idx="272">
                  <c:v>110</c:v>
                </c:pt>
                <c:pt idx="273">
                  <c:v>101</c:v>
                </c:pt>
                <c:pt idx="274">
                  <c:v>39</c:v>
                </c:pt>
                <c:pt idx="275">
                  <c:v>38</c:v>
                </c:pt>
                <c:pt idx="276">
                  <c:v>35</c:v>
                </c:pt>
                <c:pt idx="277">
                  <c:v>77</c:v>
                </c:pt>
                <c:pt idx="278">
                  <c:v>50</c:v>
                </c:pt>
                <c:pt idx="279">
                  <c:v>48</c:v>
                </c:pt>
                <c:pt idx="280">
                  <c:v>40</c:v>
                </c:pt>
                <c:pt idx="281">
                  <c:v>40</c:v>
                </c:pt>
                <c:pt idx="282">
                  <c:v>30</c:v>
                </c:pt>
                <c:pt idx="283">
                  <c:v>117</c:v>
                </c:pt>
                <c:pt idx="284">
                  <c:v>53.87</c:v>
                </c:pt>
              </c:numCache>
            </c:numRef>
          </c:xVal>
          <c:yVal>
            <c:numRef>
              <c:f>'Cost Function'!$C$39:$C$323</c:f>
              <c:numCache>
                <c:formatCode>"$"#,##0.0</c:formatCode>
                <c:ptCount val="285"/>
                <c:pt idx="110">
                  <c:v>36.778074147618554</c:v>
                </c:pt>
                <c:pt idx="111">
                  <c:v>24.606586792522773</c:v>
                </c:pt>
                <c:pt idx="112">
                  <c:v>13.25032120127613</c:v>
                </c:pt>
                <c:pt idx="113">
                  <c:v>16.881757967986672</c:v>
                </c:pt>
                <c:pt idx="114">
                  <c:v>17.807408874153417</c:v>
                </c:pt>
                <c:pt idx="115">
                  <c:v>20.07541784306337</c:v>
                </c:pt>
                <c:pt idx="116">
                  <c:v>28.839068290051969</c:v>
                </c:pt>
                <c:pt idx="117">
                  <c:v>14.421924568587798</c:v>
                </c:pt>
                <c:pt idx="118">
                  <c:v>11.218931134597224</c:v>
                </c:pt>
                <c:pt idx="119">
                  <c:v>22.645761424949509</c:v>
                </c:pt>
                <c:pt idx="120">
                  <c:v>15.312603897662129</c:v>
                </c:pt>
                <c:pt idx="121">
                  <c:v>16.976246874015271</c:v>
                </c:pt>
                <c:pt idx="122">
                  <c:v>4.1607256421764527</c:v>
                </c:pt>
                <c:pt idx="123">
                  <c:v>9.5910423430896934</c:v>
                </c:pt>
                <c:pt idx="124">
                  <c:v>16.799208864356519</c:v>
                </c:pt>
                <c:pt idx="125">
                  <c:v>8.5974106471763321</c:v>
                </c:pt>
                <c:pt idx="126">
                  <c:v>15.857594575130145</c:v>
                </c:pt>
                <c:pt idx="127">
                  <c:v>20.93393354259711</c:v>
                </c:pt>
                <c:pt idx="128">
                  <c:v>13.046514526232018</c:v>
                </c:pt>
                <c:pt idx="129">
                  <c:v>19.421878307671069</c:v>
                </c:pt>
                <c:pt idx="130">
                  <c:v>20.694074782351972</c:v>
                </c:pt>
                <c:pt idx="131">
                  <c:v>18.43226952271576</c:v>
                </c:pt>
                <c:pt idx="132">
                  <c:v>22.682917854316081</c:v>
                </c:pt>
                <c:pt idx="133">
                  <c:v>21.213217586397207</c:v>
                </c:pt>
                <c:pt idx="134">
                  <c:v>18.793898907718912</c:v>
                </c:pt>
                <c:pt idx="135">
                  <c:v>21.645566351941191</c:v>
                </c:pt>
                <c:pt idx="136">
                  <c:v>19.720912787898005</c:v>
                </c:pt>
                <c:pt idx="137">
                  <c:v>21.891070070767071</c:v>
                </c:pt>
                <c:pt idx="138">
                  <c:v>11.918322205792837</c:v>
                </c:pt>
                <c:pt idx="139">
                  <c:v>19.025252986131726</c:v>
                </c:pt>
                <c:pt idx="140">
                  <c:v>10.457714051889134</c:v>
                </c:pt>
                <c:pt idx="141">
                  <c:v>18.186899144900238</c:v>
                </c:pt>
                <c:pt idx="142">
                  <c:v>18.100769736486626</c:v>
                </c:pt>
                <c:pt idx="143">
                  <c:v>17.67015657430769</c:v>
                </c:pt>
                <c:pt idx="144">
                  <c:v>21.910567439273201</c:v>
                </c:pt>
                <c:pt idx="145">
                  <c:v>30.224460458497123</c:v>
                </c:pt>
                <c:pt idx="146">
                  <c:v>16.098385402135094</c:v>
                </c:pt>
                <c:pt idx="147">
                  <c:v>16.400052388307152</c:v>
                </c:pt>
                <c:pt idx="148">
                  <c:v>22.811062945657291</c:v>
                </c:pt>
                <c:pt idx="149">
                  <c:v>19.673958902637303</c:v>
                </c:pt>
                <c:pt idx="150">
                  <c:v>23.739868266321359</c:v>
                </c:pt>
                <c:pt idx="151">
                  <c:v>19.951546809746667</c:v>
                </c:pt>
                <c:pt idx="152">
                  <c:v>14.373202925420948</c:v>
                </c:pt>
                <c:pt idx="153">
                  <c:v>21.698834823712605</c:v>
                </c:pt>
                <c:pt idx="154">
                  <c:v>26.844036862912738</c:v>
                </c:pt>
                <c:pt idx="155">
                  <c:v>11.24202021846045</c:v>
                </c:pt>
                <c:pt idx="156">
                  <c:v>15.51220894473059</c:v>
                </c:pt>
                <c:pt idx="157">
                  <c:v>19.680962000696528</c:v>
                </c:pt>
                <c:pt idx="158">
                  <c:v>18.406235302496437</c:v>
                </c:pt>
                <c:pt idx="159">
                  <c:v>23.481258744032175</c:v>
                </c:pt>
                <c:pt idx="160">
                  <c:v>12.948215009011957</c:v>
                </c:pt>
                <c:pt idx="161">
                  <c:v>14.033331422486748</c:v>
                </c:pt>
                <c:pt idx="162">
                  <c:v>10.736909066831798</c:v>
                </c:pt>
                <c:pt idx="163">
                  <c:v>20.774841677751532</c:v>
                </c:pt>
                <c:pt idx="164">
                  <c:v>10.74862353158473</c:v>
                </c:pt>
                <c:pt idx="165">
                  <c:v>21.328893636348948</c:v>
                </c:pt>
                <c:pt idx="166">
                  <c:v>14.417214049046967</c:v>
                </c:pt>
                <c:pt idx="167">
                  <c:v>24.697803674226897</c:v>
                </c:pt>
                <c:pt idx="168">
                  <c:v>14.760584180177112</c:v>
                </c:pt>
                <c:pt idx="169">
                  <c:v>24.679237323964443</c:v>
                </c:pt>
                <c:pt idx="170">
                  <c:v>28.341279504462129</c:v>
                </c:pt>
                <c:pt idx="171">
                  <c:v>31.132068130980208</c:v>
                </c:pt>
                <c:pt idx="172">
                  <c:v>18.284153285306729</c:v>
                </c:pt>
                <c:pt idx="173">
                  <c:v>21.341810561864097</c:v>
                </c:pt>
                <c:pt idx="174">
                  <c:v>11.027416471455282</c:v>
                </c:pt>
                <c:pt idx="175">
                  <c:v>17.372323669436312</c:v>
                </c:pt>
                <c:pt idx="176">
                  <c:v>14.814113631279618</c:v>
                </c:pt>
                <c:pt idx="177">
                  <c:v>20.735388184955461</c:v>
                </c:pt>
                <c:pt idx="178">
                  <c:v>22.482229688318004</c:v>
                </c:pt>
                <c:pt idx="179">
                  <c:v>23.878779301945503</c:v>
                </c:pt>
                <c:pt idx="180">
                  <c:v>21.404323463083873</c:v>
                </c:pt>
                <c:pt idx="181">
                  <c:v>22.79130258787935</c:v>
                </c:pt>
                <c:pt idx="182">
                  <c:v>22.082584566553013</c:v>
                </c:pt>
                <c:pt idx="183">
                  <c:v>17.338975795427601</c:v>
                </c:pt>
                <c:pt idx="184">
                  <c:v>22.251446642501474</c:v>
                </c:pt>
                <c:pt idx="185">
                  <c:v>25.459370584793227</c:v>
                </c:pt>
                <c:pt idx="186">
                  <c:v>33.143969189469402</c:v>
                </c:pt>
                <c:pt idx="187">
                  <c:v>23.437297521130496</c:v>
                </c:pt>
                <c:pt idx="188">
                  <c:v>19.604158958084053</c:v>
                </c:pt>
                <c:pt idx="189">
                  <c:v>20.991823928596464</c:v>
                </c:pt>
                <c:pt idx="190">
                  <c:v>22.465529926779467</c:v>
                </c:pt>
                <c:pt idx="191">
                  <c:v>9.3342036302728673</c:v>
                </c:pt>
                <c:pt idx="192">
                  <c:v>19.629417865437667</c:v>
                </c:pt>
                <c:pt idx="193">
                  <c:v>21.524365866278451</c:v>
                </c:pt>
                <c:pt idx="194">
                  <c:v>20.545688609944008</c:v>
                </c:pt>
                <c:pt idx="195">
                  <c:v>18.453870536769514</c:v>
                </c:pt>
                <c:pt idx="196">
                  <c:v>18.876897439106745</c:v>
                </c:pt>
                <c:pt idx="197">
                  <c:v>8.7031229822775042</c:v>
                </c:pt>
                <c:pt idx="198">
                  <c:v>15.450764178118762</c:v>
                </c:pt>
                <c:pt idx="199">
                  <c:v>13.260596655827342</c:v>
                </c:pt>
                <c:pt idx="200">
                  <c:v>21.193717013096855</c:v>
                </c:pt>
                <c:pt idx="201">
                  <c:v>16.631733240213876</c:v>
                </c:pt>
                <c:pt idx="202">
                  <c:v>32.063533413384008</c:v>
                </c:pt>
                <c:pt idx="203">
                  <c:v>15.528043349229463</c:v>
                </c:pt>
                <c:pt idx="204">
                  <c:v>15.437283445034353</c:v>
                </c:pt>
                <c:pt idx="205">
                  <c:v>24.130968610842572</c:v>
                </c:pt>
                <c:pt idx="206">
                  <c:v>14.315472916985184</c:v>
                </c:pt>
                <c:pt idx="207">
                  <c:v>14.672600720889093</c:v>
                </c:pt>
                <c:pt idx="208">
                  <c:v>5.6872409102814867</c:v>
                </c:pt>
                <c:pt idx="209">
                  <c:v>18.43950011138152</c:v>
                </c:pt>
                <c:pt idx="210">
                  <c:v>17.493724136199816</c:v>
                </c:pt>
                <c:pt idx="211">
                  <c:v>22.051476457074493</c:v>
                </c:pt>
                <c:pt idx="212">
                  <c:v>26.474881514191051</c:v>
                </c:pt>
                <c:pt idx="213">
                  <c:v>25.551123362322379</c:v>
                </c:pt>
                <c:pt idx="214">
                  <c:v>10.329277540729267</c:v>
                </c:pt>
                <c:pt idx="215">
                  <c:v>12.467510615037952</c:v>
                </c:pt>
                <c:pt idx="216">
                  <c:v>14.785154679571448</c:v>
                </c:pt>
                <c:pt idx="217">
                  <c:v>16.442301414256082</c:v>
                </c:pt>
                <c:pt idx="218">
                  <c:v>13.444679684020127</c:v>
                </c:pt>
                <c:pt idx="219">
                  <c:v>13.535778037382723</c:v>
                </c:pt>
                <c:pt idx="220">
                  <c:v>15.80558791178823</c:v>
                </c:pt>
                <c:pt idx="221">
                  <c:v>19.58636880391645</c:v>
                </c:pt>
                <c:pt idx="222">
                  <c:v>15.717554196062636</c:v>
                </c:pt>
                <c:pt idx="223">
                  <c:v>25.272957076065214</c:v>
                </c:pt>
                <c:pt idx="224">
                  <c:v>24.284317838923613</c:v>
                </c:pt>
                <c:pt idx="225">
                  <c:v>16.940775058298087</c:v>
                </c:pt>
                <c:pt idx="226">
                  <c:v>8.7297542367249878</c:v>
                </c:pt>
                <c:pt idx="227">
                  <c:v>16.720966309844982</c:v>
                </c:pt>
                <c:pt idx="228">
                  <c:v>15.602709526357405</c:v>
                </c:pt>
                <c:pt idx="229">
                  <c:v>14.368016853685994</c:v>
                </c:pt>
                <c:pt idx="230">
                  <c:v>12.007593756136471</c:v>
                </c:pt>
                <c:pt idx="231">
                  <c:v>12.428911808042386</c:v>
                </c:pt>
                <c:pt idx="232">
                  <c:v>15.987417012011372</c:v>
                </c:pt>
                <c:pt idx="233">
                  <c:v>17.398552455476558</c:v>
                </c:pt>
                <c:pt idx="234">
                  <c:v>20.635647067937235</c:v>
                </c:pt>
                <c:pt idx="235">
                  <c:v>9.5605486512531499</c:v>
                </c:pt>
                <c:pt idx="236">
                  <c:v>11.343666057676106</c:v>
                </c:pt>
                <c:pt idx="237">
                  <c:v>11.551053818283352</c:v>
                </c:pt>
                <c:pt idx="238">
                  <c:v>14.219993992095553</c:v>
                </c:pt>
                <c:pt idx="239">
                  <c:v>20.185865715944502</c:v>
                </c:pt>
                <c:pt idx="240">
                  <c:v>20.159493134242823</c:v>
                </c:pt>
                <c:pt idx="241">
                  <c:v>12.038031208423698</c:v>
                </c:pt>
                <c:pt idx="242">
                  <c:v>13.410720693131255</c:v>
                </c:pt>
                <c:pt idx="243">
                  <c:v>7.6921697361862424</c:v>
                </c:pt>
                <c:pt idx="244">
                  <c:v>1.1703883757222286</c:v>
                </c:pt>
                <c:pt idx="245">
                  <c:v>5.3907286189026609</c:v>
                </c:pt>
                <c:pt idx="246">
                  <c:v>12.475914006599453</c:v>
                </c:pt>
                <c:pt idx="247">
                  <c:v>14.674842324050763</c:v>
                </c:pt>
                <c:pt idx="248">
                  <c:v>11.980787441417062</c:v>
                </c:pt>
                <c:pt idx="249">
                  <c:v>14.431643799592235</c:v>
                </c:pt>
                <c:pt idx="250">
                  <c:v>9.8076985553094307</c:v>
                </c:pt>
                <c:pt idx="251">
                  <c:v>11.370277239705693</c:v>
                </c:pt>
                <c:pt idx="252">
                  <c:v>10.405053893251552</c:v>
                </c:pt>
                <c:pt idx="253">
                  <c:v>19.01258611219972</c:v>
                </c:pt>
                <c:pt idx="254">
                  <c:v>25.00608691603346</c:v>
                </c:pt>
                <c:pt idx="255">
                  <c:v>11.880302896779666</c:v>
                </c:pt>
                <c:pt idx="256">
                  <c:v>16.441205976476603</c:v>
                </c:pt>
                <c:pt idx="257">
                  <c:v>9.8446917792732034</c:v>
                </c:pt>
                <c:pt idx="258">
                  <c:v>17.371090897162489</c:v>
                </c:pt>
                <c:pt idx="259">
                  <c:v>16.310380481299589</c:v>
                </c:pt>
                <c:pt idx="260">
                  <c:v>13.503656757567578</c:v>
                </c:pt>
                <c:pt idx="261">
                  <c:v>24.457622693762993</c:v>
                </c:pt>
                <c:pt idx="262">
                  <c:v>11.464250163728556</c:v>
                </c:pt>
                <c:pt idx="263">
                  <c:v>20.475560340039056</c:v>
                </c:pt>
                <c:pt idx="264">
                  <c:v>20.640758334030458</c:v>
                </c:pt>
                <c:pt idx="265">
                  <c:v>29.561543467136225</c:v>
                </c:pt>
                <c:pt idx="266">
                  <c:v>31.190004214671859</c:v>
                </c:pt>
                <c:pt idx="267">
                  <c:v>28.189943732149782</c:v>
                </c:pt>
                <c:pt idx="268">
                  <c:v>28.460113158527722</c:v>
                </c:pt>
                <c:pt idx="269">
                  <c:v>20.214224299573498</c:v>
                </c:pt>
                <c:pt idx="270">
                  <c:v>19.435595469096977</c:v>
                </c:pt>
                <c:pt idx="271">
                  <c:v>25.22112579102641</c:v>
                </c:pt>
                <c:pt idx="272">
                  <c:v>37.336095341251266</c:v>
                </c:pt>
                <c:pt idx="273">
                  <c:v>35.438364667352474</c:v>
                </c:pt>
                <c:pt idx="274">
                  <c:v>22.621563080664739</c:v>
                </c:pt>
                <c:pt idx="275">
                  <c:v>19.936890235405254</c:v>
                </c:pt>
                <c:pt idx="276">
                  <c:v>17.862606413106292</c:v>
                </c:pt>
                <c:pt idx="277">
                  <c:v>34.732950319817093</c:v>
                </c:pt>
                <c:pt idx="278">
                  <c:v>32.751360167648485</c:v>
                </c:pt>
                <c:pt idx="279">
                  <c:v>31.339538653081593</c:v>
                </c:pt>
                <c:pt idx="280">
                  <c:v>20.767438135708794</c:v>
                </c:pt>
                <c:pt idx="281">
                  <c:v>20.195228140894468</c:v>
                </c:pt>
                <c:pt idx="282">
                  <c:v>14.822730870816603</c:v>
                </c:pt>
                <c:pt idx="283">
                  <c:v>45.007231144972067</c:v>
                </c:pt>
                <c:pt idx="284">
                  <c:v>29.315361115154108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'Cost Function'!$D$38</c:f>
              <c:strCache>
                <c:ptCount val="1"/>
                <c:pt idx="0">
                  <c:v> 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trendline>
            <c:name>Power Curve</c:name>
            <c:spPr>
              <a:ln w="38100">
                <a:solidFill>
                  <a:schemeClr val="tx1"/>
                </a:solidFill>
              </a:ln>
            </c:spPr>
            <c:trendlineType val="power"/>
            <c:backward val="10"/>
            <c:dispRSqr val="0"/>
            <c:dispEq val="1"/>
            <c:trendlineLbl>
              <c:layout>
                <c:manualLayout>
                  <c:x val="-0.20215631805148443"/>
                  <c:y val="3.5383357121093061E-3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Ref>
              <c:f>'Cost Function'!$A$39:$A$323</c:f>
              <c:numCache>
                <c:formatCode>0.0</c:formatCode>
                <c:ptCount val="285"/>
                <c:pt idx="0">
                  <c:v>14</c:v>
                </c:pt>
                <c:pt idx="1">
                  <c:v>8.5</c:v>
                </c:pt>
                <c:pt idx="2">
                  <c:v>30</c:v>
                </c:pt>
                <c:pt idx="3">
                  <c:v>13</c:v>
                </c:pt>
                <c:pt idx="4">
                  <c:v>24.3</c:v>
                </c:pt>
                <c:pt idx="5">
                  <c:v>18</c:v>
                </c:pt>
                <c:pt idx="6">
                  <c:v>6</c:v>
                </c:pt>
                <c:pt idx="7">
                  <c:v>10</c:v>
                </c:pt>
                <c:pt idx="8">
                  <c:v>20</c:v>
                </c:pt>
                <c:pt idx="9">
                  <c:v>17.2</c:v>
                </c:pt>
                <c:pt idx="10">
                  <c:v>20</c:v>
                </c:pt>
                <c:pt idx="11">
                  <c:v>9</c:v>
                </c:pt>
                <c:pt idx="12">
                  <c:v>8</c:v>
                </c:pt>
                <c:pt idx="13">
                  <c:v>13.6</c:v>
                </c:pt>
                <c:pt idx="14">
                  <c:v>10.548</c:v>
                </c:pt>
                <c:pt idx="15">
                  <c:v>27</c:v>
                </c:pt>
                <c:pt idx="16">
                  <c:v>28</c:v>
                </c:pt>
                <c:pt idx="17">
                  <c:v>24</c:v>
                </c:pt>
                <c:pt idx="18">
                  <c:v>43</c:v>
                </c:pt>
                <c:pt idx="19">
                  <c:v>7.5</c:v>
                </c:pt>
                <c:pt idx="20">
                  <c:v>17.8</c:v>
                </c:pt>
                <c:pt idx="21">
                  <c:v>20.6</c:v>
                </c:pt>
                <c:pt idx="22">
                  <c:v>19.600000000000001</c:v>
                </c:pt>
                <c:pt idx="23">
                  <c:v>22</c:v>
                </c:pt>
                <c:pt idx="24">
                  <c:v>18.8</c:v>
                </c:pt>
                <c:pt idx="25">
                  <c:v>15.6</c:v>
                </c:pt>
                <c:pt idx="26">
                  <c:v>19.8</c:v>
                </c:pt>
                <c:pt idx="27">
                  <c:v>28.4</c:v>
                </c:pt>
                <c:pt idx="28">
                  <c:v>19</c:v>
                </c:pt>
                <c:pt idx="29">
                  <c:v>12</c:v>
                </c:pt>
                <c:pt idx="30">
                  <c:v>25</c:v>
                </c:pt>
                <c:pt idx="31">
                  <c:v>15</c:v>
                </c:pt>
                <c:pt idx="32">
                  <c:v>23</c:v>
                </c:pt>
                <c:pt idx="33">
                  <c:v>9.8000000000000007</c:v>
                </c:pt>
                <c:pt idx="34">
                  <c:v>30</c:v>
                </c:pt>
                <c:pt idx="35">
                  <c:v>115</c:v>
                </c:pt>
                <c:pt idx="36">
                  <c:v>67</c:v>
                </c:pt>
                <c:pt idx="37">
                  <c:v>16</c:v>
                </c:pt>
                <c:pt idx="38">
                  <c:v>25</c:v>
                </c:pt>
                <c:pt idx="39">
                  <c:v>8</c:v>
                </c:pt>
                <c:pt idx="40">
                  <c:v>6.2</c:v>
                </c:pt>
                <c:pt idx="41">
                  <c:v>35</c:v>
                </c:pt>
                <c:pt idx="42">
                  <c:v>15.2</c:v>
                </c:pt>
                <c:pt idx="43">
                  <c:v>17</c:v>
                </c:pt>
                <c:pt idx="44">
                  <c:v>8</c:v>
                </c:pt>
                <c:pt idx="45">
                  <c:v>9.4060000000000006</c:v>
                </c:pt>
                <c:pt idx="46">
                  <c:v>18</c:v>
                </c:pt>
                <c:pt idx="47">
                  <c:v>22</c:v>
                </c:pt>
                <c:pt idx="48">
                  <c:v>7.5</c:v>
                </c:pt>
                <c:pt idx="49">
                  <c:v>25</c:v>
                </c:pt>
                <c:pt idx="50">
                  <c:v>25</c:v>
                </c:pt>
                <c:pt idx="51">
                  <c:v>17</c:v>
                </c:pt>
                <c:pt idx="52">
                  <c:v>11</c:v>
                </c:pt>
                <c:pt idx="53">
                  <c:v>17</c:v>
                </c:pt>
                <c:pt idx="54">
                  <c:v>17</c:v>
                </c:pt>
                <c:pt idx="55">
                  <c:v>18</c:v>
                </c:pt>
                <c:pt idx="56">
                  <c:v>46</c:v>
                </c:pt>
                <c:pt idx="57">
                  <c:v>3</c:v>
                </c:pt>
                <c:pt idx="58">
                  <c:v>22</c:v>
                </c:pt>
                <c:pt idx="59">
                  <c:v>12</c:v>
                </c:pt>
                <c:pt idx="60">
                  <c:v>25</c:v>
                </c:pt>
                <c:pt idx="61">
                  <c:v>11</c:v>
                </c:pt>
                <c:pt idx="62">
                  <c:v>10</c:v>
                </c:pt>
                <c:pt idx="63">
                  <c:v>9</c:v>
                </c:pt>
                <c:pt idx="64">
                  <c:v>25</c:v>
                </c:pt>
                <c:pt idx="65">
                  <c:v>45</c:v>
                </c:pt>
                <c:pt idx="66">
                  <c:v>10.5</c:v>
                </c:pt>
                <c:pt idx="67">
                  <c:v>60</c:v>
                </c:pt>
                <c:pt idx="68">
                  <c:v>11.2</c:v>
                </c:pt>
                <c:pt idx="69">
                  <c:v>20</c:v>
                </c:pt>
                <c:pt idx="70">
                  <c:v>16</c:v>
                </c:pt>
                <c:pt idx="71">
                  <c:v>18</c:v>
                </c:pt>
                <c:pt idx="72">
                  <c:v>10</c:v>
                </c:pt>
                <c:pt idx="73">
                  <c:v>20</c:v>
                </c:pt>
                <c:pt idx="74">
                  <c:v>17</c:v>
                </c:pt>
                <c:pt idx="75">
                  <c:v>12</c:v>
                </c:pt>
                <c:pt idx="76">
                  <c:v>40</c:v>
                </c:pt>
                <c:pt idx="77">
                  <c:v>57</c:v>
                </c:pt>
                <c:pt idx="78">
                  <c:v>45</c:v>
                </c:pt>
                <c:pt idx="79">
                  <c:v>52</c:v>
                </c:pt>
                <c:pt idx="80">
                  <c:v>20</c:v>
                </c:pt>
                <c:pt idx="81">
                  <c:v>8</c:v>
                </c:pt>
                <c:pt idx="82">
                  <c:v>15</c:v>
                </c:pt>
                <c:pt idx="83">
                  <c:v>34</c:v>
                </c:pt>
                <c:pt idx="84">
                  <c:v>27</c:v>
                </c:pt>
                <c:pt idx="85">
                  <c:v>35</c:v>
                </c:pt>
                <c:pt idx="86">
                  <c:v>18.399999999999999</c:v>
                </c:pt>
                <c:pt idx="87">
                  <c:v>7.2</c:v>
                </c:pt>
                <c:pt idx="88">
                  <c:v>21</c:v>
                </c:pt>
                <c:pt idx="89">
                  <c:v>17.899999999999999</c:v>
                </c:pt>
                <c:pt idx="90">
                  <c:v>46</c:v>
                </c:pt>
                <c:pt idx="91">
                  <c:v>24.1</c:v>
                </c:pt>
                <c:pt idx="92">
                  <c:v>2.2000000000000002</c:v>
                </c:pt>
                <c:pt idx="93">
                  <c:v>1.464</c:v>
                </c:pt>
                <c:pt idx="94">
                  <c:v>4.0750000000000002</c:v>
                </c:pt>
                <c:pt idx="95">
                  <c:v>10</c:v>
                </c:pt>
                <c:pt idx="96">
                  <c:v>4.8</c:v>
                </c:pt>
                <c:pt idx="97">
                  <c:v>5.0999999999999996</c:v>
                </c:pt>
                <c:pt idx="98">
                  <c:v>6.9</c:v>
                </c:pt>
                <c:pt idx="99">
                  <c:v>11.8</c:v>
                </c:pt>
                <c:pt idx="100">
                  <c:v>9.6999999999999993</c:v>
                </c:pt>
                <c:pt idx="101">
                  <c:v>6.12</c:v>
                </c:pt>
                <c:pt idx="102">
                  <c:v>6.2671999999999999</c:v>
                </c:pt>
                <c:pt idx="103">
                  <c:v>6.3659999999999997</c:v>
                </c:pt>
                <c:pt idx="104">
                  <c:v>8.5</c:v>
                </c:pt>
                <c:pt idx="105">
                  <c:v>46.55</c:v>
                </c:pt>
                <c:pt idx="106">
                  <c:v>56.8</c:v>
                </c:pt>
                <c:pt idx="107">
                  <c:v>81.575999999999993</c:v>
                </c:pt>
                <c:pt idx="108">
                  <c:v>95.2</c:v>
                </c:pt>
                <c:pt idx="109">
                  <c:v>122.77200000000001</c:v>
                </c:pt>
                <c:pt idx="110">
                  <c:v>48.2</c:v>
                </c:pt>
                <c:pt idx="111">
                  <c:v>48.2</c:v>
                </c:pt>
                <c:pt idx="112">
                  <c:v>20.77</c:v>
                </c:pt>
                <c:pt idx="113">
                  <c:v>27.4</c:v>
                </c:pt>
                <c:pt idx="114">
                  <c:v>29.1</c:v>
                </c:pt>
                <c:pt idx="115">
                  <c:v>38.9</c:v>
                </c:pt>
                <c:pt idx="116">
                  <c:v>46.1</c:v>
                </c:pt>
                <c:pt idx="117">
                  <c:v>25.6</c:v>
                </c:pt>
                <c:pt idx="118">
                  <c:v>14.391999999999999</c:v>
                </c:pt>
                <c:pt idx="119">
                  <c:v>41.4</c:v>
                </c:pt>
                <c:pt idx="120">
                  <c:v>13.4</c:v>
                </c:pt>
                <c:pt idx="121">
                  <c:v>17.7</c:v>
                </c:pt>
                <c:pt idx="122">
                  <c:v>3.5</c:v>
                </c:pt>
                <c:pt idx="123">
                  <c:v>14.5</c:v>
                </c:pt>
                <c:pt idx="124">
                  <c:v>51.2</c:v>
                </c:pt>
                <c:pt idx="125">
                  <c:v>15.400000000000002</c:v>
                </c:pt>
                <c:pt idx="126">
                  <c:v>10</c:v>
                </c:pt>
                <c:pt idx="127">
                  <c:v>24.3</c:v>
                </c:pt>
                <c:pt idx="128">
                  <c:v>16.169</c:v>
                </c:pt>
                <c:pt idx="129">
                  <c:v>27.7</c:v>
                </c:pt>
                <c:pt idx="130">
                  <c:v>35.799999999999997</c:v>
                </c:pt>
                <c:pt idx="131">
                  <c:v>29.329000000000001</c:v>
                </c:pt>
                <c:pt idx="132">
                  <c:v>18.899999999999999</c:v>
                </c:pt>
                <c:pt idx="133">
                  <c:v>41</c:v>
                </c:pt>
                <c:pt idx="134">
                  <c:v>26</c:v>
                </c:pt>
                <c:pt idx="135">
                  <c:v>23.63</c:v>
                </c:pt>
                <c:pt idx="136">
                  <c:v>22.6</c:v>
                </c:pt>
                <c:pt idx="137">
                  <c:v>39.5</c:v>
                </c:pt>
                <c:pt idx="138">
                  <c:v>16</c:v>
                </c:pt>
                <c:pt idx="139">
                  <c:v>36</c:v>
                </c:pt>
                <c:pt idx="140">
                  <c:v>14.8</c:v>
                </c:pt>
                <c:pt idx="141">
                  <c:v>17.8</c:v>
                </c:pt>
                <c:pt idx="142">
                  <c:v>38.799999999999997</c:v>
                </c:pt>
                <c:pt idx="143">
                  <c:v>19.3</c:v>
                </c:pt>
                <c:pt idx="144">
                  <c:v>65.5</c:v>
                </c:pt>
                <c:pt idx="145">
                  <c:v>65.5</c:v>
                </c:pt>
                <c:pt idx="146">
                  <c:v>23.87</c:v>
                </c:pt>
                <c:pt idx="147">
                  <c:v>29.3</c:v>
                </c:pt>
                <c:pt idx="148">
                  <c:v>29.3</c:v>
                </c:pt>
                <c:pt idx="149">
                  <c:v>46.2</c:v>
                </c:pt>
                <c:pt idx="150">
                  <c:v>21.5</c:v>
                </c:pt>
                <c:pt idx="151">
                  <c:v>37.799999999999997</c:v>
                </c:pt>
                <c:pt idx="152">
                  <c:v>26.5</c:v>
                </c:pt>
                <c:pt idx="153">
                  <c:v>60.3</c:v>
                </c:pt>
                <c:pt idx="154">
                  <c:v>24.6</c:v>
                </c:pt>
                <c:pt idx="155">
                  <c:v>14</c:v>
                </c:pt>
                <c:pt idx="156">
                  <c:v>25.425999999999998</c:v>
                </c:pt>
                <c:pt idx="157">
                  <c:v>28.7</c:v>
                </c:pt>
                <c:pt idx="158">
                  <c:v>32.9</c:v>
                </c:pt>
                <c:pt idx="159">
                  <c:v>28</c:v>
                </c:pt>
                <c:pt idx="160">
                  <c:v>19</c:v>
                </c:pt>
                <c:pt idx="161">
                  <c:v>13.6</c:v>
                </c:pt>
                <c:pt idx="162">
                  <c:v>15.9</c:v>
                </c:pt>
                <c:pt idx="163">
                  <c:v>18.399999999999999</c:v>
                </c:pt>
                <c:pt idx="164">
                  <c:v>12.211</c:v>
                </c:pt>
                <c:pt idx="165">
                  <c:v>23</c:v>
                </c:pt>
                <c:pt idx="166">
                  <c:v>32.700000000000003</c:v>
                </c:pt>
                <c:pt idx="167">
                  <c:v>21</c:v>
                </c:pt>
                <c:pt idx="168">
                  <c:v>9.5</c:v>
                </c:pt>
                <c:pt idx="169">
                  <c:v>64.55</c:v>
                </c:pt>
                <c:pt idx="170">
                  <c:v>65.87</c:v>
                </c:pt>
                <c:pt idx="171">
                  <c:v>65.87</c:v>
                </c:pt>
                <c:pt idx="172">
                  <c:v>36.1</c:v>
                </c:pt>
                <c:pt idx="173">
                  <c:v>36.1</c:v>
                </c:pt>
                <c:pt idx="174">
                  <c:v>6.9</c:v>
                </c:pt>
                <c:pt idx="175">
                  <c:v>28.9</c:v>
                </c:pt>
                <c:pt idx="176">
                  <c:v>26</c:v>
                </c:pt>
                <c:pt idx="177">
                  <c:v>53.3</c:v>
                </c:pt>
                <c:pt idx="178">
                  <c:v>32.799999999999997</c:v>
                </c:pt>
                <c:pt idx="179">
                  <c:v>46.904000000000003</c:v>
                </c:pt>
                <c:pt idx="180">
                  <c:v>25.2</c:v>
                </c:pt>
                <c:pt idx="181">
                  <c:v>41.7</c:v>
                </c:pt>
                <c:pt idx="182">
                  <c:v>47.4</c:v>
                </c:pt>
                <c:pt idx="183">
                  <c:v>23.9</c:v>
                </c:pt>
                <c:pt idx="184">
                  <c:v>39.299999999999997</c:v>
                </c:pt>
                <c:pt idx="185">
                  <c:v>24.4</c:v>
                </c:pt>
                <c:pt idx="186">
                  <c:v>24.4</c:v>
                </c:pt>
                <c:pt idx="187">
                  <c:v>21.1</c:v>
                </c:pt>
                <c:pt idx="188">
                  <c:v>25.2</c:v>
                </c:pt>
                <c:pt idx="189">
                  <c:v>39.741999999999997</c:v>
                </c:pt>
                <c:pt idx="190">
                  <c:v>60.6</c:v>
                </c:pt>
                <c:pt idx="191">
                  <c:v>17.2</c:v>
                </c:pt>
                <c:pt idx="192">
                  <c:v>17.2</c:v>
                </c:pt>
                <c:pt idx="193">
                  <c:v>34.9</c:v>
                </c:pt>
                <c:pt idx="194">
                  <c:v>39.04</c:v>
                </c:pt>
                <c:pt idx="195">
                  <c:v>41.7</c:v>
                </c:pt>
                <c:pt idx="196">
                  <c:v>23.9</c:v>
                </c:pt>
                <c:pt idx="197">
                  <c:v>11.7</c:v>
                </c:pt>
                <c:pt idx="198">
                  <c:v>21.7</c:v>
                </c:pt>
                <c:pt idx="199">
                  <c:v>10.1</c:v>
                </c:pt>
                <c:pt idx="200">
                  <c:v>55.7</c:v>
                </c:pt>
                <c:pt idx="201">
                  <c:v>28.1</c:v>
                </c:pt>
                <c:pt idx="202">
                  <c:v>49.3</c:v>
                </c:pt>
                <c:pt idx="203">
                  <c:v>13.4</c:v>
                </c:pt>
                <c:pt idx="204">
                  <c:v>30.7</c:v>
                </c:pt>
                <c:pt idx="205">
                  <c:v>50</c:v>
                </c:pt>
                <c:pt idx="206">
                  <c:v>25</c:v>
                </c:pt>
                <c:pt idx="207">
                  <c:v>12.974</c:v>
                </c:pt>
                <c:pt idx="208">
                  <c:v>8.51</c:v>
                </c:pt>
                <c:pt idx="209">
                  <c:v>22</c:v>
                </c:pt>
                <c:pt idx="210">
                  <c:v>42.5</c:v>
                </c:pt>
                <c:pt idx="211">
                  <c:v>47</c:v>
                </c:pt>
                <c:pt idx="212">
                  <c:v>56</c:v>
                </c:pt>
                <c:pt idx="213">
                  <c:v>57</c:v>
                </c:pt>
                <c:pt idx="214">
                  <c:v>13.95</c:v>
                </c:pt>
                <c:pt idx="215">
                  <c:v>18</c:v>
                </c:pt>
                <c:pt idx="216">
                  <c:v>24</c:v>
                </c:pt>
                <c:pt idx="217">
                  <c:v>31.26</c:v>
                </c:pt>
                <c:pt idx="218">
                  <c:v>16.8</c:v>
                </c:pt>
                <c:pt idx="219">
                  <c:v>11</c:v>
                </c:pt>
                <c:pt idx="220">
                  <c:v>15</c:v>
                </c:pt>
                <c:pt idx="221">
                  <c:v>32</c:v>
                </c:pt>
                <c:pt idx="222">
                  <c:v>47.43</c:v>
                </c:pt>
                <c:pt idx="223">
                  <c:v>52.8</c:v>
                </c:pt>
                <c:pt idx="224">
                  <c:v>52</c:v>
                </c:pt>
                <c:pt idx="225">
                  <c:v>26.29</c:v>
                </c:pt>
                <c:pt idx="226">
                  <c:v>9.2460000000000004</c:v>
                </c:pt>
                <c:pt idx="227">
                  <c:v>26.541</c:v>
                </c:pt>
                <c:pt idx="228">
                  <c:v>20</c:v>
                </c:pt>
                <c:pt idx="229">
                  <c:v>13.05</c:v>
                </c:pt>
                <c:pt idx="230">
                  <c:v>10.496</c:v>
                </c:pt>
                <c:pt idx="231">
                  <c:v>22.5</c:v>
                </c:pt>
                <c:pt idx="232">
                  <c:v>8.5</c:v>
                </c:pt>
                <c:pt idx="233">
                  <c:v>31</c:v>
                </c:pt>
                <c:pt idx="234">
                  <c:v>45</c:v>
                </c:pt>
                <c:pt idx="235">
                  <c:v>12</c:v>
                </c:pt>
                <c:pt idx="236">
                  <c:v>16</c:v>
                </c:pt>
                <c:pt idx="237">
                  <c:v>10.071999999999999</c:v>
                </c:pt>
                <c:pt idx="238">
                  <c:v>15</c:v>
                </c:pt>
                <c:pt idx="239">
                  <c:v>40.4</c:v>
                </c:pt>
                <c:pt idx="240">
                  <c:v>40</c:v>
                </c:pt>
                <c:pt idx="241">
                  <c:v>13</c:v>
                </c:pt>
                <c:pt idx="242">
                  <c:v>14.4</c:v>
                </c:pt>
                <c:pt idx="243">
                  <c:v>8.4</c:v>
                </c:pt>
                <c:pt idx="244">
                  <c:v>2</c:v>
                </c:pt>
                <c:pt idx="245">
                  <c:v>13</c:v>
                </c:pt>
                <c:pt idx="246">
                  <c:v>25.55</c:v>
                </c:pt>
                <c:pt idx="247">
                  <c:v>28.1</c:v>
                </c:pt>
                <c:pt idx="248">
                  <c:v>18</c:v>
                </c:pt>
                <c:pt idx="249">
                  <c:v>24</c:v>
                </c:pt>
                <c:pt idx="250">
                  <c:v>15</c:v>
                </c:pt>
                <c:pt idx="251">
                  <c:v>6.4</c:v>
                </c:pt>
                <c:pt idx="252">
                  <c:v>13.6</c:v>
                </c:pt>
                <c:pt idx="253">
                  <c:v>40</c:v>
                </c:pt>
                <c:pt idx="254">
                  <c:v>50</c:v>
                </c:pt>
                <c:pt idx="255">
                  <c:v>25.22</c:v>
                </c:pt>
                <c:pt idx="256">
                  <c:v>26.22</c:v>
                </c:pt>
                <c:pt idx="257">
                  <c:v>9.1999999999999993</c:v>
                </c:pt>
                <c:pt idx="258">
                  <c:v>31</c:v>
                </c:pt>
                <c:pt idx="259">
                  <c:v>19</c:v>
                </c:pt>
                <c:pt idx="260">
                  <c:v>20</c:v>
                </c:pt>
                <c:pt idx="261">
                  <c:v>58</c:v>
                </c:pt>
                <c:pt idx="262">
                  <c:v>21</c:v>
                </c:pt>
                <c:pt idx="263">
                  <c:v>35.130000000000003</c:v>
                </c:pt>
                <c:pt idx="264">
                  <c:v>35.130000000000003</c:v>
                </c:pt>
                <c:pt idx="265">
                  <c:v>75</c:v>
                </c:pt>
                <c:pt idx="266">
                  <c:v>50.9</c:v>
                </c:pt>
                <c:pt idx="267">
                  <c:v>67.040000000000006</c:v>
                </c:pt>
                <c:pt idx="268">
                  <c:v>69.040000000000006</c:v>
                </c:pt>
                <c:pt idx="269">
                  <c:v>36.963000000000001</c:v>
                </c:pt>
                <c:pt idx="270">
                  <c:v>44</c:v>
                </c:pt>
                <c:pt idx="271">
                  <c:v>56</c:v>
                </c:pt>
                <c:pt idx="272">
                  <c:v>110</c:v>
                </c:pt>
                <c:pt idx="273">
                  <c:v>101</c:v>
                </c:pt>
                <c:pt idx="274">
                  <c:v>39</c:v>
                </c:pt>
                <c:pt idx="275">
                  <c:v>38</c:v>
                </c:pt>
                <c:pt idx="276">
                  <c:v>35</c:v>
                </c:pt>
                <c:pt idx="277">
                  <c:v>77</c:v>
                </c:pt>
                <c:pt idx="278">
                  <c:v>50</c:v>
                </c:pt>
                <c:pt idx="279">
                  <c:v>48</c:v>
                </c:pt>
                <c:pt idx="280">
                  <c:v>40</c:v>
                </c:pt>
                <c:pt idx="281">
                  <c:v>40</c:v>
                </c:pt>
                <c:pt idx="282">
                  <c:v>30</c:v>
                </c:pt>
                <c:pt idx="283">
                  <c:v>117</c:v>
                </c:pt>
                <c:pt idx="284">
                  <c:v>53.87</c:v>
                </c:pt>
              </c:numCache>
            </c:numRef>
          </c:xVal>
          <c:yVal>
            <c:numRef>
              <c:f>'Cost Function'!$D$39:$D$323</c:f>
              <c:numCache>
                <c:formatCode>"$"#,##0.0</c:formatCode>
                <c:ptCount val="285"/>
                <c:pt idx="0">
                  <c:v>16.861812370959647</c:v>
                </c:pt>
                <c:pt idx="1">
                  <c:v>6.0182252638842719</c:v>
                </c:pt>
                <c:pt idx="2">
                  <c:v>14.998991377977235</c:v>
                </c:pt>
                <c:pt idx="3">
                  <c:v>11.164764224012115</c:v>
                </c:pt>
                <c:pt idx="4">
                  <c:v>11.705577131494863</c:v>
                </c:pt>
                <c:pt idx="5">
                  <c:v>31.659927445331629</c:v>
                </c:pt>
                <c:pt idx="6">
                  <c:v>9.6396451057157435</c:v>
                </c:pt>
                <c:pt idx="7">
                  <c:v>16.009559216092757</c:v>
                </c:pt>
                <c:pt idx="8">
                  <c:v>16.293644713264708</c:v>
                </c:pt>
                <c:pt idx="9">
                  <c:v>8.9094125785416409</c:v>
                </c:pt>
                <c:pt idx="10">
                  <c:v>17.299482978955592</c:v>
                </c:pt>
                <c:pt idx="11">
                  <c:v>9.9511250787738224</c:v>
                </c:pt>
                <c:pt idx="12">
                  <c:v>6.0754029342110369</c:v>
                </c:pt>
                <c:pt idx="13">
                  <c:v>10.90270245998838</c:v>
                </c:pt>
                <c:pt idx="14">
                  <c:v>9.3004925979781259</c:v>
                </c:pt>
                <c:pt idx="15">
                  <c:v>13.07265503282744</c:v>
                </c:pt>
                <c:pt idx="16">
                  <c:v>34.903749706800433</c:v>
                </c:pt>
                <c:pt idx="17">
                  <c:v>13.650794587226329</c:v>
                </c:pt>
                <c:pt idx="18">
                  <c:v>26.816090615909914</c:v>
                </c:pt>
                <c:pt idx="19">
                  <c:v>9.5130592102135658</c:v>
                </c:pt>
                <c:pt idx="20">
                  <c:v>13.152201549137706</c:v>
                </c:pt>
                <c:pt idx="21">
                  <c:v>11.291169205189183</c:v>
                </c:pt>
                <c:pt idx="22">
                  <c:v>20.965601428070691</c:v>
                </c:pt>
                <c:pt idx="23">
                  <c:v>13.309615571039751</c:v>
                </c:pt>
                <c:pt idx="24">
                  <c:v>7.9463711126733889</c:v>
                </c:pt>
                <c:pt idx="25">
                  <c:v>13.99971574022935</c:v>
                </c:pt>
                <c:pt idx="26">
                  <c:v>7.2248521864398549</c:v>
                </c:pt>
                <c:pt idx="27">
                  <c:v>5.2101531080390755</c:v>
                </c:pt>
                <c:pt idx="28">
                  <c:v>13.758834109767626</c:v>
                </c:pt>
                <c:pt idx="29">
                  <c:v>4.4533584840568787</c:v>
                </c:pt>
                <c:pt idx="30">
                  <c:v>12.931754132918639</c:v>
                </c:pt>
                <c:pt idx="31">
                  <c:v>14.973718181093032</c:v>
                </c:pt>
                <c:pt idx="32">
                  <c:v>28.66706963950903</c:v>
                </c:pt>
                <c:pt idx="33">
                  <c:v>7.0657947644327148</c:v>
                </c:pt>
                <c:pt idx="34">
                  <c:v>16.03232257186292</c:v>
                </c:pt>
                <c:pt idx="35">
                  <c:v>56.859498956472109</c:v>
                </c:pt>
                <c:pt idx="36">
                  <c:v>43.13883453102715</c:v>
                </c:pt>
                <c:pt idx="37">
                  <c:v>7.5134124542159286</c:v>
                </c:pt>
                <c:pt idx="38">
                  <c:v>22.308265318441425</c:v>
                </c:pt>
                <c:pt idx="39">
                  <c:v>5.0823375539699818</c:v>
                </c:pt>
                <c:pt idx="40">
                  <c:v>8.9160103759227685</c:v>
                </c:pt>
                <c:pt idx="41">
                  <c:v>8.3689831482940882</c:v>
                </c:pt>
                <c:pt idx="42">
                  <c:v>54.551770509232071</c:v>
                </c:pt>
                <c:pt idx="43">
                  <c:v>10.739901169983137</c:v>
                </c:pt>
                <c:pt idx="44">
                  <c:v>3.3788339951362953</c:v>
                </c:pt>
                <c:pt idx="45">
                  <c:v>9.7991326901064184</c:v>
                </c:pt>
                <c:pt idx="46">
                  <c:v>11.984110505191126</c:v>
                </c:pt>
                <c:pt idx="47">
                  <c:v>16.606728766354362</c:v>
                </c:pt>
                <c:pt idx="48">
                  <c:v>8.5880709825089685</c:v>
                </c:pt>
                <c:pt idx="49">
                  <c:v>8.6091983279462436</c:v>
                </c:pt>
                <c:pt idx="50">
                  <c:v>8.2434360504581008</c:v>
                </c:pt>
                <c:pt idx="51">
                  <c:v>6.9318595783251213</c:v>
                </c:pt>
                <c:pt idx="52">
                  <c:v>19.087371326529755</c:v>
                </c:pt>
                <c:pt idx="53">
                  <c:v>5.2657663175025586</c:v>
                </c:pt>
                <c:pt idx="54">
                  <c:v>7.7921694439597555</c:v>
                </c:pt>
                <c:pt idx="55">
                  <c:v>11.923356574074873</c:v>
                </c:pt>
                <c:pt idx="56">
                  <c:v>58.100097147658744</c:v>
                </c:pt>
                <c:pt idx="57">
                  <c:v>10.634643135603309</c:v>
                </c:pt>
                <c:pt idx="58">
                  <c:v>7.1174715515965792</c:v>
                </c:pt>
                <c:pt idx="59">
                  <c:v>20.217898457447252</c:v>
                </c:pt>
                <c:pt idx="60">
                  <c:v>15.17251837286627</c:v>
                </c:pt>
                <c:pt idx="61">
                  <c:v>12.628076471206382</c:v>
                </c:pt>
                <c:pt idx="62">
                  <c:v>24.362790290493837</c:v>
                </c:pt>
                <c:pt idx="63">
                  <c:v>14.71443826778331</c:v>
                </c:pt>
                <c:pt idx="64">
                  <c:v>9.825778201045452</c:v>
                </c:pt>
                <c:pt idx="65">
                  <c:v>25.798393978216257</c:v>
                </c:pt>
                <c:pt idx="66">
                  <c:v>13.501544643115857</c:v>
                </c:pt>
                <c:pt idx="67">
                  <c:v>25.887106037100622</c:v>
                </c:pt>
                <c:pt idx="68">
                  <c:v>26.918199168374588</c:v>
                </c:pt>
                <c:pt idx="69">
                  <c:v>13.969254162639503</c:v>
                </c:pt>
                <c:pt idx="70">
                  <c:v>17.647037003819346</c:v>
                </c:pt>
                <c:pt idx="71">
                  <c:v>8.4369732753123952</c:v>
                </c:pt>
                <c:pt idx="72">
                  <c:v>8.8753762889293544</c:v>
                </c:pt>
                <c:pt idx="73">
                  <c:v>27.761077137379147</c:v>
                </c:pt>
                <c:pt idx="74">
                  <c:v>11.725448588458148</c:v>
                </c:pt>
                <c:pt idx="75">
                  <c:v>7.5607136656563343</c:v>
                </c:pt>
                <c:pt idx="76">
                  <c:v>26.381292343151443</c:v>
                </c:pt>
                <c:pt idx="77">
                  <c:v>12.653662771089085</c:v>
                </c:pt>
                <c:pt idx="78">
                  <c:v>63.556235718349399</c:v>
                </c:pt>
                <c:pt idx="79">
                  <c:v>22.631695273294461</c:v>
                </c:pt>
                <c:pt idx="80">
                  <c:v>18.636695744675041</c:v>
                </c:pt>
                <c:pt idx="81">
                  <c:v>19.611656992669992</c:v>
                </c:pt>
                <c:pt idx="82">
                  <c:v>16.109333942693336</c:v>
                </c:pt>
                <c:pt idx="83">
                  <c:v>8.9679522578977586</c:v>
                </c:pt>
                <c:pt idx="84">
                  <c:v>13.07265503282744</c:v>
                </c:pt>
                <c:pt idx="85">
                  <c:v>35.276341164894447</c:v>
                </c:pt>
                <c:pt idx="86">
                  <c:v>18.765793673519447</c:v>
                </c:pt>
                <c:pt idx="87">
                  <c:v>12.99271394051414</c:v>
                </c:pt>
                <c:pt idx="88">
                  <c:v>15.965955598995766</c:v>
                </c:pt>
                <c:pt idx="89">
                  <c:v>17.172783979023848</c:v>
                </c:pt>
                <c:pt idx="90">
                  <c:v>53.518330212347877</c:v>
                </c:pt>
                <c:pt idx="91">
                  <c:v>7.0843108002972475</c:v>
                </c:pt>
                <c:pt idx="92">
                  <c:v>2.4933711786255444</c:v>
                </c:pt>
                <c:pt idx="93">
                  <c:v>1.4940223849019025</c:v>
                </c:pt>
                <c:pt idx="94">
                  <c:v>1.9369408873503524</c:v>
                </c:pt>
                <c:pt idx="95">
                  <c:v>8.526519330793306</c:v>
                </c:pt>
                <c:pt idx="96">
                  <c:v>4.0521826998299986</c:v>
                </c:pt>
                <c:pt idx="97">
                  <c:v>9.6482174286466869</c:v>
                </c:pt>
                <c:pt idx="98">
                  <c:v>5.029432718717521</c:v>
                </c:pt>
                <c:pt idx="99">
                  <c:v>6.372939235597177</c:v>
                </c:pt>
                <c:pt idx="100">
                  <c:v>2.9443376052628771</c:v>
                </c:pt>
                <c:pt idx="101">
                  <c:v>13.481108575958453</c:v>
                </c:pt>
                <c:pt idx="102">
                  <c:v>2.9102311039234974</c:v>
                </c:pt>
                <c:pt idx="103">
                  <c:v>9.8906921245327926</c:v>
                </c:pt>
                <c:pt idx="104">
                  <c:v>5.9446476688134462</c:v>
                </c:pt>
                <c:pt idx="105">
                  <c:v>7.1936227504100643</c:v>
                </c:pt>
                <c:pt idx="106">
                  <c:v>17.594466678549747</c:v>
                </c:pt>
                <c:pt idx="107">
                  <c:v>14.026199251012313</c:v>
                </c:pt>
                <c:pt idx="108">
                  <c:v>14.219904176944949</c:v>
                </c:pt>
                <c:pt idx="109">
                  <c:v>23.447549869052086</c:v>
                </c:pt>
                <c:pt idx="110">
                  <c:v>36.778074147618554</c:v>
                </c:pt>
                <c:pt idx="111">
                  <c:v>24.606586792522773</c:v>
                </c:pt>
                <c:pt idx="112">
                  <c:v>13.25032120127613</c:v>
                </c:pt>
                <c:pt idx="113">
                  <c:v>16.881757967986672</c:v>
                </c:pt>
                <c:pt idx="114">
                  <c:v>17.807408874153417</c:v>
                </c:pt>
                <c:pt idx="115">
                  <c:v>20.07541784306337</c:v>
                </c:pt>
                <c:pt idx="116">
                  <c:v>28.839068290051969</c:v>
                </c:pt>
                <c:pt idx="117">
                  <c:v>14.421924568587798</c:v>
                </c:pt>
                <c:pt idx="118">
                  <c:v>11.218931134597224</c:v>
                </c:pt>
                <c:pt idx="119">
                  <c:v>22.645761424949509</c:v>
                </c:pt>
                <c:pt idx="120">
                  <c:v>15.312603897662129</c:v>
                </c:pt>
                <c:pt idx="121">
                  <c:v>16.976246874015271</c:v>
                </c:pt>
                <c:pt idx="122">
                  <c:v>4.1607256421764527</c:v>
                </c:pt>
                <c:pt idx="123">
                  <c:v>9.5910423430896934</c:v>
                </c:pt>
                <c:pt idx="124">
                  <c:v>16.799208864356519</c:v>
                </c:pt>
                <c:pt idx="125">
                  <c:v>8.5974106471763321</c:v>
                </c:pt>
                <c:pt idx="126">
                  <c:v>15.857594575130145</c:v>
                </c:pt>
                <c:pt idx="127">
                  <c:v>20.93393354259711</c:v>
                </c:pt>
                <c:pt idx="128">
                  <c:v>13.046514526232018</c:v>
                </c:pt>
                <c:pt idx="129">
                  <c:v>19.421878307671069</c:v>
                </c:pt>
                <c:pt idx="130">
                  <c:v>20.694074782351972</c:v>
                </c:pt>
                <c:pt idx="131">
                  <c:v>18.43226952271576</c:v>
                </c:pt>
                <c:pt idx="132">
                  <c:v>22.682917854316081</c:v>
                </c:pt>
                <c:pt idx="133">
                  <c:v>21.213217586397207</c:v>
                </c:pt>
                <c:pt idx="134">
                  <c:v>18.793898907718912</c:v>
                </c:pt>
                <c:pt idx="135">
                  <c:v>21.645566351941191</c:v>
                </c:pt>
                <c:pt idx="136">
                  <c:v>19.720912787898005</c:v>
                </c:pt>
                <c:pt idx="137">
                  <c:v>21.891070070767071</c:v>
                </c:pt>
                <c:pt idx="138">
                  <c:v>11.918322205792837</c:v>
                </c:pt>
                <c:pt idx="139">
                  <c:v>19.025252986131726</c:v>
                </c:pt>
                <c:pt idx="140">
                  <c:v>10.457714051889134</c:v>
                </c:pt>
                <c:pt idx="141">
                  <c:v>18.186899144900238</c:v>
                </c:pt>
                <c:pt idx="142">
                  <c:v>18.100769736486626</c:v>
                </c:pt>
                <c:pt idx="143">
                  <c:v>17.67015657430769</c:v>
                </c:pt>
                <c:pt idx="144">
                  <c:v>21.910567439273201</c:v>
                </c:pt>
                <c:pt idx="145">
                  <c:v>30.224460458497123</c:v>
                </c:pt>
                <c:pt idx="146">
                  <c:v>16.098385402135094</c:v>
                </c:pt>
                <c:pt idx="147">
                  <c:v>16.400052388307152</c:v>
                </c:pt>
                <c:pt idx="148">
                  <c:v>22.811062945657291</c:v>
                </c:pt>
                <c:pt idx="149">
                  <c:v>19.673958902637303</c:v>
                </c:pt>
                <c:pt idx="150">
                  <c:v>23.739868266321359</c:v>
                </c:pt>
                <c:pt idx="151">
                  <c:v>19.951546809746667</c:v>
                </c:pt>
                <c:pt idx="152">
                  <c:v>14.373202925420948</c:v>
                </c:pt>
                <c:pt idx="153">
                  <c:v>21.698834823712605</c:v>
                </c:pt>
                <c:pt idx="154">
                  <c:v>26.844036862912738</c:v>
                </c:pt>
                <c:pt idx="155">
                  <c:v>11.24202021846045</c:v>
                </c:pt>
                <c:pt idx="156">
                  <c:v>15.51220894473059</c:v>
                </c:pt>
                <c:pt idx="157">
                  <c:v>19.680962000696528</c:v>
                </c:pt>
                <c:pt idx="158">
                  <c:v>18.406235302496437</c:v>
                </c:pt>
                <c:pt idx="159">
                  <c:v>23.481258744032175</c:v>
                </c:pt>
                <c:pt idx="160">
                  <c:v>12.948215009011957</c:v>
                </c:pt>
                <c:pt idx="161">
                  <c:v>14.033331422486748</c:v>
                </c:pt>
                <c:pt idx="162">
                  <c:v>10.736909066831798</c:v>
                </c:pt>
                <c:pt idx="163">
                  <c:v>20.774841677751532</c:v>
                </c:pt>
                <c:pt idx="164">
                  <c:v>10.74862353158473</c:v>
                </c:pt>
                <c:pt idx="165">
                  <c:v>21.328893636348948</c:v>
                </c:pt>
                <c:pt idx="166">
                  <c:v>14.417214049046967</c:v>
                </c:pt>
                <c:pt idx="167">
                  <c:v>24.697803674226897</c:v>
                </c:pt>
                <c:pt idx="168">
                  <c:v>14.760584180177112</c:v>
                </c:pt>
                <c:pt idx="169">
                  <c:v>24.679237323964443</c:v>
                </c:pt>
                <c:pt idx="170">
                  <c:v>28.341279504462129</c:v>
                </c:pt>
                <c:pt idx="171">
                  <c:v>31.132068130980208</c:v>
                </c:pt>
                <c:pt idx="172">
                  <c:v>18.284153285306729</c:v>
                </c:pt>
                <c:pt idx="173">
                  <c:v>21.341810561864097</c:v>
                </c:pt>
                <c:pt idx="174">
                  <c:v>11.027416471455282</c:v>
                </c:pt>
                <c:pt idx="175">
                  <c:v>17.372323669436312</c:v>
                </c:pt>
                <c:pt idx="176">
                  <c:v>14.814113631279618</c:v>
                </c:pt>
                <c:pt idx="177">
                  <c:v>20.735388184955461</c:v>
                </c:pt>
                <c:pt idx="178">
                  <c:v>22.482229688318004</c:v>
                </c:pt>
                <c:pt idx="179">
                  <c:v>23.878779301945503</c:v>
                </c:pt>
                <c:pt idx="180">
                  <c:v>21.404323463083873</c:v>
                </c:pt>
                <c:pt idx="181">
                  <c:v>22.79130258787935</c:v>
                </c:pt>
                <c:pt idx="182">
                  <c:v>22.082584566553013</c:v>
                </c:pt>
                <c:pt idx="183">
                  <c:v>17.338975795427601</c:v>
                </c:pt>
                <c:pt idx="184">
                  <c:v>22.251446642501474</c:v>
                </c:pt>
                <c:pt idx="185">
                  <c:v>25.459370584793227</c:v>
                </c:pt>
                <c:pt idx="186">
                  <c:v>33.143969189469402</c:v>
                </c:pt>
                <c:pt idx="187">
                  <c:v>23.437297521130496</c:v>
                </c:pt>
                <c:pt idx="188">
                  <c:v>19.604158958084053</c:v>
                </c:pt>
                <c:pt idx="189">
                  <c:v>20.991823928596464</c:v>
                </c:pt>
                <c:pt idx="190">
                  <c:v>22.465529926779467</c:v>
                </c:pt>
                <c:pt idx="191">
                  <c:v>9.3342036302728673</c:v>
                </c:pt>
                <c:pt idx="192">
                  <c:v>19.629417865437667</c:v>
                </c:pt>
                <c:pt idx="193">
                  <c:v>21.524365866278451</c:v>
                </c:pt>
                <c:pt idx="194">
                  <c:v>20.545688609944008</c:v>
                </c:pt>
                <c:pt idx="195">
                  <c:v>18.453870536769514</c:v>
                </c:pt>
                <c:pt idx="196">
                  <c:v>18.876897439106745</c:v>
                </c:pt>
                <c:pt idx="197">
                  <c:v>8.7031229822775042</c:v>
                </c:pt>
                <c:pt idx="198">
                  <c:v>15.450764178118762</c:v>
                </c:pt>
                <c:pt idx="199">
                  <c:v>13.260596655827342</c:v>
                </c:pt>
                <c:pt idx="200">
                  <c:v>21.193717013096855</c:v>
                </c:pt>
                <c:pt idx="201">
                  <c:v>16.631733240213876</c:v>
                </c:pt>
                <c:pt idx="202">
                  <c:v>32.063533413384008</c:v>
                </c:pt>
                <c:pt idx="203">
                  <c:v>15.528043349229463</c:v>
                </c:pt>
                <c:pt idx="204">
                  <c:v>15.437283445034353</c:v>
                </c:pt>
                <c:pt idx="205">
                  <c:v>24.130968610842572</c:v>
                </c:pt>
                <c:pt idx="206">
                  <c:v>14.315472916985184</c:v>
                </c:pt>
                <c:pt idx="207">
                  <c:v>14.672600720889093</c:v>
                </c:pt>
                <c:pt idx="208">
                  <c:v>5.6872409102814867</c:v>
                </c:pt>
                <c:pt idx="209">
                  <c:v>18.43950011138152</c:v>
                </c:pt>
                <c:pt idx="210">
                  <c:v>17.493724136199816</c:v>
                </c:pt>
                <c:pt idx="211">
                  <c:v>22.051476457074493</c:v>
                </c:pt>
                <c:pt idx="212">
                  <c:v>26.474881514191051</c:v>
                </c:pt>
                <c:pt idx="213">
                  <c:v>25.551123362322379</c:v>
                </c:pt>
                <c:pt idx="214">
                  <c:v>10.329277540729267</c:v>
                </c:pt>
                <c:pt idx="215">
                  <c:v>12.467510615037952</c:v>
                </c:pt>
                <c:pt idx="216">
                  <c:v>14.785154679571448</c:v>
                </c:pt>
                <c:pt idx="217">
                  <c:v>16.442301414256082</c:v>
                </c:pt>
                <c:pt idx="218">
                  <c:v>13.444679684020127</c:v>
                </c:pt>
                <c:pt idx="219">
                  <c:v>13.535778037382723</c:v>
                </c:pt>
                <c:pt idx="220">
                  <c:v>15.80558791178823</c:v>
                </c:pt>
                <c:pt idx="221">
                  <c:v>19.58636880391645</c:v>
                </c:pt>
                <c:pt idx="222">
                  <c:v>15.717554196062636</c:v>
                </c:pt>
                <c:pt idx="223">
                  <c:v>25.272957076065214</c:v>
                </c:pt>
                <c:pt idx="224">
                  <c:v>24.284317838923613</c:v>
                </c:pt>
                <c:pt idx="225">
                  <c:v>16.940775058298087</c:v>
                </c:pt>
                <c:pt idx="226">
                  <c:v>8.7297542367249878</c:v>
                </c:pt>
                <c:pt idx="227">
                  <c:v>16.720966309844982</c:v>
                </c:pt>
                <c:pt idx="228">
                  <c:v>15.602709526357405</c:v>
                </c:pt>
                <c:pt idx="229">
                  <c:v>14.368016853685994</c:v>
                </c:pt>
                <c:pt idx="230">
                  <c:v>12.007593756136471</c:v>
                </c:pt>
                <c:pt idx="231">
                  <c:v>12.428911808042386</c:v>
                </c:pt>
                <c:pt idx="232">
                  <c:v>15.987417012011372</c:v>
                </c:pt>
                <c:pt idx="233">
                  <c:v>17.398552455476558</c:v>
                </c:pt>
                <c:pt idx="234">
                  <c:v>20.635647067937235</c:v>
                </c:pt>
                <c:pt idx="235">
                  <c:v>9.5605486512531499</c:v>
                </c:pt>
                <c:pt idx="236">
                  <c:v>11.343666057676106</c:v>
                </c:pt>
                <c:pt idx="237">
                  <c:v>11.551053818283352</c:v>
                </c:pt>
                <c:pt idx="238">
                  <c:v>14.219993992095553</c:v>
                </c:pt>
                <c:pt idx="239">
                  <c:v>20.185865715944502</c:v>
                </c:pt>
                <c:pt idx="240">
                  <c:v>20.159493134242823</c:v>
                </c:pt>
                <c:pt idx="241">
                  <c:v>12.038031208423698</c:v>
                </c:pt>
                <c:pt idx="242">
                  <c:v>13.410720693131255</c:v>
                </c:pt>
                <c:pt idx="243">
                  <c:v>7.6921697361862424</c:v>
                </c:pt>
                <c:pt idx="244">
                  <c:v>1.1703883757222286</c:v>
                </c:pt>
                <c:pt idx="245">
                  <c:v>5.3907286189026609</c:v>
                </c:pt>
                <c:pt idx="246">
                  <c:v>12.475914006599453</c:v>
                </c:pt>
                <c:pt idx="247">
                  <c:v>14.674842324050763</c:v>
                </c:pt>
                <c:pt idx="248">
                  <c:v>11.980787441417062</c:v>
                </c:pt>
                <c:pt idx="249">
                  <c:v>14.431643799592235</c:v>
                </c:pt>
                <c:pt idx="250">
                  <c:v>9.8076985553094307</c:v>
                </c:pt>
                <c:pt idx="251">
                  <c:v>11.370277239705693</c:v>
                </c:pt>
                <c:pt idx="252">
                  <c:v>10.405053893251552</c:v>
                </c:pt>
                <c:pt idx="253">
                  <c:v>19.01258611219972</c:v>
                </c:pt>
                <c:pt idx="254">
                  <c:v>25.00608691603346</c:v>
                </c:pt>
                <c:pt idx="255">
                  <c:v>11.880302896779666</c:v>
                </c:pt>
                <c:pt idx="256">
                  <c:v>16.441205976476603</c:v>
                </c:pt>
                <c:pt idx="257">
                  <c:v>9.8446917792732034</c:v>
                </c:pt>
                <c:pt idx="258">
                  <c:v>17.371090897162489</c:v>
                </c:pt>
                <c:pt idx="259">
                  <c:v>16.310380481299589</c:v>
                </c:pt>
                <c:pt idx="260">
                  <c:v>13.503656757567578</c:v>
                </c:pt>
                <c:pt idx="261">
                  <c:v>24.457622693762993</c:v>
                </c:pt>
                <c:pt idx="262">
                  <c:v>11.464250163728556</c:v>
                </c:pt>
                <c:pt idx="263">
                  <c:v>20.475560340039056</c:v>
                </c:pt>
                <c:pt idx="264">
                  <c:v>20.640758334030458</c:v>
                </c:pt>
                <c:pt idx="265">
                  <c:v>29.561543467136225</c:v>
                </c:pt>
                <c:pt idx="266">
                  <c:v>31.190004214671859</c:v>
                </c:pt>
                <c:pt idx="267">
                  <c:v>28.189943732149782</c:v>
                </c:pt>
                <c:pt idx="268">
                  <c:v>28.460113158527722</c:v>
                </c:pt>
                <c:pt idx="269">
                  <c:v>20.214224299573498</c:v>
                </c:pt>
                <c:pt idx="270">
                  <c:v>19.435595469096977</c:v>
                </c:pt>
                <c:pt idx="271">
                  <c:v>25.22112579102641</c:v>
                </c:pt>
                <c:pt idx="272">
                  <c:v>37.336095341251266</c:v>
                </c:pt>
                <c:pt idx="273">
                  <c:v>35.438364667352474</c:v>
                </c:pt>
                <c:pt idx="274">
                  <c:v>22.621563080664739</c:v>
                </c:pt>
                <c:pt idx="275">
                  <c:v>19.936890235405254</c:v>
                </c:pt>
                <c:pt idx="276">
                  <c:v>17.862606413106292</c:v>
                </c:pt>
                <c:pt idx="277">
                  <c:v>34.732950319817093</c:v>
                </c:pt>
                <c:pt idx="278">
                  <c:v>32.751360167648485</c:v>
                </c:pt>
                <c:pt idx="279">
                  <c:v>31.339538653081593</c:v>
                </c:pt>
                <c:pt idx="280">
                  <c:v>20.767438135708794</c:v>
                </c:pt>
                <c:pt idx="281">
                  <c:v>20.195228140894468</c:v>
                </c:pt>
                <c:pt idx="282">
                  <c:v>14.822730870816603</c:v>
                </c:pt>
                <c:pt idx="283">
                  <c:v>45.007231144972067</c:v>
                </c:pt>
                <c:pt idx="284">
                  <c:v>29.315361115154108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692736"/>
        <c:axId val="126694912"/>
      </c:scatterChart>
      <c:valAx>
        <c:axId val="126692736"/>
        <c:scaling>
          <c:orientation val="minMax"/>
          <c:max val="80"/>
          <c:min val="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CA"/>
                  <a:t>Maximum DTS Contract Capacity, MW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6694912"/>
        <c:crosses val="autoZero"/>
        <c:crossBetween val="midCat"/>
        <c:majorUnit val="5"/>
      </c:valAx>
      <c:valAx>
        <c:axId val="1266949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CA"/>
                  <a:t>Construction Cost, $ 000 000</a:t>
                </a:r>
              </a:p>
            </c:rich>
          </c:tx>
          <c:layout/>
          <c:overlay val="0"/>
        </c:title>
        <c:numFmt formatCode="\$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6692736"/>
        <c:crosses val="autoZero"/>
        <c:crossBetween val="midCat"/>
      </c:valAx>
    </c:plotArea>
    <c:legend>
      <c:legendPos val="t"/>
      <c:layout/>
      <c:overlay val="0"/>
      <c:spPr>
        <a:ln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683559</xdr:colOff>
      <xdr:row>0</xdr:row>
      <xdr:rowOff>89647</xdr:rowOff>
    </xdr:from>
    <xdr:to>
      <xdr:col>8</xdr:col>
      <xdr:colOff>812045</xdr:colOff>
      <xdr:row>6</xdr:row>
      <xdr:rowOff>47471</xdr:rowOff>
    </xdr:to>
    <xdr:pic>
      <xdr:nvPicPr>
        <xdr:cNvPr id="2" name="Picture 1" descr="aeso_n_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1859" y="89647"/>
          <a:ext cx="1585811" cy="929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19050</xdr:rowOff>
    </xdr:from>
    <xdr:to>
      <xdr:col>6</xdr:col>
      <xdr:colOff>0</xdr:colOff>
      <xdr:row>35</xdr:row>
      <xdr:rowOff>0</xdr:rowOff>
    </xdr:to>
    <xdr:graphicFrame macro="">
      <xdr:nvGraphicFramePr>
        <xdr:cNvPr id="204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</xdr:row>
          <xdr:rowOff>0</xdr:rowOff>
        </xdr:from>
        <xdr:to>
          <xdr:col>10</xdr:col>
          <xdr:colOff>495300</xdr:colOff>
          <xdr:row>54</xdr:row>
          <xdr:rowOff>95250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3288.569686805553" createdVersion="4" refreshedVersion="4" minRefreshableVersion="3" recordCount="285">
  <cacheSource type="worksheet">
    <worksheetSource ref="A7:I292" sheet="Contract vs Installed"/>
  </cacheSource>
  <cacheFields count="9">
    <cacheField name="Proj #" numFmtId="0">
      <sharedItems containsMixedTypes="1" containsNumber="1" containsInteger="1" minValue="8" maxValue="1700"/>
    </cacheField>
    <cacheField name="TFO" numFmtId="0">
      <sharedItems containsBlank="1"/>
    </cacheField>
    <cacheField name="Connect Type" numFmtId="0">
      <sharedItems containsBlank="1"/>
    </cacheField>
    <cacheField name="Sub #" numFmtId="0">
      <sharedItems containsBlank="1"/>
    </cacheField>
    <cacheField name="Project Type" numFmtId="0">
      <sharedItems/>
    </cacheField>
    <cacheField name="Contract Capacity (MW)" numFmtId="168">
      <sharedItems containsSemiMixedTypes="0" containsString="0" containsNumber="1" minValue="1.464" maxValue="122.77200000000001"/>
    </cacheField>
    <cacheField name="Installed Capacity (MW)" numFmtId="168">
      <sharedItems containsSemiMixedTypes="0" containsString="0" containsNumber="1" minValue="4.5" maxValue="500"/>
    </cacheField>
    <cacheField name="Participant-Related Costs_x000a_($ 2018)" numFmtId="177">
      <sharedItems containsSemiMixedTypes="0" containsString="0" containsNumber="1" minValue="28818.936071529555" maxValue="63556235.718349397"/>
    </cacheField>
    <cacheField name="Installed / Contract" numFmtId="183">
      <sharedItems containsSemiMixedTypes="0" containsString="0" containsNumber="1" minValue="0.79523809523809519" maxValue="41.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5">
  <r>
    <n v="476"/>
    <s v="AML"/>
    <s v="DFO-T"/>
    <s v="104S"/>
    <s v="Greenfield Load"/>
    <n v="14"/>
    <n v="22.5"/>
    <n v="16861812.370959647"/>
    <n v="1.6071428571428572"/>
  </r>
  <r>
    <n v="478"/>
    <s v="AML"/>
    <s v="DFO-T"/>
    <s v="106S"/>
    <s v="Greenfield Load"/>
    <n v="8.5"/>
    <n v="15.03"/>
    <n v="6018225.2638842715"/>
    <n v="1.7682352941176469"/>
  </r>
  <r>
    <n v="473"/>
    <s v="AML"/>
    <s v="DFO-T"/>
    <s v="108S"/>
    <s v="Greenfield Load"/>
    <n v="30"/>
    <n v="45"/>
    <n v="14998991.377977235"/>
    <n v="1.5"/>
  </r>
  <r>
    <n v="1042"/>
    <s v="AML"/>
    <s v="DFO-D"/>
    <s v="140S"/>
    <s v="Greenfield Load"/>
    <n v="13"/>
    <n v="22.5"/>
    <n v="11164764.224012116"/>
    <n v="1.7307692307692308"/>
  </r>
  <r>
    <n v="443"/>
    <s v="AML"/>
    <s v="DFO-D"/>
    <s v="155S"/>
    <s v="Greenfield Load"/>
    <n v="24.3"/>
    <n v="35.1"/>
    <n v="11705577.131494863"/>
    <n v="1.4444444444444444"/>
  </r>
  <r>
    <n v="1195"/>
    <s v="AML"/>
    <s v="DFO-D"/>
    <s v="183S"/>
    <s v="Greenfield Load"/>
    <n v="18"/>
    <n v="45"/>
    <n v="31659927.445331629"/>
    <n v="2.5"/>
  </r>
  <r>
    <n v="420"/>
    <s v="AML"/>
    <s v="DFO-T"/>
    <s v="185S"/>
    <s v="Greenfield Load"/>
    <n v="6"/>
    <n v="22.5"/>
    <n v="9639645.1057157442"/>
    <n v="3.75"/>
  </r>
  <r>
    <n v="440"/>
    <s v="AML"/>
    <s v="DFO-D"/>
    <s v="186S"/>
    <s v="Greenfield Load"/>
    <n v="10"/>
    <n v="37.800000000000004"/>
    <n v="16009559.216092756"/>
    <n v="3.7800000000000002"/>
  </r>
  <r>
    <n v="1102"/>
    <s v="ATCO"/>
    <s v="DFO-T"/>
    <s v="2014S"/>
    <s v="Greenfield Load"/>
    <n v="20"/>
    <n v="45"/>
    <n v="16293644.713264707"/>
    <n v="2.25"/>
  </r>
  <r>
    <n v="324"/>
    <s v="AML"/>
    <s v="DFO-D"/>
    <s v="207S"/>
    <s v="Greenfield Load"/>
    <n v="17.2"/>
    <n v="22.5"/>
    <n v="8909412.5785416402"/>
    <n v="1.308139534883721"/>
  </r>
  <r>
    <n v="1103"/>
    <s v="ATCO"/>
    <s v="DFO-T"/>
    <s v="2082S"/>
    <s v="Greenfield Load"/>
    <n v="20"/>
    <n v="23.400000000000002"/>
    <n v="17299482.978955593"/>
    <n v="1.1700000000000002"/>
  </r>
  <r>
    <n v="386"/>
    <s v="AML"/>
    <s v="DFO-T"/>
    <s v="230S"/>
    <s v="Greenfield Load"/>
    <n v="9"/>
    <n v="14.940000000000001"/>
    <n v="9951125.0787738226"/>
    <n v="1.6600000000000001"/>
  </r>
  <r>
    <n v="80"/>
    <s v="TAU"/>
    <s v="DFO-T"/>
    <s v="242S"/>
    <s v="Greenfield Load"/>
    <n v="8"/>
    <n v="14.940000000000001"/>
    <n v="6075402.9342110371"/>
    <n v="1.8675000000000002"/>
  </r>
  <r>
    <n v="1052"/>
    <s v="AML"/>
    <s v="DFO-D"/>
    <s v="257S"/>
    <s v="Greenfield Load"/>
    <n v="13.6"/>
    <n v="37.800000000000004"/>
    <n v="10902702.45998838"/>
    <n v="2.7794117647058827"/>
  </r>
  <r>
    <n v="347"/>
    <s v="AML"/>
    <s v="DFO-T"/>
    <s v="286S"/>
    <s v="Greenfield Load"/>
    <n v="10.548"/>
    <n v="75.600000000000009"/>
    <n v="9300492.5979781263"/>
    <n v="7.167235494880547"/>
  </r>
  <r>
    <n v="1358"/>
    <s v="AML"/>
    <s v="DFO-T"/>
    <s v="293S"/>
    <s v="Greenfield Load"/>
    <n v="27"/>
    <n v="59.4"/>
    <n v="13072655.032827439"/>
    <n v="2.1999999999999997"/>
  </r>
  <r>
    <n v="584"/>
    <s v="AML"/>
    <s v="DFO-D"/>
    <s v="325S"/>
    <s v="Greenfield Load"/>
    <n v="28"/>
    <n v="37.800000000000004"/>
    <n v="34903749.706800431"/>
    <n v="1.35"/>
  </r>
  <r>
    <n v="422"/>
    <s v="AML"/>
    <s v="DFO-T"/>
    <s v="348S"/>
    <s v="Greenfield Load"/>
    <n v="24"/>
    <n v="45"/>
    <n v="13650794.587226329"/>
    <n v="1.875"/>
  </r>
  <r>
    <n v="944"/>
    <s v="EPCOR"/>
    <s v="DFO-D"/>
    <s v="37S"/>
    <s v="Greenfield Load"/>
    <n v="43"/>
    <n v="135"/>
    <n v="26816090.615909915"/>
    <n v="3.13953488372093"/>
  </r>
  <r>
    <n v="387"/>
    <s v="AML"/>
    <s v="DFO-T"/>
    <s v="404S"/>
    <s v="Greenfield Load"/>
    <n v="7.5"/>
    <n v="14.940000000000001"/>
    <n v="9513059.2102135662"/>
    <n v="1.9920000000000002"/>
  </r>
  <r>
    <n v="587"/>
    <s v="AML"/>
    <s v="DFO-T"/>
    <s v="405S"/>
    <s v="Greenfield Load"/>
    <n v="17.8"/>
    <n v="22.5"/>
    <n v="13152201.549137706"/>
    <n v="1.2640449438202246"/>
  </r>
  <r>
    <n v="585"/>
    <s v="AML"/>
    <s v="DFO-D"/>
    <s v="420S"/>
    <s v="Greenfield Load"/>
    <n v="20.6"/>
    <n v="37.800000000000004"/>
    <n v="11291169.205189183"/>
    <n v="1.8349514563106797"/>
  </r>
  <r>
    <n v="831"/>
    <s v="AML"/>
    <s v="DFO-D"/>
    <s v="422S"/>
    <s v="Greenfield Load"/>
    <n v="19.600000000000001"/>
    <n v="37.800000000000004"/>
    <n v="20965601.42807069"/>
    <n v="1.9285714285714286"/>
  </r>
  <r>
    <n v="340"/>
    <s v="AML"/>
    <s v="DFO-T"/>
    <s v="431S"/>
    <s v="Greenfield Load"/>
    <n v="22"/>
    <n v="45"/>
    <n v="13309615.571039751"/>
    <n v="2.0454545454545454"/>
  </r>
  <r>
    <n v="334"/>
    <s v="AML"/>
    <s v="DFO-D"/>
    <s v="432S"/>
    <s v="Greenfield Load"/>
    <n v="18.8"/>
    <n v="22.5"/>
    <n v="7946371.1126733888"/>
    <n v="1.1968085106382977"/>
  </r>
  <r>
    <n v="343"/>
    <s v="AML"/>
    <s v="DFO-D"/>
    <s v="435S"/>
    <s v="Greenfield Load"/>
    <n v="15.6"/>
    <n v="22.5"/>
    <n v="13999715.74022935"/>
    <n v="1.4423076923076923"/>
  </r>
  <r>
    <n v="358"/>
    <s v="AML"/>
    <s v="DFO-D"/>
    <s v="45S"/>
    <s v="Greenfield Load"/>
    <n v="19.8"/>
    <n v="35.1"/>
    <n v="7224852.186439855"/>
    <n v="1.7727272727272727"/>
  </r>
  <r>
    <n v="702"/>
    <s v="AML"/>
    <s v="DFO-D"/>
    <s v="478S"/>
    <s v="Greenfield Load"/>
    <n v="28.4"/>
    <n v="37.800000000000004"/>
    <n v="5210153.1080390755"/>
    <n v="1.330985915492958"/>
  </r>
  <r>
    <n v="526"/>
    <s v="AML and ATCO"/>
    <s v="DFO-T"/>
    <s v="508S"/>
    <s v="Greenfield Load"/>
    <n v="19"/>
    <n v="22.5"/>
    <n v="13758834.109767627"/>
    <n v="1.1842105263157894"/>
  </r>
  <r>
    <n v="288"/>
    <s v="AML"/>
    <s v="DFO-T"/>
    <s v="536S"/>
    <s v="Greenfield Load"/>
    <n v="12"/>
    <n v="22.5"/>
    <n v="4453358.4840568788"/>
    <n v="1.875"/>
  </r>
  <r>
    <n v="851"/>
    <s v="AML"/>
    <s v="DFO-T"/>
    <s v="558S"/>
    <s v="Greenfield Load"/>
    <n v="25"/>
    <n v="29.97"/>
    <n v="12931754.132918639"/>
    <n v="1.1987999999999999"/>
  </r>
  <r>
    <n v="648"/>
    <s v="AML"/>
    <s v="DFO-D"/>
    <s v="580S"/>
    <s v="Greenfield Load"/>
    <n v="15"/>
    <n v="45"/>
    <n v="14973718.181093032"/>
    <n v="3"/>
  </r>
  <r>
    <n v="855"/>
    <s v="AML"/>
    <s v="DFO-D"/>
    <s v="595S"/>
    <s v="Greenfield Load"/>
    <n v="23"/>
    <n v="37.800000000000004"/>
    <n v="28667069.63950903"/>
    <n v="1.6434782608695655"/>
  </r>
  <r>
    <n v="700"/>
    <s v="AML"/>
    <s v="DFO-T"/>
    <s v="635S"/>
    <s v="Greenfield Load"/>
    <n v="9.8000000000000007"/>
    <n v="37.800000000000004"/>
    <n v="7065794.7644327153"/>
    <n v="3.8571428571428572"/>
  </r>
  <r>
    <n v="683"/>
    <s v="AML"/>
    <s v="DFO-D"/>
    <s v="651S"/>
    <s v="Greenfield Load"/>
    <n v="30"/>
    <n v="90"/>
    <n v="16032322.571862921"/>
    <n v="3"/>
  </r>
  <r>
    <n v="559"/>
    <s v="AML"/>
    <s v="DFO-T"/>
    <s v="681S"/>
    <s v="Greenfield Load"/>
    <n v="115"/>
    <n v="360"/>
    <n v="56859498.956472106"/>
    <n v="3.1304347826086958"/>
  </r>
  <r>
    <n v="1074"/>
    <s v="AML"/>
    <s v="DFO-D"/>
    <s v="698S"/>
    <s v="Greenfield Load"/>
    <n v="67"/>
    <n v="90"/>
    <n v="43138834.531027153"/>
    <n v="1.3432835820895523"/>
  </r>
  <r>
    <n v="34"/>
    <s v="ATCO"/>
    <s v="DFO-D"/>
    <s v="716S"/>
    <s v="Greenfield Load"/>
    <n v="16"/>
    <n v="45"/>
    <n v="7513412.4542159289"/>
    <n v="2.8125"/>
  </r>
  <r>
    <n v="433"/>
    <s v="AML"/>
    <s v="DFO-D"/>
    <s v="723S"/>
    <s v="Greenfield Load"/>
    <n v="25"/>
    <n v="90"/>
    <n v="22308265.318441425"/>
    <n v="3.6"/>
  </r>
  <r>
    <s v="79A"/>
    <s v="ATCO"/>
    <s v="DFO-D"/>
    <s v="820S"/>
    <s v="Greenfield Load"/>
    <n v="8"/>
    <n v="37.440000000000005"/>
    <n v="5082337.5539699821"/>
    <n v="4.6800000000000006"/>
  </r>
  <r>
    <s v="10A"/>
    <s v="ATCO"/>
    <s v="DFO-D"/>
    <s v="833S"/>
    <s v="Greenfield Load"/>
    <n v="6.2"/>
    <n v="22.5"/>
    <n v="8916010.3759227693"/>
    <n v="3.629032258064516"/>
  </r>
  <r>
    <n v="345"/>
    <s v="ATCO"/>
    <s v="DFO-D"/>
    <s v="849S"/>
    <s v="Greenfield Load"/>
    <n v="35"/>
    <n v="45"/>
    <n v="8368983.1482940875"/>
    <n v="1.2857142857142858"/>
  </r>
  <r>
    <n v="1049"/>
    <s v="AML"/>
    <s v="DFO-D"/>
    <s v="852S"/>
    <s v="Greenfield Load"/>
    <n v="15.2"/>
    <n v="90"/>
    <n v="54551770.509232074"/>
    <n v="5.9210526315789478"/>
  </r>
  <r>
    <n v="230"/>
    <s v="ATCO"/>
    <s v="DFO-D"/>
    <s v="856S"/>
    <s v="Greenfield Load"/>
    <n v="17"/>
    <n v="45"/>
    <n v="10739901.169983137"/>
    <n v="2.6470588235294117"/>
  </r>
  <r>
    <s v="79B"/>
    <s v="ATCO"/>
    <s v="DFO-D"/>
    <s v="860S"/>
    <s v="Greenfield Load"/>
    <n v="8"/>
    <n v="14.940000000000001"/>
    <n v="3378833.9951362954"/>
    <n v="1.8675000000000002"/>
  </r>
  <r>
    <s v="10B"/>
    <s v="ATCO"/>
    <s v="DFO-D"/>
    <s v="875S"/>
    <s v="Greenfield Load"/>
    <n v="9.4060000000000006"/>
    <n v="22.5"/>
    <n v="9799132.690106418"/>
    <n v="2.392090155220072"/>
  </r>
  <r>
    <n v="8"/>
    <s v="ATCO"/>
    <s v="DFO-D"/>
    <s v="876S"/>
    <s v="Greenfield Load"/>
    <n v="18"/>
    <n v="42.03"/>
    <n v="11984110.505191125"/>
    <n v="2.335"/>
  </r>
  <r>
    <n v="487"/>
    <s v="ATCO"/>
    <s v="DFO-D"/>
    <s v="886S"/>
    <s v="Greenfield Load"/>
    <n v="22"/>
    <n v="37.440000000000005"/>
    <n v="16606728.766354362"/>
    <n v="1.7018181818181821"/>
  </r>
  <r>
    <n v="385"/>
    <s v="ATCO"/>
    <s v="DFO-T"/>
    <s v="892S"/>
    <s v="Greenfield Load"/>
    <n v="7.5"/>
    <n v="14.940000000000001"/>
    <n v="8588070.9825089686"/>
    <n v="1.9920000000000002"/>
  </r>
  <r>
    <n v="865"/>
    <s v="ATCO"/>
    <s v="DFO-T"/>
    <s v="893S"/>
    <s v="Greenfield Load"/>
    <n v="25"/>
    <n v="29.97"/>
    <n v="8609198.3279462438"/>
    <n v="1.1987999999999999"/>
  </r>
  <r>
    <n v="863"/>
    <s v="ATCO"/>
    <s v="DFO-T"/>
    <s v="896S"/>
    <s v="Greenfield Load"/>
    <n v="25"/>
    <n v="29.97"/>
    <n v="8243436.0504581006"/>
    <n v="1.1987999999999999"/>
  </r>
  <r>
    <n v="527"/>
    <s v="ATCO"/>
    <s v="DFO-T"/>
    <s v="903S"/>
    <s v="Greenfield Load"/>
    <n v="17"/>
    <n v="22.5"/>
    <n v="6931859.5783251217"/>
    <n v="1.3235294117647058"/>
  </r>
  <r>
    <n v="595"/>
    <s v="AML and ATCO"/>
    <s v="DFO-T"/>
    <s v="907S"/>
    <s v="Greenfield Load"/>
    <n v="11"/>
    <n v="37.800000000000004"/>
    <n v="19087371.326529756"/>
    <n v="3.436363636363637"/>
  </r>
  <r>
    <n v="528"/>
    <s v="ATCO"/>
    <s v="DFO-T"/>
    <s v="910S"/>
    <s v="Greenfield Load"/>
    <n v="17"/>
    <n v="22.5"/>
    <n v="5265766.3175025582"/>
    <n v="1.3235294117647058"/>
  </r>
  <r>
    <n v="529"/>
    <s v="AML and ATCO"/>
    <s v="DFO-T"/>
    <s v="914S"/>
    <s v="Greenfield Load"/>
    <n v="17"/>
    <n v="22.5"/>
    <n v="7792169.4439597558"/>
    <n v="1.3235294117647058"/>
  </r>
  <r>
    <n v="1095"/>
    <s v="ATCO"/>
    <s v="DFO-T"/>
    <s v="918S"/>
    <s v="Greenfield Load"/>
    <n v="18"/>
    <n v="22.5"/>
    <n v="11923356.574074874"/>
    <n v="1.25"/>
  </r>
  <r>
    <n v="561"/>
    <s v="ATCO"/>
    <s v="DFO-T"/>
    <s v="925S"/>
    <s v="Greenfield Load"/>
    <n v="46"/>
    <n v="135"/>
    <n v="58100097.147658743"/>
    <n v="2.9347826086956523"/>
  </r>
  <r>
    <n v="1018"/>
    <s v="ATCO"/>
    <s v="DFO-D"/>
    <s v="927S"/>
    <s v="Greenfield Load"/>
    <n v="3"/>
    <n v="22.5"/>
    <n v="10634643.135603309"/>
    <n v="7.5"/>
  </r>
  <r>
    <n v="360"/>
    <s v="AML"/>
    <s v="DFO-D"/>
    <s v="92S"/>
    <s v="Greenfield Load"/>
    <n v="22"/>
    <n v="37.800000000000004"/>
    <n v="7117471.5515965791"/>
    <n v="1.7181818181818185"/>
  </r>
  <r>
    <n v="1106"/>
    <s v="ATCO"/>
    <s v="DFO-T"/>
    <s v="931S"/>
    <s v="Greenfield Load"/>
    <n v="12"/>
    <n v="22.5"/>
    <n v="20217898.457447253"/>
    <n v="1.875"/>
  </r>
  <r>
    <n v="899"/>
    <s v="ATCO"/>
    <s v="DFO-D"/>
    <s v="933S"/>
    <s v="Greenfield Load"/>
    <n v="25"/>
    <n v="45"/>
    <n v="15172518.372866269"/>
    <n v="1.8"/>
  </r>
  <r>
    <n v="1191"/>
    <s v="ATCO"/>
    <s v="DFO-T"/>
    <s v="936S"/>
    <s v="Greenfield Load"/>
    <n v="11"/>
    <n v="14.940000000000001"/>
    <n v="12628076.471206382"/>
    <n v="1.3581818181818184"/>
  </r>
  <r>
    <n v="1115"/>
    <s v="ATCO"/>
    <s v="DFO-T"/>
    <s v="940S"/>
    <s v="Greenfield Load"/>
    <n v="10"/>
    <n v="22.5"/>
    <n v="24362790.290493838"/>
    <n v="2.25"/>
  </r>
  <r>
    <n v="1053"/>
    <s v="ATCO and AML"/>
    <s v="DFO-T"/>
    <s v="947S"/>
    <s v="Greenfield Load"/>
    <n v="9"/>
    <n v="14.940000000000001"/>
    <n v="14714438.26778331"/>
    <n v="1.6600000000000001"/>
  </r>
  <r>
    <n v="864"/>
    <s v="ATCO"/>
    <s v="DFO-T"/>
    <s v="949S"/>
    <s v="Greenfield Load"/>
    <n v="25"/>
    <n v="29.97"/>
    <n v="9825778.2010454517"/>
    <n v="1.1987999999999999"/>
  </r>
  <r>
    <n v="834"/>
    <s v="ATCO"/>
    <s v="DFO-T"/>
    <s v="950S"/>
    <s v="Greenfield Load"/>
    <n v="45"/>
    <n v="45"/>
    <n v="25798393.978216257"/>
    <n v="1"/>
  </r>
  <r>
    <n v="722"/>
    <s v="ATCO"/>
    <s v="DFO-T"/>
    <s v="969S"/>
    <s v="Greenfield Load"/>
    <n v="10.5"/>
    <n v="22.5"/>
    <n v="13501544.643115856"/>
    <n v="2.1428571428571428"/>
  </r>
  <r>
    <n v="927"/>
    <s v="ATCO"/>
    <s v="DFO-T"/>
    <s v="989S"/>
    <s v="Greenfield Load"/>
    <n v="60"/>
    <n v="67.5"/>
    <n v="25887106.037100621"/>
    <n v="1.125"/>
  </r>
  <r>
    <n v="1068"/>
    <s v="ATCO and AML"/>
    <s v="DFO-T"/>
    <s v="993S"/>
    <s v="Greenfield Load"/>
    <n v="11.2"/>
    <n v="22.5"/>
    <n v="26918199.168374587"/>
    <n v="2.0089285714285716"/>
  </r>
  <r>
    <n v="506"/>
    <s v="EPCOR"/>
    <s v="DFO-D"/>
    <s v="Cloverbar"/>
    <s v="Greenfield Load"/>
    <n v="20"/>
    <n v="113.4"/>
    <n v="13969254.162639502"/>
    <n v="5.67"/>
  </r>
  <r>
    <n v="456"/>
    <s v="AML and ENMAX"/>
    <s v="DFO-D"/>
    <s v="S47"/>
    <s v="Greenfield Load"/>
    <n v="16"/>
    <n v="45"/>
    <n v="17647037.003819346"/>
    <n v="2.8125"/>
  </r>
  <r>
    <n v="130"/>
    <s v="ENMAX"/>
    <s v="DFO-D"/>
    <s v="SS-24"/>
    <s v="Greenfield Load"/>
    <n v="18"/>
    <n v="45"/>
    <n v="8436973.2753123958"/>
    <n v="2.5"/>
  </r>
  <r>
    <n v="308"/>
    <s v="ENMAX"/>
    <s v="DFO-D"/>
    <s v="SS26"/>
    <s v="Greenfield Load"/>
    <n v="10"/>
    <n v="54"/>
    <n v="8875376.2889293544"/>
    <n v="5.4"/>
  </r>
  <r>
    <n v="829"/>
    <s v="ENMAX"/>
    <s v="DFO-D"/>
    <s v="SS-54"/>
    <s v="Greenfield Load"/>
    <n v="20"/>
    <n v="45"/>
    <n v="27761077.137379147"/>
    <n v="2.25"/>
  </r>
  <r>
    <n v="425"/>
    <s v="ENMAX"/>
    <s v="DFO-D"/>
    <s v="SS-6"/>
    <s v="Greenfield Load"/>
    <n v="17"/>
    <n v="27"/>
    <n v="11725448.588458149"/>
    <n v="1.588235294117647"/>
  </r>
  <r>
    <n v="333"/>
    <s v="ENMAX"/>
    <s v="DFO-D"/>
    <s v="SS-7"/>
    <s v="Greenfield Load"/>
    <n v="12"/>
    <n v="27"/>
    <n v="7560713.6656563347"/>
    <n v="2.25"/>
  </r>
  <r>
    <n v="769"/>
    <s v="AML and EPCOR"/>
    <s v="DFO-D"/>
    <s v="SUMMERSIDE"/>
    <s v="Greenfield Load"/>
    <n v="40"/>
    <n v="135"/>
    <n v="26381292.343151443"/>
    <n v="3.375"/>
  </r>
  <r>
    <n v="948"/>
    <s v="ATCO"/>
    <s v="DFO-T"/>
    <s v="937S"/>
    <s v="Greenfield Load"/>
    <n v="57"/>
    <n v="225"/>
    <n v="12653662.771089084"/>
    <n v="3.9473684210526314"/>
  </r>
  <r>
    <n v="1128"/>
    <s v="ATCO"/>
    <s v="DFO-T"/>
    <s v="2060S"/>
    <s v="Greenfield Load"/>
    <n v="45"/>
    <n v="225"/>
    <n v="63556235.718349397"/>
    <n v="5"/>
  </r>
  <r>
    <n v="1214"/>
    <s v="ATCO"/>
    <s v="DFO-T"/>
    <s v="279S"/>
    <s v="Greenfield Load"/>
    <n v="52"/>
    <n v="90"/>
    <n v="22631695.27329446"/>
    <n v="1.7307692307692308"/>
  </r>
  <r>
    <n v="1225"/>
    <s v="ATCO"/>
    <s v="DFO-T"/>
    <s v="2032S"/>
    <s v="Greenfield Load"/>
    <n v="20"/>
    <n v="37.800000000000004"/>
    <n v="18636695.74467504"/>
    <n v="1.8900000000000001"/>
  </r>
  <r>
    <n v="1263"/>
    <s v="AML and Red Deer"/>
    <s v="DFO-D"/>
    <s v="209S"/>
    <s v="Greenfield Load"/>
    <n v="8"/>
    <n v="27"/>
    <n v="19611656.992669992"/>
    <n v="3.375"/>
  </r>
  <r>
    <n v="1309"/>
    <s v="ATCO"/>
    <s v="DFO-T"/>
    <s v="2081S"/>
    <s v="Greenfield Load"/>
    <n v="15"/>
    <n v="45"/>
    <n v="16109333.942693338"/>
    <n v="3"/>
  </r>
  <r>
    <n v="1349"/>
    <s v="AML"/>
    <s v="DFO-T"/>
    <s v="301S"/>
    <s v="Greenfield Load"/>
    <n v="34"/>
    <n v="29.7"/>
    <n v="8967952.2578977589"/>
    <n v="0.87352941176470589"/>
  </r>
  <r>
    <n v="1358"/>
    <s v="AML"/>
    <s v="DFO-T"/>
    <s v="293S"/>
    <s v="Greenfield Load"/>
    <n v="27"/>
    <n v="59.4"/>
    <n v="13072655.032827439"/>
    <n v="2.1999999999999997"/>
  </r>
  <r>
    <n v="1404"/>
    <s v="ATCO"/>
    <s v="DFO-T"/>
    <s v="193S"/>
    <s v="Greenfield Load"/>
    <n v="35"/>
    <n v="150.98400000000001"/>
    <n v="35276341.164894447"/>
    <n v="4.313828571428572"/>
  </r>
  <r>
    <n v="1482"/>
    <s v="ATCO"/>
    <s v="DFO-T"/>
    <s v="2015S"/>
    <s v="Greenfield Load"/>
    <n v="18.399999999999999"/>
    <n v="90"/>
    <n v="18765793.673519447"/>
    <n v="4.8913043478260869"/>
  </r>
  <r>
    <n v="1515"/>
    <s v="AML"/>
    <s v="DFO-D"/>
    <s v="1012S"/>
    <s v="Greenfield Load"/>
    <n v="7.2"/>
    <n v="37.800000000000004"/>
    <n v="12992713.94051414"/>
    <n v="5.2500000000000009"/>
  </r>
  <r>
    <n v="1618"/>
    <s v="ATCO"/>
    <s v="DFO-D"/>
    <s v="2033S"/>
    <s v="Greenfield Load"/>
    <n v="21"/>
    <n v="45"/>
    <n v="15965955.598995766"/>
    <n v="2.1428571428571428"/>
  </r>
  <r>
    <n v="1634"/>
    <s v="ATCO"/>
    <s v="DFO-D"/>
    <s v="2091S"/>
    <s v="Greenfield Load"/>
    <n v="17.899999999999999"/>
    <n v="45"/>
    <n v="17172783.979023848"/>
    <n v="2.5139664804469275"/>
  </r>
  <r>
    <n v="1258"/>
    <s v="AML"/>
    <s v="DFO-T"/>
    <s v="190S"/>
    <s v="Greenfield Load"/>
    <n v="46"/>
    <n v="75.600000000000009"/>
    <n v="53518330.21234788"/>
    <n v="1.6434782608695655"/>
  </r>
  <r>
    <n v="1284"/>
    <s v="AML"/>
    <s v="DFO-D"/>
    <s v="574S"/>
    <s v="Greenfield Load"/>
    <n v="24.1"/>
    <n v="37.800000000000004"/>
    <n v="7084310.8002972472"/>
    <n v="1.5684647302904564"/>
  </r>
  <r>
    <s v="Pre-01"/>
    <m/>
    <m/>
    <m/>
    <s v="Pre-AESO"/>
    <n v="2.2000000000000002"/>
    <n v="6.75"/>
    <n v="2493371.1786255445"/>
    <n v="3.0681818181818179"/>
  </r>
  <r>
    <s v="Pre-02"/>
    <m/>
    <m/>
    <m/>
    <s v="Pre-AESO"/>
    <n v="1.464"/>
    <n v="4.5"/>
    <n v="1494022.3849019026"/>
    <n v="3.0737704918032787"/>
  </r>
  <r>
    <s v="Pre-03"/>
    <m/>
    <m/>
    <m/>
    <s v="Pre-AESO"/>
    <n v="4.0750000000000002"/>
    <n v="10.08"/>
    <n v="1936940.8873503525"/>
    <n v="2.4736196319018404"/>
  </r>
  <r>
    <s v="Pre-04"/>
    <m/>
    <m/>
    <m/>
    <s v="Pre-AESO"/>
    <n v="10"/>
    <n v="13.5"/>
    <n v="8526519.3307933062"/>
    <n v="1.35"/>
  </r>
  <r>
    <s v="Pre-05"/>
    <m/>
    <m/>
    <m/>
    <s v="Pre-AESO"/>
    <n v="4.8"/>
    <n v="16.11"/>
    <n v="4052182.6998299989"/>
    <n v="3.3562500000000002"/>
  </r>
  <r>
    <s v="Pre-06"/>
    <m/>
    <m/>
    <m/>
    <s v="Pre-AESO"/>
    <n v="5.0999999999999996"/>
    <n v="29.880000000000003"/>
    <n v="9648217.4286466874"/>
    <n v="5.8588235294117652"/>
  </r>
  <r>
    <s v="Pre-07"/>
    <m/>
    <m/>
    <m/>
    <s v="Pre-AESO"/>
    <n v="6.9"/>
    <n v="22.5"/>
    <n v="5029432.7187175211"/>
    <n v="3.2608695652173911"/>
  </r>
  <r>
    <s v="Pre-08"/>
    <m/>
    <m/>
    <m/>
    <s v="Pre-AESO"/>
    <n v="11.8"/>
    <n v="37.800000000000004"/>
    <n v="6372939.2355971774"/>
    <n v="3.2033898305084749"/>
  </r>
  <r>
    <s v="Pre-09"/>
    <m/>
    <m/>
    <m/>
    <s v="Pre-AESO"/>
    <n v="9.6999999999999993"/>
    <n v="22.5"/>
    <n v="2944337.605262877"/>
    <n v="2.3195876288659796"/>
  </r>
  <r>
    <s v="Pre-10"/>
    <m/>
    <m/>
    <m/>
    <s v="Pre-AESO"/>
    <n v="6.12"/>
    <n v="22.5"/>
    <n v="13481108.575958453"/>
    <n v="3.6764705882352939"/>
  </r>
  <r>
    <s v="Pre-11"/>
    <m/>
    <m/>
    <m/>
    <s v="Pre-AESO"/>
    <n v="6.2671999999999999"/>
    <n v="26.91"/>
    <n v="2910231.1039234973"/>
    <n v="4.2937835077865714"/>
  </r>
  <r>
    <s v="Pre-12"/>
    <m/>
    <m/>
    <m/>
    <s v="Pre-AESO"/>
    <n v="6.3659999999999997"/>
    <n v="37.800000000000004"/>
    <n v="9890692.1245327927"/>
    <n v="5.9377945334590017"/>
  </r>
  <r>
    <s v="Pre-13"/>
    <m/>
    <m/>
    <m/>
    <s v="Pre-AESO"/>
    <n v="8.5"/>
    <n v="13.41"/>
    <n v="5944647.6688134465"/>
    <n v="1.5776470588235294"/>
  </r>
  <r>
    <s v="Pre-14"/>
    <m/>
    <m/>
    <m/>
    <s v="Pre-AESO"/>
    <n v="46.55"/>
    <n v="74.7"/>
    <n v="7193622.7504100641"/>
    <n v="1.6047261009667027"/>
  </r>
  <r>
    <s v="Pre-15"/>
    <m/>
    <m/>
    <m/>
    <s v="Pre-AESO"/>
    <n v="56.8"/>
    <n v="90"/>
    <n v="17594466.678549748"/>
    <n v="1.5845070422535212"/>
  </r>
  <r>
    <s v="Pre-16"/>
    <m/>
    <m/>
    <m/>
    <s v="Pre-AESO"/>
    <n v="81.575999999999993"/>
    <n v="168.75"/>
    <n v="14026199.251012314"/>
    <n v="2.0686231244483673"/>
  </r>
  <r>
    <s v="Pre-17"/>
    <m/>
    <m/>
    <m/>
    <s v="Pre-AESO"/>
    <n v="95.2"/>
    <n v="90"/>
    <n v="14219904.176944949"/>
    <n v="0.94537815126050417"/>
  </r>
  <r>
    <s v="Pre-18"/>
    <m/>
    <m/>
    <m/>
    <s v="Pre-AESO"/>
    <n v="122.77200000000001"/>
    <n v="202.5"/>
    <n v="23447549.869052086"/>
    <n v="1.6493988857394193"/>
  </r>
  <r>
    <n v="1184"/>
    <s v="AML"/>
    <s v="DFO-D"/>
    <m/>
    <s v="Upgrade"/>
    <n v="48.2"/>
    <n v="100"/>
    <n v="18869341.885211267"/>
    <n v="2.0746887966804977"/>
  </r>
  <r>
    <n v="1481"/>
    <s v="AML"/>
    <s v="DFO-D"/>
    <m/>
    <s v="Upgrade"/>
    <n v="48.2"/>
    <n v="100"/>
    <n v="1111433.1301697909"/>
    <n v="2.0746887966804977"/>
  </r>
  <r>
    <n v="457"/>
    <s v="AML"/>
    <s v="DFO-D"/>
    <m/>
    <s v="Upgrade"/>
    <n v="20.77"/>
    <n v="50"/>
    <n v="3289132.0849243631"/>
    <n v="2.407318247472316"/>
  </r>
  <r>
    <n v="407"/>
    <s v="AML"/>
    <s v="DFO-D"/>
    <m/>
    <s v="Upgrade"/>
    <n v="27.4"/>
    <n v="82"/>
    <n v="601065.25862386019"/>
    <n v="2.9927007299270074"/>
  </r>
  <r>
    <n v="706"/>
    <s v="AML"/>
    <s v="DFO-D"/>
    <m/>
    <s v="Upgrade"/>
    <n v="29.1"/>
    <n v="67"/>
    <n v="5834621.4151737737"/>
    <n v="2.3024054982817868"/>
  </r>
  <r>
    <n v="1070"/>
    <s v="AML"/>
    <s v="DFO-D"/>
    <m/>
    <s v="Upgrade"/>
    <n v="38.9"/>
    <n v="67"/>
    <n v="836079.5285320289"/>
    <n v="1.7223650385604115"/>
  </r>
  <r>
    <n v="1264"/>
    <s v="AML"/>
    <s v="DFO-D"/>
    <m/>
    <s v="Upgrade"/>
    <n v="46.1"/>
    <n v="84"/>
    <n v="8057872.0930203097"/>
    <n v="1.8221258134490239"/>
  </r>
  <r>
    <n v="1208"/>
    <s v="AML"/>
    <s v="DFO-D"/>
    <m/>
    <s v="Upgrade"/>
    <n v="25.6"/>
    <n v="42"/>
    <n v="2799211.0812000916"/>
    <n v="1.640625"/>
  </r>
  <r>
    <n v="655"/>
    <s v="AML"/>
    <s v="DFO-D"/>
    <m/>
    <s v="Upgrade"/>
    <n v="14.391999999999999"/>
    <n v="53.1"/>
    <n v="594647.86373478104"/>
    <n v="3.6895497498610341"/>
  </r>
  <r>
    <n v="733"/>
    <s v="AML"/>
    <s v="DFO-D"/>
    <m/>
    <s v="Upgrade"/>
    <n v="41.4"/>
    <n v="84"/>
    <n v="6772608.0218724348"/>
    <n v="2.0289855072463769"/>
  </r>
  <r>
    <n v="1700"/>
    <s v="AML"/>
    <s v="DFO-D"/>
    <m/>
    <s v="Upgrade"/>
    <n v="13.4"/>
    <n v="67"/>
    <n v="4023880.3148956238"/>
    <n v="5"/>
  </r>
  <r>
    <n v="1569"/>
    <s v="AML"/>
    <s v="DFO-D"/>
    <m/>
    <s v="Upgrade"/>
    <n v="17.7"/>
    <n v="70.099999999999994"/>
    <n v="3737273.013461628"/>
    <n v="3.9604519774011298"/>
  </r>
  <r>
    <n v="401"/>
    <s v="AML"/>
    <s v="DFO-T"/>
    <m/>
    <s v="Upgrade"/>
    <n v="3.5"/>
    <n v="10"/>
    <n v="362042.81296556786"/>
    <n v="2.8571428571428572"/>
  </r>
  <r>
    <n v="1412"/>
    <s v="AML"/>
    <s v="DFO-T"/>
    <m/>
    <s v="Upgrade"/>
    <n v="14.5"/>
    <n v="14"/>
    <n v="4357484.5496482365"/>
    <n v="0.96551724137931039"/>
  </r>
  <r>
    <n v="1318"/>
    <s v="AML"/>
    <s v="DFO-D"/>
    <m/>
    <s v="Upgrade"/>
    <n v="51.2"/>
    <n v="89"/>
    <n v="1687820.6182928516"/>
    <n v="1.73828125"/>
  </r>
  <r>
    <n v="1194"/>
    <s v="AML"/>
    <s v="DFO-D"/>
    <m/>
    <s v="Upgrade"/>
    <n v="15.4"/>
    <n v="25"/>
    <n v="1608606.0831571487"/>
    <n v="1.6233766233766234"/>
  </r>
  <r>
    <n v="801"/>
    <s v="AML"/>
    <s v="DFO-D"/>
    <m/>
    <s v="Upgrade"/>
    <n v="10"/>
    <n v="84"/>
    <n v="6310649.5854024785"/>
    <n v="8.4"/>
  </r>
  <r>
    <n v="804"/>
    <s v="AML"/>
    <s v="DFO-D"/>
    <m/>
    <s v="Upgrade"/>
    <n v="24.3"/>
    <n v="53"/>
    <n v="9156698.240081545"/>
    <n v="2.1810699588477367"/>
  </r>
  <r>
    <n v="365"/>
    <s v="AML"/>
    <s v="DFO-D"/>
    <m/>
    <s v="Upgrade"/>
    <n v="16.169"/>
    <n v="25"/>
    <n v="596073.13292480214"/>
    <n v="1.5461685942235142"/>
  </r>
  <r>
    <n v="708"/>
    <s v="AML"/>
    <s v="DFO-D"/>
    <m/>
    <s v="Upgrade"/>
    <n v="27.7"/>
    <n v="50"/>
    <n v="6837462.3210633537"/>
    <n v="1.8050541516245489"/>
  </r>
  <r>
    <n v="1568"/>
    <s v="AML"/>
    <s v="DFO-D"/>
    <m/>
    <s v="Upgrade"/>
    <n v="35.799999999999997"/>
    <n v="84"/>
    <n v="3584899.6641236106"/>
    <n v="2.3463687150837989"/>
  </r>
  <r>
    <n v="398"/>
    <s v="AML"/>
    <s v="DFO-D"/>
    <m/>
    <s v="Upgrade"/>
    <n v="29.329000000000001"/>
    <n v="67"/>
    <n v="1454685.0549316111"/>
    <n v="2.2844283814654438"/>
  </r>
  <r>
    <n v="1642"/>
    <s v="AML"/>
    <s v="DFO-D"/>
    <m/>
    <s v="Upgrade"/>
    <n v="18.899999999999999"/>
    <n v="67"/>
    <n v="10134123.990225088"/>
    <n v="3.5449735449735451"/>
  </r>
  <r>
    <n v="522"/>
    <s v="AML"/>
    <s v="DFO-D"/>
    <m/>
    <s v="Upgrade"/>
    <n v="41"/>
    <n v="84"/>
    <n v="493267.93696611252"/>
    <n v="2.0487804878048781"/>
  </r>
  <r>
    <n v="170"/>
    <s v="UNC"/>
    <s v="DFO-T"/>
    <m/>
    <s v="Upgrade"/>
    <n v="26"/>
    <n v="50"/>
    <n v="4433742.5476980833"/>
    <n v="1.9230769230769231"/>
  </r>
  <r>
    <n v="1312"/>
    <s v="AML"/>
    <s v="DFO-T"/>
    <m/>
    <s v="Upgrade"/>
    <n v="23.63"/>
    <n v="75"/>
    <n v="6024511.1186360633"/>
    <n v="3.1739314430808294"/>
  </r>
  <r>
    <n v="170"/>
    <s v="UNC"/>
    <s v="DFO-T"/>
    <m/>
    <s v="Upgrade"/>
    <n v="22.6"/>
    <n v="50"/>
    <n v="4882987.0198591016"/>
    <n v="2.2123893805309733"/>
  </r>
  <r>
    <n v="1366"/>
    <s v="AML"/>
    <s v="DFO-T"/>
    <m/>
    <s v="Upgrade"/>
    <n v="39.5"/>
    <n v="83"/>
    <n v="5573706.010443802"/>
    <n v="2.1012658227848102"/>
  </r>
  <r>
    <n v="170"/>
    <s v="UNC"/>
    <s v="DFO-T"/>
    <m/>
    <s v="Upgrade"/>
    <n v="16"/>
    <n v="50"/>
    <n v="5209710.7088088663"/>
    <n v="3.125"/>
  </r>
  <r>
    <n v="1350"/>
    <s v="AML"/>
    <s v="DFO-T"/>
    <m/>
    <s v="Upgrade"/>
    <n v="36"/>
    <n v="83"/>
    <n v="6530034.2953877132"/>
    <n v="2.3055555555555554"/>
  </r>
  <r>
    <n v="658"/>
    <s v="AML"/>
    <s v="DFO-D"/>
    <m/>
    <s v="Upgrade"/>
    <n v="14.8"/>
    <n v="25"/>
    <n v="7114669.2323992215"/>
    <n v="1.689189189189189"/>
  </r>
  <r>
    <n v="897"/>
    <s v="AML"/>
    <s v="DFO-D"/>
    <m/>
    <s v="Upgrade"/>
    <n v="17.8"/>
    <n v="50"/>
    <n v="6237211.2776035527"/>
    <n v="2.8089887640449436"/>
  </r>
  <r>
    <n v="483"/>
    <s v="AML"/>
    <s v="DFO-D"/>
    <m/>
    <s v="Upgrade"/>
    <n v="38.799999999999997"/>
    <n v="84"/>
    <n v="3620069.4377675466"/>
    <n v="2.1649484536082477"/>
  </r>
  <r>
    <n v="1494"/>
    <s v="AML"/>
    <s v="DFO-D"/>
    <m/>
    <s v="Upgrade"/>
    <n v="19.3"/>
    <n v="67"/>
    <n v="6429748.5673579155"/>
    <n v="3.471502590673575"/>
  </r>
  <r>
    <n v="488"/>
    <s v="AML"/>
    <s v="DFO-D"/>
    <m/>
    <s v="Upgrade"/>
    <n v="65.5"/>
    <n v="191"/>
    <n v="404626.75342078769"/>
    <n v="2.9160305343511452"/>
  </r>
  <r>
    <n v="1692"/>
    <s v="AML"/>
    <s v="DFO-D"/>
    <m/>
    <s v="Upgrade"/>
    <n v="65.5"/>
    <n v="191"/>
    <n v="2218817.6481219591"/>
    <n v="2.9160305343511452"/>
  </r>
  <r>
    <n v="318"/>
    <s v="AML"/>
    <s v="DFO-D"/>
    <m/>
    <s v="Upgrade"/>
    <n v="23.87"/>
    <n v="47"/>
    <n v="767020.40063252347"/>
    <n v="1.9689987431922915"/>
  </r>
  <r>
    <n v="806"/>
    <s v="AML"/>
    <s v="DFO-D"/>
    <m/>
    <s v="Upgrade"/>
    <n v="29.3"/>
    <n v="47"/>
    <n v="689477.13107767899"/>
    <n v="1.6040955631399316"/>
  </r>
  <r>
    <n v="1495"/>
    <s v="AML"/>
    <s v="DFO-D"/>
    <m/>
    <s v="Upgrade"/>
    <n v="29.3"/>
    <n v="89"/>
    <n v="5142810.5081746317"/>
    <n v="3.0375426621160408"/>
  </r>
  <r>
    <n v="1386"/>
    <s v="AML"/>
    <s v="DFO-D"/>
    <m/>
    <s v="Upgrade"/>
    <n v="46.2"/>
    <n v="94"/>
    <n v="859344.64632152289"/>
    <n v="2.0346320346320343"/>
  </r>
  <r>
    <n v="928"/>
    <s v="AML"/>
    <s v="DFO-D"/>
    <m/>
    <s v="Upgrade"/>
    <n v="21.5"/>
    <n v="67"/>
    <n v="10364367.944955572"/>
    <n v="3.1162790697674421"/>
  </r>
  <r>
    <n v="1450"/>
    <s v="AML"/>
    <s v="DFO-D"/>
    <m/>
    <s v="Upgrade"/>
    <n v="37.799999999999997"/>
    <n v="94"/>
    <n v="5152994.3993409928"/>
    <n v="2.486772486772487"/>
  </r>
  <r>
    <n v="170"/>
    <s v="UNC"/>
    <s v="DFO-T"/>
    <m/>
    <s v="Upgrade"/>
    <n v="26.5"/>
    <n v="66.599999999999994"/>
    <n v="1134229.0648673056"/>
    <n v="2.5132075471698112"/>
  </r>
  <r>
    <n v="649"/>
    <s v="AML"/>
    <s v="DFO-T"/>
    <m/>
    <s v="Upgrade"/>
    <n v="60.3"/>
    <n v="91.6"/>
    <n v="5018079.5362586863"/>
    <n v="1.5190713101160862"/>
  </r>
  <r>
    <n v="1203"/>
    <s v="AML"/>
    <s v="DFO-D"/>
    <m/>
    <s v="Upgrade"/>
    <n v="24.6"/>
    <n v="67"/>
    <n v="12443615.523285568"/>
    <n v="2.7235772357723578"/>
  </r>
  <r>
    <n v="170"/>
    <s v="UNC"/>
    <s v="DFO-T"/>
    <m/>
    <s v="Upgrade"/>
    <n v="14"/>
    <n v="15"/>
    <n v="2900493.9377112938"/>
    <n v="1.0714285714285714"/>
  </r>
  <r>
    <n v="363"/>
    <s v="AML"/>
    <s v="DFO-D"/>
    <m/>
    <s v="Upgrade"/>
    <n v="25.425999999999998"/>
    <n v="42"/>
    <n v="821942.53395528393"/>
    <n v="1.6518524345158501"/>
  </r>
  <r>
    <n v="493"/>
    <s v="AML"/>
    <s v="DFO-D"/>
    <m/>
    <s v="Upgrade"/>
    <n v="28.7"/>
    <n v="84"/>
    <n v="3400269.291333714"/>
    <n v="2.9268292682926829"/>
  </r>
  <r>
    <n v="685"/>
    <s v="AML"/>
    <s v="DFO-D"/>
    <m/>
    <s v="Upgrade"/>
    <n v="32.9"/>
    <n v="84"/>
    <n v="946069.82488538278"/>
    <n v="2.5531914893617023"/>
  </r>
  <r>
    <n v="1574"/>
    <s v="AML"/>
    <s v="DFO-D"/>
    <m/>
    <s v="Upgrade"/>
    <n v="28"/>
    <n v="84"/>
    <n v="6266226.0340537755"/>
    <n v="3"/>
  </r>
  <r>
    <n v="435"/>
    <s v="AML"/>
    <s v="DFO-T"/>
    <m/>
    <s v="Upgrade"/>
    <n v="19"/>
    <n v="49.7"/>
    <n v="3077363.910207327"/>
    <n v="2.6157894736842109"/>
  </r>
  <r>
    <n v="652"/>
    <s v="AML"/>
    <s v="DFO-D"/>
    <m/>
    <s v="Upgrade"/>
    <n v="13.6"/>
    <n v="25"/>
    <n v="4380227.9370725332"/>
    <n v="1.8382352941176472"/>
  </r>
  <r>
    <n v="366"/>
    <s v="AML"/>
    <s v="DFO-D"/>
    <m/>
    <s v="Upgrade"/>
    <n v="15.9"/>
    <n v="25"/>
    <n v="602079.88766843197"/>
    <n v="1.5723270440251571"/>
  </r>
  <r>
    <n v="1640"/>
    <s v="AML"/>
    <s v="DFO-D"/>
    <m/>
    <s v="Upgrade"/>
    <n v="18.399999999999999"/>
    <n v="67"/>
    <n v="8324400.2844443182"/>
    <n v="3.6413043478260874"/>
  </r>
  <r>
    <n v="367"/>
    <s v="AML"/>
    <s v="DFO-D"/>
    <m/>
    <s v="Upgrade"/>
    <n v="12.211"/>
    <n v="70"/>
    <n v="555885.57988620212"/>
    <n v="5.7325362378183602"/>
  </r>
  <r>
    <n v="650"/>
    <s v="AML"/>
    <s v="DFO-D"/>
    <m/>
    <s v="Upgrade"/>
    <n v="23"/>
    <n v="84"/>
    <n v="5947687.9309059549"/>
    <n v="3.652173913043478"/>
  </r>
  <r>
    <n v="902"/>
    <s v="AML"/>
    <s v="DFO-D"/>
    <m/>
    <s v="Upgrade"/>
    <n v="32.700000000000003"/>
    <n v="42"/>
    <n v="546999.63688402192"/>
    <n v="1.2844036697247705"/>
  </r>
  <r>
    <n v="1202"/>
    <s v="AML"/>
    <s v="DFO-D"/>
    <m/>
    <s v="Upgrade"/>
    <n v="21"/>
    <n v="67"/>
    <n v="10745042.225505972"/>
    <n v="3.1904761904761907"/>
  </r>
  <r>
    <n v="1338"/>
    <s v="AML"/>
    <s v="DFO-D"/>
    <m/>
    <s v="Upgrade"/>
    <n v="9.5"/>
    <n v="39.700000000000003"/>
    <n v="6663581.3355623763"/>
    <n v="4.1789473684210527"/>
  </r>
  <r>
    <n v="212"/>
    <s v="AML"/>
    <s v="DFO-D"/>
    <m/>
    <s v="Upgrade"/>
    <n v="64.55"/>
    <n v="126.8"/>
    <n v="4626453.5731184781"/>
    <n v="1.9643687064291246"/>
  </r>
  <r>
    <n v="653"/>
    <s v="AML"/>
    <s v="DFO-D"/>
    <m/>
    <s v="Upgrade"/>
    <n v="65.87"/>
    <n v="126.8"/>
    <n v="568946.92945086816"/>
    <n v="1.9250037953544858"/>
  </r>
  <r>
    <n v="1679"/>
    <s v="AML"/>
    <s v="DFO-D"/>
    <m/>
    <s v="Upgrade"/>
    <n v="65.87"/>
    <n v="126.8"/>
    <n v="3035948.9017822221"/>
    <n v="1.9250037953544858"/>
  </r>
  <r>
    <n v="1382"/>
    <s v="AML"/>
    <s v="DFO-D"/>
    <m/>
    <s v="Upgrade"/>
    <n v="36.1"/>
    <n v="67"/>
    <n v="2448436.1075925431"/>
    <n v="1.8559556786703599"/>
  </r>
  <r>
    <n v="1638"/>
    <s v="AML"/>
    <s v="DFO-D"/>
    <m/>
    <s v="Upgrade"/>
    <n v="36.1"/>
    <n v="84"/>
    <n v="1430769.3737810238"/>
    <n v="2.3268698060941828"/>
  </r>
  <r>
    <n v="874"/>
    <s v="AML"/>
    <s v="DFO-D"/>
    <m/>
    <s v="Upgrade"/>
    <n v="6.9"/>
    <n v="25"/>
    <n v="3633360.2061432982"/>
    <n v="3.6231884057971011"/>
  </r>
  <r>
    <n v="491"/>
    <s v="AML"/>
    <s v="DFO-D"/>
    <m/>
    <s v="Upgrade"/>
    <n v="28.9"/>
    <n v="84"/>
    <n v="192522.71805052244"/>
    <n v="2.9065743944636679"/>
  </r>
  <r>
    <n v="1396"/>
    <s v="AML"/>
    <s v="DFO-D"/>
    <m/>
    <s v="Upgrade"/>
    <n v="26"/>
    <n v="42"/>
    <n v="373511.17224616895"/>
    <n v="1.6153846153846154"/>
  </r>
  <r>
    <n v="1597"/>
    <s v="AML"/>
    <s v="DFO-D"/>
    <m/>
    <s v="Upgrade"/>
    <n v="53.3"/>
    <n v="84"/>
    <n v="4235581.763217832"/>
    <n v="1.575984990619137"/>
  </r>
  <r>
    <n v="1292"/>
    <s v="AML"/>
    <s v="DFO-D"/>
    <m/>
    <s v="Upgrade"/>
    <n v="32.799999999999997"/>
    <n v="42"/>
    <n v="4471169.8301867601"/>
    <n v="1.2804878048780488"/>
  </r>
  <r>
    <n v="364"/>
    <s v="AML"/>
    <s v="DFO-D"/>
    <m/>
    <s v="Upgrade"/>
    <n v="46.904000000000003"/>
    <n v="89"/>
    <n v="1317490.1179839254"/>
    <n v="1.8974927511512876"/>
  </r>
  <r>
    <n v="1306"/>
    <s v="AML"/>
    <s v="DFO-D"/>
    <m/>
    <s v="Upgrade"/>
    <n v="25.2"/>
    <n v="84"/>
    <n v="5984860.637039951"/>
    <n v="3.3333333333333335"/>
  </r>
  <r>
    <n v="858"/>
    <s v="AML"/>
    <s v="DFO-D"/>
    <m/>
    <s v="Upgrade"/>
    <n v="41.7"/>
    <n v="84"/>
    <n v="5435877.5042665945"/>
    <n v="2.014388489208633"/>
  </r>
  <r>
    <n v="1454"/>
    <s v="AML"/>
    <s v="DFO-D"/>
    <m/>
    <s v="Upgrade"/>
    <n v="47.4"/>
    <n v="84"/>
    <n v="457622.40995573642"/>
    <n v="1.7721518987341773"/>
  </r>
  <r>
    <n v="637"/>
    <s v="AML"/>
    <s v="DFO-D"/>
    <m/>
    <s v="Upgrade"/>
    <n v="23.9"/>
    <n v="50"/>
    <n v="5068859.8404691657"/>
    <n v="2.0920502092050208"/>
  </r>
  <r>
    <n v="1254"/>
    <s v="AML"/>
    <s v="DFO-D"/>
    <m/>
    <s v="Upgrade"/>
    <n v="39.299999999999997"/>
    <n v="84"/>
    <n v="6528436.7645937679"/>
    <n v="2.1374045801526718"/>
  </r>
  <r>
    <n v="734"/>
    <s v="AML"/>
    <s v="DFO-D"/>
    <m/>
    <s v="Upgrade"/>
    <n v="24.4"/>
    <n v="84"/>
    <n v="11261124.599264825"/>
    <n v="3.4426229508196724"/>
  </r>
  <r>
    <n v="1594"/>
    <s v="AML"/>
    <s v="DFO-D"/>
    <m/>
    <s v="Upgrade"/>
    <n v="24.4"/>
    <n v="84"/>
    <n v="17233445.347747799"/>
    <n v="3.4426229508196724"/>
  </r>
  <r>
    <n v="1674"/>
    <s v="AML"/>
    <s v="DFO-D"/>
    <m/>
    <s v="Upgrade"/>
    <n v="21.1"/>
    <n v="70"/>
    <n v="10327278.566796925"/>
    <n v="3.3175355450236963"/>
  </r>
  <r>
    <n v="711"/>
    <s v="AML"/>
    <s v="DFO-T"/>
    <m/>
    <s v="Upgrade"/>
    <n v="25.2"/>
    <n v="50"/>
    <n v="9261788.1543087028"/>
    <n v="1.9841269841269842"/>
  </r>
  <r>
    <n v="408"/>
    <s v="AML"/>
    <s v="DFO-D"/>
    <m/>
    <s v="Upgrade"/>
    <n v="39.741999999999997"/>
    <n v="94"/>
    <n v="580158.76995711902"/>
    <n v="2.3652559005586031"/>
  </r>
  <r>
    <n v="698"/>
    <s v="AML"/>
    <s v="DFO-D"/>
    <m/>
    <s v="Upgrade"/>
    <n v="60.6"/>
    <n v="94"/>
    <n v="1440682.1685518078"/>
    <n v="1.5511551155115511"/>
  </r>
  <r>
    <n v="696"/>
    <s v="AML"/>
    <s v="DFO-D"/>
    <m/>
    <s v="Upgrade"/>
    <n v="17.2"/>
    <n v="28"/>
    <n v="268103.51472539734"/>
    <n v="1.6279069767441861"/>
  </r>
  <r>
    <n v="1636"/>
    <s v="AML"/>
    <s v="DFO-D"/>
    <m/>
    <s v="Upgrade"/>
    <n v="17.2"/>
    <n v="67"/>
    <n v="6605897.293746843"/>
    <n v="3.8953488372093026"/>
  </r>
  <r>
    <n v="1185"/>
    <s v="AML"/>
    <s v="DFO-D"/>
    <m/>
    <s v="Upgrade"/>
    <n v="34.9"/>
    <n v="70"/>
    <n v="2808783.6612562956"/>
    <n v="2.005730659025788"/>
  </r>
  <r>
    <n v="568"/>
    <s v="AML"/>
    <s v="DFO-D"/>
    <m/>
    <s v="Upgrade"/>
    <n v="39.04"/>
    <n v="84"/>
    <n v="28818.936071529555"/>
    <n v="2.151639344262295"/>
  </r>
  <r>
    <n v="853"/>
    <s v="AML"/>
    <s v="DFO-D"/>
    <m/>
    <s v="Upgrade"/>
    <n v="41.7"/>
    <n v="84"/>
    <n v="4255624.5512411119"/>
    <n v="2.014388489208633"/>
  </r>
  <r>
    <n v="1201"/>
    <s v="AML"/>
    <s v="DFO-D"/>
    <m/>
    <s v="Upgrade"/>
    <n v="23.9"/>
    <n v="70"/>
    <n v="7636489.4321569698"/>
    <n v="2.9288702928870296"/>
  </r>
  <r>
    <n v="654"/>
    <s v="AML"/>
    <s v="DFO-D"/>
    <m/>
    <s v="Upgrade"/>
    <n v="11.7"/>
    <n v="25"/>
    <n v="736725.44554632274"/>
    <n v="2.1367521367521367"/>
  </r>
  <r>
    <n v="1394"/>
    <s v="AML"/>
    <s v="DFO-D"/>
    <m/>
    <s v="Upgrade"/>
    <n v="21.7"/>
    <n v="67"/>
    <n v="5005780.6862702603"/>
    <n v="3.0875576036866361"/>
  </r>
  <r>
    <n v="1294"/>
    <s v="AML"/>
    <s v="DFO-D"/>
    <m/>
    <s v="Upgrade"/>
    <n v="10.1"/>
    <n v="39.9"/>
    <n v="4561992.2667121133"/>
    <n v="3.9504950495049505"/>
  </r>
  <r>
    <n v="1670"/>
    <s v="AML"/>
    <s v="DFO-D"/>
    <m/>
    <s v="Upgrade"/>
    <n v="55.7"/>
    <n v="84"/>
    <n v="2794352.1582603678"/>
    <n v="1.5080789946140034"/>
  </r>
  <r>
    <n v="579"/>
    <s v="Lethbridge"/>
    <s v="DFO-D"/>
    <m/>
    <s v="Upgrade"/>
    <n v="28.1"/>
    <n v="60"/>
    <n v="3651623.0200538072"/>
    <n v="2.1352313167259784"/>
  </r>
  <r>
    <n v="1670"/>
    <s v="AML"/>
    <s v="DFO-D"/>
    <m/>
    <s v="Upgrade"/>
    <n v="49.3"/>
    <n v="112.1"/>
    <n v="18363697.996227652"/>
    <n v="2.2738336713995944"/>
  </r>
  <r>
    <n v="1083"/>
    <s v="AML"/>
    <s v="DFO-D"/>
    <m/>
    <s v="Upgrade"/>
    <n v="13.4"/>
    <n v="92"/>
    <n v="7412510.8979310459"/>
    <n v="6.8656716417910442"/>
  </r>
  <r>
    <n v="552"/>
    <s v="ATCO"/>
    <s v="DFO-D"/>
    <m/>
    <s v="Upgrade"/>
    <n v="30.7"/>
    <n v="42"/>
    <n v="1145771.6756011657"/>
    <n v="1.3680781758957654"/>
  </r>
  <r>
    <n v="1311"/>
    <s v="ATCO"/>
    <s v="DFO-D"/>
    <m/>
    <s v="Upgrade"/>
    <n v="50"/>
    <n v="84"/>
    <n v="5984143.0822776956"/>
    <n v="1.68"/>
  </r>
  <r>
    <n v="1078"/>
    <s v="ATCO"/>
    <s v="DFO-D"/>
    <m/>
    <s v="Upgrade"/>
    <n v="25"/>
    <n v="71.5"/>
    <n v="1093638.7702296274"/>
    <n v="2.86"/>
  </r>
  <r>
    <n v="495"/>
    <s v="ATCO"/>
    <s v="DFO-D"/>
    <m/>
    <s v="Upgrade"/>
    <n v="12.974"/>
    <n v="83.2"/>
    <n v="3590790.2166068871"/>
    <n v="6.4128256513026054"/>
  </r>
  <r>
    <n v="383"/>
    <s v="ATCO"/>
    <s v="DFO-T"/>
    <m/>
    <s v="Upgrade"/>
    <n v="8.51"/>
    <n v="110"/>
    <n v="3950172.3720469591"/>
    <n v="12.925969447708578"/>
  </r>
  <r>
    <n v="1020"/>
    <s v="ATCO"/>
    <s v="DFO-D"/>
    <m/>
    <s v="Upgrade"/>
    <n v="22"/>
    <n v="83.3"/>
    <n v="7344978.6888029994"/>
    <n v="3.7863636363636362"/>
  </r>
  <r>
    <n v="1364"/>
    <s v="ATCO"/>
    <s v="DFO-T"/>
    <m/>
    <s v="Upgrade"/>
    <n v="42.5"/>
    <n v="83"/>
    <n v="8795119.7470845859"/>
    <n v="1.9529411764705882"/>
  </r>
  <r>
    <n v="503"/>
    <s v="ATCO"/>
    <s v="DFO-D"/>
    <m/>
    <s v="Upgrade"/>
    <n v="47"/>
    <n v="100"/>
    <n v="3803322.2269089473"/>
    <n v="2.1276595744680851"/>
  </r>
  <r>
    <n v="925"/>
    <s v="ATCO"/>
    <s v="DFO-D"/>
    <m/>
    <s v="Upgrade"/>
    <n v="56"/>
    <n v="100"/>
    <n v="3316469.7860941137"/>
    <n v="1.7857142857142858"/>
  </r>
  <r>
    <n v="821"/>
    <s v="AML"/>
    <s v="DFO-D"/>
    <m/>
    <s v="Upgrade"/>
    <n v="57"/>
    <n v="100"/>
    <n v="9417737.1403666269"/>
    <n v="1.7543859649122806"/>
  </r>
  <r>
    <n v="486"/>
    <s v="ATCO"/>
    <s v="DFO-D"/>
    <m/>
    <s v="Upgrade"/>
    <n v="13.95"/>
    <n v="16"/>
    <n v="346921.20274319506"/>
    <n v="1.1469534050179213"/>
  </r>
  <r>
    <n v="779"/>
    <s v="ATCO"/>
    <s v="DFO-D"/>
    <m/>
    <s v="Upgrade"/>
    <n v="18"/>
    <n v="41.6"/>
    <n v="915758.74480529234"/>
    <n v="2.3111111111111113"/>
  </r>
  <r>
    <n v="1416"/>
    <s v="ATCO"/>
    <s v="DFO-D"/>
    <m/>
    <s v="Upgrade"/>
    <n v="24"/>
    <n v="41.6"/>
    <n v="1418156.7457767224"/>
    <n v="1.7333333333333334"/>
  </r>
  <r>
    <n v="554"/>
    <s v="ATCO"/>
    <s v="DFO-D"/>
    <m/>
    <s v="Upgrade"/>
    <n v="31.26"/>
    <n v="133.19999999999999"/>
    <n v="1061095.7088130889"/>
    <n v="4.2610364683301336"/>
  </r>
  <r>
    <n v="1581"/>
    <s v="ATCO"/>
    <s v="DFO-D"/>
    <m/>
    <s v="Upgrade"/>
    <n v="16.8"/>
    <n v="50"/>
    <n v="5384831.3505476415"/>
    <n v="2.9761904761904763"/>
  </r>
  <r>
    <n v="880"/>
    <s v="ATCO"/>
    <s v="DFO-D"/>
    <m/>
    <s v="Upgrade"/>
    <n v="11"/>
    <n v="66.599999999999994"/>
    <n v="4576392.8166345609"/>
    <n v="6.0545454545454538"/>
  </r>
  <r>
    <n v="1047"/>
    <s v="ATCO"/>
    <s v="DFO-D"/>
    <m/>
    <s v="Upgrade"/>
    <n v="15"/>
    <n v="33"/>
    <n v="6258642.9220605623"/>
    <n v="2.2000000000000002"/>
  </r>
  <r>
    <n v="1045"/>
    <s v="ATCO"/>
    <s v="DFO-D"/>
    <m/>
    <s v="Upgrade"/>
    <n v="32"/>
    <n v="101.6"/>
    <n v="3800919.9870921252"/>
    <n v="3.1749999999999998"/>
  </r>
  <r>
    <n v="1616"/>
    <s v="ATCO"/>
    <s v="DFO-D"/>
    <m/>
    <s v="Upgrade"/>
    <n v="47.43"/>
    <n v="83.2"/>
    <n v="848185.80502502574"/>
    <n v="1.7541640312038795"/>
  </r>
  <r>
    <n v="362"/>
    <s v="AML"/>
    <s v="DFO-D"/>
    <m/>
    <s v="Upgrade"/>
    <n v="52.8"/>
    <n v="94"/>
    <n v="788480.28183233528"/>
    <n v="1.7803030303030305"/>
  </r>
  <r>
    <n v="924"/>
    <s v="ATCO"/>
    <s v="DFO-D"/>
    <m/>
    <s v="Upgrade"/>
    <n v="52"/>
    <n v="100"/>
    <n v="1426430.7906682692"/>
    <n v="1.9230769230769231"/>
  </r>
  <r>
    <n v="1241"/>
    <s v="ATCO"/>
    <s v="DFO-D"/>
    <m/>
    <s v="Upgrade"/>
    <n v="26.29"/>
    <n v="41.6"/>
    <n v="2625007.7356390641"/>
    <n v="1.5823507036896158"/>
  </r>
  <r>
    <n v="438"/>
    <s v="ATCO"/>
    <s v="DFO-D"/>
    <m/>
    <s v="Upgrade"/>
    <n v="9.2460000000000004"/>
    <n v="31.67"/>
    <n v="180953.1525098478"/>
    <n v="3.4252649794505734"/>
  </r>
  <r>
    <n v="748"/>
    <s v="ATCO"/>
    <s v="DFO-D"/>
    <m/>
    <s v="Upgrade"/>
    <n v="26.541"/>
    <n v="41.7"/>
    <n v="388584.7664431649"/>
    <n v="1.5711540635243586"/>
  </r>
  <r>
    <n v="1319"/>
    <s v="ATCO"/>
    <s v="DFO-D"/>
    <m/>
    <s v="Upgrade"/>
    <n v="20"/>
    <n v="61.6"/>
    <n v="3237677.9482440865"/>
    <n v="3.08"/>
  </r>
  <r>
    <n v="892"/>
    <s v="ATCO"/>
    <s v="DFO-D"/>
    <m/>
    <s v="Upgrade"/>
    <n v="13.05"/>
    <n v="45"/>
    <n v="3249081.8561124844"/>
    <n v="3.4482758620689653"/>
  </r>
  <r>
    <n v="504"/>
    <s v="ATCO"/>
    <s v="DFO-D"/>
    <m/>
    <s v="Upgrade"/>
    <n v="10.496"/>
    <n v="38.299999999999997"/>
    <n v="2192313.7026225538"/>
    <n v="3.6490091463414629"/>
  </r>
  <r>
    <n v="618"/>
    <s v="ATCO"/>
    <s v="DFO-T"/>
    <m/>
    <s v="Upgrade"/>
    <n v="22.5"/>
    <n v="41.6"/>
    <n v="2346464.9770982671"/>
    <n v="1.848888888888889"/>
  </r>
  <r>
    <n v="712"/>
    <s v="ATCO"/>
    <s v="DFO-D"/>
    <m/>
    <s v="Upgrade"/>
    <n v="8.5"/>
    <n v="33.200000000000003"/>
    <n v="7890414.1673966367"/>
    <n v="3.9058823529411768"/>
  </r>
  <r>
    <n v="726"/>
    <s v="ATCO"/>
    <s v="DFO-D"/>
    <m/>
    <s v="Upgrade"/>
    <n v="31"/>
    <n v="133"/>
    <n v="1031633.1920876841"/>
    <n v="4.290322580645161"/>
  </r>
  <r>
    <n v="530"/>
    <s v="ATCO"/>
    <s v="DFO-T"/>
    <m/>
    <s v="Upgrade"/>
    <n v="45"/>
    <n v="83.2"/>
    <n v="4502260.8459814815"/>
    <n v="1.848888888888889"/>
  </r>
  <r>
    <n v="755"/>
    <s v="ATCO"/>
    <s v="DFO-D"/>
    <m/>
    <s v="Upgrade"/>
    <n v="12"/>
    <n v="26"/>
    <n v="746491.34624932625"/>
    <n v="2.1666666666666665"/>
  </r>
  <r>
    <n v="1081"/>
    <s v="ATCO"/>
    <s v="DFO-D"/>
    <m/>
    <s v="Upgrade"/>
    <n v="16"/>
    <n v="26"/>
    <n v="746158.54172219499"/>
    <n v="1.625"/>
  </r>
  <r>
    <n v="307"/>
    <s v="ATCO"/>
    <s v="DFO-D"/>
    <m/>
    <s v="Upgrade"/>
    <n v="10.071999999999999"/>
    <n v="15.5"/>
    <n v="2523080.1807757095"/>
    <n v="1.5389197776012711"/>
  </r>
  <r>
    <n v="1466"/>
    <s v="ATCO"/>
    <s v="DFO-D"/>
    <m/>
    <s v="Upgrade"/>
    <n v="15"/>
    <n v="25"/>
    <n v="4634839.878669343"/>
    <n v="1.6666666666666667"/>
  </r>
  <r>
    <n v="1091"/>
    <s v="AML"/>
    <s v="DFO-D"/>
    <m/>
    <s v="Upgrade"/>
    <n v="40.4"/>
    <n v="67"/>
    <n v="7663838.0518522095"/>
    <n v="1.6584158415841586"/>
  </r>
  <r>
    <n v="666"/>
    <s v="ATCO"/>
    <s v="DFO-D"/>
    <m/>
    <s v="Upgrade"/>
    <n v="40"/>
    <n v="83.6"/>
    <n v="3688776.0601263186"/>
    <n v="2.09"/>
  </r>
  <r>
    <n v="556"/>
    <s v="ATCO"/>
    <s v="DFO-D"/>
    <m/>
    <s v="Upgrade"/>
    <n v="13"/>
    <n v="38.299999999999997"/>
    <n v="3248369.2675760007"/>
    <n v="2.9461538461538459"/>
  </r>
  <r>
    <n v="452"/>
    <s v="ATCO"/>
    <s v="DFO-D"/>
    <m/>
    <s v="Upgrade"/>
    <n v="14.4"/>
    <n v="16"/>
    <n v="3443707.2461958509"/>
    <n v="1.1111111111111112"/>
  </r>
  <r>
    <n v="613"/>
    <s v="ATCO"/>
    <s v="DFO-T"/>
    <m/>
    <s v="Upgrade"/>
    <n v="8.4"/>
    <n v="25"/>
    <n v="431318.20582676679"/>
    <n v="2.9761904761904763"/>
  </r>
  <r>
    <n v="778"/>
    <s v="ATCO"/>
    <s v="DFO-T"/>
    <m/>
    <s v="Upgrade"/>
    <n v="2"/>
    <n v="83.2"/>
    <n v="487010.21540648834"/>
    <n v="41.6"/>
  </r>
  <r>
    <n v="1571"/>
    <s v="ATCO"/>
    <s v="DFO-T"/>
    <m/>
    <s v="Upgrade"/>
    <n v="13"/>
    <n v="83.2"/>
    <n v="1592045.7896917758"/>
    <n v="6.4"/>
  </r>
  <r>
    <n v="525"/>
    <s v="ATCO"/>
    <s v="DFO-T"/>
    <m/>
    <s v="Upgrade"/>
    <n v="25.55"/>
    <n v="217"/>
    <n v="2107818.9953258829"/>
    <n v="8.493150684931507"/>
  </r>
  <r>
    <n v="1324"/>
    <s v="AML"/>
    <s v="DFO-D"/>
    <m/>
    <s v="Upgrade"/>
    <n v="28.1"/>
    <n v="100"/>
    <n v="2269298.7542218519"/>
    <n v="3.5587188612099641"/>
  </r>
  <r>
    <n v="511"/>
    <s v="ATCO"/>
    <s v="DFO-T"/>
    <m/>
    <s v="Upgrade"/>
    <n v="18"/>
    <n v="250"/>
    <n v="429035.5711844014"/>
    <n v="13.888888888888889"/>
  </r>
  <r>
    <n v="1094"/>
    <s v="ATCO"/>
    <s v="DFO-T"/>
    <m/>
    <s v="Upgrade"/>
    <n v="24"/>
    <n v="250"/>
    <n v="1064645.8657975094"/>
    <n v="10.416666666666666"/>
  </r>
  <r>
    <n v="775"/>
    <s v="ATCO"/>
    <s v="DFO-D"/>
    <m/>
    <s v="Upgrade"/>
    <n v="15"/>
    <n v="16.600000000000001"/>
    <n v="1405874.4428987999"/>
    <n v="1.1066666666666667"/>
  </r>
  <r>
    <n v="1646"/>
    <s v="ATCO"/>
    <s v="DFO-D"/>
    <m/>
    <s v="Upgrade"/>
    <n v="6.4"/>
    <n v="24.6"/>
    <n v="6689568.045006589"/>
    <n v="3.84375"/>
  </r>
  <r>
    <n v="467"/>
    <s v="ATCO"/>
    <s v="DFO-D"/>
    <m/>
    <s v="Upgrade"/>
    <n v="13.6"/>
    <n v="48.3"/>
    <n v="3485502.2233326952"/>
    <n v="3.5514705882352939"/>
  </r>
  <r>
    <n v="437"/>
    <s v="ATCO"/>
    <s v="DFO-D"/>
    <m/>
    <s v="Upgrade"/>
    <n v="40"/>
    <n v="96.7"/>
    <n v="3631380.4067567294"/>
    <n v="2.4175"/>
  </r>
  <r>
    <n v="1233"/>
    <s v="ATCO"/>
    <s v="DFO-D"/>
    <m/>
    <s v="Upgrade"/>
    <n v="50"/>
    <n v="96.7"/>
    <n v="3890411.7673360803"/>
    <n v="1.9340000000000002"/>
  </r>
  <r>
    <n v="361"/>
    <s v="AML"/>
    <s v="DFO-D"/>
    <m/>
    <s v="Upgrade"/>
    <n v="25.22"/>
    <n v="67"/>
    <n v="1171978.0512644304"/>
    <n v="2.6566217287866776"/>
  </r>
  <r>
    <n v="645"/>
    <s v="AML"/>
    <s v="DFO-D"/>
    <m/>
    <s v="Upgrade"/>
    <n v="26.22"/>
    <n v="67"/>
    <n v="226677.56309168192"/>
    <n v="2.555301296720061"/>
  </r>
  <r>
    <n v="720"/>
    <s v="AML"/>
    <s v="DFO-D"/>
    <m/>
    <s v="Upgrade"/>
    <n v="9.1999999999999993"/>
    <n v="56"/>
    <n v="3214674.226156069"/>
    <n v="6.0869565217391308"/>
  </r>
  <r>
    <n v="1554"/>
    <s v="ATCO"/>
    <s v="DFO-T"/>
    <m/>
    <s v="Upgrade"/>
    <n v="31"/>
    <n v="50"/>
    <n v="4004092.963367763"/>
    <n v="1.6129032258064515"/>
  </r>
  <r>
    <n v="1570"/>
    <s v="ATCO"/>
    <s v="DFO-T"/>
    <m/>
    <s v="Upgrade"/>
    <n v="19"/>
    <n v="50"/>
    <n v="5712872.9653456798"/>
    <n v="2.6315789473684212"/>
  </r>
  <r>
    <n v="1280"/>
    <s v="ATCO"/>
    <s v="DFO-T"/>
    <m/>
    <s v="Upgrade"/>
    <n v="20"/>
    <n v="50"/>
    <n v="3956711.7678399109"/>
    <n v="2.5"/>
  </r>
  <r>
    <n v="659"/>
    <s v="AML"/>
    <s v="DFO-T"/>
    <m/>
    <s v="Upgrade"/>
    <n v="58"/>
    <n v="149.4"/>
    <n v="190388.6190750667"/>
    <n v="2.5758620689655172"/>
  </r>
  <r>
    <n v="1240"/>
    <s v="ATCO"/>
    <s v="DFO-T"/>
    <m/>
    <s v="Upgrade"/>
    <n v="21"/>
    <n v="16.7"/>
    <n v="2476238.9627807443"/>
    <n v="0.79523809523809519"/>
  </r>
  <r>
    <n v="317"/>
    <s v="AML"/>
    <s v="DFO-D"/>
    <m/>
    <s v="Upgrade"/>
    <n v="35.130000000000003"/>
    <n v="89"/>
    <n v="3733615.4837609362"/>
    <n v="2.5334471961286646"/>
  </r>
  <r>
    <n v="1510"/>
    <s v="AML"/>
    <s v="DFO-D"/>
    <m/>
    <s v="Upgrade"/>
    <n v="35.130000000000003"/>
    <n v="89"/>
    <n v="1037844.2790997116"/>
    <n v="2.5334471961286646"/>
  </r>
  <r>
    <n v="1678"/>
    <s v="EPCOR"/>
    <s v="DFO-D"/>
    <m/>
    <s v="Upgrade"/>
    <n v="75"/>
    <n v="500"/>
    <n v="187688.0715541229"/>
    <n v="6.666666666666667"/>
  </r>
  <r>
    <n v="409"/>
    <s v="EPCOR"/>
    <s v="DFO-D"/>
    <m/>
    <s v="Upgrade"/>
    <n v="50.9"/>
    <n v="126"/>
    <n v="6950027.5644125203"/>
    <n v="2.4754420432220039"/>
  </r>
  <r>
    <n v="620"/>
    <s v="EPCOR"/>
    <s v="DFO-D"/>
    <m/>
    <s v="Upgrade"/>
    <n v="67.040000000000006"/>
    <n v="133.4"/>
    <n v="52327.10135106941"/>
    <n v="1.9898568019093077"/>
  </r>
  <r>
    <n v="1085"/>
    <s v="EPCOR"/>
    <s v="DFO-D"/>
    <m/>
    <s v="Upgrade"/>
    <n v="69.040000000000006"/>
    <n v="133.4"/>
    <n v="79312.35890156441"/>
    <n v="1.9322132097334876"/>
  </r>
  <r>
    <n v="589"/>
    <s v="Red Deer"/>
    <s v="DFO-D"/>
    <m/>
    <s v="Upgrade"/>
    <n v="36.963000000000001"/>
    <n v="106"/>
    <n v="32007.376892660457"/>
    <n v="2.8677325974623273"/>
  </r>
  <r>
    <n v="836"/>
    <s v="Red Deer"/>
    <s v="DFO-D"/>
    <m/>
    <s v="Upgrade"/>
    <n v="44"/>
    <n v="106"/>
    <n v="208248.46319974697"/>
    <n v="2.4090909090909092"/>
  </r>
  <r>
    <n v="1417"/>
    <s v="Red Deer"/>
    <s v="DFO-D"/>
    <m/>
    <s v="Upgrade"/>
    <n v="56"/>
    <n v="100"/>
    <n v="366317.55287404399"/>
    <n v="1.7857142857142858"/>
  </r>
  <r>
    <n v="1575"/>
    <s v="EPCOR"/>
    <s v="DFO-D"/>
    <m/>
    <s v="Upgrade"/>
    <n v="110"/>
    <n v="290.8"/>
    <n v="84606.13805829866"/>
    <n v="2.6436363636363636"/>
  </r>
  <r>
    <n v="1480"/>
    <s v="ENMAX"/>
    <s v="DFO-D"/>
    <m/>
    <s v="Upgrade"/>
    <n v="101"/>
    <n v="200"/>
    <n v="1418629.2000498641"/>
    <n v="1.9801980198019802"/>
  </r>
  <r>
    <n v="1644"/>
    <s v="ENMAX"/>
    <s v="DFO-D"/>
    <m/>
    <s v="Upgrade"/>
    <n v="39"/>
    <n v="100"/>
    <n v="6488176.858708987"/>
    <n v="2.5641025641025643"/>
  </r>
  <r>
    <n v="1276"/>
    <s v="ENMAX"/>
    <s v="DFO-D"/>
    <m/>
    <s v="Upgrade"/>
    <n v="38"/>
    <n v="172"/>
    <n v="697551.92087391275"/>
    <n v="4.5263157894736841"/>
  </r>
  <r>
    <n v="823"/>
    <s v="ENMAX"/>
    <s v="DFO-D"/>
    <m/>
    <s v="Upgrade"/>
    <n v="35"/>
    <n v="100"/>
    <n v="8315661.423378624"/>
    <n v="2.8571428571428572"/>
  </r>
  <r>
    <n v="1601"/>
    <s v="ENMAX"/>
    <s v="DFO-D"/>
    <m/>
    <s v="Upgrade"/>
    <n v="77"/>
    <n v="133.6"/>
    <n v="4009464.8670350015"/>
    <n v="1.735064935064935"/>
  </r>
  <r>
    <n v="1046"/>
    <s v="ENMAX"/>
    <s v="DFO-D"/>
    <m/>
    <s v="Upgrade"/>
    <n v="50"/>
    <n v="110"/>
    <n v="13838101.419471104"/>
    <n v="2.2000000000000002"/>
  </r>
  <r>
    <n v="873"/>
    <s v="ENMAX"/>
    <s v="DFO-D"/>
    <m/>
    <s v="Upgrade"/>
    <n v="48"/>
    <n v="126.7"/>
    <n v="10835025.062169574"/>
    <n v="2.6395833333333334"/>
  </r>
  <r>
    <n v="630"/>
    <s v="ENMAX"/>
    <s v="DFO-D"/>
    <m/>
    <s v="Upgrade"/>
    <n v="40"/>
    <n v="113.3"/>
    <n v="761818.60016629798"/>
    <n v="2.8325"/>
  </r>
  <r>
    <n v="1107"/>
    <s v="ENMAX"/>
    <s v="DFO-D"/>
    <m/>
    <s v="Upgrade"/>
    <n v="40"/>
    <n v="100"/>
    <n v="7700009.4501504581"/>
    <n v="2.5"/>
  </r>
  <r>
    <n v="682"/>
    <s v="ENMAX"/>
    <s v="DFO-D"/>
    <m/>
    <s v="Upgrade"/>
    <n v="30"/>
    <n v="60"/>
    <n v="4225223.3548626928"/>
    <n v="2"/>
  </r>
  <r>
    <n v="677"/>
    <s v="ENMAX"/>
    <s v="DFO-D"/>
    <m/>
    <s v="Upgrade"/>
    <n v="117"/>
    <n v="360"/>
    <n v="5967266.0834890455"/>
    <n v="3.0769230769230771"/>
  </r>
  <r>
    <n v="643"/>
    <s v="ENMAX"/>
    <s v="DFO-D"/>
    <m/>
    <s v="Upgrade"/>
    <n v="53.87"/>
    <n v="133.30000000000001"/>
    <n v="4408671.5648995526"/>
    <n v="2.474475589381845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06" dataOnRows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1">
  <location ref="K7:L10" firstHeaderRow="1" firstDataRow="1" firstDataCol="1"/>
  <pivotFields count="9">
    <pivotField showAll="0"/>
    <pivotField showAll="0"/>
    <pivotField showAll="0"/>
    <pivotField showAll="0"/>
    <pivotField showAll="0"/>
    <pivotField dataField="1" numFmtId="168" showAll="0"/>
    <pivotField dataField="1" numFmtId="168" showAll="0"/>
    <pivotField numFmtId="177" showAll="0"/>
    <pivotField dataField="1" numFmtId="183" showAll="0" defaultSubtotal="0"/>
  </pivotFields>
  <rowFields count="1">
    <field x="-2"/>
  </rowFields>
  <rowItems count="3">
    <i>
      <x/>
    </i>
    <i i="1">
      <x v="1"/>
    </i>
    <i i="2">
      <x v="2"/>
    </i>
  </rowItems>
  <colItems count="1">
    <i/>
  </colItems>
  <dataFields count="3">
    <dataField name="Sum of Contract Capacity (MW)" fld="5" baseField="0" baseItem="0"/>
    <dataField name="Sum of Installed Capacity (MW)" fld="6" baseField="0" baseItem="0"/>
    <dataField name="Average of Installed / Contract" fld="8" subtotal="average" baseField="0" baseItem="3535240" numFmtId="185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://webs.wichita.edu/facsme/cbl/functions/pcm.pdf" TargetMode="External"/><Relationship Id="rId6" Type="http://schemas.openxmlformats.org/officeDocument/2006/relationships/image" Target="../media/image2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131"/>
  <sheetViews>
    <sheetView tabSelected="1" zoomScaleNormal="100" workbookViewId="0">
      <pane xSplit="1" ySplit="7" topLeftCell="B8" activePane="bottomRight" state="frozenSplit"/>
      <selection pane="topRight" activeCell="C49" sqref="C49"/>
      <selection pane="bottomLeft" activeCell="C49" sqref="C49"/>
      <selection pane="bottomRight" activeCell="B8" sqref="B8"/>
    </sheetView>
  </sheetViews>
  <sheetFormatPr defaultColWidth="9.140625" defaultRowHeight="12.75" x14ac:dyDescent="0.2"/>
  <cols>
    <col min="1" max="1" width="5.5703125" style="58" customWidth="1"/>
    <col min="2" max="2" width="15.7109375" style="58" bestFit="1" customWidth="1"/>
    <col min="3" max="3" width="8.85546875" style="58" customWidth="1"/>
    <col min="4" max="4" width="33" style="58" bestFit="1" customWidth="1"/>
    <col min="5" max="5" width="18.140625" style="58" customWidth="1"/>
    <col min="6" max="6" width="8.5703125" style="58" customWidth="1"/>
    <col min="7" max="7" width="10.42578125" style="58" customWidth="1"/>
    <col min="8" max="8" width="4.85546875" style="58" customWidth="1"/>
    <col min="9" max="9" width="6" style="58" customWidth="1"/>
    <col min="10" max="10" width="7.42578125" style="58" customWidth="1"/>
    <col min="11" max="11" width="14" style="58" customWidth="1"/>
    <col min="12" max="12" width="8.42578125" style="58" customWidth="1"/>
    <col min="13" max="18" width="13.7109375" style="58" customWidth="1"/>
    <col min="19" max="19" width="6.42578125" style="58" bestFit="1" customWidth="1"/>
    <col min="20" max="20" width="13.7109375" style="58" customWidth="1"/>
    <col min="21" max="21" width="11.85546875" style="58" customWidth="1"/>
    <col min="22" max="22" width="9.7109375" style="58" customWidth="1"/>
    <col min="23" max="24" width="6.7109375" style="58" customWidth="1"/>
    <col min="25" max="25" width="6.140625" style="58" customWidth="1"/>
    <col min="26" max="29" width="7.7109375" style="58" customWidth="1"/>
    <col min="30" max="30" width="7.7109375" style="79" customWidth="1"/>
    <col min="31" max="31" width="45" style="58" customWidth="1"/>
    <col min="32" max="32" width="10.7109375" style="58" customWidth="1"/>
    <col min="33" max="34" width="13.7109375" style="58" customWidth="1"/>
    <col min="35" max="36" width="9.28515625" style="58" customWidth="1"/>
    <col min="37" max="37" width="10.5703125" style="58" customWidth="1"/>
    <col min="38" max="16384" width="9.140625" style="58"/>
  </cols>
  <sheetData>
    <row r="1" spans="1:37" s="47" customFormat="1" x14ac:dyDescent="0.2">
      <c r="A1" s="47" t="s">
        <v>54</v>
      </c>
      <c r="AD1" s="48"/>
    </row>
    <row r="2" spans="1:37" s="47" customFormat="1" x14ac:dyDescent="0.2">
      <c r="A2" s="47" t="str">
        <f>Application</f>
        <v>2018 ISO Tariff Application</v>
      </c>
      <c r="AD2" s="48"/>
    </row>
    <row r="3" spans="1:37" s="47" customFormat="1" x14ac:dyDescent="0.2">
      <c r="A3" s="47" t="str">
        <f>ApplicationSection</f>
        <v>Appendix G - Point of Delivery Cost Function Workbook</v>
      </c>
      <c r="AD3" s="48"/>
    </row>
    <row r="4" spans="1:37" s="47" customFormat="1" x14ac:dyDescent="0.2">
      <c r="A4" s="47" t="s">
        <v>962</v>
      </c>
      <c r="AD4" s="48"/>
    </row>
    <row r="5" spans="1:37" s="47" customFormat="1" x14ac:dyDescent="0.2">
      <c r="A5" s="49" t="str">
        <f>TableDate</f>
        <v>August 17, 2018</v>
      </c>
      <c r="B5" s="50"/>
      <c r="AD5" s="48"/>
    </row>
    <row r="6" spans="1:37" s="47" customFormat="1" x14ac:dyDescent="0.2">
      <c r="A6" s="51"/>
      <c r="B6" s="52"/>
      <c r="AD6" s="48"/>
    </row>
    <row r="7" spans="1:37" s="56" customFormat="1" ht="51" x14ac:dyDescent="0.2">
      <c r="A7" s="53" t="s">
        <v>55</v>
      </c>
      <c r="B7" s="53" t="s">
        <v>56</v>
      </c>
      <c r="C7" s="53" t="s">
        <v>57</v>
      </c>
      <c r="D7" s="53" t="s">
        <v>58</v>
      </c>
      <c r="E7" s="53" t="s">
        <v>59</v>
      </c>
      <c r="F7" s="53" t="s">
        <v>60</v>
      </c>
      <c r="G7" s="53" t="s">
        <v>61</v>
      </c>
      <c r="H7" s="53" t="s">
        <v>62</v>
      </c>
      <c r="I7" s="53" t="s">
        <v>63</v>
      </c>
      <c r="J7" s="53" t="s">
        <v>64</v>
      </c>
      <c r="K7" s="53" t="s">
        <v>65</v>
      </c>
      <c r="L7" s="53" t="s">
        <v>66</v>
      </c>
      <c r="M7" s="54" t="s">
        <v>67</v>
      </c>
      <c r="N7" s="53" t="s">
        <v>68</v>
      </c>
      <c r="O7" s="53" t="s">
        <v>69</v>
      </c>
      <c r="P7" s="53" t="s">
        <v>70</v>
      </c>
      <c r="Q7" s="53" t="s">
        <v>71</v>
      </c>
      <c r="R7" s="53" t="s">
        <v>72</v>
      </c>
      <c r="S7" s="53" t="s">
        <v>73</v>
      </c>
      <c r="T7" s="53" t="s">
        <v>74</v>
      </c>
      <c r="U7" s="53" t="s">
        <v>75</v>
      </c>
      <c r="V7" s="53" t="s">
        <v>76</v>
      </c>
      <c r="W7" s="53" t="s">
        <v>77</v>
      </c>
      <c r="X7" s="53" t="s">
        <v>78</v>
      </c>
      <c r="Y7" s="53" t="s">
        <v>79</v>
      </c>
      <c r="Z7" s="53" t="s">
        <v>80</v>
      </c>
      <c r="AA7" s="53" t="s">
        <v>81</v>
      </c>
      <c r="AB7" s="53" t="s">
        <v>82</v>
      </c>
      <c r="AC7" s="53" t="s">
        <v>83</v>
      </c>
      <c r="AD7" s="55" t="s">
        <v>84</v>
      </c>
      <c r="AE7" s="53" t="s">
        <v>85</v>
      </c>
      <c r="AF7" s="53" t="s">
        <v>86</v>
      </c>
      <c r="AG7" s="53" t="s">
        <v>87</v>
      </c>
      <c r="AH7" s="53" t="s">
        <v>88</v>
      </c>
      <c r="AI7" s="53" t="s">
        <v>89</v>
      </c>
      <c r="AJ7" s="53" t="s">
        <v>90</v>
      </c>
      <c r="AK7" s="53" t="s">
        <v>91</v>
      </c>
    </row>
    <row r="8" spans="1:37" x14ac:dyDescent="0.2">
      <c r="A8" s="57">
        <v>476</v>
      </c>
      <c r="B8" s="58" t="s">
        <v>92</v>
      </c>
      <c r="C8" s="58" t="s">
        <v>93</v>
      </c>
      <c r="D8" s="58" t="s">
        <v>94</v>
      </c>
      <c r="E8" s="58" t="s">
        <v>95</v>
      </c>
      <c r="F8" s="58" t="s">
        <v>96</v>
      </c>
      <c r="G8" s="58" t="s">
        <v>97</v>
      </c>
      <c r="H8" s="58">
        <v>1</v>
      </c>
      <c r="I8" s="58">
        <v>138</v>
      </c>
      <c r="J8" s="58">
        <v>25</v>
      </c>
      <c r="K8" s="58" t="s">
        <v>98</v>
      </c>
      <c r="L8" s="59">
        <v>16</v>
      </c>
      <c r="M8" s="60">
        <v>3941168</v>
      </c>
      <c r="N8" s="60">
        <v>5587248</v>
      </c>
      <c r="O8" s="60">
        <v>3216121</v>
      </c>
      <c r="P8" s="60">
        <f>SUM(M8:O8)</f>
        <v>12744537</v>
      </c>
      <c r="Q8" s="60">
        <f>P8-R8</f>
        <v>5512992</v>
      </c>
      <c r="R8" s="60">
        <v>7231545</v>
      </c>
      <c r="S8" s="61" t="s">
        <v>99</v>
      </c>
      <c r="T8" s="60"/>
      <c r="U8" s="61">
        <v>2009</v>
      </c>
      <c r="V8" s="58" t="s">
        <v>100</v>
      </c>
      <c r="W8" s="62">
        <v>8</v>
      </c>
      <c r="X8" s="62">
        <v>14</v>
      </c>
      <c r="Y8" s="62">
        <f t="shared" ref="Y8:Y13" si="0">MAX(W8,X8)</f>
        <v>14</v>
      </c>
      <c r="Z8" s="61">
        <v>2003</v>
      </c>
      <c r="AA8" s="63">
        <v>38473</v>
      </c>
      <c r="AB8" s="63">
        <v>38838</v>
      </c>
      <c r="AC8" s="64">
        <v>39150</v>
      </c>
      <c r="AD8" s="65">
        <f>YEAR(AC8)-1</f>
        <v>2006</v>
      </c>
      <c r="AF8" s="66">
        <f>LOOKUP(AD8,'2018 Escalator'!$A$9:$A$41,'2018 Escalator'!$G$9:$G$41)</f>
        <v>1.3230619810637019</v>
      </c>
      <c r="AG8" s="60">
        <f t="shared" ref="AG8:AG71" si="1">P8*AF8</f>
        <v>16861812.370959647</v>
      </c>
      <c r="AH8" s="60">
        <f>SUM($P8,$T8)*$AF8</f>
        <v>16861812.370959647</v>
      </c>
      <c r="AI8" s="62">
        <v>25</v>
      </c>
      <c r="AJ8" s="62">
        <f>AI8</f>
        <v>25</v>
      </c>
      <c r="AK8" s="62">
        <f>AJ8*0.9</f>
        <v>22.5</v>
      </c>
    </row>
    <row r="9" spans="1:37" x14ac:dyDescent="0.2">
      <c r="A9" s="57">
        <v>478</v>
      </c>
      <c r="B9" s="58" t="s">
        <v>92</v>
      </c>
      <c r="C9" s="58" t="s">
        <v>93</v>
      </c>
      <c r="D9" s="58" t="s">
        <v>101</v>
      </c>
      <c r="E9" s="58" t="s">
        <v>102</v>
      </c>
      <c r="F9" s="58" t="s">
        <v>103</v>
      </c>
      <c r="G9" s="58" t="s">
        <v>97</v>
      </c>
      <c r="H9" s="58">
        <v>1</v>
      </c>
      <c r="I9" s="58">
        <v>138</v>
      </c>
      <c r="J9" s="58">
        <v>16.600000000000001</v>
      </c>
      <c r="K9" s="58" t="s">
        <v>98</v>
      </c>
      <c r="L9" s="59">
        <v>0.1</v>
      </c>
      <c r="M9" s="60">
        <v>2568005</v>
      </c>
      <c r="N9" s="60">
        <v>526552</v>
      </c>
      <c r="O9" s="60">
        <v>1454153</v>
      </c>
      <c r="P9" s="60">
        <f>SUM(M9:O9)</f>
        <v>4548710</v>
      </c>
      <c r="Q9" s="60">
        <f>P9-R9</f>
        <v>0</v>
      </c>
      <c r="R9" s="60">
        <f>4577771-29061</f>
        <v>4548710</v>
      </c>
      <c r="S9" s="61" t="s">
        <v>99</v>
      </c>
      <c r="T9" s="60"/>
      <c r="U9" s="61">
        <v>2006</v>
      </c>
      <c r="V9" s="58" t="s">
        <v>100</v>
      </c>
      <c r="W9" s="62">
        <v>8.5</v>
      </c>
      <c r="X9" s="62">
        <v>8.5</v>
      </c>
      <c r="Y9" s="62">
        <f t="shared" si="0"/>
        <v>8.5</v>
      </c>
      <c r="Z9" s="61">
        <v>2003</v>
      </c>
      <c r="AA9" s="63">
        <v>38473</v>
      </c>
      <c r="AB9" s="63">
        <v>38838</v>
      </c>
      <c r="AC9" s="64">
        <v>39137</v>
      </c>
      <c r="AD9" s="65">
        <f>YEAR(AC9)-1</f>
        <v>2006</v>
      </c>
      <c r="AF9" s="66">
        <f>LOOKUP(AD9,'2018 Escalator'!$A$9:$A$41,'2018 Escalator'!$G$9:$G$41)</f>
        <v>1.3230619810637019</v>
      </c>
      <c r="AG9" s="60">
        <f t="shared" si="1"/>
        <v>6018225.2638842715</v>
      </c>
      <c r="AH9" s="60">
        <f t="shared" ref="AH9:AH72" si="2">SUM($P9,$T9)*$AF9</f>
        <v>6018225.2638842715</v>
      </c>
      <c r="AI9" s="62">
        <v>16.7</v>
      </c>
      <c r="AJ9" s="62">
        <f t="shared" ref="AJ9:AJ72" si="3">AI9</f>
        <v>16.7</v>
      </c>
      <c r="AK9" s="62">
        <f t="shared" ref="AK9:AK72" si="4">AJ9*0.9</f>
        <v>15.03</v>
      </c>
    </row>
    <row r="10" spans="1:37" x14ac:dyDescent="0.2">
      <c r="A10" s="57">
        <v>473</v>
      </c>
      <c r="B10" s="58" t="s">
        <v>92</v>
      </c>
      <c r="C10" s="58" t="s">
        <v>93</v>
      </c>
      <c r="D10" s="58" t="s">
        <v>104</v>
      </c>
      <c r="E10" s="58" t="s">
        <v>105</v>
      </c>
      <c r="F10" s="58" t="s">
        <v>106</v>
      </c>
      <c r="G10" s="58" t="s">
        <v>107</v>
      </c>
      <c r="H10" s="58">
        <v>1</v>
      </c>
      <c r="I10" s="58">
        <v>250</v>
      </c>
      <c r="J10" s="58">
        <v>50</v>
      </c>
      <c r="K10" s="58" t="s">
        <v>98</v>
      </c>
      <c r="L10" s="59">
        <v>2</v>
      </c>
      <c r="M10" s="60">
        <v>5678200</v>
      </c>
      <c r="N10" s="60">
        <v>3121015</v>
      </c>
      <c r="O10" s="60">
        <v>2537360</v>
      </c>
      <c r="P10" s="60">
        <f>SUM(M10:O10)</f>
        <v>11336575</v>
      </c>
      <c r="Q10" s="60">
        <f>P10-R10</f>
        <v>1800832</v>
      </c>
      <c r="R10" s="60">
        <v>9535743</v>
      </c>
      <c r="S10" s="61" t="s">
        <v>99</v>
      </c>
      <c r="T10" s="60"/>
      <c r="U10" s="61">
        <v>2010</v>
      </c>
      <c r="V10" s="58" t="s">
        <v>100</v>
      </c>
      <c r="W10" s="62">
        <v>30</v>
      </c>
      <c r="X10" s="62">
        <v>30</v>
      </c>
      <c r="Y10" s="62">
        <f t="shared" si="0"/>
        <v>30</v>
      </c>
      <c r="Z10" s="61">
        <v>2003</v>
      </c>
      <c r="AA10" s="63">
        <v>38473</v>
      </c>
      <c r="AB10" s="63">
        <v>38869</v>
      </c>
      <c r="AC10" s="64">
        <v>39417</v>
      </c>
      <c r="AD10" s="65">
        <f>YEAR(AC10)-1</f>
        <v>2006</v>
      </c>
      <c r="AF10" s="66">
        <f>LOOKUP(AD10,'2018 Escalator'!$A$9:$A$41,'2018 Escalator'!$G$9:$G$41)</f>
        <v>1.3230619810637019</v>
      </c>
      <c r="AG10" s="60">
        <f t="shared" si="1"/>
        <v>14998991.377977235</v>
      </c>
      <c r="AH10" s="60">
        <f t="shared" si="2"/>
        <v>14998991.377977235</v>
      </c>
      <c r="AI10" s="62">
        <v>50</v>
      </c>
      <c r="AJ10" s="62">
        <f t="shared" si="3"/>
        <v>50</v>
      </c>
      <c r="AK10" s="62">
        <f t="shared" si="4"/>
        <v>45</v>
      </c>
    </row>
    <row r="11" spans="1:37" x14ac:dyDescent="0.2">
      <c r="A11" s="57">
        <v>1042</v>
      </c>
      <c r="B11" s="58" t="s">
        <v>92</v>
      </c>
      <c r="C11" s="58" t="s">
        <v>108</v>
      </c>
      <c r="D11" s="58" t="s">
        <v>109</v>
      </c>
      <c r="E11" s="58" t="s">
        <v>110</v>
      </c>
      <c r="F11" s="58" t="s">
        <v>111</v>
      </c>
      <c r="G11" s="58" t="s">
        <v>97</v>
      </c>
      <c r="H11" s="58">
        <v>1</v>
      </c>
      <c r="I11" s="58">
        <v>145</v>
      </c>
      <c r="J11" s="58">
        <v>25</v>
      </c>
      <c r="K11" s="58" t="s">
        <v>98</v>
      </c>
      <c r="L11" s="59">
        <v>1.5</v>
      </c>
      <c r="M11" s="60">
        <f>4181344+530326</f>
        <v>4711670</v>
      </c>
      <c r="N11" s="60">
        <v>2909197</v>
      </c>
      <c r="O11" s="60">
        <f>380602+1587608+0+233699</f>
        <v>2201909</v>
      </c>
      <c r="P11" s="60">
        <f>SUM(M11:O11)</f>
        <v>9822776</v>
      </c>
      <c r="Q11" s="60">
        <f>P11-R11</f>
        <v>3167822</v>
      </c>
      <c r="R11" s="60">
        <v>6654954</v>
      </c>
      <c r="S11" s="61" t="s">
        <v>99</v>
      </c>
      <c r="T11" s="60"/>
      <c r="U11" s="61">
        <v>2016</v>
      </c>
      <c r="V11" s="58" t="s">
        <v>100</v>
      </c>
      <c r="W11" s="62">
        <v>6</v>
      </c>
      <c r="X11" s="62">
        <v>13</v>
      </c>
      <c r="Y11" s="62">
        <f t="shared" si="0"/>
        <v>13</v>
      </c>
      <c r="Z11" s="61">
        <v>2011</v>
      </c>
      <c r="AA11" s="63">
        <v>40118</v>
      </c>
      <c r="AB11" s="63">
        <v>40756</v>
      </c>
      <c r="AC11" s="64">
        <v>41214</v>
      </c>
      <c r="AD11" s="65">
        <f>YEAR(AC11)-1</f>
        <v>2011</v>
      </c>
      <c r="AE11" s="58" t="s">
        <v>112</v>
      </c>
      <c r="AF11" s="66">
        <f>LOOKUP(AD11,'2018 Escalator'!$A$9:$A$41,'2018 Escalator'!$G$9:$G$41)</f>
        <v>1.1366200577120069</v>
      </c>
      <c r="AG11" s="60">
        <f t="shared" si="1"/>
        <v>11164764.224012116</v>
      </c>
      <c r="AH11" s="60">
        <f t="shared" si="2"/>
        <v>11164764.224012116</v>
      </c>
      <c r="AI11" s="62">
        <v>25</v>
      </c>
      <c r="AJ11" s="62">
        <f t="shared" si="3"/>
        <v>25</v>
      </c>
      <c r="AK11" s="62">
        <f t="shared" si="4"/>
        <v>22.5</v>
      </c>
    </row>
    <row r="12" spans="1:37" x14ac:dyDescent="0.2">
      <c r="A12" s="57">
        <v>443</v>
      </c>
      <c r="B12" s="58" t="s">
        <v>92</v>
      </c>
      <c r="C12" s="58" t="s">
        <v>108</v>
      </c>
      <c r="D12" s="58" t="s">
        <v>113</v>
      </c>
      <c r="E12" s="58" t="s">
        <v>114</v>
      </c>
      <c r="F12" s="58" t="s">
        <v>115</v>
      </c>
      <c r="G12" s="58" t="s">
        <v>116</v>
      </c>
      <c r="H12" s="58">
        <v>2</v>
      </c>
      <c r="I12" s="58">
        <v>138</v>
      </c>
      <c r="J12" s="58">
        <v>42</v>
      </c>
      <c r="K12" s="58" t="s">
        <v>98</v>
      </c>
      <c r="L12" s="59">
        <v>0</v>
      </c>
      <c r="M12" s="60">
        <v>5553323</v>
      </c>
      <c r="N12" s="60">
        <v>477709</v>
      </c>
      <c r="O12" s="60">
        <v>1857982</v>
      </c>
      <c r="P12" s="60">
        <v>7889014</v>
      </c>
      <c r="Q12" s="60">
        <v>0</v>
      </c>
      <c r="R12" s="60">
        <v>7889014</v>
      </c>
      <c r="S12" s="61" t="s">
        <v>99</v>
      </c>
      <c r="T12" s="60"/>
      <c r="U12" s="61">
        <v>2006</v>
      </c>
      <c r="V12" s="58" t="s">
        <v>100</v>
      </c>
      <c r="W12" s="62">
        <v>24.3</v>
      </c>
      <c r="X12" s="62">
        <v>24.3</v>
      </c>
      <c r="Y12" s="62">
        <f t="shared" si="0"/>
        <v>24.3</v>
      </c>
      <c r="Z12" s="61">
        <v>2006</v>
      </c>
      <c r="AA12" s="63">
        <v>38108</v>
      </c>
      <c r="AB12" s="63">
        <v>38261</v>
      </c>
      <c r="AC12" s="64">
        <v>38666</v>
      </c>
      <c r="AD12" s="65">
        <f>YEAR(AC12)-1</f>
        <v>2004</v>
      </c>
      <c r="AE12" s="58" t="s">
        <v>117</v>
      </c>
      <c r="AF12" s="66">
        <f>LOOKUP(AD12,'2018 Escalator'!$A$9:$A$41,'2018 Escalator'!$G$9:$G$41)</f>
        <v>1.483782020350688</v>
      </c>
      <c r="AG12" s="60">
        <f t="shared" si="1"/>
        <v>11705577.131494863</v>
      </c>
      <c r="AH12" s="60">
        <f t="shared" si="2"/>
        <v>11705577.131494863</v>
      </c>
      <c r="AI12" s="62">
        <v>39</v>
      </c>
      <c r="AJ12" s="62">
        <f t="shared" si="3"/>
        <v>39</v>
      </c>
      <c r="AK12" s="62">
        <f t="shared" si="4"/>
        <v>35.1</v>
      </c>
    </row>
    <row r="13" spans="1:37" x14ac:dyDescent="0.2">
      <c r="A13" s="67">
        <v>1195</v>
      </c>
      <c r="B13" s="58" t="s">
        <v>92</v>
      </c>
      <c r="C13" s="58" t="s">
        <v>108</v>
      </c>
      <c r="D13" s="58" t="s">
        <v>118</v>
      </c>
      <c r="E13" s="68" t="s">
        <v>119</v>
      </c>
      <c r="F13" s="58" t="s">
        <v>120</v>
      </c>
      <c r="G13" s="58" t="s">
        <v>121</v>
      </c>
      <c r="H13" s="58">
        <v>2</v>
      </c>
      <c r="I13" s="58">
        <v>138</v>
      </c>
      <c r="J13" s="58">
        <v>148</v>
      </c>
      <c r="K13" s="58" t="s">
        <v>98</v>
      </c>
      <c r="L13" s="59">
        <v>3</v>
      </c>
      <c r="M13" s="60">
        <f>14206592+225764</f>
        <v>14432356</v>
      </c>
      <c r="N13" s="60">
        <v>5227624</v>
      </c>
      <c r="O13" s="60">
        <f>768260+7883165+667595</f>
        <v>9319020</v>
      </c>
      <c r="P13" s="60">
        <f t="shared" ref="P13:P18" si="5">SUM(M13:O13)</f>
        <v>28979000</v>
      </c>
      <c r="Q13" s="60">
        <f>P13-R13</f>
        <v>20341500</v>
      </c>
      <c r="R13" s="60">
        <v>8637500</v>
      </c>
      <c r="S13" s="61" t="s">
        <v>99</v>
      </c>
      <c r="T13" s="60"/>
      <c r="U13" s="61">
        <v>2015</v>
      </c>
      <c r="V13" s="69" t="s">
        <v>100</v>
      </c>
      <c r="W13" s="62">
        <v>18</v>
      </c>
      <c r="X13" s="62">
        <v>18</v>
      </c>
      <c r="Y13" s="62">
        <f t="shared" si="0"/>
        <v>18</v>
      </c>
      <c r="Z13" s="61">
        <v>2011</v>
      </c>
      <c r="AA13" s="63">
        <v>41352</v>
      </c>
      <c r="AB13" s="63">
        <v>41460</v>
      </c>
      <c r="AC13" s="64">
        <v>41579</v>
      </c>
      <c r="AD13" s="65">
        <f t="shared" ref="AD13:AD21" si="6">YEAR(AC13)-1</f>
        <v>2012</v>
      </c>
      <c r="AF13" s="66">
        <f>LOOKUP(AD13,'2018 Escalator'!$A$9:$A$41,'2018 Escalator'!$G$9:$G$41)</f>
        <v>1.0925127659799037</v>
      </c>
      <c r="AG13" s="60">
        <f t="shared" si="1"/>
        <v>31659927.445331629</v>
      </c>
      <c r="AH13" s="60">
        <f t="shared" si="2"/>
        <v>31659927.445331629</v>
      </c>
      <c r="AI13" s="62">
        <f>25*2</f>
        <v>50</v>
      </c>
      <c r="AJ13" s="62">
        <f t="shared" si="3"/>
        <v>50</v>
      </c>
      <c r="AK13" s="62">
        <f t="shared" si="4"/>
        <v>45</v>
      </c>
    </row>
    <row r="14" spans="1:37" x14ac:dyDescent="0.2">
      <c r="A14" s="57">
        <v>420</v>
      </c>
      <c r="B14" s="58" t="s">
        <v>92</v>
      </c>
      <c r="C14" s="58" t="s">
        <v>93</v>
      </c>
      <c r="D14" s="58" t="s">
        <v>122</v>
      </c>
      <c r="E14" s="69" t="s">
        <v>123</v>
      </c>
      <c r="F14" s="58" t="s">
        <v>124</v>
      </c>
      <c r="G14" s="58" t="s">
        <v>97</v>
      </c>
      <c r="H14" s="58">
        <v>2</v>
      </c>
      <c r="I14" s="58">
        <v>138</v>
      </c>
      <c r="J14" s="58">
        <v>25</v>
      </c>
      <c r="K14" s="58" t="s">
        <v>98</v>
      </c>
      <c r="L14" s="59">
        <v>0</v>
      </c>
      <c r="M14" s="60">
        <v>2996961</v>
      </c>
      <c r="N14" s="60">
        <v>226031</v>
      </c>
      <c r="O14" s="60">
        <v>3273680</v>
      </c>
      <c r="P14" s="60">
        <f t="shared" si="5"/>
        <v>6496672</v>
      </c>
      <c r="Q14" s="60">
        <f>P14-R14</f>
        <v>2765672</v>
      </c>
      <c r="R14" s="60">
        <v>3731000</v>
      </c>
      <c r="S14" s="61" t="s">
        <v>99</v>
      </c>
      <c r="T14" s="60"/>
      <c r="U14" s="61">
        <v>2006</v>
      </c>
      <c r="V14" s="58" t="s">
        <v>100</v>
      </c>
      <c r="W14" s="62">
        <v>6</v>
      </c>
      <c r="X14" s="62">
        <v>6</v>
      </c>
      <c r="Y14" s="62">
        <v>6</v>
      </c>
      <c r="Z14" s="61">
        <v>2007</v>
      </c>
      <c r="AA14" s="63">
        <v>38018</v>
      </c>
      <c r="AB14" s="63">
        <v>38139</v>
      </c>
      <c r="AC14" s="64">
        <v>38579</v>
      </c>
      <c r="AD14" s="65">
        <f t="shared" si="6"/>
        <v>2004</v>
      </c>
      <c r="AE14" s="58" t="s">
        <v>125</v>
      </c>
      <c r="AF14" s="66">
        <f>LOOKUP(AD14,'2018 Escalator'!$A$9:$A$41,'2018 Escalator'!$G$9:$G$41)</f>
        <v>1.483782020350688</v>
      </c>
      <c r="AG14" s="60">
        <f t="shared" si="1"/>
        <v>9639645.1057157442</v>
      </c>
      <c r="AH14" s="60">
        <f t="shared" si="2"/>
        <v>9639645.1057157442</v>
      </c>
      <c r="AI14" s="62">
        <v>25</v>
      </c>
      <c r="AJ14" s="62">
        <f t="shared" si="3"/>
        <v>25</v>
      </c>
      <c r="AK14" s="62">
        <f t="shared" si="4"/>
        <v>22.5</v>
      </c>
    </row>
    <row r="15" spans="1:37" x14ac:dyDescent="0.2">
      <c r="A15" s="57">
        <v>440</v>
      </c>
      <c r="B15" s="58" t="s">
        <v>92</v>
      </c>
      <c r="C15" s="58" t="s">
        <v>108</v>
      </c>
      <c r="D15" s="58" t="s">
        <v>126</v>
      </c>
      <c r="E15" s="58" t="s">
        <v>127</v>
      </c>
      <c r="F15" s="58" t="s">
        <v>128</v>
      </c>
      <c r="G15" s="58" t="s">
        <v>116</v>
      </c>
      <c r="H15" s="58">
        <v>2</v>
      </c>
      <c r="I15" s="58">
        <v>138</v>
      </c>
      <c r="J15" s="58">
        <v>42</v>
      </c>
      <c r="K15" s="58" t="s">
        <v>98</v>
      </c>
      <c r="L15" s="59">
        <v>2</v>
      </c>
      <c r="M15" s="60">
        <f>5866649+458826-824258</f>
        <v>5501217</v>
      </c>
      <c r="N15" s="60">
        <v>2355866</v>
      </c>
      <c r="O15" s="60">
        <f>1847069+1963593+0+1107668</f>
        <v>4918330</v>
      </c>
      <c r="P15" s="60">
        <f t="shared" si="5"/>
        <v>12775413</v>
      </c>
      <c r="Q15" s="60">
        <f>P15-R15+1416481</f>
        <v>10691894</v>
      </c>
      <c r="R15" s="60">
        <v>3500000</v>
      </c>
      <c r="S15" s="61" t="s">
        <v>129</v>
      </c>
      <c r="T15" s="60">
        <v>971407</v>
      </c>
      <c r="U15" s="61">
        <v>2007</v>
      </c>
      <c r="V15" s="58" t="s">
        <v>100</v>
      </c>
      <c r="W15" s="62">
        <v>10</v>
      </c>
      <c r="X15" s="62">
        <v>10</v>
      </c>
      <c r="Y15" s="62">
        <f t="shared" ref="Y15:Y21" si="7">MAX(W15,X15)</f>
        <v>10</v>
      </c>
      <c r="Z15" s="61">
        <v>2006</v>
      </c>
      <c r="AA15" s="63">
        <v>38108</v>
      </c>
      <c r="AB15" s="63">
        <v>38322</v>
      </c>
      <c r="AC15" s="64">
        <v>39783</v>
      </c>
      <c r="AD15" s="65">
        <f t="shared" si="6"/>
        <v>2007</v>
      </c>
      <c r="AE15" s="58" t="s">
        <v>130</v>
      </c>
      <c r="AF15" s="66">
        <f>LOOKUP(AD15,'2018 Escalator'!$A$9:$A$41,'2018 Escalator'!$G$9:$G$41)</f>
        <v>1.2531539462632446</v>
      </c>
      <c r="AG15" s="60">
        <f t="shared" si="1"/>
        <v>16009559.216092756</v>
      </c>
      <c r="AH15" s="60">
        <f t="shared" si="2"/>
        <v>17226881.731570497</v>
      </c>
      <c r="AI15" s="62">
        <v>42</v>
      </c>
      <c r="AJ15" s="62">
        <f t="shared" si="3"/>
        <v>42</v>
      </c>
      <c r="AK15" s="62">
        <f t="shared" si="4"/>
        <v>37.800000000000004</v>
      </c>
    </row>
    <row r="16" spans="1:37" x14ac:dyDescent="0.2">
      <c r="A16" s="57">
        <v>1102</v>
      </c>
      <c r="B16" s="58" t="s">
        <v>131</v>
      </c>
      <c r="C16" s="58" t="s">
        <v>132</v>
      </c>
      <c r="D16" s="58" t="s">
        <v>133</v>
      </c>
      <c r="E16" s="68" t="s">
        <v>134</v>
      </c>
      <c r="F16" s="58" t="s">
        <v>135</v>
      </c>
      <c r="G16" s="58" t="s">
        <v>136</v>
      </c>
      <c r="H16" s="58">
        <v>2</v>
      </c>
      <c r="I16" s="58">
        <v>144</v>
      </c>
      <c r="J16" s="58">
        <f>2*25</f>
        <v>50</v>
      </c>
      <c r="K16" s="58" t="s">
        <v>98</v>
      </c>
      <c r="L16" s="59">
        <v>0.06</v>
      </c>
      <c r="M16" s="60">
        <f>10032069+361999</f>
        <v>10394068</v>
      </c>
      <c r="N16" s="60">
        <v>537193</v>
      </c>
      <c r="O16" s="60">
        <f>323248+2312771+11249+1335388</f>
        <v>3982656</v>
      </c>
      <c r="P16" s="60">
        <f t="shared" si="5"/>
        <v>14913917</v>
      </c>
      <c r="Q16" s="60">
        <f>P16-R16</f>
        <v>5972417</v>
      </c>
      <c r="R16" s="60">
        <f>8941500</f>
        <v>8941500</v>
      </c>
      <c r="S16" s="61" t="s">
        <v>99</v>
      </c>
      <c r="T16" s="60"/>
      <c r="U16" s="61">
        <v>2014</v>
      </c>
      <c r="V16" s="58" t="s">
        <v>100</v>
      </c>
      <c r="W16" s="62">
        <v>20</v>
      </c>
      <c r="X16" s="62">
        <v>20</v>
      </c>
      <c r="Y16" s="62">
        <f t="shared" si="7"/>
        <v>20</v>
      </c>
      <c r="Z16" s="61">
        <v>2011</v>
      </c>
      <c r="AA16" s="63">
        <v>41115</v>
      </c>
      <c r="AB16" s="63">
        <v>41247</v>
      </c>
      <c r="AC16" s="64">
        <v>41548</v>
      </c>
      <c r="AD16" s="65">
        <f t="shared" si="6"/>
        <v>2012</v>
      </c>
      <c r="AF16" s="66">
        <f>LOOKUP(AD16,'2018 Escalator'!$A$9:$A$41,'2018 Escalator'!$G$9:$G$41)</f>
        <v>1.0925127659799037</v>
      </c>
      <c r="AG16" s="60">
        <f t="shared" si="1"/>
        <v>16293644.713264707</v>
      </c>
      <c r="AH16" s="60">
        <f t="shared" si="2"/>
        <v>16293644.713264707</v>
      </c>
      <c r="AI16" s="62">
        <f>25*2</f>
        <v>50</v>
      </c>
      <c r="AJ16" s="62">
        <f t="shared" si="3"/>
        <v>50</v>
      </c>
      <c r="AK16" s="62">
        <f t="shared" si="4"/>
        <v>45</v>
      </c>
    </row>
    <row r="17" spans="1:37" x14ac:dyDescent="0.2">
      <c r="A17" s="57">
        <v>324</v>
      </c>
      <c r="B17" s="58" t="s">
        <v>92</v>
      </c>
      <c r="C17" s="58" t="s">
        <v>108</v>
      </c>
      <c r="D17" s="58" t="s">
        <v>137</v>
      </c>
      <c r="E17" s="58" t="s">
        <v>138</v>
      </c>
      <c r="F17" s="58" t="s">
        <v>139</v>
      </c>
      <c r="G17" s="58" t="s">
        <v>116</v>
      </c>
      <c r="H17" s="58">
        <v>1</v>
      </c>
      <c r="I17" s="58">
        <v>138</v>
      </c>
      <c r="J17" s="58">
        <v>25</v>
      </c>
      <c r="K17" s="58" t="s">
        <v>98</v>
      </c>
      <c r="L17" s="59">
        <v>0.2</v>
      </c>
      <c r="M17" s="60">
        <f>4732782-1</f>
        <v>4732781</v>
      </c>
      <c r="N17" s="60">
        <v>300000</v>
      </c>
      <c r="O17" s="60">
        <v>828953</v>
      </c>
      <c r="P17" s="60">
        <f t="shared" si="5"/>
        <v>5861734</v>
      </c>
      <c r="Q17" s="60">
        <f>P17-R17</f>
        <v>0</v>
      </c>
      <c r="R17" s="60">
        <v>5861734</v>
      </c>
      <c r="S17" s="61" t="s">
        <v>99</v>
      </c>
      <c r="T17" s="60"/>
      <c r="U17" s="61">
        <v>2004</v>
      </c>
      <c r="V17" s="58" t="s">
        <v>100</v>
      </c>
      <c r="W17" s="62">
        <v>12.1</v>
      </c>
      <c r="X17" s="62">
        <v>17.2</v>
      </c>
      <c r="Y17" s="62">
        <f t="shared" si="7"/>
        <v>17.2</v>
      </c>
      <c r="Z17" s="61">
        <v>2003</v>
      </c>
      <c r="AA17" s="63">
        <v>37408</v>
      </c>
      <c r="AB17" s="63">
        <v>37712</v>
      </c>
      <c r="AC17" s="64">
        <v>38338</v>
      </c>
      <c r="AD17" s="65">
        <f t="shared" si="6"/>
        <v>2003</v>
      </c>
      <c r="AF17" s="66">
        <f>LOOKUP(AD17,'2018 Escalator'!$A$9:$A$41,'2018 Escalator'!$G$9:$G$41)</f>
        <v>1.5199278197444033</v>
      </c>
      <c r="AG17" s="60">
        <f t="shared" si="1"/>
        <v>8909412.5785416402</v>
      </c>
      <c r="AH17" s="60">
        <f t="shared" si="2"/>
        <v>8909412.5785416402</v>
      </c>
      <c r="AI17" s="62">
        <v>25</v>
      </c>
      <c r="AJ17" s="62">
        <f t="shared" si="3"/>
        <v>25</v>
      </c>
      <c r="AK17" s="62">
        <f t="shared" si="4"/>
        <v>22.5</v>
      </c>
    </row>
    <row r="18" spans="1:37" x14ac:dyDescent="0.2">
      <c r="A18" s="57">
        <v>1103</v>
      </c>
      <c r="B18" s="58" t="s">
        <v>131</v>
      </c>
      <c r="C18" s="58" t="s">
        <v>132</v>
      </c>
      <c r="D18" s="58" t="s">
        <v>140</v>
      </c>
      <c r="E18" s="69" t="s">
        <v>141</v>
      </c>
      <c r="F18" s="58" t="s">
        <v>142</v>
      </c>
      <c r="G18" s="58" t="s">
        <v>143</v>
      </c>
      <c r="H18" s="58">
        <v>1</v>
      </c>
      <c r="I18" s="58">
        <v>144</v>
      </c>
      <c r="J18" s="58">
        <v>25</v>
      </c>
      <c r="K18" s="58" t="s">
        <v>98</v>
      </c>
      <c r="L18" s="59">
        <v>0.6</v>
      </c>
      <c r="M18" s="60">
        <f>10794851+596611-1</f>
        <v>11391461</v>
      </c>
      <c r="N18" s="60">
        <v>213889</v>
      </c>
      <c r="O18" s="60">
        <f>515552+2273128+1440552</f>
        <v>4229232</v>
      </c>
      <c r="P18" s="60">
        <f t="shared" si="5"/>
        <v>15834582</v>
      </c>
      <c r="Q18" s="60">
        <f>P18-R18</f>
        <v>7203703</v>
      </c>
      <c r="R18" s="60">
        <v>8630879</v>
      </c>
      <c r="S18" s="61" t="s">
        <v>99</v>
      </c>
      <c r="T18" s="60"/>
      <c r="U18" s="61">
        <v>2014</v>
      </c>
      <c r="V18" s="58" t="s">
        <v>100</v>
      </c>
      <c r="W18" s="62">
        <v>2</v>
      </c>
      <c r="X18" s="62">
        <v>20</v>
      </c>
      <c r="Y18" s="62">
        <f t="shared" si="7"/>
        <v>20</v>
      </c>
      <c r="Z18" s="61">
        <v>2011</v>
      </c>
      <c r="AA18" s="63">
        <v>41058</v>
      </c>
      <c r="AB18" s="63">
        <v>41325</v>
      </c>
      <c r="AC18" s="64">
        <v>41579</v>
      </c>
      <c r="AD18" s="65">
        <f t="shared" si="6"/>
        <v>2012</v>
      </c>
      <c r="AF18" s="66">
        <f>LOOKUP(AD18,'2018 Escalator'!$A$9:$A$41,'2018 Escalator'!$G$9:$G$41)</f>
        <v>1.0925127659799037</v>
      </c>
      <c r="AG18" s="60">
        <f t="shared" si="1"/>
        <v>17299482.978955593</v>
      </c>
      <c r="AH18" s="60">
        <f t="shared" si="2"/>
        <v>17299482.978955593</v>
      </c>
      <c r="AI18" s="62">
        <v>26</v>
      </c>
      <c r="AJ18" s="62">
        <f t="shared" si="3"/>
        <v>26</v>
      </c>
      <c r="AK18" s="62">
        <f t="shared" si="4"/>
        <v>23.400000000000002</v>
      </c>
    </row>
    <row r="19" spans="1:37" x14ac:dyDescent="0.2">
      <c r="A19" s="57">
        <v>386</v>
      </c>
      <c r="B19" s="58" t="s">
        <v>92</v>
      </c>
      <c r="C19" s="58" t="s">
        <v>93</v>
      </c>
      <c r="D19" s="58" t="s">
        <v>144</v>
      </c>
      <c r="E19" s="69" t="s">
        <v>145</v>
      </c>
      <c r="F19" s="58" t="s">
        <v>146</v>
      </c>
      <c r="G19" s="58" t="s">
        <v>97</v>
      </c>
      <c r="H19" s="58">
        <v>1</v>
      </c>
      <c r="I19" s="58">
        <v>132</v>
      </c>
      <c r="J19" s="58">
        <v>15</v>
      </c>
      <c r="K19" s="58" t="s">
        <v>98</v>
      </c>
      <c r="L19" s="59">
        <v>25</v>
      </c>
      <c r="M19" s="60">
        <v>3547092</v>
      </c>
      <c r="N19" s="60">
        <v>2656015</v>
      </c>
      <c r="O19" s="60">
        <v>503488</v>
      </c>
      <c r="P19" s="60">
        <v>6706595</v>
      </c>
      <c r="Q19" s="60">
        <v>160000</v>
      </c>
      <c r="R19" s="60">
        <v>6546597</v>
      </c>
      <c r="S19" s="61" t="s">
        <v>99</v>
      </c>
      <c r="T19" s="60"/>
      <c r="U19" s="61">
        <v>2006</v>
      </c>
      <c r="V19" s="58" t="s">
        <v>100</v>
      </c>
      <c r="W19" s="62">
        <v>9</v>
      </c>
      <c r="X19" s="62">
        <v>9</v>
      </c>
      <c r="Y19" s="62">
        <f t="shared" si="7"/>
        <v>9</v>
      </c>
      <c r="Z19" s="61">
        <v>2003</v>
      </c>
      <c r="AA19" s="63">
        <v>37803</v>
      </c>
      <c r="AB19" s="63">
        <v>38078</v>
      </c>
      <c r="AC19" s="64">
        <v>38600</v>
      </c>
      <c r="AD19" s="65">
        <f t="shared" si="6"/>
        <v>2004</v>
      </c>
      <c r="AF19" s="66">
        <f>LOOKUP(AD19,'2018 Escalator'!$A$9:$A$41,'2018 Escalator'!$G$9:$G$41)</f>
        <v>1.483782020350688</v>
      </c>
      <c r="AG19" s="60">
        <f t="shared" si="1"/>
        <v>9951125.0787738226</v>
      </c>
      <c r="AH19" s="60">
        <f t="shared" si="2"/>
        <v>9951125.0787738226</v>
      </c>
      <c r="AI19" s="62">
        <v>16.600000000000001</v>
      </c>
      <c r="AJ19" s="62">
        <f t="shared" si="3"/>
        <v>16.600000000000001</v>
      </c>
      <c r="AK19" s="62">
        <f t="shared" si="4"/>
        <v>14.940000000000001</v>
      </c>
    </row>
    <row r="20" spans="1:37" x14ac:dyDescent="0.2">
      <c r="A20" s="57">
        <v>80</v>
      </c>
      <c r="B20" s="58" t="s">
        <v>147</v>
      </c>
      <c r="C20" s="58" t="s">
        <v>132</v>
      </c>
      <c r="D20" s="58" t="s">
        <v>148</v>
      </c>
      <c r="E20" s="69" t="s">
        <v>149</v>
      </c>
      <c r="F20" s="58" t="s">
        <v>150</v>
      </c>
      <c r="G20" s="58" t="s">
        <v>97</v>
      </c>
      <c r="H20" s="58">
        <v>1</v>
      </c>
      <c r="I20" s="58">
        <v>138</v>
      </c>
      <c r="J20" s="58">
        <v>25</v>
      </c>
      <c r="K20" s="58" t="s">
        <v>98</v>
      </c>
      <c r="L20" s="59">
        <v>17.899999999999999</v>
      </c>
      <c r="M20" s="60">
        <v>1338554</v>
      </c>
      <c r="N20" s="60">
        <v>1803898</v>
      </c>
      <c r="O20" s="60">
        <v>653758</v>
      </c>
      <c r="P20" s="60">
        <v>3796210</v>
      </c>
      <c r="Q20" s="60">
        <v>0</v>
      </c>
      <c r="R20" s="60">
        <v>3796210</v>
      </c>
      <c r="S20" s="61" t="s">
        <v>99</v>
      </c>
      <c r="T20" s="60"/>
      <c r="U20" s="61">
        <v>2002</v>
      </c>
      <c r="V20" s="58" t="s">
        <v>100</v>
      </c>
      <c r="W20" s="62">
        <v>8</v>
      </c>
      <c r="X20" s="62">
        <v>7.2</v>
      </c>
      <c r="Y20" s="62">
        <f t="shared" si="7"/>
        <v>8</v>
      </c>
      <c r="Z20" s="61">
        <v>2001</v>
      </c>
      <c r="AA20" s="63"/>
      <c r="AB20" s="63">
        <v>36831</v>
      </c>
      <c r="AC20" s="64">
        <v>37403</v>
      </c>
      <c r="AD20" s="65">
        <f t="shared" si="6"/>
        <v>2001</v>
      </c>
      <c r="AF20" s="66">
        <f>LOOKUP(AD20,'2018 Escalator'!$A$9:$A$41,'2018 Escalator'!$G$9:$G$41)</f>
        <v>1.6003864207225198</v>
      </c>
      <c r="AG20" s="60">
        <f t="shared" si="1"/>
        <v>6075402.9342110371</v>
      </c>
      <c r="AH20" s="60">
        <f t="shared" si="2"/>
        <v>6075402.9342110371</v>
      </c>
      <c r="AI20" s="62">
        <v>16.600000000000001</v>
      </c>
      <c r="AJ20" s="62">
        <f t="shared" si="3"/>
        <v>16.600000000000001</v>
      </c>
      <c r="AK20" s="62">
        <f t="shared" si="4"/>
        <v>14.940000000000001</v>
      </c>
    </row>
    <row r="21" spans="1:37" x14ac:dyDescent="0.2">
      <c r="A21" s="57">
        <v>1052</v>
      </c>
      <c r="B21" s="58" t="s">
        <v>92</v>
      </c>
      <c r="C21" s="58" t="s">
        <v>108</v>
      </c>
      <c r="D21" s="58" t="s">
        <v>151</v>
      </c>
      <c r="E21" s="68" t="s">
        <v>152</v>
      </c>
      <c r="F21" s="58" t="s">
        <v>153</v>
      </c>
      <c r="G21" s="68" t="s">
        <v>116</v>
      </c>
      <c r="H21" s="58">
        <v>1</v>
      </c>
      <c r="I21" s="58">
        <v>138</v>
      </c>
      <c r="J21" s="58">
        <v>42</v>
      </c>
      <c r="K21" s="58" t="s">
        <v>98</v>
      </c>
      <c r="L21" s="59">
        <v>0.05</v>
      </c>
      <c r="M21" s="60">
        <f>6343114+468623</f>
        <v>6811737</v>
      </c>
      <c r="N21" s="60">
        <v>243332</v>
      </c>
      <c r="O21" s="60">
        <f>512876+2396139+6896+285135</f>
        <v>3201046</v>
      </c>
      <c r="P21" s="60">
        <f>SUM(M21:O21)</f>
        <v>10256115</v>
      </c>
      <c r="Q21" s="60">
        <f>P21-R21</f>
        <v>2624015</v>
      </c>
      <c r="R21" s="60">
        <v>7632100</v>
      </c>
      <c r="S21" s="61" t="s">
        <v>99</v>
      </c>
      <c r="T21" s="60"/>
      <c r="U21" s="61">
        <v>2016</v>
      </c>
      <c r="V21" s="58" t="s">
        <v>100</v>
      </c>
      <c r="W21" s="62">
        <v>13.6</v>
      </c>
      <c r="X21" s="62">
        <v>13.6</v>
      </c>
      <c r="Y21" s="62">
        <f t="shared" si="7"/>
        <v>13.6</v>
      </c>
      <c r="Z21" s="61">
        <v>2011</v>
      </c>
      <c r="AA21" s="63">
        <v>42680</v>
      </c>
      <c r="AB21" s="63">
        <v>41443</v>
      </c>
      <c r="AC21" s="64">
        <v>41768</v>
      </c>
      <c r="AD21" s="65">
        <f t="shared" si="6"/>
        <v>2013</v>
      </c>
      <c r="AF21" s="66">
        <f>LOOKUP(AD21,'2018 Escalator'!$A$9:$A$41,'2018 Escalator'!$G$9:$G$41)</f>
        <v>1.0630440922306721</v>
      </c>
      <c r="AG21" s="60">
        <f t="shared" si="1"/>
        <v>10902702.45998838</v>
      </c>
      <c r="AH21" s="60">
        <f t="shared" si="2"/>
        <v>10902702.45998838</v>
      </c>
      <c r="AI21" s="62">
        <v>42</v>
      </c>
      <c r="AJ21" s="62">
        <f t="shared" si="3"/>
        <v>42</v>
      </c>
      <c r="AK21" s="62">
        <f t="shared" si="4"/>
        <v>37.800000000000004</v>
      </c>
    </row>
    <row r="22" spans="1:37" x14ac:dyDescent="0.2">
      <c r="A22" s="57">
        <v>347</v>
      </c>
      <c r="B22" s="58" t="s">
        <v>92</v>
      </c>
      <c r="C22" s="58" t="s">
        <v>93</v>
      </c>
      <c r="D22" s="58" t="s">
        <v>154</v>
      </c>
      <c r="E22" s="69" t="s">
        <v>155</v>
      </c>
      <c r="F22" s="58" t="s">
        <v>156</v>
      </c>
      <c r="G22" s="58" t="s">
        <v>157</v>
      </c>
      <c r="H22" s="58">
        <v>2</v>
      </c>
      <c r="I22" s="58">
        <v>138</v>
      </c>
      <c r="J22" s="58">
        <v>42</v>
      </c>
      <c r="K22" s="58" t="s">
        <v>98</v>
      </c>
      <c r="L22" s="59">
        <v>0</v>
      </c>
      <c r="M22" s="60">
        <v>4018676</v>
      </c>
      <c r="N22" s="60">
        <v>0</v>
      </c>
      <c r="O22" s="60">
        <v>2249423</v>
      </c>
      <c r="P22" s="60">
        <v>6268099</v>
      </c>
      <c r="Q22" s="60">
        <v>4545099</v>
      </c>
      <c r="R22" s="60">
        <v>1723000</v>
      </c>
      <c r="S22" s="61" t="s">
        <v>99</v>
      </c>
      <c r="T22" s="60"/>
      <c r="U22" s="61">
        <v>2004</v>
      </c>
      <c r="V22" s="58" t="s">
        <v>100</v>
      </c>
      <c r="W22" s="62">
        <v>6</v>
      </c>
      <c r="X22" s="62">
        <v>10.548</v>
      </c>
      <c r="Y22" s="62">
        <v>10.548</v>
      </c>
      <c r="Z22" s="61">
        <v>2003</v>
      </c>
      <c r="AA22" s="63">
        <v>37591</v>
      </c>
      <c r="AB22" s="63">
        <v>38108</v>
      </c>
      <c r="AC22" s="64">
        <v>38577</v>
      </c>
      <c r="AD22" s="65">
        <f>YEAR(AC22)-1</f>
        <v>2004</v>
      </c>
      <c r="AE22" s="58" t="s">
        <v>158</v>
      </c>
      <c r="AF22" s="66">
        <f>LOOKUP(AD22,'2018 Escalator'!$A$9:$A$41,'2018 Escalator'!$G$9:$G$41)</f>
        <v>1.483782020350688</v>
      </c>
      <c r="AG22" s="60">
        <f t="shared" si="1"/>
        <v>9300492.5979781263</v>
      </c>
      <c r="AH22" s="60">
        <f t="shared" si="2"/>
        <v>9300492.5979781263</v>
      </c>
      <c r="AI22" s="62">
        <v>84</v>
      </c>
      <c r="AJ22" s="62">
        <f t="shared" si="3"/>
        <v>84</v>
      </c>
      <c r="AK22" s="62">
        <f t="shared" si="4"/>
        <v>75.600000000000009</v>
      </c>
    </row>
    <row r="23" spans="1:37" x14ac:dyDescent="0.2">
      <c r="A23" s="57">
        <v>1358</v>
      </c>
      <c r="B23" s="58" t="s">
        <v>92</v>
      </c>
      <c r="C23" s="58" t="s">
        <v>93</v>
      </c>
      <c r="D23" s="58" t="s">
        <v>159</v>
      </c>
      <c r="E23" s="68" t="s">
        <v>160</v>
      </c>
      <c r="F23" s="58" t="s">
        <v>161</v>
      </c>
      <c r="G23" s="58" t="s">
        <v>121</v>
      </c>
      <c r="H23" s="58">
        <v>2</v>
      </c>
      <c r="I23" s="58">
        <v>138</v>
      </c>
      <c r="J23" s="58">
        <f>33*2</f>
        <v>66</v>
      </c>
      <c r="K23" s="58" t="s">
        <v>98</v>
      </c>
      <c r="L23" s="59">
        <v>0.3</v>
      </c>
      <c r="M23" s="60">
        <f>7566668+602597</f>
        <v>8169265</v>
      </c>
      <c r="N23" s="60">
        <v>1438172</v>
      </c>
      <c r="O23" s="60">
        <f>403352+1929290+357299</f>
        <v>2689941</v>
      </c>
      <c r="P23" s="60">
        <f>SUM(M23:O23)</f>
        <v>12297378</v>
      </c>
      <c r="Q23" s="60">
        <f>P23-R23</f>
        <v>2590208</v>
      </c>
      <c r="R23" s="60">
        <v>9707170</v>
      </c>
      <c r="S23" s="61" t="s">
        <v>99</v>
      </c>
      <c r="T23" s="60"/>
      <c r="U23" s="61">
        <v>2015</v>
      </c>
      <c r="V23" s="69" t="s">
        <v>100</v>
      </c>
      <c r="W23" s="62">
        <v>5</v>
      </c>
      <c r="X23" s="62">
        <v>27</v>
      </c>
      <c r="Y23" s="62">
        <v>27</v>
      </c>
      <c r="Z23" s="61">
        <v>2011</v>
      </c>
      <c r="AA23" s="63">
        <v>41442</v>
      </c>
      <c r="AB23" s="63">
        <v>41502</v>
      </c>
      <c r="AC23" s="64">
        <v>41914</v>
      </c>
      <c r="AD23" s="65">
        <v>2013</v>
      </c>
      <c r="AF23" s="66">
        <f>LOOKUP(AD23,'2018 Escalator'!$A$9:$A$41,'2018 Escalator'!$G$9:$G$41)</f>
        <v>1.0630440922306721</v>
      </c>
      <c r="AG23" s="60">
        <f t="shared" si="1"/>
        <v>13072655.032827439</v>
      </c>
      <c r="AH23" s="60">
        <f t="shared" si="2"/>
        <v>13072655.032827439</v>
      </c>
      <c r="AI23" s="62">
        <f>33*2</f>
        <v>66</v>
      </c>
      <c r="AJ23" s="62">
        <f t="shared" si="3"/>
        <v>66</v>
      </c>
      <c r="AK23" s="62">
        <f t="shared" si="4"/>
        <v>59.4</v>
      </c>
    </row>
    <row r="24" spans="1:37" x14ac:dyDescent="0.2">
      <c r="A24" s="57">
        <v>584</v>
      </c>
      <c r="B24" s="58" t="s">
        <v>92</v>
      </c>
      <c r="C24" s="58" t="s">
        <v>108</v>
      </c>
      <c r="D24" s="58" t="s">
        <v>162</v>
      </c>
      <c r="E24" s="69" t="s">
        <v>163</v>
      </c>
      <c r="F24" s="58" t="s">
        <v>164</v>
      </c>
      <c r="G24" s="58" t="s">
        <v>116</v>
      </c>
      <c r="H24" s="58">
        <v>1</v>
      </c>
      <c r="I24" s="58">
        <v>138</v>
      </c>
      <c r="J24" s="58">
        <v>42</v>
      </c>
      <c r="K24" s="58" t="s">
        <v>98</v>
      </c>
      <c r="L24" s="59">
        <v>16</v>
      </c>
      <c r="M24" s="60">
        <f>9173431+556328</f>
        <v>9729759</v>
      </c>
      <c r="N24" s="60">
        <v>12016206</v>
      </c>
      <c r="O24" s="60">
        <f>4517613+4064790+604+1609167+10000</f>
        <v>10202174</v>
      </c>
      <c r="P24" s="60">
        <f>SUM(M24:O24)</f>
        <v>31948139</v>
      </c>
      <c r="Q24" s="60">
        <f>P24-R24</f>
        <v>21790639</v>
      </c>
      <c r="R24" s="60">
        <v>10157500</v>
      </c>
      <c r="S24" s="61" t="s">
        <v>99</v>
      </c>
      <c r="T24" s="60"/>
      <c r="U24" s="61">
        <v>2013</v>
      </c>
      <c r="V24" s="69" t="s">
        <v>100</v>
      </c>
      <c r="W24" s="62">
        <v>28</v>
      </c>
      <c r="X24" s="62">
        <v>28</v>
      </c>
      <c r="Y24" s="62">
        <f t="shared" ref="Y24:Y81" si="8">MAX(W24,X24)</f>
        <v>28</v>
      </c>
      <c r="Z24" s="61">
        <v>2011</v>
      </c>
      <c r="AA24" s="63">
        <v>38869</v>
      </c>
      <c r="AB24" s="63">
        <v>40452</v>
      </c>
      <c r="AC24" s="64">
        <v>41318</v>
      </c>
      <c r="AD24" s="65">
        <f t="shared" ref="AD24:AD84" si="9">YEAR(AC24)-1</f>
        <v>2012</v>
      </c>
      <c r="AE24" s="58" t="s">
        <v>112</v>
      </c>
      <c r="AF24" s="66">
        <f>LOOKUP(AD24,'2018 Escalator'!$A$9:$A$41,'2018 Escalator'!$G$9:$G$41)</f>
        <v>1.0925127659799037</v>
      </c>
      <c r="AG24" s="60">
        <f t="shared" si="1"/>
        <v>34903749.706800431</v>
      </c>
      <c r="AH24" s="60">
        <f t="shared" si="2"/>
        <v>34903749.706800431</v>
      </c>
      <c r="AI24" s="62">
        <v>42</v>
      </c>
      <c r="AJ24" s="62">
        <f t="shared" si="3"/>
        <v>42</v>
      </c>
      <c r="AK24" s="62">
        <f t="shared" si="4"/>
        <v>37.800000000000004</v>
      </c>
    </row>
    <row r="25" spans="1:37" x14ac:dyDescent="0.2">
      <c r="A25" s="57">
        <v>422</v>
      </c>
      <c r="B25" s="58" t="s">
        <v>92</v>
      </c>
      <c r="C25" s="58" t="s">
        <v>93</v>
      </c>
      <c r="D25" s="58" t="s">
        <v>165</v>
      </c>
      <c r="E25" s="69" t="s">
        <v>166</v>
      </c>
      <c r="F25" s="58" t="s">
        <v>167</v>
      </c>
      <c r="G25" s="58" t="s">
        <v>97</v>
      </c>
      <c r="H25" s="58">
        <v>2</v>
      </c>
      <c r="I25" s="58">
        <v>138</v>
      </c>
      <c r="J25" s="58">
        <v>25</v>
      </c>
      <c r="K25" s="58" t="s">
        <v>98</v>
      </c>
      <c r="L25" s="59">
        <v>10</v>
      </c>
      <c r="M25" s="60">
        <v>5988290</v>
      </c>
      <c r="N25" s="60">
        <v>2631943</v>
      </c>
      <c r="O25" s="60">
        <v>579767</v>
      </c>
      <c r="P25" s="60">
        <f>SUM(M25:O25)</f>
        <v>9200000</v>
      </c>
      <c r="Q25" s="60">
        <f>P25-R25</f>
        <v>1480423</v>
      </c>
      <c r="R25" s="60">
        <v>7719577</v>
      </c>
      <c r="S25" s="61" t="s">
        <v>99</v>
      </c>
      <c r="T25" s="60"/>
      <c r="U25" s="61">
        <v>2005</v>
      </c>
      <c r="V25" s="58" t="s">
        <v>100</v>
      </c>
      <c r="W25" s="62">
        <v>24</v>
      </c>
      <c r="X25" s="62">
        <v>24</v>
      </c>
      <c r="Y25" s="62">
        <f t="shared" si="8"/>
        <v>24</v>
      </c>
      <c r="Z25" s="61">
        <v>2003</v>
      </c>
      <c r="AA25" s="63">
        <v>38018</v>
      </c>
      <c r="AB25" s="63">
        <v>38169</v>
      </c>
      <c r="AC25" s="64">
        <v>38698</v>
      </c>
      <c r="AD25" s="65">
        <f t="shared" si="9"/>
        <v>2004</v>
      </c>
      <c r="AF25" s="66">
        <f>LOOKUP(AD25,'2018 Escalator'!$A$9:$A$41,'2018 Escalator'!$G$9:$G$41)</f>
        <v>1.483782020350688</v>
      </c>
      <c r="AG25" s="60">
        <f t="shared" si="1"/>
        <v>13650794.587226329</v>
      </c>
      <c r="AH25" s="60">
        <f t="shared" si="2"/>
        <v>13650794.587226329</v>
      </c>
      <c r="AI25" s="62">
        <v>50</v>
      </c>
      <c r="AJ25" s="62">
        <f t="shared" si="3"/>
        <v>50</v>
      </c>
      <c r="AK25" s="62">
        <f t="shared" si="4"/>
        <v>45</v>
      </c>
    </row>
    <row r="26" spans="1:37" x14ac:dyDescent="0.2">
      <c r="A26" s="57">
        <v>944</v>
      </c>
      <c r="B26" s="58" t="s">
        <v>168</v>
      </c>
      <c r="C26" s="58" t="s">
        <v>108</v>
      </c>
      <c r="D26" s="58" t="s">
        <v>169</v>
      </c>
      <c r="E26" s="58" t="s">
        <v>170</v>
      </c>
      <c r="F26" s="58" t="s">
        <v>171</v>
      </c>
      <c r="G26" s="58" t="s">
        <v>107</v>
      </c>
      <c r="H26" s="58">
        <v>3</v>
      </c>
      <c r="I26" s="58">
        <v>245</v>
      </c>
      <c r="J26" s="58">
        <v>448</v>
      </c>
      <c r="K26" s="58" t="s">
        <v>98</v>
      </c>
      <c r="L26" s="59">
        <v>0.4</v>
      </c>
      <c r="M26" s="60">
        <f>20722640+805602</f>
        <v>21528242</v>
      </c>
      <c r="N26" s="60">
        <f>825634</f>
        <v>825634</v>
      </c>
      <c r="O26" s="60">
        <f>56488+1182472</f>
        <v>1238960</v>
      </c>
      <c r="P26" s="60">
        <f>SUM(M26:O26)</f>
        <v>23592836</v>
      </c>
      <c r="Q26" s="60">
        <v>12005301</v>
      </c>
      <c r="R26" s="60">
        <v>11609416</v>
      </c>
      <c r="S26" s="61" t="s">
        <v>99</v>
      </c>
      <c r="T26" s="60"/>
      <c r="U26" s="61">
        <v>2013</v>
      </c>
      <c r="V26" s="58" t="s">
        <v>100</v>
      </c>
      <c r="W26" s="62">
        <v>27.5</v>
      </c>
      <c r="X26" s="62">
        <v>43</v>
      </c>
      <c r="Y26" s="62">
        <f t="shared" si="8"/>
        <v>43</v>
      </c>
      <c r="Z26" s="61">
        <v>2010</v>
      </c>
      <c r="AA26" s="63">
        <v>39995</v>
      </c>
      <c r="AB26" s="63">
        <v>40483</v>
      </c>
      <c r="AC26" s="64">
        <v>41153</v>
      </c>
      <c r="AD26" s="65">
        <f t="shared" si="9"/>
        <v>2011</v>
      </c>
      <c r="AE26" s="58" t="s">
        <v>112</v>
      </c>
      <c r="AF26" s="66">
        <f>LOOKUP(AD26,'2018 Escalator'!$A$9:$A$41,'2018 Escalator'!$G$9:$G$41)</f>
        <v>1.1366200577120069</v>
      </c>
      <c r="AG26" s="60">
        <f t="shared" si="1"/>
        <v>26816090.615909915</v>
      </c>
      <c r="AH26" s="60">
        <f t="shared" si="2"/>
        <v>26816090.615909915</v>
      </c>
      <c r="AI26" s="62">
        <f>75*2</f>
        <v>150</v>
      </c>
      <c r="AJ26" s="62">
        <f t="shared" si="3"/>
        <v>150</v>
      </c>
      <c r="AK26" s="62">
        <f t="shared" si="4"/>
        <v>135</v>
      </c>
    </row>
    <row r="27" spans="1:37" x14ac:dyDescent="0.2">
      <c r="A27" s="57">
        <v>387</v>
      </c>
      <c r="B27" s="58" t="s">
        <v>92</v>
      </c>
      <c r="C27" s="58" t="s">
        <v>93</v>
      </c>
      <c r="D27" s="58" t="s">
        <v>172</v>
      </c>
      <c r="E27" s="58" t="s">
        <v>173</v>
      </c>
      <c r="F27" s="58" t="s">
        <v>174</v>
      </c>
      <c r="G27" s="58" t="s">
        <v>97</v>
      </c>
      <c r="H27" s="58">
        <v>2</v>
      </c>
      <c r="I27" s="58">
        <v>138</v>
      </c>
      <c r="J27" s="58">
        <v>25</v>
      </c>
      <c r="K27" s="58" t="s">
        <v>98</v>
      </c>
      <c r="L27" s="59">
        <v>25</v>
      </c>
      <c r="M27" s="60">
        <v>2634551</v>
      </c>
      <c r="N27" s="60">
        <v>3278257</v>
      </c>
      <c r="O27" s="60">
        <v>498550</v>
      </c>
      <c r="P27" s="60">
        <v>6411359</v>
      </c>
      <c r="Q27" s="60">
        <v>265500</v>
      </c>
      <c r="R27" s="60">
        <v>6145859</v>
      </c>
      <c r="S27" s="61" t="s">
        <v>99</v>
      </c>
      <c r="T27" s="60"/>
      <c r="U27" s="61">
        <v>2005</v>
      </c>
      <c r="V27" s="58" t="s">
        <v>100</v>
      </c>
      <c r="W27" s="62">
        <v>7.5</v>
      </c>
      <c r="X27" s="62">
        <v>7.5</v>
      </c>
      <c r="Y27" s="62">
        <f t="shared" si="8"/>
        <v>7.5</v>
      </c>
      <c r="Z27" s="61">
        <v>2003</v>
      </c>
      <c r="AA27" s="63">
        <v>37803</v>
      </c>
      <c r="AB27" s="63">
        <v>38047</v>
      </c>
      <c r="AC27" s="64">
        <v>38473</v>
      </c>
      <c r="AD27" s="65">
        <f t="shared" si="9"/>
        <v>2004</v>
      </c>
      <c r="AF27" s="66">
        <f>LOOKUP(AD27,'2018 Escalator'!$A$9:$A$41,'2018 Escalator'!$G$9:$G$41)</f>
        <v>1.483782020350688</v>
      </c>
      <c r="AG27" s="60">
        <f t="shared" si="1"/>
        <v>9513059.2102135662</v>
      </c>
      <c r="AH27" s="60">
        <f t="shared" si="2"/>
        <v>9513059.2102135662</v>
      </c>
      <c r="AI27" s="62">
        <v>16.600000000000001</v>
      </c>
      <c r="AJ27" s="62">
        <f t="shared" si="3"/>
        <v>16.600000000000001</v>
      </c>
      <c r="AK27" s="62">
        <f t="shared" si="4"/>
        <v>14.940000000000001</v>
      </c>
    </row>
    <row r="28" spans="1:37" x14ac:dyDescent="0.2">
      <c r="A28" s="57">
        <v>587</v>
      </c>
      <c r="B28" s="58" t="s">
        <v>92</v>
      </c>
      <c r="C28" s="58" t="s">
        <v>132</v>
      </c>
      <c r="D28" s="58" t="s">
        <v>175</v>
      </c>
      <c r="E28" s="58" t="s">
        <v>176</v>
      </c>
      <c r="F28" s="58" t="s">
        <v>177</v>
      </c>
      <c r="G28" s="58" t="s">
        <v>116</v>
      </c>
      <c r="H28" s="58">
        <v>1</v>
      </c>
      <c r="I28" s="58">
        <v>138</v>
      </c>
      <c r="J28" s="58">
        <v>25</v>
      </c>
      <c r="K28" s="58" t="s">
        <v>98</v>
      </c>
      <c r="L28" s="59">
        <v>0.2</v>
      </c>
      <c r="M28" s="60">
        <f>7334317</f>
        <v>7334317</v>
      </c>
      <c r="N28" s="60">
        <v>569204</v>
      </c>
      <c r="O28" s="60">
        <f>2591760-1</f>
        <v>2591759</v>
      </c>
      <c r="P28" s="60">
        <f>SUM(M28:O28)</f>
        <v>10495280</v>
      </c>
      <c r="Q28" s="60">
        <f>P28-R28+580576</f>
        <v>6795856</v>
      </c>
      <c r="R28" s="60">
        <v>4280000</v>
      </c>
      <c r="S28" s="61" t="s">
        <v>129</v>
      </c>
      <c r="T28" s="60">
        <v>5657140</v>
      </c>
      <c r="U28" s="61">
        <v>2010</v>
      </c>
      <c r="V28" s="58" t="s">
        <v>100</v>
      </c>
      <c r="W28" s="62">
        <v>17.8</v>
      </c>
      <c r="X28" s="62">
        <v>17.8</v>
      </c>
      <c r="Y28" s="62">
        <f t="shared" si="8"/>
        <v>17.8</v>
      </c>
      <c r="Z28" s="61">
        <v>2006</v>
      </c>
      <c r="AA28" s="63">
        <v>38838</v>
      </c>
      <c r="AB28" s="63">
        <v>39142</v>
      </c>
      <c r="AC28" s="64">
        <v>39569</v>
      </c>
      <c r="AD28" s="65">
        <f t="shared" si="9"/>
        <v>2007</v>
      </c>
      <c r="AF28" s="66">
        <f>LOOKUP(AD28,'2018 Escalator'!$A$9:$A$41,'2018 Escalator'!$G$9:$G$41)</f>
        <v>1.2531539462632446</v>
      </c>
      <c r="AG28" s="60">
        <f t="shared" si="1"/>
        <v>13152201.549137706</v>
      </c>
      <c r="AH28" s="60">
        <f t="shared" si="2"/>
        <v>20241468.864701357</v>
      </c>
      <c r="AI28" s="62">
        <v>25</v>
      </c>
      <c r="AJ28" s="62">
        <f t="shared" si="3"/>
        <v>25</v>
      </c>
      <c r="AK28" s="62">
        <f t="shared" si="4"/>
        <v>22.5</v>
      </c>
    </row>
    <row r="29" spans="1:37" x14ac:dyDescent="0.2">
      <c r="A29" s="57">
        <v>585</v>
      </c>
      <c r="B29" s="58" t="s">
        <v>92</v>
      </c>
      <c r="C29" s="58" t="s">
        <v>108</v>
      </c>
      <c r="D29" s="58" t="s">
        <v>178</v>
      </c>
      <c r="E29" s="58" t="s">
        <v>179</v>
      </c>
      <c r="F29" s="58" t="s">
        <v>180</v>
      </c>
      <c r="G29" s="58" t="s">
        <v>116</v>
      </c>
      <c r="H29" s="58">
        <v>1</v>
      </c>
      <c r="I29" s="58">
        <v>138</v>
      </c>
      <c r="J29" s="58">
        <v>42</v>
      </c>
      <c r="K29" s="58" t="s">
        <v>98</v>
      </c>
      <c r="L29" s="59">
        <v>0.4</v>
      </c>
      <c r="M29" s="60">
        <v>5632297</v>
      </c>
      <c r="N29" s="60">
        <v>1404686</v>
      </c>
      <c r="O29" s="60">
        <v>2376315</v>
      </c>
      <c r="P29" s="60">
        <v>9413299</v>
      </c>
      <c r="Q29" s="60">
        <v>1725499</v>
      </c>
      <c r="R29" s="60">
        <v>7687800</v>
      </c>
      <c r="S29" s="61" t="s">
        <v>99</v>
      </c>
      <c r="T29" s="60"/>
      <c r="U29" s="61">
        <v>2011</v>
      </c>
      <c r="V29" s="58" t="s">
        <v>100</v>
      </c>
      <c r="W29" s="62">
        <v>20.6</v>
      </c>
      <c r="X29" s="62">
        <v>20.6</v>
      </c>
      <c r="Y29" s="62">
        <f t="shared" si="8"/>
        <v>20.6</v>
      </c>
      <c r="Z29" s="61">
        <v>2007</v>
      </c>
      <c r="AA29" s="63">
        <v>38838</v>
      </c>
      <c r="AB29" s="63">
        <v>39448</v>
      </c>
      <c r="AC29" s="64">
        <v>40148</v>
      </c>
      <c r="AD29" s="65">
        <f t="shared" si="9"/>
        <v>2008</v>
      </c>
      <c r="AF29" s="66">
        <f>LOOKUP(AD29,'2018 Escalator'!$A$9:$A$41,'2018 Escalator'!$G$9:$G$41)</f>
        <v>1.199491188497166</v>
      </c>
      <c r="AG29" s="60">
        <f t="shared" si="1"/>
        <v>11291169.205189183</v>
      </c>
      <c r="AH29" s="60">
        <f t="shared" si="2"/>
        <v>11291169.205189183</v>
      </c>
      <c r="AI29" s="62">
        <v>42</v>
      </c>
      <c r="AJ29" s="62">
        <f t="shared" si="3"/>
        <v>42</v>
      </c>
      <c r="AK29" s="62">
        <f t="shared" si="4"/>
        <v>37.800000000000004</v>
      </c>
    </row>
    <row r="30" spans="1:37" x14ac:dyDescent="0.2">
      <c r="A30" s="57">
        <v>831</v>
      </c>
      <c r="B30" s="58" t="s">
        <v>92</v>
      </c>
      <c r="C30" s="58" t="s">
        <v>108</v>
      </c>
      <c r="D30" s="58" t="s">
        <v>181</v>
      </c>
      <c r="E30" s="58" t="s">
        <v>182</v>
      </c>
      <c r="F30" s="58" t="s">
        <v>183</v>
      </c>
      <c r="G30" s="58" t="s">
        <v>184</v>
      </c>
      <c r="H30" s="58">
        <v>1</v>
      </c>
      <c r="I30" s="58">
        <v>138</v>
      </c>
      <c r="J30" s="58">
        <v>42</v>
      </c>
      <c r="K30" s="58" t="s">
        <v>98</v>
      </c>
      <c r="L30" s="59">
        <v>0.2</v>
      </c>
      <c r="M30" s="60">
        <f>11077074+449480</f>
        <v>11526554</v>
      </c>
      <c r="N30" s="60">
        <f>1027729</f>
        <v>1027729</v>
      </c>
      <c r="O30" s="60">
        <f>2006917+3096812+35210+752345</f>
        <v>5891284</v>
      </c>
      <c r="P30" s="60">
        <f t="shared" ref="P30:P36" si="10">SUM(M30:O30)</f>
        <v>18445567</v>
      </c>
      <c r="Q30" s="60">
        <f t="shared" ref="Q30:Q36" si="11">P30-R30</f>
        <v>9564867</v>
      </c>
      <c r="R30" s="60">
        <v>8880700</v>
      </c>
      <c r="S30" s="61" t="s">
        <v>99</v>
      </c>
      <c r="T30" s="60"/>
      <c r="U30" s="61">
        <v>2016</v>
      </c>
      <c r="V30" s="58" t="s">
        <v>100</v>
      </c>
      <c r="W30" s="62">
        <v>19.600000000000001</v>
      </c>
      <c r="X30" s="62">
        <v>19.600000000000001</v>
      </c>
      <c r="Y30" s="62">
        <f t="shared" si="8"/>
        <v>19.600000000000001</v>
      </c>
      <c r="Z30" s="61">
        <v>2011</v>
      </c>
      <c r="AA30" s="63">
        <v>39600</v>
      </c>
      <c r="AB30" s="63">
        <v>40544</v>
      </c>
      <c r="AC30" s="64">
        <v>41253</v>
      </c>
      <c r="AD30" s="65">
        <f t="shared" si="9"/>
        <v>2011</v>
      </c>
      <c r="AE30" s="58" t="s">
        <v>112</v>
      </c>
      <c r="AF30" s="66">
        <f>LOOKUP(AD30,'2018 Escalator'!$A$9:$A$41,'2018 Escalator'!$G$9:$G$41)</f>
        <v>1.1366200577120069</v>
      </c>
      <c r="AG30" s="60">
        <f t="shared" si="1"/>
        <v>20965601.42807069</v>
      </c>
      <c r="AH30" s="60">
        <f t="shared" si="2"/>
        <v>20965601.42807069</v>
      </c>
      <c r="AI30" s="62">
        <v>42</v>
      </c>
      <c r="AJ30" s="62">
        <f t="shared" si="3"/>
        <v>42</v>
      </c>
      <c r="AK30" s="62">
        <f t="shared" si="4"/>
        <v>37.800000000000004</v>
      </c>
    </row>
    <row r="31" spans="1:37" x14ac:dyDescent="0.2">
      <c r="A31" s="57">
        <v>340</v>
      </c>
      <c r="B31" s="58" t="s">
        <v>92</v>
      </c>
      <c r="C31" s="58" t="s">
        <v>93</v>
      </c>
      <c r="D31" s="58" t="s">
        <v>185</v>
      </c>
      <c r="E31" s="58" t="s">
        <v>186</v>
      </c>
      <c r="F31" s="58" t="s">
        <v>187</v>
      </c>
      <c r="G31" s="58" t="s">
        <v>188</v>
      </c>
      <c r="H31" s="58">
        <v>2</v>
      </c>
      <c r="I31" s="58">
        <v>130</v>
      </c>
      <c r="J31" s="58">
        <v>25</v>
      </c>
      <c r="K31" s="58" t="s">
        <v>98</v>
      </c>
      <c r="L31" s="59">
        <v>44</v>
      </c>
      <c r="M31" s="60">
        <f>4527240+1</f>
        <v>4527241</v>
      </c>
      <c r="N31" s="60">
        <v>3821528</v>
      </c>
      <c r="O31" s="60">
        <v>295886</v>
      </c>
      <c r="P31" s="60">
        <f t="shared" si="10"/>
        <v>8644655</v>
      </c>
      <c r="Q31" s="60">
        <f t="shared" si="11"/>
        <v>0</v>
      </c>
      <c r="R31" s="60">
        <v>8644655</v>
      </c>
      <c r="S31" s="61" t="s">
        <v>99</v>
      </c>
      <c r="T31" s="60"/>
      <c r="U31" s="61">
        <v>2002</v>
      </c>
      <c r="V31" s="58" t="s">
        <v>100</v>
      </c>
      <c r="W31" s="62">
        <v>22</v>
      </c>
      <c r="X31" s="62">
        <v>22</v>
      </c>
      <c r="Y31" s="62">
        <f t="shared" si="8"/>
        <v>22</v>
      </c>
      <c r="Z31" s="61">
        <v>2003</v>
      </c>
      <c r="AA31" s="63">
        <v>37530</v>
      </c>
      <c r="AB31" s="63">
        <v>37561</v>
      </c>
      <c r="AC31" s="64">
        <v>37865</v>
      </c>
      <c r="AD31" s="65">
        <f t="shared" si="9"/>
        <v>2002</v>
      </c>
      <c r="AF31" s="66">
        <f>LOOKUP(AD31,'2018 Escalator'!$A$9:$A$41,'2018 Escalator'!$G$9:$G$41)</f>
        <v>1.5396352510354376</v>
      </c>
      <c r="AG31" s="60">
        <f t="shared" si="1"/>
        <v>13309615.571039751</v>
      </c>
      <c r="AH31" s="60">
        <f t="shared" si="2"/>
        <v>13309615.571039751</v>
      </c>
      <c r="AI31" s="62">
        <v>50</v>
      </c>
      <c r="AJ31" s="62">
        <f t="shared" si="3"/>
        <v>50</v>
      </c>
      <c r="AK31" s="62">
        <f t="shared" si="4"/>
        <v>45</v>
      </c>
    </row>
    <row r="32" spans="1:37" x14ac:dyDescent="0.2">
      <c r="A32" s="57">
        <v>334</v>
      </c>
      <c r="B32" s="58" t="s">
        <v>92</v>
      </c>
      <c r="C32" s="58" t="s">
        <v>108</v>
      </c>
      <c r="D32" s="58" t="s">
        <v>189</v>
      </c>
      <c r="E32" s="58" t="s">
        <v>190</v>
      </c>
      <c r="F32" s="58" t="s">
        <v>191</v>
      </c>
      <c r="G32" s="58" t="s">
        <v>116</v>
      </c>
      <c r="H32" s="58">
        <v>1</v>
      </c>
      <c r="I32" s="58">
        <v>138</v>
      </c>
      <c r="J32" s="58">
        <v>42</v>
      </c>
      <c r="K32" s="58" t="s">
        <v>98</v>
      </c>
      <c r="L32" s="59">
        <v>0</v>
      </c>
      <c r="M32" s="60">
        <f>4762082-1</f>
        <v>4762081</v>
      </c>
      <c r="N32" s="60">
        <v>182234</v>
      </c>
      <c r="O32" s="60">
        <v>283809</v>
      </c>
      <c r="P32" s="60">
        <f t="shared" si="10"/>
        <v>5228124</v>
      </c>
      <c r="Q32" s="60">
        <f t="shared" si="11"/>
        <v>0</v>
      </c>
      <c r="R32" s="60">
        <v>5228124</v>
      </c>
      <c r="S32" s="61" t="s">
        <v>99</v>
      </c>
      <c r="T32" s="60"/>
      <c r="U32" s="61">
        <v>2005</v>
      </c>
      <c r="V32" s="58" t="s">
        <v>100</v>
      </c>
      <c r="W32" s="62">
        <v>17.7</v>
      </c>
      <c r="X32" s="62">
        <v>18.8</v>
      </c>
      <c r="Y32" s="62">
        <f t="shared" si="8"/>
        <v>18.8</v>
      </c>
      <c r="Z32" s="61">
        <v>2003</v>
      </c>
      <c r="AA32" s="63">
        <v>37530</v>
      </c>
      <c r="AB32" s="63">
        <v>37987</v>
      </c>
      <c r="AC32" s="64">
        <v>38343</v>
      </c>
      <c r="AD32" s="65">
        <f t="shared" si="9"/>
        <v>2003</v>
      </c>
      <c r="AF32" s="66">
        <f>LOOKUP(AD32,'2018 Escalator'!$A$9:$A$41,'2018 Escalator'!$G$9:$G$41)</f>
        <v>1.5199278197444033</v>
      </c>
      <c r="AG32" s="60">
        <f t="shared" si="1"/>
        <v>7946371.1126733888</v>
      </c>
      <c r="AH32" s="60">
        <f t="shared" si="2"/>
        <v>7946371.1126733888</v>
      </c>
      <c r="AI32" s="62">
        <v>25</v>
      </c>
      <c r="AJ32" s="62">
        <f t="shared" si="3"/>
        <v>25</v>
      </c>
      <c r="AK32" s="62">
        <f t="shared" si="4"/>
        <v>22.5</v>
      </c>
    </row>
    <row r="33" spans="1:37" x14ac:dyDescent="0.2">
      <c r="A33" s="57">
        <v>343</v>
      </c>
      <c r="B33" s="58" t="s">
        <v>92</v>
      </c>
      <c r="C33" s="58" t="s">
        <v>108</v>
      </c>
      <c r="D33" s="58" t="s">
        <v>192</v>
      </c>
      <c r="E33" s="58" t="s">
        <v>193</v>
      </c>
      <c r="F33" s="58" t="s">
        <v>194</v>
      </c>
      <c r="G33" s="58" t="s">
        <v>116</v>
      </c>
      <c r="H33" s="58">
        <v>1</v>
      </c>
      <c r="I33" s="58">
        <v>138</v>
      </c>
      <c r="J33" s="58">
        <v>25</v>
      </c>
      <c r="K33" s="58" t="s">
        <v>98</v>
      </c>
      <c r="L33" s="59">
        <v>23</v>
      </c>
      <c r="M33" s="60">
        <v>5453265</v>
      </c>
      <c r="N33" s="60">
        <v>4234800</v>
      </c>
      <c r="O33" s="60">
        <v>893235</v>
      </c>
      <c r="P33" s="60">
        <f t="shared" si="10"/>
        <v>10581300</v>
      </c>
      <c r="Q33" s="60">
        <f t="shared" si="11"/>
        <v>2030499</v>
      </c>
      <c r="R33" s="60">
        <v>8550801</v>
      </c>
      <c r="S33" s="61" t="s">
        <v>99</v>
      </c>
      <c r="T33" s="60"/>
      <c r="U33" s="61">
        <v>2006</v>
      </c>
      <c r="V33" s="58" t="s">
        <v>100</v>
      </c>
      <c r="W33" s="62">
        <v>15.6</v>
      </c>
      <c r="X33" s="62">
        <v>13</v>
      </c>
      <c r="Y33" s="62">
        <f t="shared" si="8"/>
        <v>15.6</v>
      </c>
      <c r="Z33" s="61">
        <v>2003</v>
      </c>
      <c r="AA33" s="63">
        <v>37561</v>
      </c>
      <c r="AB33" s="63">
        <v>38231</v>
      </c>
      <c r="AC33" s="64">
        <v>39100</v>
      </c>
      <c r="AD33" s="65">
        <f t="shared" si="9"/>
        <v>2006</v>
      </c>
      <c r="AF33" s="66">
        <f>LOOKUP(AD33,'2018 Escalator'!$A$9:$A$41,'2018 Escalator'!$G$9:$G$41)</f>
        <v>1.3230619810637019</v>
      </c>
      <c r="AG33" s="60">
        <f t="shared" si="1"/>
        <v>13999715.74022935</v>
      </c>
      <c r="AH33" s="60">
        <f t="shared" si="2"/>
        <v>13999715.74022935</v>
      </c>
      <c r="AI33" s="62">
        <v>25</v>
      </c>
      <c r="AJ33" s="62">
        <f t="shared" si="3"/>
        <v>25</v>
      </c>
      <c r="AK33" s="62">
        <f t="shared" si="4"/>
        <v>22.5</v>
      </c>
    </row>
    <row r="34" spans="1:37" x14ac:dyDescent="0.2">
      <c r="A34" s="57">
        <v>358</v>
      </c>
      <c r="B34" s="58" t="s">
        <v>92</v>
      </c>
      <c r="C34" s="58" t="s">
        <v>108</v>
      </c>
      <c r="D34" s="58" t="s">
        <v>195</v>
      </c>
      <c r="E34" s="58" t="s">
        <v>196</v>
      </c>
      <c r="F34" s="58" t="s">
        <v>197</v>
      </c>
      <c r="G34" s="58" t="s">
        <v>116</v>
      </c>
      <c r="H34" s="58">
        <v>1</v>
      </c>
      <c r="I34" s="58">
        <v>138</v>
      </c>
      <c r="J34" s="58">
        <v>42</v>
      </c>
      <c r="K34" s="58" t="s">
        <v>98</v>
      </c>
      <c r="L34" s="59">
        <v>0</v>
      </c>
      <c r="M34" s="60">
        <v>3951312</v>
      </c>
      <c r="N34" s="60">
        <v>99957</v>
      </c>
      <c r="O34" s="60">
        <v>817945</v>
      </c>
      <c r="P34" s="60">
        <f t="shared" si="10"/>
        <v>4869214</v>
      </c>
      <c r="Q34" s="60">
        <f t="shared" si="11"/>
        <v>0</v>
      </c>
      <c r="R34" s="60">
        <v>4869214</v>
      </c>
      <c r="S34" s="61" t="s">
        <v>99</v>
      </c>
      <c r="T34" s="60"/>
      <c r="U34" s="61">
        <v>2005</v>
      </c>
      <c r="V34" s="58" t="s">
        <v>100</v>
      </c>
      <c r="W34" s="62">
        <v>19.8</v>
      </c>
      <c r="X34" s="62">
        <v>19.8</v>
      </c>
      <c r="Y34" s="62">
        <f t="shared" si="8"/>
        <v>19.8</v>
      </c>
      <c r="Z34" s="61">
        <v>2003</v>
      </c>
      <c r="AA34" s="63">
        <v>37622</v>
      </c>
      <c r="AB34" s="63">
        <v>38047</v>
      </c>
      <c r="AC34" s="64">
        <v>38520</v>
      </c>
      <c r="AD34" s="65">
        <f t="shared" si="9"/>
        <v>2004</v>
      </c>
      <c r="AF34" s="66">
        <f>LOOKUP(AD34,'2018 Escalator'!$A$9:$A$41,'2018 Escalator'!$G$9:$G$41)</f>
        <v>1.483782020350688</v>
      </c>
      <c r="AG34" s="60">
        <f t="shared" si="1"/>
        <v>7224852.186439855</v>
      </c>
      <c r="AH34" s="60">
        <f t="shared" si="2"/>
        <v>7224852.186439855</v>
      </c>
      <c r="AI34" s="62">
        <v>39</v>
      </c>
      <c r="AJ34" s="62">
        <f t="shared" si="3"/>
        <v>39</v>
      </c>
      <c r="AK34" s="62">
        <f t="shared" si="4"/>
        <v>35.1</v>
      </c>
    </row>
    <row r="35" spans="1:37" x14ac:dyDescent="0.2">
      <c r="A35" s="70">
        <v>702</v>
      </c>
      <c r="B35" s="58" t="s">
        <v>92</v>
      </c>
      <c r="C35" s="58" t="s">
        <v>108</v>
      </c>
      <c r="D35" s="58" t="s">
        <v>198</v>
      </c>
      <c r="E35" s="58" t="s">
        <v>199</v>
      </c>
      <c r="F35" s="58" t="s">
        <v>200</v>
      </c>
      <c r="G35" s="58" t="s">
        <v>116</v>
      </c>
      <c r="H35" s="58">
        <v>1</v>
      </c>
      <c r="I35" s="58">
        <v>138</v>
      </c>
      <c r="J35" s="58">
        <v>42</v>
      </c>
      <c r="K35" s="58" t="s">
        <v>98</v>
      </c>
      <c r="L35" s="59">
        <v>0</v>
      </c>
      <c r="M35" s="60">
        <f>3243439+1</f>
        <v>3243440</v>
      </c>
      <c r="N35" s="60">
        <v>0</v>
      </c>
      <c r="O35" s="60">
        <v>1100196</v>
      </c>
      <c r="P35" s="60">
        <f t="shared" si="10"/>
        <v>4343636</v>
      </c>
      <c r="Q35" s="60">
        <f t="shared" si="11"/>
        <v>0</v>
      </c>
      <c r="R35" s="60">
        <v>4343636</v>
      </c>
      <c r="S35" s="61" t="s">
        <v>99</v>
      </c>
      <c r="T35" s="60"/>
      <c r="U35" s="61">
        <v>2011</v>
      </c>
      <c r="V35" s="58" t="s">
        <v>100</v>
      </c>
      <c r="W35" s="62">
        <v>28.4</v>
      </c>
      <c r="X35" s="62">
        <v>28.4</v>
      </c>
      <c r="Y35" s="62">
        <f t="shared" si="8"/>
        <v>28.4</v>
      </c>
      <c r="Z35" s="61">
        <v>2007</v>
      </c>
      <c r="AA35" s="63">
        <v>39508</v>
      </c>
      <c r="AB35" s="63">
        <v>39845</v>
      </c>
      <c r="AC35" s="64">
        <v>40057</v>
      </c>
      <c r="AD35" s="65">
        <f t="shared" si="9"/>
        <v>2008</v>
      </c>
      <c r="AE35" s="58" t="s">
        <v>201</v>
      </c>
      <c r="AF35" s="66">
        <f>LOOKUP(AD35,'2018 Escalator'!$A$9:$A$41,'2018 Escalator'!$G$9:$G$41)</f>
        <v>1.199491188497166</v>
      </c>
      <c r="AG35" s="60">
        <f t="shared" si="1"/>
        <v>5210153.1080390755</v>
      </c>
      <c r="AH35" s="60">
        <f t="shared" si="2"/>
        <v>5210153.1080390755</v>
      </c>
      <c r="AI35" s="62">
        <v>42</v>
      </c>
      <c r="AJ35" s="62">
        <f t="shared" si="3"/>
        <v>42</v>
      </c>
      <c r="AK35" s="62">
        <f t="shared" si="4"/>
        <v>37.800000000000004</v>
      </c>
    </row>
    <row r="36" spans="1:37" x14ac:dyDescent="0.2">
      <c r="A36" s="57">
        <v>526</v>
      </c>
      <c r="B36" s="58" t="s">
        <v>202</v>
      </c>
      <c r="C36" s="58" t="s">
        <v>132</v>
      </c>
      <c r="D36" s="58" t="s">
        <v>203</v>
      </c>
      <c r="E36" s="58" t="s">
        <v>204</v>
      </c>
      <c r="F36" s="58" t="s">
        <v>205</v>
      </c>
      <c r="G36" s="58" t="s">
        <v>136</v>
      </c>
      <c r="H36" s="58">
        <v>1</v>
      </c>
      <c r="I36" s="58">
        <v>144</v>
      </c>
      <c r="J36" s="58">
        <v>25</v>
      </c>
      <c r="K36" s="58" t="s">
        <v>98</v>
      </c>
      <c r="L36" s="59">
        <v>27.1</v>
      </c>
      <c r="M36" s="60">
        <f>1100000+200000+3558249+406482</f>
        <v>5264731</v>
      </c>
      <c r="N36" s="60">
        <f>2764300+281698</f>
        <v>3045998</v>
      </c>
      <c r="O36" s="60">
        <f>638910+128340+0+553350+113951+1441323+0+470382</f>
        <v>3346256</v>
      </c>
      <c r="P36" s="60">
        <f t="shared" si="10"/>
        <v>11656985</v>
      </c>
      <c r="Q36" s="60">
        <f t="shared" si="11"/>
        <v>4227468</v>
      </c>
      <c r="R36" s="60">
        <v>7429517</v>
      </c>
      <c r="S36" s="61" t="s">
        <v>99</v>
      </c>
      <c r="T36" s="60"/>
      <c r="U36" s="61">
        <v>2012</v>
      </c>
      <c r="V36" s="58" t="s">
        <v>100</v>
      </c>
      <c r="W36" s="62">
        <v>10.6</v>
      </c>
      <c r="X36" s="62">
        <v>19</v>
      </c>
      <c r="Y36" s="62">
        <f t="shared" si="8"/>
        <v>19</v>
      </c>
      <c r="Z36" s="61">
        <v>2007</v>
      </c>
      <c r="AA36" s="63">
        <v>38687</v>
      </c>
      <c r="AB36" s="63">
        <v>39387</v>
      </c>
      <c r="AC36" s="64">
        <v>40276</v>
      </c>
      <c r="AD36" s="65">
        <f t="shared" si="9"/>
        <v>2009</v>
      </c>
      <c r="AF36" s="66">
        <f>LOOKUP(AD36,'2018 Escalator'!$A$9:$A$41,'2018 Escalator'!$G$9:$G$41)</f>
        <v>1.1803081251084759</v>
      </c>
      <c r="AG36" s="60">
        <f t="shared" si="1"/>
        <v>13758834.109767627</v>
      </c>
      <c r="AH36" s="60">
        <f t="shared" si="2"/>
        <v>13758834.109767627</v>
      </c>
      <c r="AI36" s="62">
        <v>25</v>
      </c>
      <c r="AJ36" s="62">
        <f t="shared" si="3"/>
        <v>25</v>
      </c>
      <c r="AK36" s="62">
        <f t="shared" si="4"/>
        <v>22.5</v>
      </c>
    </row>
    <row r="37" spans="1:37" x14ac:dyDescent="0.2">
      <c r="A37" s="57">
        <v>288</v>
      </c>
      <c r="B37" s="58" t="s">
        <v>92</v>
      </c>
      <c r="C37" s="58" t="s">
        <v>93</v>
      </c>
      <c r="D37" s="58" t="s">
        <v>206</v>
      </c>
      <c r="E37" s="58" t="s">
        <v>207</v>
      </c>
      <c r="F37" s="58" t="s">
        <v>208</v>
      </c>
      <c r="G37" s="58" t="s">
        <v>97</v>
      </c>
      <c r="H37" s="58">
        <v>1</v>
      </c>
      <c r="I37" s="58">
        <v>138</v>
      </c>
      <c r="J37" s="58">
        <v>25</v>
      </c>
      <c r="K37" s="58" t="s">
        <v>98</v>
      </c>
      <c r="L37" s="59">
        <v>2.2000000000000002</v>
      </c>
      <c r="M37" s="60">
        <v>1961804</v>
      </c>
      <c r="N37" s="60">
        <v>408364</v>
      </c>
      <c r="O37" s="60">
        <v>412509</v>
      </c>
      <c r="P37" s="60">
        <v>2782677</v>
      </c>
      <c r="Q37" s="60">
        <v>0</v>
      </c>
      <c r="R37" s="60">
        <v>2782677</v>
      </c>
      <c r="S37" s="61" t="s">
        <v>99</v>
      </c>
      <c r="T37" s="60"/>
      <c r="U37" s="61">
        <v>2001</v>
      </c>
      <c r="V37" s="58" t="s">
        <v>100</v>
      </c>
      <c r="W37" s="62">
        <v>12</v>
      </c>
      <c r="X37" s="62">
        <v>12</v>
      </c>
      <c r="Y37" s="62">
        <f t="shared" si="8"/>
        <v>12</v>
      </c>
      <c r="Z37" s="61">
        <v>2001</v>
      </c>
      <c r="AA37" s="63">
        <v>37165</v>
      </c>
      <c r="AB37" s="63">
        <v>37257</v>
      </c>
      <c r="AC37" s="64">
        <v>37529</v>
      </c>
      <c r="AD37" s="65">
        <f t="shared" si="9"/>
        <v>2001</v>
      </c>
      <c r="AF37" s="66">
        <f>LOOKUP(AD37,'2018 Escalator'!$A$9:$A$41,'2018 Escalator'!$G$9:$G$41)</f>
        <v>1.6003864207225198</v>
      </c>
      <c r="AG37" s="60">
        <f t="shared" si="1"/>
        <v>4453358.4840568788</v>
      </c>
      <c r="AH37" s="60">
        <f t="shared" si="2"/>
        <v>4453358.4840568788</v>
      </c>
      <c r="AI37" s="62">
        <v>25</v>
      </c>
      <c r="AJ37" s="62">
        <f t="shared" si="3"/>
        <v>25</v>
      </c>
      <c r="AK37" s="62">
        <f t="shared" si="4"/>
        <v>22.5</v>
      </c>
    </row>
    <row r="38" spans="1:37" x14ac:dyDescent="0.2">
      <c r="A38" s="57">
        <v>851</v>
      </c>
      <c r="B38" s="58" t="s">
        <v>92</v>
      </c>
      <c r="C38" s="58" t="s">
        <v>132</v>
      </c>
      <c r="D38" s="58" t="s">
        <v>209</v>
      </c>
      <c r="E38" s="58" t="s">
        <v>210</v>
      </c>
      <c r="F38" s="58" t="s">
        <v>211</v>
      </c>
      <c r="G38" s="58" t="s">
        <v>212</v>
      </c>
      <c r="H38" s="58">
        <v>1</v>
      </c>
      <c r="I38" s="58">
        <v>144</v>
      </c>
      <c r="J38" s="58">
        <v>33.299999999999997</v>
      </c>
      <c r="K38" s="58" t="s">
        <v>98</v>
      </c>
      <c r="L38" s="59">
        <v>16</v>
      </c>
      <c r="M38" s="60">
        <v>3503100</v>
      </c>
      <c r="N38" s="60">
        <v>3532412</v>
      </c>
      <c r="O38" s="60">
        <v>5419391</v>
      </c>
      <c r="P38" s="60">
        <f>SUM(M38:O38)</f>
        <v>12454903</v>
      </c>
      <c r="Q38" s="60">
        <f>P38-R38</f>
        <v>4729989</v>
      </c>
      <c r="R38" s="60">
        <v>7724914</v>
      </c>
      <c r="S38" s="61" t="s">
        <v>99</v>
      </c>
      <c r="T38" s="60"/>
      <c r="U38" s="61">
        <v>2011</v>
      </c>
      <c r="V38" s="58" t="s">
        <v>213</v>
      </c>
      <c r="W38" s="62">
        <v>25</v>
      </c>
      <c r="X38" s="62">
        <v>25</v>
      </c>
      <c r="Y38" s="62">
        <f t="shared" si="8"/>
        <v>25</v>
      </c>
      <c r="Z38" s="61">
        <v>2007</v>
      </c>
      <c r="AA38" s="63">
        <v>39661</v>
      </c>
      <c r="AB38" s="63">
        <v>40391</v>
      </c>
      <c r="AC38" s="64">
        <v>43100</v>
      </c>
      <c r="AD38" s="65">
        <f t="shared" si="9"/>
        <v>2016</v>
      </c>
      <c r="AE38" s="58" t="s">
        <v>214</v>
      </c>
      <c r="AF38" s="66">
        <f>LOOKUP(AD38,'2018 Escalator'!$A$9:$A$41,'2018 Escalator'!$G$9:$G$41)</f>
        <v>1.038286218119775</v>
      </c>
      <c r="AG38" s="60">
        <f t="shared" si="1"/>
        <v>12931754.132918639</v>
      </c>
      <c r="AH38" s="60">
        <f t="shared" si="2"/>
        <v>12931754.132918639</v>
      </c>
      <c r="AI38" s="62">
        <v>33.299999999999997</v>
      </c>
      <c r="AJ38" s="62">
        <f t="shared" si="3"/>
        <v>33.299999999999997</v>
      </c>
      <c r="AK38" s="62">
        <f t="shared" si="4"/>
        <v>29.97</v>
      </c>
    </row>
    <row r="39" spans="1:37" x14ac:dyDescent="0.2">
      <c r="A39" s="57">
        <v>648</v>
      </c>
      <c r="B39" s="58" t="s">
        <v>92</v>
      </c>
      <c r="C39" s="58" t="s">
        <v>108</v>
      </c>
      <c r="D39" s="58" t="s">
        <v>215</v>
      </c>
      <c r="E39" s="58" t="s">
        <v>216</v>
      </c>
      <c r="F39" s="58" t="s">
        <v>217</v>
      </c>
      <c r="G39" s="58" t="s">
        <v>116</v>
      </c>
      <c r="H39" s="58">
        <v>2</v>
      </c>
      <c r="I39" s="58">
        <v>138</v>
      </c>
      <c r="J39" s="58">
        <v>25</v>
      </c>
      <c r="K39" s="58" t="s">
        <v>98</v>
      </c>
      <c r="L39" s="59">
        <v>0.2</v>
      </c>
      <c r="M39" s="60">
        <f>7671400+586302</f>
        <v>8257702</v>
      </c>
      <c r="N39" s="60">
        <v>622877</v>
      </c>
      <c r="O39" s="60">
        <f>1103851+1699829+13978+234820+753223-1</f>
        <v>3805700</v>
      </c>
      <c r="P39" s="60">
        <f>SUM(M39:O39)</f>
        <v>12686279</v>
      </c>
      <c r="Q39" s="60">
        <f>P39-R39+333395</f>
        <v>6156674</v>
      </c>
      <c r="R39" s="60">
        <v>6863000</v>
      </c>
      <c r="S39" s="61" t="s">
        <v>129</v>
      </c>
      <c r="T39" s="60">
        <v>2778295</v>
      </c>
      <c r="U39" s="61">
        <v>2011</v>
      </c>
      <c r="V39" s="58" t="s">
        <v>100</v>
      </c>
      <c r="W39" s="62">
        <v>15</v>
      </c>
      <c r="X39" s="62">
        <v>15</v>
      </c>
      <c r="Y39" s="62">
        <f t="shared" si="8"/>
        <v>15</v>
      </c>
      <c r="Z39" s="61">
        <v>2007</v>
      </c>
      <c r="AA39" s="63">
        <v>38991</v>
      </c>
      <c r="AB39" s="63">
        <v>39356</v>
      </c>
      <c r="AC39" s="64">
        <v>40336</v>
      </c>
      <c r="AD39" s="65">
        <f t="shared" si="9"/>
        <v>2009</v>
      </c>
      <c r="AF39" s="66">
        <f>LOOKUP(AD39,'2018 Escalator'!$A$9:$A$41,'2018 Escalator'!$G$9:$G$41)</f>
        <v>1.1803081251084759</v>
      </c>
      <c r="AG39" s="60">
        <f t="shared" si="1"/>
        <v>14973718.181093032</v>
      </c>
      <c r="AH39" s="60">
        <f t="shared" si="2"/>
        <v>18252962.343541283</v>
      </c>
      <c r="AI39" s="62">
        <f>25*2</f>
        <v>50</v>
      </c>
      <c r="AJ39" s="62">
        <f t="shared" si="3"/>
        <v>50</v>
      </c>
      <c r="AK39" s="62">
        <f t="shared" si="4"/>
        <v>45</v>
      </c>
    </row>
    <row r="40" spans="1:37" x14ac:dyDescent="0.2">
      <c r="A40" s="57">
        <v>855</v>
      </c>
      <c r="B40" s="58" t="s">
        <v>92</v>
      </c>
      <c r="C40" s="58" t="s">
        <v>108</v>
      </c>
      <c r="D40" s="58" t="s">
        <v>218</v>
      </c>
      <c r="E40" s="58" t="s">
        <v>219</v>
      </c>
      <c r="F40" s="58" t="s">
        <v>220</v>
      </c>
      <c r="G40" s="58" t="s">
        <v>116</v>
      </c>
      <c r="H40" s="58">
        <v>1</v>
      </c>
      <c r="I40" s="58">
        <v>150</v>
      </c>
      <c r="J40" s="58">
        <v>42</v>
      </c>
      <c r="K40" s="58" t="s">
        <v>98</v>
      </c>
      <c r="L40" s="59">
        <v>0.05</v>
      </c>
      <c r="M40" s="60">
        <f>15280117+1028855</f>
        <v>16308972</v>
      </c>
      <c r="N40" s="60">
        <v>1507630</v>
      </c>
      <c r="O40" s="60">
        <f>2861203+5435381+19760+834016</f>
        <v>9150360</v>
      </c>
      <c r="P40" s="60">
        <f>SUM(M40:O40)</f>
        <v>26966962</v>
      </c>
      <c r="Q40" s="60">
        <f>P40-R40</f>
        <v>17569462</v>
      </c>
      <c r="R40" s="60">
        <v>9397500</v>
      </c>
      <c r="S40" s="61" t="s">
        <v>99</v>
      </c>
      <c r="T40" s="60"/>
      <c r="U40" s="61">
        <v>2016</v>
      </c>
      <c r="V40" s="58" t="s">
        <v>100</v>
      </c>
      <c r="W40" s="62">
        <v>23</v>
      </c>
      <c r="X40" s="62">
        <v>23</v>
      </c>
      <c r="Y40" s="62">
        <f t="shared" si="8"/>
        <v>23</v>
      </c>
      <c r="Z40" s="61">
        <v>2011</v>
      </c>
      <c r="AA40" s="63">
        <v>39692</v>
      </c>
      <c r="AB40" s="63">
        <v>40817</v>
      </c>
      <c r="AC40" s="64">
        <v>41988</v>
      </c>
      <c r="AD40" s="65">
        <f t="shared" si="9"/>
        <v>2013</v>
      </c>
      <c r="AF40" s="66">
        <f>LOOKUP(AD40,'2018 Escalator'!$A$9:$A$41,'2018 Escalator'!$G$9:$G$41)</f>
        <v>1.0630440922306721</v>
      </c>
      <c r="AG40" s="60">
        <f t="shared" si="1"/>
        <v>28667069.63950903</v>
      </c>
      <c r="AH40" s="60">
        <f t="shared" si="2"/>
        <v>28667069.63950903</v>
      </c>
      <c r="AI40" s="62">
        <v>42</v>
      </c>
      <c r="AJ40" s="62">
        <f t="shared" si="3"/>
        <v>42</v>
      </c>
      <c r="AK40" s="62">
        <f t="shared" si="4"/>
        <v>37.800000000000004</v>
      </c>
    </row>
    <row r="41" spans="1:37" x14ac:dyDescent="0.2">
      <c r="A41" s="57">
        <v>700</v>
      </c>
      <c r="B41" s="58" t="s">
        <v>92</v>
      </c>
      <c r="C41" s="58" t="s">
        <v>132</v>
      </c>
      <c r="D41" s="58" t="s">
        <v>221</v>
      </c>
      <c r="E41" s="58" t="s">
        <v>222</v>
      </c>
      <c r="F41" s="58" t="s">
        <v>223</v>
      </c>
      <c r="G41" s="58" t="s">
        <v>116</v>
      </c>
      <c r="H41" s="58">
        <v>1</v>
      </c>
      <c r="I41" s="58">
        <v>138</v>
      </c>
      <c r="J41" s="58">
        <v>42</v>
      </c>
      <c r="K41" s="58" t="s">
        <v>98</v>
      </c>
      <c r="L41" s="59">
        <v>1.2</v>
      </c>
      <c r="M41" s="60">
        <v>3662823</v>
      </c>
      <c r="N41" s="60">
        <v>659856</v>
      </c>
      <c r="O41" s="60">
        <v>1567981</v>
      </c>
      <c r="P41" s="60">
        <v>5890660</v>
      </c>
      <c r="Q41" s="60">
        <v>67660</v>
      </c>
      <c r="R41" s="60">
        <v>5823000</v>
      </c>
      <c r="S41" s="61" t="s">
        <v>99</v>
      </c>
      <c r="T41" s="60"/>
      <c r="U41" s="61">
        <v>2008</v>
      </c>
      <c r="V41" s="58" t="s">
        <v>100</v>
      </c>
      <c r="W41" s="62">
        <v>9.8000000000000007</v>
      </c>
      <c r="X41" s="62">
        <v>9.8000000000000007</v>
      </c>
      <c r="Y41" s="62">
        <f t="shared" si="8"/>
        <v>9.8000000000000007</v>
      </c>
      <c r="Z41" s="61">
        <v>2007</v>
      </c>
      <c r="AA41" s="63">
        <v>39173</v>
      </c>
      <c r="AB41" s="63">
        <v>39479</v>
      </c>
      <c r="AC41" s="64">
        <v>40118</v>
      </c>
      <c r="AD41" s="65">
        <f t="shared" si="9"/>
        <v>2008</v>
      </c>
      <c r="AF41" s="66">
        <f>LOOKUP(AD41,'2018 Escalator'!$A$9:$A$41,'2018 Escalator'!$G$9:$G$41)</f>
        <v>1.199491188497166</v>
      </c>
      <c r="AG41" s="60">
        <f t="shared" si="1"/>
        <v>7065794.7644327153</v>
      </c>
      <c r="AH41" s="60">
        <f t="shared" si="2"/>
        <v>7065794.7644327153</v>
      </c>
      <c r="AI41" s="62">
        <v>42</v>
      </c>
      <c r="AJ41" s="62">
        <f t="shared" si="3"/>
        <v>42</v>
      </c>
      <c r="AK41" s="62">
        <f t="shared" si="4"/>
        <v>37.800000000000004</v>
      </c>
    </row>
    <row r="42" spans="1:37" x14ac:dyDescent="0.2">
      <c r="A42" s="57">
        <v>683</v>
      </c>
      <c r="B42" s="58" t="s">
        <v>92</v>
      </c>
      <c r="C42" s="58" t="s">
        <v>108</v>
      </c>
      <c r="D42" s="58" t="s">
        <v>224</v>
      </c>
      <c r="E42" s="58" t="s">
        <v>225</v>
      </c>
      <c r="F42" s="58" t="s">
        <v>226</v>
      </c>
      <c r="G42" s="58" t="s">
        <v>157</v>
      </c>
      <c r="H42" s="58">
        <v>1</v>
      </c>
      <c r="I42" s="58">
        <v>138</v>
      </c>
      <c r="J42" s="58">
        <v>50</v>
      </c>
      <c r="K42" s="58" t="s">
        <v>98</v>
      </c>
      <c r="L42" s="59">
        <v>2.5</v>
      </c>
      <c r="M42" s="60">
        <f>8071334+475574</f>
        <v>8546908</v>
      </c>
      <c r="N42" s="60">
        <v>2518904</v>
      </c>
      <c r="O42" s="60">
        <f>385168+2328412+0+0+325868+1</f>
        <v>3039449</v>
      </c>
      <c r="P42" s="60">
        <f>SUM(M42:O42)</f>
        <v>14105261</v>
      </c>
      <c r="Q42" s="60">
        <f>P42-R42</f>
        <v>3846551</v>
      </c>
      <c r="R42" s="60">
        <v>10258710</v>
      </c>
      <c r="S42" s="61" t="s">
        <v>99</v>
      </c>
      <c r="T42" s="60"/>
      <c r="U42" s="61">
        <v>2016</v>
      </c>
      <c r="V42" s="58" t="s">
        <v>100</v>
      </c>
      <c r="W42" s="62">
        <v>8</v>
      </c>
      <c r="X42" s="62">
        <v>30</v>
      </c>
      <c r="Y42" s="62">
        <f t="shared" si="8"/>
        <v>30</v>
      </c>
      <c r="Z42" s="61">
        <v>2011</v>
      </c>
      <c r="AA42" s="63">
        <v>39264</v>
      </c>
      <c r="AB42" s="63">
        <v>40848</v>
      </c>
      <c r="AC42" s="64">
        <v>41246</v>
      </c>
      <c r="AD42" s="65">
        <f t="shared" si="9"/>
        <v>2011</v>
      </c>
      <c r="AF42" s="66">
        <f>LOOKUP(AD42,'2018 Escalator'!$A$9:$A$41,'2018 Escalator'!$G$9:$G$41)</f>
        <v>1.1366200577120069</v>
      </c>
      <c r="AG42" s="60">
        <f t="shared" si="1"/>
        <v>16032322.571862921</v>
      </c>
      <c r="AH42" s="60">
        <f t="shared" si="2"/>
        <v>16032322.571862921</v>
      </c>
      <c r="AI42" s="62">
        <f>2*50</f>
        <v>100</v>
      </c>
      <c r="AJ42" s="62">
        <f t="shared" si="3"/>
        <v>100</v>
      </c>
      <c r="AK42" s="62">
        <f t="shared" si="4"/>
        <v>90</v>
      </c>
    </row>
    <row r="43" spans="1:37" x14ac:dyDescent="0.2">
      <c r="A43" s="70">
        <v>559</v>
      </c>
      <c r="B43" s="58" t="s">
        <v>92</v>
      </c>
      <c r="C43" s="58" t="s">
        <v>132</v>
      </c>
      <c r="D43" s="58" t="s">
        <v>227</v>
      </c>
      <c r="E43" s="58" t="s">
        <v>228</v>
      </c>
      <c r="F43" s="58" t="s">
        <v>229</v>
      </c>
      <c r="G43" s="58" t="s">
        <v>230</v>
      </c>
      <c r="H43" s="58">
        <v>2</v>
      </c>
      <c r="I43" s="58">
        <v>245</v>
      </c>
      <c r="J43" s="58">
        <v>200</v>
      </c>
      <c r="K43" s="58" t="s">
        <v>98</v>
      </c>
      <c r="L43" s="59">
        <v>5</v>
      </c>
      <c r="M43" s="60">
        <f>26578370+70103+139781+0+381472+60167+26262+0+0</f>
        <v>27256155</v>
      </c>
      <c r="N43" s="60">
        <f>92343+14176051+987812</f>
        <v>15256206</v>
      </c>
      <c r="O43" s="60">
        <f>1825861+8748612+177103+1999352</f>
        <v>12750928</v>
      </c>
      <c r="P43" s="60">
        <f>SUM(M43:O43)</f>
        <v>55263289</v>
      </c>
      <c r="Q43" s="60">
        <f>P43-R43</f>
        <v>39690689</v>
      </c>
      <c r="R43" s="60">
        <v>15572600</v>
      </c>
      <c r="S43" s="61" t="s">
        <v>99</v>
      </c>
      <c r="T43" s="60"/>
      <c r="U43" s="61">
        <v>2013</v>
      </c>
      <c r="V43" s="58" t="s">
        <v>100</v>
      </c>
      <c r="W43" s="62">
        <v>2</v>
      </c>
      <c r="X43" s="62">
        <v>115</v>
      </c>
      <c r="Y43" s="62">
        <f t="shared" si="8"/>
        <v>115</v>
      </c>
      <c r="Z43" s="61">
        <v>2011</v>
      </c>
      <c r="AA43" s="63">
        <v>38808</v>
      </c>
      <c r="AB43" s="63">
        <v>39569</v>
      </c>
      <c r="AC43" s="64">
        <v>42157</v>
      </c>
      <c r="AD43" s="65">
        <f t="shared" si="9"/>
        <v>2014</v>
      </c>
      <c r="AF43" s="66">
        <f>LOOKUP(AD43,'2018 Escalator'!$A$9:$A$41,'2018 Escalator'!$G$9:$G$41)</f>
        <v>1.0288837306891399</v>
      </c>
      <c r="AG43" s="60">
        <f t="shared" si="1"/>
        <v>56859498.956472106</v>
      </c>
      <c r="AH43" s="60">
        <f t="shared" si="2"/>
        <v>56859498.956472106</v>
      </c>
      <c r="AI43" s="62">
        <f>2*200</f>
        <v>400</v>
      </c>
      <c r="AJ43" s="62">
        <f t="shared" si="3"/>
        <v>400</v>
      </c>
      <c r="AK43" s="62">
        <f t="shared" si="4"/>
        <v>360</v>
      </c>
    </row>
    <row r="44" spans="1:37" x14ac:dyDescent="0.2">
      <c r="A44" s="57">
        <v>1074</v>
      </c>
      <c r="B44" s="58" t="s">
        <v>92</v>
      </c>
      <c r="C44" s="58" t="s">
        <v>108</v>
      </c>
      <c r="D44" s="58" t="s">
        <v>231</v>
      </c>
      <c r="E44" s="58" t="s">
        <v>232</v>
      </c>
      <c r="F44" s="58" t="s">
        <v>233</v>
      </c>
      <c r="G44" s="58" t="s">
        <v>107</v>
      </c>
      <c r="H44" s="58">
        <v>2</v>
      </c>
      <c r="I44" s="58">
        <v>240</v>
      </c>
      <c r="J44" s="58">
        <v>75</v>
      </c>
      <c r="K44" s="58" t="s">
        <v>98</v>
      </c>
      <c r="L44" s="59">
        <v>4</v>
      </c>
      <c r="M44" s="60">
        <f>22855968+357923</f>
        <v>23213891</v>
      </c>
      <c r="N44" s="60">
        <f>10021414</f>
        <v>10021414</v>
      </c>
      <c r="O44" s="60">
        <f>429467+4698660+0+1122455</f>
        <v>6250582</v>
      </c>
      <c r="P44" s="60">
        <f>SUM(M44:O44)-1</f>
        <v>39485886</v>
      </c>
      <c r="Q44" s="60">
        <f>P44-R44</f>
        <v>26618786</v>
      </c>
      <c r="R44" s="60">
        <v>12867100</v>
      </c>
      <c r="S44" s="61" t="s">
        <v>99</v>
      </c>
      <c r="T44" s="60"/>
      <c r="U44" s="61">
        <v>2016</v>
      </c>
      <c r="V44" s="58" t="s">
        <v>100</v>
      </c>
      <c r="W44" s="62">
        <v>50.8</v>
      </c>
      <c r="X44" s="62">
        <v>67</v>
      </c>
      <c r="Y44" s="62">
        <f t="shared" si="8"/>
        <v>67</v>
      </c>
      <c r="Z44" s="61">
        <v>2011</v>
      </c>
      <c r="AA44" s="63">
        <v>40269</v>
      </c>
      <c r="AB44" s="63">
        <v>40878</v>
      </c>
      <c r="AC44" s="64">
        <v>41427</v>
      </c>
      <c r="AD44" s="65">
        <f t="shared" si="9"/>
        <v>2012</v>
      </c>
      <c r="AF44" s="66">
        <f>LOOKUP(AD44,'2018 Escalator'!$A$9:$A$41,'2018 Escalator'!$G$9:$G$41)</f>
        <v>1.0925127659799037</v>
      </c>
      <c r="AG44" s="60">
        <f t="shared" si="1"/>
        <v>43138834.531027153</v>
      </c>
      <c r="AH44" s="60">
        <f t="shared" si="2"/>
        <v>43138834.531027153</v>
      </c>
      <c r="AI44" s="62">
        <f>2*50</f>
        <v>100</v>
      </c>
      <c r="AJ44" s="62">
        <f t="shared" si="3"/>
        <v>100</v>
      </c>
      <c r="AK44" s="62">
        <f t="shared" si="4"/>
        <v>90</v>
      </c>
    </row>
    <row r="45" spans="1:37" x14ac:dyDescent="0.2">
      <c r="A45" s="57">
        <v>34</v>
      </c>
      <c r="B45" s="58" t="s">
        <v>131</v>
      </c>
      <c r="C45" s="58" t="s">
        <v>108</v>
      </c>
      <c r="D45" s="58" t="s">
        <v>234</v>
      </c>
      <c r="E45" s="58" t="s">
        <v>235</v>
      </c>
      <c r="F45" s="58" t="s">
        <v>236</v>
      </c>
      <c r="G45" s="58" t="s">
        <v>143</v>
      </c>
      <c r="H45" s="58">
        <v>1</v>
      </c>
      <c r="I45" s="58">
        <v>144</v>
      </c>
      <c r="J45" s="58">
        <v>50</v>
      </c>
      <c r="K45" s="58" t="s">
        <v>98</v>
      </c>
      <c r="L45" s="59">
        <v>0</v>
      </c>
      <c r="M45" s="60">
        <v>3724000</v>
      </c>
      <c r="N45" s="60">
        <v>0</v>
      </c>
      <c r="O45" s="60">
        <v>633080</v>
      </c>
      <c r="P45" s="60">
        <v>4357080</v>
      </c>
      <c r="Q45" s="60">
        <v>0</v>
      </c>
      <c r="R45" s="60">
        <v>4357080</v>
      </c>
      <c r="S45" s="61" t="s">
        <v>99</v>
      </c>
      <c r="T45" s="60"/>
      <c r="U45" s="61">
        <v>2000</v>
      </c>
      <c r="V45" s="58" t="s">
        <v>100</v>
      </c>
      <c r="W45" s="62">
        <v>8</v>
      </c>
      <c r="X45" s="62">
        <v>16</v>
      </c>
      <c r="Y45" s="62">
        <f t="shared" si="8"/>
        <v>16</v>
      </c>
      <c r="Z45" s="61">
        <v>2000</v>
      </c>
      <c r="AA45" s="63">
        <v>36161</v>
      </c>
      <c r="AB45" s="63">
        <v>36312</v>
      </c>
      <c r="AC45" s="64">
        <v>36670</v>
      </c>
      <c r="AD45" s="65">
        <f t="shared" si="9"/>
        <v>1999</v>
      </c>
      <c r="AF45" s="66">
        <f>LOOKUP(AD45,'2018 Escalator'!$A$9:$A$41,'2018 Escalator'!$G$9:$G$41)</f>
        <v>1.7244146203916222</v>
      </c>
      <c r="AG45" s="60">
        <f t="shared" si="1"/>
        <v>7513412.4542159289</v>
      </c>
      <c r="AH45" s="60">
        <f t="shared" si="2"/>
        <v>7513412.4542159289</v>
      </c>
      <c r="AI45" s="62">
        <v>50</v>
      </c>
      <c r="AJ45" s="62">
        <f t="shared" si="3"/>
        <v>50</v>
      </c>
      <c r="AK45" s="62">
        <f t="shared" si="4"/>
        <v>45</v>
      </c>
    </row>
    <row r="46" spans="1:37" x14ac:dyDescent="0.2">
      <c r="A46" s="57">
        <v>433</v>
      </c>
      <c r="B46" s="58" t="s">
        <v>92</v>
      </c>
      <c r="C46" s="58" t="s">
        <v>108</v>
      </c>
      <c r="D46" s="58" t="s">
        <v>237</v>
      </c>
      <c r="E46" s="58" t="s">
        <v>238</v>
      </c>
      <c r="F46" s="58" t="s">
        <v>239</v>
      </c>
      <c r="G46" s="58" t="s">
        <v>107</v>
      </c>
      <c r="H46" s="58">
        <v>2</v>
      </c>
      <c r="I46" s="58">
        <v>260</v>
      </c>
      <c r="J46" s="58">
        <v>50</v>
      </c>
      <c r="K46" s="58" t="s">
        <v>98</v>
      </c>
      <c r="L46" s="59">
        <v>35</v>
      </c>
      <c r="M46" s="60">
        <v>4485275</v>
      </c>
      <c r="N46" s="60">
        <v>6849837</v>
      </c>
      <c r="O46" s="60">
        <v>4548894</v>
      </c>
      <c r="P46" s="60">
        <v>15884006</v>
      </c>
      <c r="Q46" s="60">
        <v>2711000</v>
      </c>
      <c r="R46" s="60">
        <v>13173006</v>
      </c>
      <c r="S46" s="61" t="s">
        <v>99</v>
      </c>
      <c r="T46" s="60"/>
      <c r="U46" s="61">
        <v>2005</v>
      </c>
      <c r="V46" s="58" t="s">
        <v>100</v>
      </c>
      <c r="W46" s="62">
        <v>10</v>
      </c>
      <c r="X46" s="62">
        <v>25</v>
      </c>
      <c r="Y46" s="62">
        <f t="shared" si="8"/>
        <v>25</v>
      </c>
      <c r="Z46" s="61">
        <v>2003</v>
      </c>
      <c r="AA46" s="63">
        <v>38078</v>
      </c>
      <c r="AB46" s="63">
        <v>38384</v>
      </c>
      <c r="AC46" s="64">
        <v>38976</v>
      </c>
      <c r="AD46" s="65">
        <f t="shared" si="9"/>
        <v>2005</v>
      </c>
      <c r="AE46" s="58" t="s">
        <v>240</v>
      </c>
      <c r="AF46" s="66">
        <f>LOOKUP(AD46,'2018 Escalator'!$A$9:$A$41,'2018 Escalator'!$G$9:$G$41)</f>
        <v>1.4044483059526309</v>
      </c>
      <c r="AG46" s="60">
        <f t="shared" si="1"/>
        <v>22308265.318441425</v>
      </c>
      <c r="AH46" s="60">
        <f t="shared" si="2"/>
        <v>22308265.318441425</v>
      </c>
      <c r="AI46" s="62">
        <v>100</v>
      </c>
      <c r="AJ46" s="62">
        <f t="shared" si="3"/>
        <v>100</v>
      </c>
      <c r="AK46" s="62">
        <f t="shared" si="4"/>
        <v>90</v>
      </c>
    </row>
    <row r="47" spans="1:37" x14ac:dyDescent="0.2">
      <c r="A47" s="57" t="s">
        <v>241</v>
      </c>
      <c r="B47" s="58" t="s">
        <v>131</v>
      </c>
      <c r="C47" s="58" t="s">
        <v>108</v>
      </c>
      <c r="D47" s="58" t="s">
        <v>242</v>
      </c>
      <c r="E47" s="58" t="s">
        <v>243</v>
      </c>
      <c r="F47" s="58" t="s">
        <v>244</v>
      </c>
      <c r="G47" s="58" t="s">
        <v>136</v>
      </c>
      <c r="H47" s="58">
        <v>2</v>
      </c>
      <c r="I47" s="58">
        <v>144</v>
      </c>
      <c r="J47" s="58">
        <v>40</v>
      </c>
      <c r="K47" s="58" t="s">
        <v>98</v>
      </c>
      <c r="L47" s="59">
        <v>10</v>
      </c>
      <c r="M47" s="60">
        <v>1949897</v>
      </c>
      <c r="N47" s="60">
        <v>1225797</v>
      </c>
      <c r="O47" s="60">
        <v>0</v>
      </c>
      <c r="P47" s="60">
        <v>3175694</v>
      </c>
      <c r="Q47" s="60">
        <v>695694</v>
      </c>
      <c r="R47" s="60">
        <v>2480000</v>
      </c>
      <c r="S47" s="61" t="s">
        <v>99</v>
      </c>
      <c r="T47" s="60"/>
      <c r="U47" s="61">
        <v>2001</v>
      </c>
      <c r="V47" s="58" t="s">
        <v>100</v>
      </c>
      <c r="W47" s="62">
        <v>8</v>
      </c>
      <c r="X47" s="62">
        <v>8</v>
      </c>
      <c r="Y47" s="62">
        <f t="shared" si="8"/>
        <v>8</v>
      </c>
      <c r="Z47" s="61">
        <v>2000</v>
      </c>
      <c r="AA47" s="63"/>
      <c r="AB47" s="63">
        <v>36831</v>
      </c>
      <c r="AC47" s="64">
        <v>37347</v>
      </c>
      <c r="AD47" s="65">
        <f t="shared" si="9"/>
        <v>2001</v>
      </c>
      <c r="AE47" s="58" t="s">
        <v>245</v>
      </c>
      <c r="AF47" s="66">
        <f>LOOKUP(AD47,'2018 Escalator'!$A$9:$A$41,'2018 Escalator'!$G$9:$G$41)</f>
        <v>1.6003864207225198</v>
      </c>
      <c r="AG47" s="60">
        <f t="shared" si="1"/>
        <v>5082337.5539699821</v>
      </c>
      <c r="AH47" s="60">
        <f t="shared" si="2"/>
        <v>5082337.5539699821</v>
      </c>
      <c r="AI47" s="62">
        <v>41.6</v>
      </c>
      <c r="AJ47" s="62">
        <f t="shared" si="3"/>
        <v>41.6</v>
      </c>
      <c r="AK47" s="62">
        <f t="shared" si="4"/>
        <v>37.440000000000005</v>
      </c>
    </row>
    <row r="48" spans="1:37" x14ac:dyDescent="0.2">
      <c r="A48" s="57" t="s">
        <v>246</v>
      </c>
      <c r="B48" s="58" t="s">
        <v>131</v>
      </c>
      <c r="C48" s="58" t="s">
        <v>108</v>
      </c>
      <c r="D48" s="58" t="s">
        <v>247</v>
      </c>
      <c r="E48" s="58" t="s">
        <v>248</v>
      </c>
      <c r="F48" s="58" t="s">
        <v>249</v>
      </c>
      <c r="G48" s="58" t="s">
        <v>136</v>
      </c>
      <c r="H48" s="58">
        <v>1</v>
      </c>
      <c r="I48" s="58">
        <v>144</v>
      </c>
      <c r="J48" s="58">
        <v>25</v>
      </c>
      <c r="K48" s="58" t="s">
        <v>98</v>
      </c>
      <c r="L48" s="59">
        <v>41</v>
      </c>
      <c r="M48" s="60">
        <v>1751255.63</v>
      </c>
      <c r="N48" s="60">
        <v>2076265</v>
      </c>
      <c r="O48" s="60">
        <v>1184964</v>
      </c>
      <c r="P48" s="60">
        <v>5012484.63</v>
      </c>
      <c r="Q48" s="60">
        <v>658329.63</v>
      </c>
      <c r="R48" s="60">
        <v>4354155</v>
      </c>
      <c r="S48" s="61" t="s">
        <v>99</v>
      </c>
      <c r="T48" s="60"/>
      <c r="U48" s="61">
        <v>1999</v>
      </c>
      <c r="V48" s="58" t="s">
        <v>100</v>
      </c>
      <c r="W48" s="62">
        <v>6.1669999999999998</v>
      </c>
      <c r="X48" s="62">
        <v>6.2</v>
      </c>
      <c r="Y48" s="62">
        <f t="shared" si="8"/>
        <v>6.2</v>
      </c>
      <c r="Z48" s="61">
        <v>2001</v>
      </c>
      <c r="AA48" s="63">
        <v>36100</v>
      </c>
      <c r="AB48" s="63"/>
      <c r="AC48" s="64">
        <v>36373</v>
      </c>
      <c r="AD48" s="65">
        <f t="shared" si="9"/>
        <v>1998</v>
      </c>
      <c r="AE48" s="58" t="s">
        <v>250</v>
      </c>
      <c r="AF48" s="66">
        <f>LOOKUP(AD48,'2018 Escalator'!$A$9:$A$41,'2018 Escalator'!$G$9:$G$41)</f>
        <v>1.7787606414910384</v>
      </c>
      <c r="AG48" s="60">
        <f t="shared" si="1"/>
        <v>8916010.3759227693</v>
      </c>
      <c r="AH48" s="60">
        <f t="shared" si="2"/>
        <v>8916010.3759227693</v>
      </c>
      <c r="AI48" s="62">
        <v>25</v>
      </c>
      <c r="AJ48" s="62">
        <f t="shared" si="3"/>
        <v>25</v>
      </c>
      <c r="AK48" s="62">
        <f t="shared" si="4"/>
        <v>22.5</v>
      </c>
    </row>
    <row r="49" spans="1:37" x14ac:dyDescent="0.2">
      <c r="A49" s="57">
        <v>345</v>
      </c>
      <c r="B49" s="58" t="s">
        <v>131</v>
      </c>
      <c r="C49" s="58" t="s">
        <v>108</v>
      </c>
      <c r="D49" s="58" t="s">
        <v>251</v>
      </c>
      <c r="E49" s="58" t="s">
        <v>252</v>
      </c>
      <c r="F49" s="58" t="s">
        <v>253</v>
      </c>
      <c r="G49" s="58" t="s">
        <v>254</v>
      </c>
      <c r="H49" s="58">
        <v>1</v>
      </c>
      <c r="I49" s="58">
        <v>260</v>
      </c>
      <c r="J49" s="58">
        <v>50</v>
      </c>
      <c r="K49" s="58" t="s">
        <v>98</v>
      </c>
      <c r="L49" s="59">
        <v>0.3</v>
      </c>
      <c r="M49" s="60">
        <v>4572031</v>
      </c>
      <c r="N49" s="60">
        <v>504243</v>
      </c>
      <c r="O49" s="60">
        <v>564031</v>
      </c>
      <c r="P49" s="60">
        <v>5640305</v>
      </c>
      <c r="Q49" s="60">
        <v>0</v>
      </c>
      <c r="R49" s="60">
        <v>5640305</v>
      </c>
      <c r="S49" s="61" t="s">
        <v>99</v>
      </c>
      <c r="T49" s="60"/>
      <c r="U49" s="61">
        <v>2006</v>
      </c>
      <c r="V49" s="58" t="s">
        <v>100</v>
      </c>
      <c r="W49" s="62">
        <v>2</v>
      </c>
      <c r="X49" s="62">
        <v>35</v>
      </c>
      <c r="Y49" s="62">
        <f t="shared" si="8"/>
        <v>35</v>
      </c>
      <c r="Z49" s="61">
        <v>2003</v>
      </c>
      <c r="AA49" s="63">
        <v>37591</v>
      </c>
      <c r="AB49" s="63">
        <v>37926</v>
      </c>
      <c r="AC49" s="64">
        <v>38430</v>
      </c>
      <c r="AD49" s="65">
        <f t="shared" si="9"/>
        <v>2004</v>
      </c>
      <c r="AF49" s="66">
        <f>LOOKUP(AD49,'2018 Escalator'!$A$9:$A$41,'2018 Escalator'!$G$9:$G$41)</f>
        <v>1.483782020350688</v>
      </c>
      <c r="AG49" s="60">
        <f t="shared" si="1"/>
        <v>8368983.1482940875</v>
      </c>
      <c r="AH49" s="60">
        <f t="shared" si="2"/>
        <v>8368983.1482940875</v>
      </c>
      <c r="AI49" s="62">
        <v>50</v>
      </c>
      <c r="AJ49" s="62">
        <f t="shared" si="3"/>
        <v>50</v>
      </c>
      <c r="AK49" s="62">
        <f t="shared" si="4"/>
        <v>45</v>
      </c>
    </row>
    <row r="50" spans="1:37" x14ac:dyDescent="0.2">
      <c r="A50" s="71">
        <v>1049</v>
      </c>
      <c r="B50" s="58" t="s">
        <v>92</v>
      </c>
      <c r="C50" s="58" t="s">
        <v>108</v>
      </c>
      <c r="D50" s="72" t="s">
        <v>255</v>
      </c>
      <c r="E50" s="58" t="s">
        <v>256</v>
      </c>
      <c r="F50" s="58" t="s">
        <v>257</v>
      </c>
      <c r="G50" s="58" t="s">
        <v>107</v>
      </c>
      <c r="H50" s="58">
        <v>2</v>
      </c>
      <c r="I50" s="58">
        <v>275</v>
      </c>
      <c r="J50" s="58">
        <v>50</v>
      </c>
      <c r="K50" s="58" t="s">
        <v>98</v>
      </c>
      <c r="L50" s="59">
        <v>10</v>
      </c>
      <c r="M50" s="60">
        <f>16180932+903830+42370</f>
        <v>17127132</v>
      </c>
      <c r="N50" s="60">
        <f>23205495+968168</f>
        <v>24173663</v>
      </c>
      <c r="O50" s="60">
        <f>665240+3558965+1927306+84425+309911+10265+137821</f>
        <v>6693933</v>
      </c>
      <c r="P50" s="60">
        <f>SUM(M50:O50)</f>
        <v>47994728</v>
      </c>
      <c r="Q50" s="60">
        <f>P50-R50</f>
        <v>40688928</v>
      </c>
      <c r="R50" s="60">
        <v>7305800</v>
      </c>
      <c r="S50" s="61" t="s">
        <v>99</v>
      </c>
      <c r="T50" s="60"/>
      <c r="U50" s="61">
        <v>2016</v>
      </c>
      <c r="V50" s="58" t="s">
        <v>100</v>
      </c>
      <c r="W50" s="62">
        <v>12.3</v>
      </c>
      <c r="X50" s="62">
        <v>15.2</v>
      </c>
      <c r="Y50" s="62">
        <f t="shared" si="8"/>
        <v>15.2</v>
      </c>
      <c r="Z50" s="61">
        <v>2011</v>
      </c>
      <c r="AA50" s="63">
        <v>40118</v>
      </c>
      <c r="AB50" s="63">
        <v>40695</v>
      </c>
      <c r="AC50" s="64">
        <v>41136</v>
      </c>
      <c r="AD50" s="65">
        <f t="shared" si="9"/>
        <v>2011</v>
      </c>
      <c r="AE50" s="58" t="s">
        <v>112</v>
      </c>
      <c r="AF50" s="66">
        <f>LOOKUP(AD50,'2018 Escalator'!$A$9:$A$41,'2018 Escalator'!$G$9:$G$41)</f>
        <v>1.1366200577120069</v>
      </c>
      <c r="AG50" s="60">
        <f t="shared" si="1"/>
        <v>54551770.509232074</v>
      </c>
      <c r="AH50" s="60">
        <f t="shared" si="2"/>
        <v>54551770.509232074</v>
      </c>
      <c r="AI50" s="62">
        <v>100</v>
      </c>
      <c r="AJ50" s="62">
        <f t="shared" si="3"/>
        <v>100</v>
      </c>
      <c r="AK50" s="62">
        <f t="shared" si="4"/>
        <v>90</v>
      </c>
    </row>
    <row r="51" spans="1:37" x14ac:dyDescent="0.2">
      <c r="A51" s="57">
        <v>230</v>
      </c>
      <c r="B51" s="58" t="s">
        <v>131</v>
      </c>
      <c r="C51" s="58" t="s">
        <v>108</v>
      </c>
      <c r="D51" s="58" t="s">
        <v>258</v>
      </c>
      <c r="E51" s="58" t="s">
        <v>259</v>
      </c>
      <c r="F51" s="58" t="s">
        <v>260</v>
      </c>
      <c r="G51" s="58" t="s">
        <v>107</v>
      </c>
      <c r="H51" s="58">
        <v>2</v>
      </c>
      <c r="I51" s="58">
        <v>260</v>
      </c>
      <c r="J51" s="58">
        <v>200</v>
      </c>
      <c r="K51" s="58" t="s">
        <v>98</v>
      </c>
      <c r="L51" s="59">
        <v>0.3</v>
      </c>
      <c r="M51" s="60">
        <v>5852852</v>
      </c>
      <c r="N51" s="60">
        <v>490955</v>
      </c>
      <c r="O51" s="60">
        <v>722253</v>
      </c>
      <c r="P51" s="60">
        <v>7066060</v>
      </c>
      <c r="Q51" s="60">
        <v>0</v>
      </c>
      <c r="R51" s="60">
        <v>7066060</v>
      </c>
      <c r="S51" s="61" t="s">
        <v>99</v>
      </c>
      <c r="T51" s="60"/>
      <c r="U51" s="61">
        <v>2004</v>
      </c>
      <c r="V51" s="58" t="s">
        <v>100</v>
      </c>
      <c r="W51" s="62">
        <v>7.5</v>
      </c>
      <c r="X51" s="62">
        <v>17</v>
      </c>
      <c r="Y51" s="62">
        <f t="shared" si="8"/>
        <v>17</v>
      </c>
      <c r="Z51" s="61">
        <v>2003</v>
      </c>
      <c r="AA51" s="63">
        <v>37500</v>
      </c>
      <c r="AB51" s="63">
        <v>38047</v>
      </c>
      <c r="AC51" s="64">
        <v>38322</v>
      </c>
      <c r="AD51" s="65">
        <f t="shared" si="9"/>
        <v>2003</v>
      </c>
      <c r="AE51" s="58" t="s">
        <v>261</v>
      </c>
      <c r="AF51" s="66">
        <f>LOOKUP(AD51,'2018 Escalator'!$A$9:$A$41,'2018 Escalator'!$G$9:$G$41)</f>
        <v>1.5199278197444033</v>
      </c>
      <c r="AG51" s="60">
        <f t="shared" si="1"/>
        <v>10739901.169983137</v>
      </c>
      <c r="AH51" s="60">
        <f t="shared" si="2"/>
        <v>10739901.169983137</v>
      </c>
      <c r="AI51" s="62">
        <v>50</v>
      </c>
      <c r="AJ51" s="62">
        <f t="shared" si="3"/>
        <v>50</v>
      </c>
      <c r="AK51" s="62">
        <f t="shared" si="4"/>
        <v>45</v>
      </c>
    </row>
    <row r="52" spans="1:37" x14ac:dyDescent="0.2">
      <c r="A52" s="57" t="s">
        <v>262</v>
      </c>
      <c r="B52" s="58" t="s">
        <v>131</v>
      </c>
      <c r="C52" s="58" t="s">
        <v>108</v>
      </c>
      <c r="D52" s="58" t="s">
        <v>263</v>
      </c>
      <c r="E52" s="58" t="s">
        <v>264</v>
      </c>
      <c r="F52" s="58" t="s">
        <v>265</v>
      </c>
      <c r="G52" s="58" t="s">
        <v>136</v>
      </c>
      <c r="H52" s="58">
        <v>1</v>
      </c>
      <c r="I52" s="58">
        <v>144</v>
      </c>
      <c r="J52" s="58">
        <v>19.399999999999999</v>
      </c>
      <c r="K52" s="58" t="s">
        <v>98</v>
      </c>
      <c r="L52" s="59">
        <v>0</v>
      </c>
      <c r="M52" s="60">
        <v>2111261.35</v>
      </c>
      <c r="N52" s="60">
        <v>0</v>
      </c>
      <c r="O52" s="60">
        <v>0</v>
      </c>
      <c r="P52" s="60">
        <v>2111261.35</v>
      </c>
      <c r="Q52" s="60">
        <v>0</v>
      </c>
      <c r="R52" s="60">
        <v>2111261</v>
      </c>
      <c r="S52" s="61" t="s">
        <v>99</v>
      </c>
      <c r="T52" s="60"/>
      <c r="U52" s="61">
        <v>2002</v>
      </c>
      <c r="V52" s="58" t="s">
        <v>100</v>
      </c>
      <c r="W52" s="62">
        <v>2</v>
      </c>
      <c r="X52" s="62">
        <v>8</v>
      </c>
      <c r="Y52" s="62">
        <f t="shared" si="8"/>
        <v>8</v>
      </c>
      <c r="Z52" s="61">
        <v>2000</v>
      </c>
      <c r="AA52" s="63"/>
      <c r="AB52" s="63">
        <v>36831</v>
      </c>
      <c r="AC52" s="64">
        <v>37347</v>
      </c>
      <c r="AD52" s="65">
        <f t="shared" si="9"/>
        <v>2001</v>
      </c>
      <c r="AE52" s="58" t="s">
        <v>266</v>
      </c>
      <c r="AF52" s="66">
        <f>LOOKUP(AD52,'2018 Escalator'!$A$9:$A$41,'2018 Escalator'!$G$9:$G$41)</f>
        <v>1.6003864207225198</v>
      </c>
      <c r="AG52" s="60">
        <f t="shared" si="1"/>
        <v>3378833.9951362954</v>
      </c>
      <c r="AH52" s="60">
        <f t="shared" si="2"/>
        <v>3378833.9951362954</v>
      </c>
      <c r="AI52" s="62">
        <v>16.600000000000001</v>
      </c>
      <c r="AJ52" s="62">
        <f t="shared" si="3"/>
        <v>16.600000000000001</v>
      </c>
      <c r="AK52" s="62">
        <f t="shared" si="4"/>
        <v>14.940000000000001</v>
      </c>
    </row>
    <row r="53" spans="1:37" x14ac:dyDescent="0.2">
      <c r="A53" s="57" t="s">
        <v>267</v>
      </c>
      <c r="B53" s="58" t="s">
        <v>131</v>
      </c>
      <c r="C53" s="58" t="s">
        <v>108</v>
      </c>
      <c r="D53" s="58" t="s">
        <v>268</v>
      </c>
      <c r="E53" s="58" t="s">
        <v>269</v>
      </c>
      <c r="F53" s="58" t="s">
        <v>270</v>
      </c>
      <c r="G53" s="58" t="s">
        <v>136</v>
      </c>
      <c r="H53" s="58">
        <v>1</v>
      </c>
      <c r="I53" s="58">
        <v>144</v>
      </c>
      <c r="J53" s="58">
        <v>25</v>
      </c>
      <c r="K53" s="58" t="s">
        <v>98</v>
      </c>
      <c r="L53" s="59">
        <v>48</v>
      </c>
      <c r="M53" s="60">
        <v>2035346.02</v>
      </c>
      <c r="N53" s="60">
        <v>2462275</v>
      </c>
      <c r="O53" s="60">
        <v>1184964</v>
      </c>
      <c r="P53" s="60">
        <v>5682585.0199999996</v>
      </c>
      <c r="Q53" s="60">
        <v>531263.02</v>
      </c>
      <c r="R53" s="60">
        <v>5151322</v>
      </c>
      <c r="S53" s="61" t="s">
        <v>99</v>
      </c>
      <c r="T53" s="60"/>
      <c r="U53" s="61">
        <v>1999</v>
      </c>
      <c r="V53" s="58" t="s">
        <v>100</v>
      </c>
      <c r="W53" s="62">
        <v>3.6560000000000001</v>
      </c>
      <c r="X53" s="62">
        <v>9.4060000000000006</v>
      </c>
      <c r="Y53" s="62">
        <f t="shared" si="8"/>
        <v>9.4060000000000006</v>
      </c>
      <c r="Z53" s="61">
        <v>2001</v>
      </c>
      <c r="AA53" s="63">
        <v>36100</v>
      </c>
      <c r="AB53" s="63"/>
      <c r="AC53" s="64">
        <v>36526</v>
      </c>
      <c r="AD53" s="65">
        <f t="shared" si="9"/>
        <v>1999</v>
      </c>
      <c r="AE53" s="58" t="s">
        <v>271</v>
      </c>
      <c r="AF53" s="66">
        <f>LOOKUP(AD53,'2018 Escalator'!$A$9:$A$41,'2018 Escalator'!$G$9:$G$41)</f>
        <v>1.7244146203916222</v>
      </c>
      <c r="AG53" s="60">
        <f t="shared" si="1"/>
        <v>9799132.690106418</v>
      </c>
      <c r="AH53" s="60">
        <f t="shared" si="2"/>
        <v>9799132.690106418</v>
      </c>
      <c r="AI53" s="62">
        <v>25</v>
      </c>
      <c r="AJ53" s="62">
        <f t="shared" si="3"/>
        <v>25</v>
      </c>
      <c r="AK53" s="62">
        <f t="shared" si="4"/>
        <v>22.5</v>
      </c>
    </row>
    <row r="54" spans="1:37" x14ac:dyDescent="0.2">
      <c r="A54" s="57">
        <v>8</v>
      </c>
      <c r="B54" s="58" t="s">
        <v>131</v>
      </c>
      <c r="C54" s="58" t="s">
        <v>108</v>
      </c>
      <c r="D54" s="58" t="s">
        <v>272</v>
      </c>
      <c r="E54" s="58" t="s">
        <v>273</v>
      </c>
      <c r="F54" s="58" t="s">
        <v>274</v>
      </c>
      <c r="G54" s="58" t="s">
        <v>107</v>
      </c>
      <c r="H54" s="58">
        <v>1</v>
      </c>
      <c r="I54" s="58">
        <v>260</v>
      </c>
      <c r="J54" s="58">
        <v>50</v>
      </c>
      <c r="K54" s="58" t="s">
        <v>98</v>
      </c>
      <c r="L54" s="59">
        <v>0</v>
      </c>
      <c r="M54" s="60">
        <v>6336156</v>
      </c>
      <c r="N54" s="60">
        <v>0</v>
      </c>
      <c r="O54" s="60">
        <v>844106</v>
      </c>
      <c r="P54" s="60">
        <v>7180262</v>
      </c>
      <c r="Q54" s="60">
        <v>0</v>
      </c>
      <c r="R54" s="60">
        <v>7180262</v>
      </c>
      <c r="S54" s="61" t="s">
        <v>99</v>
      </c>
      <c r="T54" s="60"/>
      <c r="U54" s="61">
        <v>2002</v>
      </c>
      <c r="V54" s="58" t="s">
        <v>100</v>
      </c>
      <c r="W54" s="62">
        <v>18</v>
      </c>
      <c r="X54" s="62">
        <v>18</v>
      </c>
      <c r="Y54" s="62">
        <f t="shared" si="8"/>
        <v>18</v>
      </c>
      <c r="Z54" s="61">
        <v>2000</v>
      </c>
      <c r="AA54" s="63">
        <v>35977</v>
      </c>
      <c r="AB54" s="63"/>
      <c r="AC54" s="64">
        <v>36923</v>
      </c>
      <c r="AD54" s="65">
        <f t="shared" si="9"/>
        <v>2000</v>
      </c>
      <c r="AE54" s="58" t="s">
        <v>275</v>
      </c>
      <c r="AF54" s="66">
        <f>LOOKUP(AD54,'2018 Escalator'!$A$9:$A$41,'2018 Escalator'!$G$9:$G$41)</f>
        <v>1.669035267124114</v>
      </c>
      <c r="AG54" s="60">
        <f t="shared" si="1"/>
        <v>11984110.505191125</v>
      </c>
      <c r="AH54" s="60">
        <f t="shared" si="2"/>
        <v>11984110.505191125</v>
      </c>
      <c r="AI54" s="62">
        <v>46.7</v>
      </c>
      <c r="AJ54" s="62">
        <f t="shared" si="3"/>
        <v>46.7</v>
      </c>
      <c r="AK54" s="62">
        <f t="shared" si="4"/>
        <v>42.03</v>
      </c>
    </row>
    <row r="55" spans="1:37" x14ac:dyDescent="0.2">
      <c r="A55" s="57">
        <v>487</v>
      </c>
      <c r="B55" s="58" t="s">
        <v>131</v>
      </c>
      <c r="C55" s="58" t="s">
        <v>108</v>
      </c>
      <c r="D55" s="58" t="s">
        <v>276</v>
      </c>
      <c r="E55" s="58" t="s">
        <v>277</v>
      </c>
      <c r="F55" s="58" t="s">
        <v>278</v>
      </c>
      <c r="G55" s="58" t="s">
        <v>143</v>
      </c>
      <c r="H55" s="58">
        <v>1</v>
      </c>
      <c r="I55" s="58">
        <v>144</v>
      </c>
      <c r="J55" s="58">
        <v>20</v>
      </c>
      <c r="K55" s="58" t="s">
        <v>98</v>
      </c>
      <c r="L55" s="59">
        <v>28.5</v>
      </c>
      <c r="M55" s="60">
        <f>4126150</f>
        <v>4126150</v>
      </c>
      <c r="N55" s="60">
        <v>5664956</v>
      </c>
      <c r="O55" s="60">
        <v>4278719</v>
      </c>
      <c r="P55" s="60">
        <f>SUM(M55:O55)</f>
        <v>14069825</v>
      </c>
      <c r="Q55" s="60">
        <f>P55-R55+21052</f>
        <v>6237877</v>
      </c>
      <c r="R55" s="60">
        <v>7853000</v>
      </c>
      <c r="S55" s="61" t="s">
        <v>129</v>
      </c>
      <c r="T55" s="60">
        <v>175434</v>
      </c>
      <c r="U55" s="61">
        <v>2011</v>
      </c>
      <c r="V55" s="58" t="s">
        <v>100</v>
      </c>
      <c r="W55" s="62">
        <v>22</v>
      </c>
      <c r="X55" s="62">
        <v>22</v>
      </c>
      <c r="Y55" s="62">
        <f t="shared" si="8"/>
        <v>22</v>
      </c>
      <c r="Z55" s="61">
        <v>2007</v>
      </c>
      <c r="AA55" s="63">
        <v>38504</v>
      </c>
      <c r="AB55" s="63">
        <v>38838</v>
      </c>
      <c r="AC55" s="64">
        <v>40513</v>
      </c>
      <c r="AD55" s="65">
        <f t="shared" si="9"/>
        <v>2009</v>
      </c>
      <c r="AF55" s="66">
        <f>LOOKUP(AD55,'2018 Escalator'!$A$9:$A$41,'2018 Escalator'!$G$9:$G$41)</f>
        <v>1.1803081251084759</v>
      </c>
      <c r="AG55" s="60">
        <f t="shared" si="1"/>
        <v>16606728.766354362</v>
      </c>
      <c r="AH55" s="60">
        <f t="shared" si="2"/>
        <v>16813794.941974644</v>
      </c>
      <c r="AI55" s="62">
        <v>41.6</v>
      </c>
      <c r="AJ55" s="62">
        <f t="shared" si="3"/>
        <v>41.6</v>
      </c>
      <c r="AK55" s="62">
        <f t="shared" si="4"/>
        <v>37.440000000000005</v>
      </c>
    </row>
    <row r="56" spans="1:37" x14ac:dyDescent="0.2">
      <c r="A56" s="57">
        <v>385</v>
      </c>
      <c r="B56" s="58" t="s">
        <v>131</v>
      </c>
      <c r="C56" s="58" t="s">
        <v>93</v>
      </c>
      <c r="D56" s="58" t="s">
        <v>279</v>
      </c>
      <c r="E56" s="69" t="s">
        <v>280</v>
      </c>
      <c r="F56" s="58" t="s">
        <v>281</v>
      </c>
      <c r="G56" s="58" t="s">
        <v>136</v>
      </c>
      <c r="H56" s="58">
        <v>1</v>
      </c>
      <c r="I56" s="58">
        <v>144</v>
      </c>
      <c r="J56" s="58">
        <v>16.600000000000001</v>
      </c>
      <c r="K56" s="58" t="s">
        <v>98</v>
      </c>
      <c r="L56" s="59">
        <v>20</v>
      </c>
      <c r="M56" s="60">
        <v>2731284</v>
      </c>
      <c r="N56" s="60">
        <v>2137003</v>
      </c>
      <c r="O56" s="60">
        <v>919673</v>
      </c>
      <c r="P56" s="60">
        <v>5787960</v>
      </c>
      <c r="Q56" s="60">
        <v>0</v>
      </c>
      <c r="R56" s="60">
        <v>5787960</v>
      </c>
      <c r="S56" s="61" t="s">
        <v>99</v>
      </c>
      <c r="T56" s="60"/>
      <c r="U56" s="61">
        <v>2006</v>
      </c>
      <c r="V56" s="58" t="s">
        <v>100</v>
      </c>
      <c r="W56" s="62">
        <v>7.5</v>
      </c>
      <c r="X56" s="62">
        <v>7.5</v>
      </c>
      <c r="Y56" s="62">
        <f t="shared" si="8"/>
        <v>7.5</v>
      </c>
      <c r="Z56" s="61">
        <v>2003</v>
      </c>
      <c r="AA56" s="63">
        <v>37681</v>
      </c>
      <c r="AB56" s="63">
        <v>38078</v>
      </c>
      <c r="AC56" s="64">
        <v>38503</v>
      </c>
      <c r="AD56" s="65">
        <f t="shared" si="9"/>
        <v>2004</v>
      </c>
      <c r="AE56" s="58" t="s">
        <v>271</v>
      </c>
      <c r="AF56" s="66">
        <f>LOOKUP(AD56,'2018 Escalator'!$A$9:$A$41,'2018 Escalator'!$G$9:$G$41)</f>
        <v>1.483782020350688</v>
      </c>
      <c r="AG56" s="60">
        <f t="shared" si="1"/>
        <v>8588070.9825089686</v>
      </c>
      <c r="AH56" s="60">
        <f t="shared" si="2"/>
        <v>8588070.9825089686</v>
      </c>
      <c r="AI56" s="62">
        <v>16.600000000000001</v>
      </c>
      <c r="AJ56" s="62">
        <f t="shared" si="3"/>
        <v>16.600000000000001</v>
      </c>
      <c r="AK56" s="62">
        <f t="shared" si="4"/>
        <v>14.940000000000001</v>
      </c>
    </row>
    <row r="57" spans="1:37" x14ac:dyDescent="0.2">
      <c r="A57" s="57">
        <v>865</v>
      </c>
      <c r="B57" s="58" t="s">
        <v>131</v>
      </c>
      <c r="C57" s="58" t="s">
        <v>132</v>
      </c>
      <c r="D57" s="58" t="s">
        <v>282</v>
      </c>
      <c r="E57" s="58" t="s">
        <v>283</v>
      </c>
      <c r="F57" s="58" t="s">
        <v>284</v>
      </c>
      <c r="G57" s="58" t="s">
        <v>212</v>
      </c>
      <c r="H57" s="58">
        <v>1</v>
      </c>
      <c r="I57" s="58">
        <v>155</v>
      </c>
      <c r="J57" s="58">
        <v>33.299999999999997</v>
      </c>
      <c r="K57" s="58" t="s">
        <v>98</v>
      </c>
      <c r="L57" s="59">
        <v>5</v>
      </c>
      <c r="M57" s="60">
        <v>3968725</v>
      </c>
      <c r="N57" s="60">
        <v>1425473</v>
      </c>
      <c r="O57" s="60">
        <v>2897541</v>
      </c>
      <c r="P57" s="60">
        <v>8291739</v>
      </c>
      <c r="Q57" s="60">
        <v>566825</v>
      </c>
      <c r="R57" s="60">
        <v>7724914</v>
      </c>
      <c r="S57" s="61" t="s">
        <v>99</v>
      </c>
      <c r="T57" s="60"/>
      <c r="U57" s="61">
        <v>2010</v>
      </c>
      <c r="V57" s="58" t="s">
        <v>213</v>
      </c>
      <c r="W57" s="62">
        <v>15</v>
      </c>
      <c r="X57" s="62">
        <v>25</v>
      </c>
      <c r="Y57" s="62">
        <f t="shared" si="8"/>
        <v>25</v>
      </c>
      <c r="Z57" s="61">
        <v>2007</v>
      </c>
      <c r="AA57" s="63">
        <v>39722</v>
      </c>
      <c r="AB57" s="63">
        <v>39995</v>
      </c>
      <c r="AC57" s="64">
        <v>43100</v>
      </c>
      <c r="AD57" s="65">
        <f t="shared" si="9"/>
        <v>2016</v>
      </c>
      <c r="AE57" s="58" t="s">
        <v>214</v>
      </c>
      <c r="AF57" s="66">
        <f>LOOKUP(AD57,'2018 Escalator'!$A$9:$A$41,'2018 Escalator'!$G$9:$G$41)</f>
        <v>1.038286218119775</v>
      </c>
      <c r="AG57" s="60">
        <f t="shared" si="1"/>
        <v>8609198.3279462438</v>
      </c>
      <c r="AH57" s="60">
        <f t="shared" si="2"/>
        <v>8609198.3279462438</v>
      </c>
      <c r="AI57" s="62">
        <v>33.299999999999997</v>
      </c>
      <c r="AJ57" s="62">
        <f t="shared" si="3"/>
        <v>33.299999999999997</v>
      </c>
      <c r="AK57" s="62">
        <f t="shared" si="4"/>
        <v>29.97</v>
      </c>
    </row>
    <row r="58" spans="1:37" x14ac:dyDescent="0.2">
      <c r="A58" s="57">
        <v>863</v>
      </c>
      <c r="B58" s="58" t="s">
        <v>131</v>
      </c>
      <c r="C58" s="58" t="s">
        <v>132</v>
      </c>
      <c r="D58" s="58" t="s">
        <v>285</v>
      </c>
      <c r="E58" s="69" t="s">
        <v>286</v>
      </c>
      <c r="F58" s="58" t="s">
        <v>287</v>
      </c>
      <c r="G58" s="58" t="s">
        <v>212</v>
      </c>
      <c r="H58" s="58">
        <v>1</v>
      </c>
      <c r="I58" s="58">
        <v>155</v>
      </c>
      <c r="J58" s="58">
        <v>33.299999999999997</v>
      </c>
      <c r="K58" s="58" t="s">
        <v>98</v>
      </c>
      <c r="L58" s="59">
        <v>12</v>
      </c>
      <c r="M58" s="60">
        <f>3295175+422240</f>
        <v>3717415</v>
      </c>
      <c r="N58" s="60">
        <v>1864185</v>
      </c>
      <c r="O58" s="60">
        <f>418436+760604+1178824</f>
        <v>2357864</v>
      </c>
      <c r="P58" s="60">
        <f>SUM(M58:O58)</f>
        <v>7939464</v>
      </c>
      <c r="Q58" s="60">
        <v>0</v>
      </c>
      <c r="R58" s="60">
        <v>7939464</v>
      </c>
      <c r="S58" s="61" t="s">
        <v>99</v>
      </c>
      <c r="T58" s="60"/>
      <c r="U58" s="61">
        <v>2010</v>
      </c>
      <c r="V58" s="58" t="s">
        <v>213</v>
      </c>
      <c r="W58" s="62">
        <v>2.72</v>
      </c>
      <c r="X58" s="62">
        <v>25</v>
      </c>
      <c r="Y58" s="62">
        <f t="shared" si="8"/>
        <v>25</v>
      </c>
      <c r="Z58" s="61">
        <v>2007</v>
      </c>
      <c r="AA58" s="63">
        <v>39722</v>
      </c>
      <c r="AB58" s="63">
        <v>40575</v>
      </c>
      <c r="AC58" s="64">
        <v>43082</v>
      </c>
      <c r="AD58" s="65">
        <f t="shared" si="9"/>
        <v>2016</v>
      </c>
      <c r="AE58" s="58" t="s">
        <v>214</v>
      </c>
      <c r="AF58" s="66">
        <f>LOOKUP(AD58,'2018 Escalator'!$A$9:$A$41,'2018 Escalator'!$G$9:$G$41)</f>
        <v>1.038286218119775</v>
      </c>
      <c r="AG58" s="60">
        <f t="shared" si="1"/>
        <v>8243436.0504581006</v>
      </c>
      <c r="AH58" s="60">
        <f t="shared" si="2"/>
        <v>8243436.0504581006</v>
      </c>
      <c r="AI58" s="62">
        <v>33.299999999999997</v>
      </c>
      <c r="AJ58" s="62">
        <f t="shared" si="3"/>
        <v>33.299999999999997</v>
      </c>
      <c r="AK58" s="62">
        <f t="shared" si="4"/>
        <v>29.97</v>
      </c>
    </row>
    <row r="59" spans="1:37" x14ac:dyDescent="0.2">
      <c r="A59" s="57">
        <v>527</v>
      </c>
      <c r="B59" s="58" t="s">
        <v>131</v>
      </c>
      <c r="C59" s="58" t="s">
        <v>132</v>
      </c>
      <c r="D59" s="58" t="s">
        <v>288</v>
      </c>
      <c r="E59" s="58" t="s">
        <v>289</v>
      </c>
      <c r="F59" s="58" t="s">
        <v>290</v>
      </c>
      <c r="G59" s="58" t="s">
        <v>136</v>
      </c>
      <c r="H59" s="58">
        <v>1</v>
      </c>
      <c r="I59" s="58">
        <v>138</v>
      </c>
      <c r="J59" s="58">
        <v>25</v>
      </c>
      <c r="K59" s="58" t="s">
        <v>98</v>
      </c>
      <c r="L59" s="59">
        <v>9</v>
      </c>
      <c r="M59" s="60">
        <v>2700000</v>
      </c>
      <c r="N59" s="60">
        <v>930000</v>
      </c>
      <c r="O59" s="60">
        <v>2149000</v>
      </c>
      <c r="P59" s="60">
        <f>SUM(M59:O59)</f>
        <v>5779000</v>
      </c>
      <c r="Q59" s="60">
        <v>1140950</v>
      </c>
      <c r="R59" s="60">
        <v>4981600</v>
      </c>
      <c r="S59" s="61" t="s">
        <v>99</v>
      </c>
      <c r="T59" s="60"/>
      <c r="U59" s="61">
        <v>2010</v>
      </c>
      <c r="V59" s="58" t="s">
        <v>100</v>
      </c>
      <c r="W59" s="62">
        <v>17</v>
      </c>
      <c r="X59" s="62">
        <v>13</v>
      </c>
      <c r="Y59" s="62">
        <f t="shared" si="8"/>
        <v>17</v>
      </c>
      <c r="Z59" s="61">
        <v>2007</v>
      </c>
      <c r="AA59" s="63">
        <v>38687</v>
      </c>
      <c r="AB59" s="63">
        <v>39387</v>
      </c>
      <c r="AC59" s="64">
        <v>40087</v>
      </c>
      <c r="AD59" s="65">
        <f t="shared" si="9"/>
        <v>2008</v>
      </c>
      <c r="AF59" s="66">
        <f>LOOKUP(AD59,'2018 Escalator'!$A$9:$A$41,'2018 Escalator'!$G$9:$G$41)</f>
        <v>1.199491188497166</v>
      </c>
      <c r="AG59" s="60">
        <f t="shared" si="1"/>
        <v>6931859.5783251217</v>
      </c>
      <c r="AH59" s="60">
        <f t="shared" si="2"/>
        <v>6931859.5783251217</v>
      </c>
      <c r="AI59" s="62">
        <v>25</v>
      </c>
      <c r="AJ59" s="62">
        <f t="shared" si="3"/>
        <v>25</v>
      </c>
      <c r="AK59" s="62">
        <f t="shared" si="4"/>
        <v>22.5</v>
      </c>
    </row>
    <row r="60" spans="1:37" x14ac:dyDescent="0.2">
      <c r="A60" s="57">
        <v>595</v>
      </c>
      <c r="B60" s="58" t="s">
        <v>202</v>
      </c>
      <c r="C60" s="58" t="s">
        <v>132</v>
      </c>
      <c r="D60" s="58" t="s">
        <v>291</v>
      </c>
      <c r="E60" s="58" t="s">
        <v>292</v>
      </c>
      <c r="F60" s="58" t="s">
        <v>293</v>
      </c>
      <c r="G60" s="58" t="s">
        <v>143</v>
      </c>
      <c r="H60" s="58">
        <v>2</v>
      </c>
      <c r="I60" s="58">
        <v>144</v>
      </c>
      <c r="J60" s="58">
        <v>42</v>
      </c>
      <c r="K60" s="58" t="s">
        <v>98</v>
      </c>
      <c r="L60" s="59">
        <v>30</v>
      </c>
      <c r="M60" s="60">
        <v>7126073</v>
      </c>
      <c r="N60" s="60">
        <v>8147466.9900000002</v>
      </c>
      <c r="O60" s="60">
        <v>639350</v>
      </c>
      <c r="P60" s="60">
        <f>SUM(M60:O60)</f>
        <v>15912889.99</v>
      </c>
      <c r="Q60" s="60">
        <f>P60-R60</f>
        <v>10092739.99</v>
      </c>
      <c r="R60" s="60">
        <v>5820150</v>
      </c>
      <c r="S60" s="61" t="s">
        <v>99</v>
      </c>
      <c r="T60" s="60"/>
      <c r="U60" s="61">
        <v>2012</v>
      </c>
      <c r="V60" s="58" t="s">
        <v>100</v>
      </c>
      <c r="W60" s="62">
        <v>1</v>
      </c>
      <c r="X60" s="62">
        <v>11</v>
      </c>
      <c r="Y60" s="62">
        <f t="shared" si="8"/>
        <v>11</v>
      </c>
      <c r="Z60" s="61">
        <v>2007</v>
      </c>
      <c r="AA60" s="63">
        <v>38869</v>
      </c>
      <c r="AB60" s="63">
        <v>39417</v>
      </c>
      <c r="AC60" s="64">
        <v>40099</v>
      </c>
      <c r="AD60" s="65">
        <f t="shared" si="9"/>
        <v>2008</v>
      </c>
      <c r="AF60" s="66">
        <f>LOOKUP(AD60,'2018 Escalator'!$A$9:$A$41,'2018 Escalator'!$G$9:$G$41)</f>
        <v>1.199491188497166</v>
      </c>
      <c r="AG60" s="60">
        <f t="shared" si="1"/>
        <v>19087371.326529756</v>
      </c>
      <c r="AH60" s="60">
        <f t="shared" si="2"/>
        <v>19087371.326529756</v>
      </c>
      <c r="AI60" s="62">
        <v>42</v>
      </c>
      <c r="AJ60" s="62">
        <f t="shared" si="3"/>
        <v>42</v>
      </c>
      <c r="AK60" s="62">
        <f t="shared" si="4"/>
        <v>37.800000000000004</v>
      </c>
    </row>
    <row r="61" spans="1:37" x14ac:dyDescent="0.2">
      <c r="A61" s="57">
        <v>528</v>
      </c>
      <c r="B61" s="58" t="s">
        <v>131</v>
      </c>
      <c r="C61" s="58" t="s">
        <v>132</v>
      </c>
      <c r="D61" s="58" t="s">
        <v>294</v>
      </c>
      <c r="E61" s="58" t="s">
        <v>295</v>
      </c>
      <c r="F61" s="58" t="s">
        <v>296</v>
      </c>
      <c r="G61" s="58" t="s">
        <v>136</v>
      </c>
      <c r="H61" s="58">
        <v>1</v>
      </c>
      <c r="I61" s="58">
        <v>144</v>
      </c>
      <c r="J61" s="58">
        <v>25</v>
      </c>
      <c r="K61" s="58" t="s">
        <v>98</v>
      </c>
      <c r="L61" s="59">
        <v>3.2</v>
      </c>
      <c r="M61" s="60">
        <v>2680000</v>
      </c>
      <c r="N61" s="60">
        <v>885000</v>
      </c>
      <c r="O61" s="60">
        <v>825000</v>
      </c>
      <c r="P61" s="60">
        <v>4390000</v>
      </c>
      <c r="Q61" s="60">
        <v>0</v>
      </c>
      <c r="R61" s="60">
        <v>4390000</v>
      </c>
      <c r="S61" s="61" t="s">
        <v>99</v>
      </c>
      <c r="T61" s="60"/>
      <c r="U61" s="61">
        <v>2010</v>
      </c>
      <c r="V61" s="58" t="s">
        <v>100</v>
      </c>
      <c r="W61" s="62">
        <v>10.6</v>
      </c>
      <c r="X61" s="62">
        <v>17</v>
      </c>
      <c r="Y61" s="62">
        <f t="shared" si="8"/>
        <v>17</v>
      </c>
      <c r="Z61" s="61">
        <v>2007</v>
      </c>
      <c r="AA61" s="63">
        <v>38687</v>
      </c>
      <c r="AB61" s="63">
        <v>39387</v>
      </c>
      <c r="AC61" s="64">
        <v>40162</v>
      </c>
      <c r="AD61" s="65">
        <f t="shared" si="9"/>
        <v>2008</v>
      </c>
      <c r="AF61" s="66">
        <f>LOOKUP(AD61,'2018 Escalator'!$A$9:$A$41,'2018 Escalator'!$G$9:$G$41)</f>
        <v>1.199491188497166</v>
      </c>
      <c r="AG61" s="60">
        <f t="shared" si="1"/>
        <v>5265766.3175025582</v>
      </c>
      <c r="AH61" s="60">
        <f t="shared" si="2"/>
        <v>5265766.3175025582</v>
      </c>
      <c r="AI61" s="62">
        <v>25</v>
      </c>
      <c r="AJ61" s="62">
        <f t="shared" si="3"/>
        <v>25</v>
      </c>
      <c r="AK61" s="62">
        <f t="shared" si="4"/>
        <v>22.5</v>
      </c>
    </row>
    <row r="62" spans="1:37" x14ac:dyDescent="0.2">
      <c r="A62" s="57">
        <v>529</v>
      </c>
      <c r="B62" s="58" t="s">
        <v>202</v>
      </c>
      <c r="C62" s="58" t="s">
        <v>132</v>
      </c>
      <c r="D62" s="58" t="s">
        <v>297</v>
      </c>
      <c r="E62" s="58" t="s">
        <v>298</v>
      </c>
      <c r="F62" s="58" t="s">
        <v>299</v>
      </c>
      <c r="G62" s="58" t="s">
        <v>136</v>
      </c>
      <c r="H62" s="58">
        <v>1</v>
      </c>
      <c r="I62" s="58">
        <v>144</v>
      </c>
      <c r="J62" s="58">
        <v>25</v>
      </c>
      <c r="K62" s="58" t="s">
        <v>98</v>
      </c>
      <c r="L62" s="59">
        <v>15</v>
      </c>
      <c r="M62" s="60">
        <v>2801023</v>
      </c>
      <c r="N62" s="60">
        <v>2320000</v>
      </c>
      <c r="O62" s="60">
        <v>1375206</v>
      </c>
      <c r="P62" s="60">
        <v>6496229</v>
      </c>
      <c r="Q62" s="60">
        <v>65729</v>
      </c>
      <c r="R62" s="60">
        <v>6430500</v>
      </c>
      <c r="S62" s="61" t="s">
        <v>99</v>
      </c>
      <c r="T62" s="60"/>
      <c r="U62" s="61">
        <v>2010</v>
      </c>
      <c r="V62" s="58" t="s">
        <v>100</v>
      </c>
      <c r="W62" s="62">
        <v>11.3</v>
      </c>
      <c r="X62" s="62">
        <v>17</v>
      </c>
      <c r="Y62" s="62">
        <f t="shared" si="8"/>
        <v>17</v>
      </c>
      <c r="Z62" s="61">
        <v>2007</v>
      </c>
      <c r="AA62" s="63">
        <v>38687</v>
      </c>
      <c r="AB62" s="63">
        <v>39387</v>
      </c>
      <c r="AC62" s="64">
        <v>40087</v>
      </c>
      <c r="AD62" s="65">
        <f t="shared" si="9"/>
        <v>2008</v>
      </c>
      <c r="AF62" s="66">
        <f>LOOKUP(AD62,'2018 Escalator'!$A$9:$A$41,'2018 Escalator'!$G$9:$G$41)</f>
        <v>1.199491188497166</v>
      </c>
      <c r="AG62" s="60">
        <f t="shared" si="1"/>
        <v>7792169.4439597558</v>
      </c>
      <c r="AH62" s="60">
        <f t="shared" si="2"/>
        <v>7792169.4439597558</v>
      </c>
      <c r="AI62" s="62">
        <v>25</v>
      </c>
      <c r="AJ62" s="62">
        <f t="shared" si="3"/>
        <v>25</v>
      </c>
      <c r="AK62" s="62">
        <f t="shared" si="4"/>
        <v>22.5</v>
      </c>
    </row>
    <row r="63" spans="1:37" x14ac:dyDescent="0.2">
      <c r="A63" s="57">
        <v>1095</v>
      </c>
      <c r="B63" s="58" t="s">
        <v>131</v>
      </c>
      <c r="C63" s="58" t="s">
        <v>132</v>
      </c>
      <c r="D63" s="58" t="s">
        <v>300</v>
      </c>
      <c r="E63" s="58" t="s">
        <v>301</v>
      </c>
      <c r="F63" s="58" t="s">
        <v>302</v>
      </c>
      <c r="G63" s="58" t="s">
        <v>136</v>
      </c>
      <c r="H63" s="58">
        <v>1</v>
      </c>
      <c r="I63" s="58">
        <v>144</v>
      </c>
      <c r="J63" s="58">
        <v>16</v>
      </c>
      <c r="K63" s="58" t="s">
        <v>98</v>
      </c>
      <c r="L63" s="59">
        <v>16.2</v>
      </c>
      <c r="M63" s="60">
        <f>5971051+801409+97734+251671</f>
        <v>7121865</v>
      </c>
      <c r="N63" s="60">
        <f>682025</f>
        <v>682025</v>
      </c>
      <c r="O63" s="60">
        <f>603090+1573553+0+805575+36947+76063+14582</f>
        <v>3109810</v>
      </c>
      <c r="P63" s="60">
        <f>SUM(M63:O63)</f>
        <v>10913700</v>
      </c>
      <c r="Q63" s="60">
        <f>P63-R63</f>
        <v>2371877</v>
      </c>
      <c r="R63" s="60">
        <v>8541823</v>
      </c>
      <c r="S63" s="61" t="s">
        <v>99</v>
      </c>
      <c r="T63" s="60"/>
      <c r="U63" s="61">
        <v>2013</v>
      </c>
      <c r="V63" s="69" t="s">
        <v>100</v>
      </c>
      <c r="W63" s="62">
        <v>13</v>
      </c>
      <c r="X63" s="62">
        <v>18</v>
      </c>
      <c r="Y63" s="62">
        <f t="shared" si="8"/>
        <v>18</v>
      </c>
      <c r="Z63" s="61">
        <v>2011</v>
      </c>
      <c r="AA63" s="63">
        <v>40360</v>
      </c>
      <c r="AB63" s="63">
        <v>41244</v>
      </c>
      <c r="AC63" s="64">
        <v>41281</v>
      </c>
      <c r="AD63" s="65">
        <f t="shared" si="9"/>
        <v>2012</v>
      </c>
      <c r="AF63" s="66">
        <f>LOOKUP(AD63,'2018 Escalator'!$A$9:$A$41,'2018 Escalator'!$G$9:$G$41)</f>
        <v>1.0925127659799037</v>
      </c>
      <c r="AG63" s="60">
        <f t="shared" si="1"/>
        <v>11923356.574074874</v>
      </c>
      <c r="AH63" s="60">
        <f t="shared" si="2"/>
        <v>11923356.574074874</v>
      </c>
      <c r="AI63" s="62">
        <v>25</v>
      </c>
      <c r="AJ63" s="62">
        <f t="shared" si="3"/>
        <v>25</v>
      </c>
      <c r="AK63" s="62">
        <f t="shared" si="4"/>
        <v>22.5</v>
      </c>
    </row>
    <row r="64" spans="1:37" x14ac:dyDescent="0.2">
      <c r="A64" s="57">
        <v>561</v>
      </c>
      <c r="B64" s="58" t="s">
        <v>131</v>
      </c>
      <c r="C64" s="58" t="s">
        <v>132</v>
      </c>
      <c r="D64" s="58" t="s">
        <v>303</v>
      </c>
      <c r="E64" s="58" t="s">
        <v>304</v>
      </c>
      <c r="F64" s="58" t="s">
        <v>305</v>
      </c>
      <c r="G64" s="58" t="s">
        <v>107</v>
      </c>
      <c r="H64" s="58">
        <v>2</v>
      </c>
      <c r="I64" s="58">
        <v>240</v>
      </c>
      <c r="J64" s="58">
        <v>75</v>
      </c>
      <c r="K64" s="58" t="s">
        <v>98</v>
      </c>
      <c r="L64" s="59">
        <v>10</v>
      </c>
      <c r="M64" s="60">
        <f>16083098+366553+288723</f>
        <v>16738374</v>
      </c>
      <c r="N64" s="60">
        <v>27035475</v>
      </c>
      <c r="O64" s="60">
        <f>634149+3214064+0+3388439+43707+32415+0+29928</f>
        <v>7342702</v>
      </c>
      <c r="P64" s="60">
        <f>SUM(M64:O64)</f>
        <v>51116551</v>
      </c>
      <c r="Q64" s="60">
        <f>P64-R64</f>
        <v>39458892</v>
      </c>
      <c r="R64" s="60">
        <v>11657659</v>
      </c>
      <c r="S64" s="61" t="s">
        <v>99</v>
      </c>
      <c r="T64" s="60"/>
      <c r="U64" s="61">
        <v>2013</v>
      </c>
      <c r="V64" s="69" t="s">
        <v>306</v>
      </c>
      <c r="W64" s="62">
        <v>10</v>
      </c>
      <c r="X64" s="62">
        <v>46</v>
      </c>
      <c r="Y64" s="62">
        <f t="shared" si="8"/>
        <v>46</v>
      </c>
      <c r="Z64" s="61">
        <v>2011</v>
      </c>
      <c r="AA64" s="63">
        <v>39873</v>
      </c>
      <c r="AB64" s="63">
        <v>40575</v>
      </c>
      <c r="AC64" s="64">
        <v>40969</v>
      </c>
      <c r="AD64" s="65">
        <f t="shared" si="9"/>
        <v>2011</v>
      </c>
      <c r="AF64" s="66">
        <f>LOOKUP(AD64,'2018 Escalator'!$A$9:$A$41,'2018 Escalator'!$G$9:$G$41)</f>
        <v>1.1366200577120069</v>
      </c>
      <c r="AG64" s="60">
        <f t="shared" si="1"/>
        <v>58100097.147658743</v>
      </c>
      <c r="AH64" s="60">
        <f t="shared" si="2"/>
        <v>58100097.147658743</v>
      </c>
      <c r="AI64" s="62">
        <v>150</v>
      </c>
      <c r="AJ64" s="62">
        <f t="shared" si="3"/>
        <v>150</v>
      </c>
      <c r="AK64" s="62">
        <f t="shared" si="4"/>
        <v>135</v>
      </c>
    </row>
    <row r="65" spans="1:37" x14ac:dyDescent="0.2">
      <c r="A65" s="70">
        <v>1018</v>
      </c>
      <c r="B65" s="58" t="s">
        <v>131</v>
      </c>
      <c r="C65" s="58" t="s">
        <v>108</v>
      </c>
      <c r="D65" s="58" t="s">
        <v>307</v>
      </c>
      <c r="E65" s="58" t="s">
        <v>308</v>
      </c>
      <c r="F65" s="58" t="s">
        <v>309</v>
      </c>
      <c r="G65" s="58" t="s">
        <v>143</v>
      </c>
      <c r="H65" s="58">
        <v>1</v>
      </c>
      <c r="I65" s="58">
        <v>144</v>
      </c>
      <c r="J65" s="58">
        <v>25</v>
      </c>
      <c r="K65" s="58" t="s">
        <v>98</v>
      </c>
      <c r="L65" s="59">
        <v>0</v>
      </c>
      <c r="M65" s="60">
        <f>6914711+341893</f>
        <v>7256604</v>
      </c>
      <c r="N65" s="60">
        <f>354699</f>
        <v>354699</v>
      </c>
      <c r="O65" s="60">
        <f>395655+1089009+0+907986</f>
        <v>2392650</v>
      </c>
      <c r="P65" s="60">
        <f>SUM(M65:O65)</f>
        <v>10003953</v>
      </c>
      <c r="Q65" s="60">
        <f>P65-R65</f>
        <v>6962953</v>
      </c>
      <c r="R65" s="60">
        <v>3041000</v>
      </c>
      <c r="S65" s="61" t="s">
        <v>99</v>
      </c>
      <c r="T65" s="60"/>
      <c r="U65" s="61">
        <v>2014</v>
      </c>
      <c r="V65" s="69" t="s">
        <v>306</v>
      </c>
      <c r="W65" s="62">
        <v>3</v>
      </c>
      <c r="X65" s="62">
        <v>3</v>
      </c>
      <c r="Y65" s="62">
        <f t="shared" si="8"/>
        <v>3</v>
      </c>
      <c r="Z65" s="61">
        <v>2011</v>
      </c>
      <c r="AA65" s="63">
        <v>40070</v>
      </c>
      <c r="AB65" s="63">
        <v>41304</v>
      </c>
      <c r="AC65" s="64">
        <v>41730</v>
      </c>
      <c r="AD65" s="65">
        <f t="shared" si="9"/>
        <v>2013</v>
      </c>
      <c r="AE65" s="68"/>
      <c r="AF65" s="66">
        <f>LOOKUP(AD65,'2018 Escalator'!$A$9:$A$41,'2018 Escalator'!$G$9:$G$41)</f>
        <v>1.0630440922306721</v>
      </c>
      <c r="AG65" s="60">
        <f t="shared" si="1"/>
        <v>10634643.135603309</v>
      </c>
      <c r="AH65" s="60">
        <f t="shared" si="2"/>
        <v>10634643.135603309</v>
      </c>
      <c r="AI65" s="62">
        <v>25</v>
      </c>
      <c r="AJ65" s="62">
        <f t="shared" si="3"/>
        <v>25</v>
      </c>
      <c r="AK65" s="62">
        <f t="shared" si="4"/>
        <v>22.5</v>
      </c>
    </row>
    <row r="66" spans="1:37" x14ac:dyDescent="0.2">
      <c r="A66" s="70">
        <v>360</v>
      </c>
      <c r="B66" s="58" t="s">
        <v>92</v>
      </c>
      <c r="C66" s="58" t="s">
        <v>108</v>
      </c>
      <c r="D66" s="58" t="s">
        <v>310</v>
      </c>
      <c r="E66" s="58" t="s">
        <v>311</v>
      </c>
      <c r="F66" s="58" t="s">
        <v>312</v>
      </c>
      <c r="G66" s="58" t="s">
        <v>116</v>
      </c>
      <c r="H66" s="58">
        <v>1</v>
      </c>
      <c r="I66" s="58">
        <v>138</v>
      </c>
      <c r="J66" s="58">
        <v>42</v>
      </c>
      <c r="K66" s="58" t="s">
        <v>98</v>
      </c>
      <c r="L66" s="59">
        <v>0</v>
      </c>
      <c r="M66" s="60">
        <v>4428492</v>
      </c>
      <c r="N66" s="60">
        <v>260757</v>
      </c>
      <c r="O66" s="60">
        <v>378557</v>
      </c>
      <c r="P66" s="60">
        <v>5067806</v>
      </c>
      <c r="Q66" s="60">
        <v>0</v>
      </c>
      <c r="R66" s="60">
        <v>5067806</v>
      </c>
      <c r="S66" s="61" t="s">
        <v>99</v>
      </c>
      <c r="T66" s="60"/>
      <c r="U66" s="61">
        <v>2005</v>
      </c>
      <c r="V66" s="58" t="s">
        <v>100</v>
      </c>
      <c r="W66" s="62">
        <v>10</v>
      </c>
      <c r="X66" s="62">
        <v>22</v>
      </c>
      <c r="Y66" s="62">
        <f t="shared" si="8"/>
        <v>22</v>
      </c>
      <c r="Z66" s="61">
        <v>2003</v>
      </c>
      <c r="AA66" s="63">
        <v>37622</v>
      </c>
      <c r="AB66" s="63">
        <v>38139</v>
      </c>
      <c r="AC66" s="64">
        <v>38853</v>
      </c>
      <c r="AD66" s="65">
        <f t="shared" si="9"/>
        <v>2005</v>
      </c>
      <c r="AF66" s="66">
        <f>LOOKUP(AD66,'2018 Escalator'!$A$9:$A$41,'2018 Escalator'!$G$9:$G$41)</f>
        <v>1.4044483059526309</v>
      </c>
      <c r="AG66" s="60">
        <f t="shared" si="1"/>
        <v>7117471.5515965791</v>
      </c>
      <c r="AH66" s="60">
        <f t="shared" si="2"/>
        <v>7117471.5515965791</v>
      </c>
      <c r="AI66" s="62">
        <v>42</v>
      </c>
      <c r="AJ66" s="62">
        <f t="shared" si="3"/>
        <v>42</v>
      </c>
      <c r="AK66" s="62">
        <f t="shared" si="4"/>
        <v>37.800000000000004</v>
      </c>
    </row>
    <row r="67" spans="1:37" x14ac:dyDescent="0.2">
      <c r="A67" s="70">
        <v>1106</v>
      </c>
      <c r="B67" s="58" t="s">
        <v>131</v>
      </c>
      <c r="C67" s="58" t="s">
        <v>132</v>
      </c>
      <c r="D67" s="58" t="s">
        <v>313</v>
      </c>
      <c r="E67" s="69" t="s">
        <v>314</v>
      </c>
      <c r="F67" s="58" t="s">
        <v>315</v>
      </c>
      <c r="G67" s="68" t="s">
        <v>316</v>
      </c>
      <c r="H67" s="58">
        <v>2</v>
      </c>
      <c r="I67" s="58">
        <v>240</v>
      </c>
      <c r="J67" s="58">
        <f>200*2</f>
        <v>400</v>
      </c>
      <c r="K67" s="58" t="s">
        <v>98</v>
      </c>
      <c r="L67" s="59">
        <v>15.5</v>
      </c>
      <c r="M67" s="60">
        <f>6203770+196272</f>
        <v>6400042</v>
      </c>
      <c r="N67" s="60">
        <f>7309608</f>
        <v>7309608</v>
      </c>
      <c r="O67" s="60">
        <f>888669+2720738+0+1699814</f>
        <v>5309221</v>
      </c>
      <c r="P67" s="60">
        <f>SUM(M67:O67)</f>
        <v>19018871</v>
      </c>
      <c r="Q67" s="60">
        <f>P67-R67</f>
        <v>11788371</v>
      </c>
      <c r="R67" s="60">
        <v>7230500</v>
      </c>
      <c r="S67" s="61" t="s">
        <v>99</v>
      </c>
      <c r="T67" s="60"/>
      <c r="U67" s="61">
        <v>2016</v>
      </c>
      <c r="V67" s="69" t="s">
        <v>306</v>
      </c>
      <c r="W67" s="62">
        <v>12</v>
      </c>
      <c r="X67" s="62">
        <v>12</v>
      </c>
      <c r="Y67" s="62">
        <f t="shared" si="8"/>
        <v>12</v>
      </c>
      <c r="Z67" s="61">
        <v>2011</v>
      </c>
      <c r="AA67" s="63">
        <v>40423</v>
      </c>
      <c r="AB67" s="63">
        <v>41214</v>
      </c>
      <c r="AC67" s="64">
        <v>41760</v>
      </c>
      <c r="AD67" s="65">
        <f t="shared" si="9"/>
        <v>2013</v>
      </c>
      <c r="AE67" s="68"/>
      <c r="AF67" s="66">
        <f>LOOKUP(AD67,'2018 Escalator'!$A$9:$A$41,'2018 Escalator'!$G$9:$G$41)</f>
        <v>1.0630440922306721</v>
      </c>
      <c r="AG67" s="60">
        <f t="shared" si="1"/>
        <v>20217898.457447253</v>
      </c>
      <c r="AH67" s="60">
        <f t="shared" si="2"/>
        <v>20217898.457447253</v>
      </c>
      <c r="AI67" s="62">
        <v>25</v>
      </c>
      <c r="AJ67" s="62">
        <f t="shared" si="3"/>
        <v>25</v>
      </c>
      <c r="AK67" s="62">
        <f t="shared" si="4"/>
        <v>22.5</v>
      </c>
    </row>
    <row r="68" spans="1:37" x14ac:dyDescent="0.2">
      <c r="A68" s="57">
        <v>899</v>
      </c>
      <c r="B68" s="58" t="s">
        <v>131</v>
      </c>
      <c r="C68" s="58" t="s">
        <v>108</v>
      </c>
      <c r="D68" s="58" t="s">
        <v>317</v>
      </c>
      <c r="E68" s="58" t="s">
        <v>318</v>
      </c>
      <c r="F68" s="58" t="s">
        <v>319</v>
      </c>
      <c r="G68" s="58" t="s">
        <v>143</v>
      </c>
      <c r="H68" s="58">
        <v>1</v>
      </c>
      <c r="I68" s="58">
        <v>144</v>
      </c>
      <c r="J68" s="58">
        <v>50</v>
      </c>
      <c r="K68" s="58" t="s">
        <v>98</v>
      </c>
      <c r="L68" s="59">
        <v>0.1</v>
      </c>
      <c r="M68" s="60">
        <f>8279203+825355</f>
        <v>9104558</v>
      </c>
      <c r="N68" s="60">
        <v>1160917</v>
      </c>
      <c r="O68" s="60">
        <f>494943+1331813+1256573</f>
        <v>3083329</v>
      </c>
      <c r="P68" s="60">
        <f>SUM(M68:O68)</f>
        <v>13348804</v>
      </c>
      <c r="Q68" s="60">
        <v>3970554</v>
      </c>
      <c r="R68" s="60">
        <v>9378249</v>
      </c>
      <c r="S68" s="61" t="s">
        <v>99</v>
      </c>
      <c r="T68" s="60"/>
      <c r="U68" s="61">
        <v>2012</v>
      </c>
      <c r="V68" s="58" t="s">
        <v>100</v>
      </c>
      <c r="W68" s="62">
        <v>15</v>
      </c>
      <c r="X68" s="62">
        <v>25</v>
      </c>
      <c r="Y68" s="62">
        <f t="shared" si="8"/>
        <v>25</v>
      </c>
      <c r="Z68" s="61">
        <v>2010</v>
      </c>
      <c r="AA68" s="63">
        <v>39814</v>
      </c>
      <c r="AB68" s="63">
        <v>40422</v>
      </c>
      <c r="AC68" s="64">
        <v>41258</v>
      </c>
      <c r="AD68" s="65">
        <f t="shared" si="9"/>
        <v>2011</v>
      </c>
      <c r="AF68" s="66">
        <f>LOOKUP(AD68,'2018 Escalator'!$A$9:$A$41,'2018 Escalator'!$G$9:$G$41)</f>
        <v>1.1366200577120069</v>
      </c>
      <c r="AG68" s="60">
        <f t="shared" si="1"/>
        <v>15172518.372866269</v>
      </c>
      <c r="AH68" s="60">
        <f t="shared" si="2"/>
        <v>15172518.372866269</v>
      </c>
      <c r="AI68" s="62">
        <v>50</v>
      </c>
      <c r="AJ68" s="62">
        <f t="shared" si="3"/>
        <v>50</v>
      </c>
      <c r="AK68" s="62">
        <f t="shared" si="4"/>
        <v>45</v>
      </c>
    </row>
    <row r="69" spans="1:37" x14ac:dyDescent="0.2">
      <c r="A69" s="57">
        <v>1191</v>
      </c>
      <c r="B69" s="58" t="s">
        <v>131</v>
      </c>
      <c r="C69" s="58" t="s">
        <v>132</v>
      </c>
      <c r="D69" s="58" t="s">
        <v>320</v>
      </c>
      <c r="E69" s="68" t="s">
        <v>321</v>
      </c>
      <c r="F69" s="58" t="s">
        <v>322</v>
      </c>
      <c r="G69" s="58" t="s">
        <v>136</v>
      </c>
      <c r="H69" s="58">
        <v>1</v>
      </c>
      <c r="I69" s="58">
        <v>144</v>
      </c>
      <c r="J69" s="58">
        <v>16.600000000000001</v>
      </c>
      <c r="K69" s="58" t="s">
        <v>98</v>
      </c>
      <c r="L69" s="59">
        <v>5</v>
      </c>
      <c r="M69" s="60">
        <f>4900671+665017</f>
        <v>5565688</v>
      </c>
      <c r="N69" s="60">
        <v>2407849</v>
      </c>
      <c r="O69" s="60">
        <f>1003143+1539629+0+1042436</f>
        <v>3585208</v>
      </c>
      <c r="P69" s="60">
        <f>SUM(M69:O69)</f>
        <v>11558745</v>
      </c>
      <c r="Q69" s="60">
        <f>P69-R69</f>
        <v>4579245</v>
      </c>
      <c r="R69" s="60">
        <v>6979500</v>
      </c>
      <c r="S69" s="61" t="s">
        <v>99</v>
      </c>
      <c r="T69" s="60"/>
      <c r="U69" s="61">
        <v>2016</v>
      </c>
      <c r="V69" s="69" t="s">
        <v>306</v>
      </c>
      <c r="W69" s="62">
        <v>11</v>
      </c>
      <c r="X69" s="62">
        <v>11</v>
      </c>
      <c r="Y69" s="62">
        <f t="shared" si="8"/>
        <v>11</v>
      </c>
      <c r="Z69" s="61">
        <v>2011</v>
      </c>
      <c r="AA69" s="63">
        <v>40585</v>
      </c>
      <c r="AB69" s="63">
        <v>41187</v>
      </c>
      <c r="AC69" s="64">
        <v>41559</v>
      </c>
      <c r="AD69" s="65">
        <f t="shared" si="9"/>
        <v>2012</v>
      </c>
      <c r="AF69" s="66">
        <f>LOOKUP(AD69,'2018 Escalator'!$A$9:$A$41,'2018 Escalator'!$G$9:$G$41)</f>
        <v>1.0925127659799037</v>
      </c>
      <c r="AG69" s="60">
        <f t="shared" si="1"/>
        <v>12628076.471206382</v>
      </c>
      <c r="AH69" s="60">
        <f t="shared" si="2"/>
        <v>12628076.471206382</v>
      </c>
      <c r="AI69" s="62">
        <f>1*16.6</f>
        <v>16.600000000000001</v>
      </c>
      <c r="AJ69" s="62">
        <f t="shared" si="3"/>
        <v>16.600000000000001</v>
      </c>
      <c r="AK69" s="62">
        <f t="shared" si="4"/>
        <v>14.940000000000001</v>
      </c>
    </row>
    <row r="70" spans="1:37" x14ac:dyDescent="0.2">
      <c r="A70" s="70">
        <v>1115</v>
      </c>
      <c r="B70" s="58" t="s">
        <v>131</v>
      </c>
      <c r="C70" s="58" t="s">
        <v>132</v>
      </c>
      <c r="D70" s="58" t="s">
        <v>323</v>
      </c>
      <c r="E70" s="68" t="s">
        <v>324</v>
      </c>
      <c r="F70" s="58" t="s">
        <v>325</v>
      </c>
      <c r="G70" s="58" t="s">
        <v>136</v>
      </c>
      <c r="H70" s="58">
        <v>1</v>
      </c>
      <c r="I70" s="58">
        <v>144</v>
      </c>
      <c r="J70" s="58">
        <v>25</v>
      </c>
      <c r="K70" s="58" t="s">
        <v>98</v>
      </c>
      <c r="L70" s="59">
        <v>18</v>
      </c>
      <c r="M70" s="60">
        <f>6490634+1123709</f>
        <v>7614343</v>
      </c>
      <c r="N70" s="60">
        <f>7802456</f>
        <v>7802456</v>
      </c>
      <c r="O70" s="60">
        <f>3549210+1890347+12994+2048599</f>
        <v>7501150</v>
      </c>
      <c r="P70" s="60">
        <f>SUM(M70:O70)</f>
        <v>22917949</v>
      </c>
      <c r="Q70" s="60">
        <f>P70-R70</f>
        <v>16189449</v>
      </c>
      <c r="R70" s="60">
        <v>6728500</v>
      </c>
      <c r="S70" s="61" t="s">
        <v>99</v>
      </c>
      <c r="T70" s="60"/>
      <c r="U70" s="61">
        <v>2014</v>
      </c>
      <c r="V70" s="69" t="s">
        <v>306</v>
      </c>
      <c r="W70" s="62">
        <v>10</v>
      </c>
      <c r="X70" s="62">
        <v>10</v>
      </c>
      <c r="Y70" s="62">
        <f t="shared" si="8"/>
        <v>10</v>
      </c>
      <c r="Z70" s="61">
        <v>2011</v>
      </c>
      <c r="AA70" s="63">
        <v>40459</v>
      </c>
      <c r="AB70" s="63">
        <v>41201</v>
      </c>
      <c r="AC70" s="64">
        <v>41730</v>
      </c>
      <c r="AD70" s="65">
        <f t="shared" si="9"/>
        <v>2013</v>
      </c>
      <c r="AF70" s="66">
        <f>LOOKUP(AD70,'2018 Escalator'!$A$9:$A$41,'2018 Escalator'!$G$9:$G$41)</f>
        <v>1.0630440922306721</v>
      </c>
      <c r="AG70" s="60">
        <f t="shared" si="1"/>
        <v>24362790.290493838</v>
      </c>
      <c r="AH70" s="60">
        <f t="shared" si="2"/>
        <v>24362790.290493838</v>
      </c>
      <c r="AI70" s="62">
        <v>25</v>
      </c>
      <c r="AJ70" s="62">
        <f t="shared" si="3"/>
        <v>25</v>
      </c>
      <c r="AK70" s="62">
        <f t="shared" si="4"/>
        <v>22.5</v>
      </c>
    </row>
    <row r="71" spans="1:37" x14ac:dyDescent="0.2">
      <c r="A71" s="57">
        <v>1053</v>
      </c>
      <c r="B71" s="58" t="s">
        <v>326</v>
      </c>
      <c r="C71" s="58" t="s">
        <v>132</v>
      </c>
      <c r="D71" s="58" t="s">
        <v>327</v>
      </c>
      <c r="E71" s="58" t="s">
        <v>328</v>
      </c>
      <c r="F71" s="58" t="s">
        <v>329</v>
      </c>
      <c r="G71" s="58" t="s">
        <v>136</v>
      </c>
      <c r="H71" s="58">
        <v>1</v>
      </c>
      <c r="I71" s="58">
        <v>144</v>
      </c>
      <c r="J71" s="58">
        <v>16.600000000000001</v>
      </c>
      <c r="K71" s="58" t="s">
        <v>98</v>
      </c>
      <c r="L71" s="59">
        <v>17</v>
      </c>
      <c r="M71" s="60">
        <f>5106553+217549</f>
        <v>5324102</v>
      </c>
      <c r="N71" s="60">
        <v>4030153</v>
      </c>
      <c r="O71" s="60">
        <f>1739399+1604889+0+769893</f>
        <v>4114181</v>
      </c>
      <c r="P71" s="60">
        <f>SUM(M71:O71)</f>
        <v>13468436</v>
      </c>
      <c r="Q71" s="60">
        <f>P71-R71</f>
        <v>7827460</v>
      </c>
      <c r="R71" s="60">
        <v>5640976</v>
      </c>
      <c r="S71" s="61" t="s">
        <v>99</v>
      </c>
      <c r="T71" s="60"/>
      <c r="U71" s="61">
        <v>2016</v>
      </c>
      <c r="V71" s="69" t="s">
        <v>100</v>
      </c>
      <c r="W71" s="62">
        <v>3</v>
      </c>
      <c r="X71" s="62">
        <v>9</v>
      </c>
      <c r="Y71" s="62">
        <f t="shared" si="8"/>
        <v>9</v>
      </c>
      <c r="Z71" s="61">
        <v>2011</v>
      </c>
      <c r="AA71" s="63">
        <v>40118</v>
      </c>
      <c r="AB71" s="63">
        <v>40725</v>
      </c>
      <c r="AC71" s="64">
        <v>41292</v>
      </c>
      <c r="AD71" s="65">
        <f t="shared" si="9"/>
        <v>2012</v>
      </c>
      <c r="AF71" s="66">
        <f>LOOKUP(AD71,'2018 Escalator'!$A$9:$A$41,'2018 Escalator'!$G$9:$G$41)</f>
        <v>1.0925127659799037</v>
      </c>
      <c r="AG71" s="60">
        <f t="shared" si="1"/>
        <v>14714438.26778331</v>
      </c>
      <c r="AH71" s="60">
        <f t="shared" si="2"/>
        <v>14714438.26778331</v>
      </c>
      <c r="AI71" s="62">
        <v>16.600000000000001</v>
      </c>
      <c r="AJ71" s="62">
        <f t="shared" si="3"/>
        <v>16.600000000000001</v>
      </c>
      <c r="AK71" s="62">
        <f t="shared" si="4"/>
        <v>14.940000000000001</v>
      </c>
    </row>
    <row r="72" spans="1:37" x14ac:dyDescent="0.2">
      <c r="A72" s="57">
        <v>864</v>
      </c>
      <c r="B72" s="58" t="s">
        <v>131</v>
      </c>
      <c r="C72" s="58" t="s">
        <v>132</v>
      </c>
      <c r="D72" s="58" t="s">
        <v>330</v>
      </c>
      <c r="E72" s="58" t="s">
        <v>331</v>
      </c>
      <c r="F72" s="58" t="s">
        <v>332</v>
      </c>
      <c r="G72" s="58" t="s">
        <v>212</v>
      </c>
      <c r="H72" s="58">
        <v>1</v>
      </c>
      <c r="I72" s="58">
        <v>155</v>
      </c>
      <c r="J72" s="58">
        <v>33.299999999999997</v>
      </c>
      <c r="K72" s="58" t="s">
        <v>98</v>
      </c>
      <c r="L72" s="59">
        <v>6</v>
      </c>
      <c r="M72" s="60">
        <v>4002354</v>
      </c>
      <c r="N72" s="60">
        <v>2455000</v>
      </c>
      <c r="O72" s="60">
        <v>2785704</v>
      </c>
      <c r="P72" s="60">
        <v>9243058</v>
      </c>
      <c r="Q72" s="60">
        <v>1518144</v>
      </c>
      <c r="R72" s="60">
        <v>7724914</v>
      </c>
      <c r="S72" s="61" t="s">
        <v>99</v>
      </c>
      <c r="T72" s="60"/>
      <c r="U72" s="61">
        <v>2011</v>
      </c>
      <c r="V72" s="58" t="s">
        <v>213</v>
      </c>
      <c r="W72" s="62">
        <v>25</v>
      </c>
      <c r="X72" s="62">
        <v>25</v>
      </c>
      <c r="Y72" s="62">
        <f t="shared" si="8"/>
        <v>25</v>
      </c>
      <c r="Z72" s="61">
        <v>2007</v>
      </c>
      <c r="AA72" s="63">
        <v>39722</v>
      </c>
      <c r="AB72" s="63">
        <v>40575</v>
      </c>
      <c r="AC72" s="64">
        <v>41791</v>
      </c>
      <c r="AD72" s="65">
        <f t="shared" si="9"/>
        <v>2013</v>
      </c>
      <c r="AE72" s="58" t="s">
        <v>214</v>
      </c>
      <c r="AF72" s="66">
        <f>LOOKUP(AD72,'2018 Escalator'!$A$9:$A$41,'2018 Escalator'!$G$9:$G$41)</f>
        <v>1.0630440922306721</v>
      </c>
      <c r="AG72" s="60">
        <f t="shared" ref="AG72:AG101" si="12">P72*AF72</f>
        <v>9825778.2010454517</v>
      </c>
      <c r="AH72" s="60">
        <f t="shared" si="2"/>
        <v>9825778.2010454517</v>
      </c>
      <c r="AI72" s="62">
        <v>33.299999999999997</v>
      </c>
      <c r="AJ72" s="62">
        <f t="shared" si="3"/>
        <v>33.299999999999997</v>
      </c>
      <c r="AK72" s="62">
        <f t="shared" si="4"/>
        <v>29.97</v>
      </c>
    </row>
    <row r="73" spans="1:37" x14ac:dyDescent="0.2">
      <c r="A73" s="70">
        <v>834</v>
      </c>
      <c r="B73" s="58" t="s">
        <v>131</v>
      </c>
      <c r="C73" s="69" t="s">
        <v>132</v>
      </c>
      <c r="D73" s="58" t="s">
        <v>333</v>
      </c>
      <c r="E73" s="58" t="s">
        <v>334</v>
      </c>
      <c r="F73" s="58" t="s">
        <v>335</v>
      </c>
      <c r="G73" s="58" t="s">
        <v>143</v>
      </c>
      <c r="H73" s="58">
        <v>1</v>
      </c>
      <c r="I73" s="58">
        <v>144</v>
      </c>
      <c r="J73" s="58">
        <v>50</v>
      </c>
      <c r="K73" s="58" t="s">
        <v>98</v>
      </c>
      <c r="L73" s="59">
        <v>22</v>
      </c>
      <c r="M73" s="60">
        <f>9048685+395888</f>
        <v>9444573</v>
      </c>
      <c r="N73" s="60">
        <v>9249355</v>
      </c>
      <c r="O73" s="60">
        <f>730951+1674805+1597781</f>
        <v>4003537</v>
      </c>
      <c r="P73" s="60">
        <f>SUM(M73:O73)</f>
        <v>22697465</v>
      </c>
      <c r="Q73" s="60">
        <v>12510400</v>
      </c>
      <c r="R73" s="60">
        <v>10187065</v>
      </c>
      <c r="S73" s="61" t="s">
        <v>99</v>
      </c>
      <c r="T73" s="60"/>
      <c r="U73" s="61">
        <v>2013</v>
      </c>
      <c r="V73" s="58" t="s">
        <v>100</v>
      </c>
      <c r="W73" s="62">
        <v>8</v>
      </c>
      <c r="X73" s="62">
        <v>45</v>
      </c>
      <c r="Y73" s="62">
        <f t="shared" si="8"/>
        <v>45</v>
      </c>
      <c r="Z73" s="61">
        <v>2010</v>
      </c>
      <c r="AA73" s="63">
        <v>39448</v>
      </c>
      <c r="AB73" s="63">
        <v>40422</v>
      </c>
      <c r="AC73" s="64">
        <v>41183</v>
      </c>
      <c r="AD73" s="65">
        <f t="shared" si="9"/>
        <v>2011</v>
      </c>
      <c r="AF73" s="66">
        <f>LOOKUP(AD73,'2018 Escalator'!$A$9:$A$41,'2018 Escalator'!$G$9:$G$41)</f>
        <v>1.1366200577120069</v>
      </c>
      <c r="AG73" s="60">
        <f t="shared" si="12"/>
        <v>25798393.978216257</v>
      </c>
      <c r="AH73" s="60">
        <f t="shared" ref="AH73:AH101" si="13">SUM($P73,$T73)*$AF73</f>
        <v>25798393.978216257</v>
      </c>
      <c r="AI73" s="62">
        <v>50</v>
      </c>
      <c r="AJ73" s="62">
        <f t="shared" ref="AJ73:AJ99" si="14">AI73</f>
        <v>50</v>
      </c>
      <c r="AK73" s="62">
        <f t="shared" ref="AK73:AK101" si="15">AJ73*0.9</f>
        <v>45</v>
      </c>
    </row>
    <row r="74" spans="1:37" x14ac:dyDescent="0.2">
      <c r="A74" s="57">
        <v>722</v>
      </c>
      <c r="B74" s="58" t="s">
        <v>131</v>
      </c>
      <c r="C74" s="69" t="s">
        <v>132</v>
      </c>
      <c r="D74" s="58" t="s">
        <v>336</v>
      </c>
      <c r="E74" s="58" t="s">
        <v>337</v>
      </c>
      <c r="F74" s="58" t="s">
        <v>338</v>
      </c>
      <c r="G74" s="58" t="s">
        <v>136</v>
      </c>
      <c r="H74" s="58">
        <v>1</v>
      </c>
      <c r="I74" s="58">
        <v>144</v>
      </c>
      <c r="J74" s="58">
        <v>25</v>
      </c>
      <c r="K74" s="58" t="s">
        <v>98</v>
      </c>
      <c r="L74" s="59">
        <v>25</v>
      </c>
      <c r="M74" s="60">
        <f>3046000+664000</f>
        <v>3710000</v>
      </c>
      <c r="N74" s="60">
        <v>5605000</v>
      </c>
      <c r="O74" s="60">
        <f>973000+57000+0+1064000*1+30000</f>
        <v>2124000</v>
      </c>
      <c r="P74" s="60">
        <f>SUM(M74:O74)</f>
        <v>11439000</v>
      </c>
      <c r="Q74" s="60">
        <f>P74-R74</f>
        <v>4778856</v>
      </c>
      <c r="R74" s="60">
        <v>6660144</v>
      </c>
      <c r="S74" s="61" t="s">
        <v>99</v>
      </c>
      <c r="T74" s="60"/>
      <c r="U74" s="61">
        <v>2010</v>
      </c>
      <c r="V74" s="58" t="s">
        <v>100</v>
      </c>
      <c r="W74" s="62">
        <v>0.1</v>
      </c>
      <c r="X74" s="62">
        <v>10.5</v>
      </c>
      <c r="Y74" s="62">
        <f t="shared" si="8"/>
        <v>10.5</v>
      </c>
      <c r="Z74" s="61">
        <v>2010</v>
      </c>
      <c r="AA74" s="63">
        <v>39295</v>
      </c>
      <c r="AB74" s="63">
        <v>39845</v>
      </c>
      <c r="AC74" s="64">
        <v>40330</v>
      </c>
      <c r="AD74" s="65">
        <f t="shared" si="9"/>
        <v>2009</v>
      </c>
      <c r="AF74" s="66">
        <f>LOOKUP(AD74,'2018 Escalator'!$A$9:$A$41,'2018 Escalator'!$G$9:$G$41)</f>
        <v>1.1803081251084759</v>
      </c>
      <c r="AG74" s="60">
        <f t="shared" si="12"/>
        <v>13501544.643115856</v>
      </c>
      <c r="AH74" s="60">
        <f t="shared" si="13"/>
        <v>13501544.643115856</v>
      </c>
      <c r="AI74" s="62">
        <f>25</f>
        <v>25</v>
      </c>
      <c r="AJ74" s="62">
        <f t="shared" si="14"/>
        <v>25</v>
      </c>
      <c r="AK74" s="62">
        <f t="shared" si="15"/>
        <v>22.5</v>
      </c>
    </row>
    <row r="75" spans="1:37" x14ac:dyDescent="0.2">
      <c r="A75" s="57">
        <v>927</v>
      </c>
      <c r="B75" s="58" t="s">
        <v>131</v>
      </c>
      <c r="C75" s="58" t="s">
        <v>132</v>
      </c>
      <c r="D75" s="58" t="s">
        <v>339</v>
      </c>
      <c r="E75" s="58" t="s">
        <v>340</v>
      </c>
      <c r="F75" s="58" t="s">
        <v>341</v>
      </c>
      <c r="G75" s="58" t="s">
        <v>342</v>
      </c>
      <c r="H75" s="58">
        <v>1</v>
      </c>
      <c r="I75" s="58">
        <v>144</v>
      </c>
      <c r="J75" s="58">
        <v>75</v>
      </c>
      <c r="K75" s="58" t="s">
        <v>98</v>
      </c>
      <c r="L75" s="59">
        <v>14</v>
      </c>
      <c r="M75" s="60">
        <f>11735442+379910</f>
        <v>12115352</v>
      </c>
      <c r="N75" s="60">
        <v>6735118</v>
      </c>
      <c r="O75" s="60">
        <f>533403+1820934+0+1570707</f>
        <v>3925044</v>
      </c>
      <c r="P75" s="60">
        <f>SUM(M75:O75)</f>
        <v>22775514</v>
      </c>
      <c r="Q75" s="60">
        <f>P75-R75</f>
        <v>10378191</v>
      </c>
      <c r="R75" s="60">
        <v>12397323</v>
      </c>
      <c r="S75" s="61" t="s">
        <v>99</v>
      </c>
      <c r="T75" s="60"/>
      <c r="U75" s="61">
        <v>2013</v>
      </c>
      <c r="V75" s="58" t="s">
        <v>100</v>
      </c>
      <c r="W75" s="62">
        <v>11</v>
      </c>
      <c r="X75" s="62">
        <v>60</v>
      </c>
      <c r="Y75" s="62">
        <f t="shared" si="8"/>
        <v>60</v>
      </c>
      <c r="Z75" s="61">
        <v>2011</v>
      </c>
      <c r="AA75" s="63">
        <v>39934</v>
      </c>
      <c r="AB75" s="63">
        <v>40603</v>
      </c>
      <c r="AC75" s="64">
        <v>41030</v>
      </c>
      <c r="AD75" s="65">
        <f t="shared" si="9"/>
        <v>2011</v>
      </c>
      <c r="AF75" s="66">
        <f>LOOKUP(AD75,'2018 Escalator'!$A$9:$A$41,'2018 Escalator'!$G$9:$G$41)</f>
        <v>1.1366200577120069</v>
      </c>
      <c r="AG75" s="60">
        <f t="shared" si="12"/>
        <v>25887106.037100621</v>
      </c>
      <c r="AH75" s="60">
        <f t="shared" si="13"/>
        <v>25887106.037100621</v>
      </c>
      <c r="AI75" s="62">
        <v>75</v>
      </c>
      <c r="AJ75" s="62">
        <f t="shared" si="14"/>
        <v>75</v>
      </c>
      <c r="AK75" s="62">
        <f t="shared" si="15"/>
        <v>67.5</v>
      </c>
    </row>
    <row r="76" spans="1:37" x14ac:dyDescent="0.2">
      <c r="A76" s="70">
        <v>1068</v>
      </c>
      <c r="B76" s="58" t="s">
        <v>326</v>
      </c>
      <c r="C76" s="58" t="s">
        <v>132</v>
      </c>
      <c r="D76" s="58" t="s">
        <v>343</v>
      </c>
      <c r="E76" s="58" t="s">
        <v>344</v>
      </c>
      <c r="F76" s="58" t="s">
        <v>345</v>
      </c>
      <c r="G76" s="58" t="s">
        <v>97</v>
      </c>
      <c r="H76" s="58">
        <v>1</v>
      </c>
      <c r="I76" s="58">
        <v>138</v>
      </c>
      <c r="J76" s="58">
        <v>50</v>
      </c>
      <c r="K76" s="58" t="s">
        <v>98</v>
      </c>
      <c r="L76" s="59">
        <v>11</v>
      </c>
      <c r="M76" s="60">
        <f>5362591+557168+0+693743+15000+301322</f>
        <v>6929824</v>
      </c>
      <c r="N76" s="60">
        <f>449635+3279263+5582049</f>
        <v>9310947</v>
      </c>
      <c r="O76" s="60">
        <f>687061+1833851+1050153+2013388+638469+1101163+261227+438395+374318</f>
        <v>8398025</v>
      </c>
      <c r="P76" s="60">
        <f>SUM(M76:O76)</f>
        <v>24638796</v>
      </c>
      <c r="Q76" s="60">
        <f>P76-R76</f>
        <v>17668884</v>
      </c>
      <c r="R76" s="60">
        <v>6969912</v>
      </c>
      <c r="S76" s="61" t="s">
        <v>99</v>
      </c>
      <c r="T76" s="60"/>
      <c r="U76" s="61">
        <v>2016</v>
      </c>
      <c r="V76" s="58" t="s">
        <v>100</v>
      </c>
      <c r="W76" s="62">
        <v>7.5</v>
      </c>
      <c r="X76" s="62">
        <v>11.2</v>
      </c>
      <c r="Y76" s="62">
        <f t="shared" si="8"/>
        <v>11.2</v>
      </c>
      <c r="Z76" s="61">
        <v>2011</v>
      </c>
      <c r="AA76" s="63">
        <v>40179</v>
      </c>
      <c r="AB76" s="63">
        <v>40725</v>
      </c>
      <c r="AC76" s="64">
        <v>41306</v>
      </c>
      <c r="AD76" s="65">
        <f t="shared" si="9"/>
        <v>2012</v>
      </c>
      <c r="AF76" s="66">
        <f>LOOKUP(AD76,'2018 Escalator'!$A$9:$A$41,'2018 Escalator'!$G$9:$G$41)</f>
        <v>1.0925127659799037</v>
      </c>
      <c r="AG76" s="60">
        <f t="shared" si="12"/>
        <v>26918199.168374587</v>
      </c>
      <c r="AH76" s="60">
        <f t="shared" si="13"/>
        <v>26918199.168374587</v>
      </c>
      <c r="AI76" s="62">
        <v>25</v>
      </c>
      <c r="AJ76" s="62">
        <f t="shared" si="14"/>
        <v>25</v>
      </c>
      <c r="AK76" s="62">
        <f t="shared" si="15"/>
        <v>22.5</v>
      </c>
    </row>
    <row r="77" spans="1:37" x14ac:dyDescent="0.2">
      <c r="A77" s="70">
        <v>506</v>
      </c>
      <c r="B77" s="58" t="s">
        <v>168</v>
      </c>
      <c r="C77" s="58" t="s">
        <v>108</v>
      </c>
      <c r="D77" s="58" t="s">
        <v>346</v>
      </c>
      <c r="E77" s="58" t="s">
        <v>347</v>
      </c>
      <c r="F77" s="58" t="s">
        <v>346</v>
      </c>
      <c r="G77" s="58" t="s">
        <v>107</v>
      </c>
      <c r="H77" s="58">
        <v>2</v>
      </c>
      <c r="I77" s="58">
        <v>245</v>
      </c>
      <c r="J77" s="58">
        <v>200</v>
      </c>
      <c r="K77" s="58" t="s">
        <v>98</v>
      </c>
      <c r="L77" s="59">
        <v>0</v>
      </c>
      <c r="M77" s="60">
        <f>10636945</f>
        <v>10636945</v>
      </c>
      <c r="N77" s="60">
        <v>0</v>
      </c>
      <c r="O77" s="60">
        <v>510332</v>
      </c>
      <c r="P77" s="60">
        <f>SUM(M77:O77)</f>
        <v>11147277</v>
      </c>
      <c r="Q77" s="60">
        <v>4614754</v>
      </c>
      <c r="R77" s="60">
        <v>6532523</v>
      </c>
      <c r="S77" s="73" t="s">
        <v>129</v>
      </c>
      <c r="T77" s="60">
        <v>4614754</v>
      </c>
      <c r="U77" s="61">
        <v>2009</v>
      </c>
      <c r="V77" s="58" t="s">
        <v>100</v>
      </c>
      <c r="W77" s="62">
        <v>20</v>
      </c>
      <c r="X77" s="62">
        <v>20</v>
      </c>
      <c r="Y77" s="62">
        <f t="shared" si="8"/>
        <v>20</v>
      </c>
      <c r="Z77" s="61">
        <v>2003</v>
      </c>
      <c r="AA77" s="63">
        <v>38596</v>
      </c>
      <c r="AB77" s="63">
        <v>38930</v>
      </c>
      <c r="AC77" s="64">
        <v>39783</v>
      </c>
      <c r="AD77" s="65">
        <f t="shared" si="9"/>
        <v>2007</v>
      </c>
      <c r="AF77" s="66">
        <f>LOOKUP(AD77,'2018 Escalator'!$A$9:$A$41,'2018 Escalator'!$G$9:$G$41)</f>
        <v>1.2531539462632446</v>
      </c>
      <c r="AG77" s="60">
        <f t="shared" si="12"/>
        <v>13969254.162639502</v>
      </c>
      <c r="AH77" s="60">
        <f t="shared" si="13"/>
        <v>19752251.348773595</v>
      </c>
      <c r="AI77" s="62">
        <f>2*63</f>
        <v>126</v>
      </c>
      <c r="AJ77" s="62">
        <f t="shared" si="14"/>
        <v>126</v>
      </c>
      <c r="AK77" s="62">
        <f t="shared" si="15"/>
        <v>113.4</v>
      </c>
    </row>
    <row r="78" spans="1:37" x14ac:dyDescent="0.2">
      <c r="A78" s="57">
        <v>456</v>
      </c>
      <c r="B78" s="58" t="s">
        <v>348</v>
      </c>
      <c r="C78" s="58" t="s">
        <v>108</v>
      </c>
      <c r="D78" s="58" t="s">
        <v>349</v>
      </c>
      <c r="E78" s="58" t="s">
        <v>350</v>
      </c>
      <c r="F78" s="58" t="s">
        <v>351</v>
      </c>
      <c r="G78" s="58" t="s">
        <v>116</v>
      </c>
      <c r="H78" s="58">
        <v>1</v>
      </c>
      <c r="I78" s="58">
        <v>138</v>
      </c>
      <c r="J78" s="58">
        <v>50</v>
      </c>
      <c r="K78" s="58" t="s">
        <v>98</v>
      </c>
      <c r="L78" s="59">
        <v>12.8</v>
      </c>
      <c r="M78" s="60">
        <v>6954168</v>
      </c>
      <c r="N78" s="60">
        <v>5787035</v>
      </c>
      <c r="O78" s="60">
        <v>2210009</v>
      </c>
      <c r="P78" s="60">
        <v>14951212</v>
      </c>
      <c r="Q78" s="60">
        <v>7888212</v>
      </c>
      <c r="R78" s="60">
        <v>7063000</v>
      </c>
      <c r="S78" s="61" t="s">
        <v>99</v>
      </c>
      <c r="T78" s="60"/>
      <c r="U78" s="61">
        <v>2011</v>
      </c>
      <c r="V78" s="58" t="s">
        <v>100</v>
      </c>
      <c r="W78" s="62">
        <v>16</v>
      </c>
      <c r="X78" s="62">
        <v>16</v>
      </c>
      <c r="Y78" s="62">
        <f t="shared" si="8"/>
        <v>16</v>
      </c>
      <c r="Z78" s="61">
        <v>2007</v>
      </c>
      <c r="AA78" s="63">
        <v>38292</v>
      </c>
      <c r="AB78" s="63">
        <v>38869</v>
      </c>
      <c r="AC78" s="64">
        <v>40513</v>
      </c>
      <c r="AD78" s="65">
        <f t="shared" si="9"/>
        <v>2009</v>
      </c>
      <c r="AE78" s="58" t="s">
        <v>352</v>
      </c>
      <c r="AF78" s="66">
        <f>LOOKUP(AD78,'2018 Escalator'!$A$9:$A$41,'2018 Escalator'!$G$9:$G$41)</f>
        <v>1.1803081251084759</v>
      </c>
      <c r="AG78" s="60">
        <f t="shared" si="12"/>
        <v>17647037.003819346</v>
      </c>
      <c r="AH78" s="60">
        <f t="shared" si="13"/>
        <v>17647037.003819346</v>
      </c>
      <c r="AI78" s="62">
        <v>50</v>
      </c>
      <c r="AJ78" s="62">
        <f t="shared" si="14"/>
        <v>50</v>
      </c>
      <c r="AK78" s="62">
        <f t="shared" si="15"/>
        <v>45</v>
      </c>
    </row>
    <row r="79" spans="1:37" x14ac:dyDescent="0.2">
      <c r="A79" s="57">
        <v>130</v>
      </c>
      <c r="B79" s="58" t="s">
        <v>353</v>
      </c>
      <c r="C79" s="58" t="s">
        <v>108</v>
      </c>
      <c r="D79" s="58" t="s">
        <v>354</v>
      </c>
      <c r="E79" s="58" t="s">
        <v>355</v>
      </c>
      <c r="F79" s="58" t="s">
        <v>356</v>
      </c>
      <c r="G79" s="58" t="s">
        <v>116</v>
      </c>
      <c r="H79" s="58">
        <v>2</v>
      </c>
      <c r="I79" s="58">
        <v>138</v>
      </c>
      <c r="J79" s="58">
        <v>50</v>
      </c>
      <c r="K79" s="58" t="s">
        <v>98</v>
      </c>
      <c r="L79" s="59">
        <v>0</v>
      </c>
      <c r="M79" s="60">
        <v>4610000</v>
      </c>
      <c r="N79" s="60">
        <v>0</v>
      </c>
      <c r="O79" s="60">
        <v>445000</v>
      </c>
      <c r="P79" s="60">
        <v>5055000</v>
      </c>
      <c r="Q79" s="60">
        <v>0</v>
      </c>
      <c r="R79" s="60">
        <v>5055000</v>
      </c>
      <c r="S79" s="61" t="s">
        <v>99</v>
      </c>
      <c r="T79" s="60"/>
      <c r="U79" s="61">
        <v>2001</v>
      </c>
      <c r="V79" s="58" t="s">
        <v>100</v>
      </c>
      <c r="W79" s="62">
        <v>18</v>
      </c>
      <c r="X79" s="62">
        <v>18</v>
      </c>
      <c r="Y79" s="62">
        <f t="shared" si="8"/>
        <v>18</v>
      </c>
      <c r="Z79" s="61">
        <v>2001</v>
      </c>
      <c r="AA79" s="63">
        <v>36586</v>
      </c>
      <c r="AB79" s="63"/>
      <c r="AC79" s="64">
        <v>37185</v>
      </c>
      <c r="AD79" s="65">
        <f t="shared" si="9"/>
        <v>2000</v>
      </c>
      <c r="AE79" s="58" t="s">
        <v>357</v>
      </c>
      <c r="AF79" s="66">
        <f>LOOKUP(AD79,'2018 Escalator'!$A$9:$A$41,'2018 Escalator'!$G$9:$G$41)</f>
        <v>1.669035267124114</v>
      </c>
      <c r="AG79" s="60">
        <f t="shared" si="12"/>
        <v>8436973.2753123958</v>
      </c>
      <c r="AH79" s="60">
        <f t="shared" si="13"/>
        <v>8436973.2753123958</v>
      </c>
      <c r="AI79" s="62">
        <v>50</v>
      </c>
      <c r="AJ79" s="62">
        <f t="shared" si="14"/>
        <v>50</v>
      </c>
      <c r="AK79" s="62">
        <f t="shared" si="15"/>
        <v>45</v>
      </c>
    </row>
    <row r="80" spans="1:37" x14ac:dyDescent="0.2">
      <c r="A80" s="57">
        <v>308</v>
      </c>
      <c r="B80" s="58" t="s">
        <v>353</v>
      </c>
      <c r="C80" s="58" t="s">
        <v>108</v>
      </c>
      <c r="D80" s="58" t="s">
        <v>358</v>
      </c>
      <c r="E80" s="58" t="s">
        <v>359</v>
      </c>
      <c r="F80" s="58" t="s">
        <v>360</v>
      </c>
      <c r="G80" s="58" t="s">
        <v>116</v>
      </c>
      <c r="H80" s="58">
        <v>2</v>
      </c>
      <c r="I80" s="58">
        <v>138</v>
      </c>
      <c r="J80" s="58">
        <v>50</v>
      </c>
      <c r="K80" s="58" t="s">
        <v>98</v>
      </c>
      <c r="L80" s="59">
        <v>0</v>
      </c>
      <c r="M80" s="60">
        <v>4865799</v>
      </c>
      <c r="N80" s="60">
        <v>267104</v>
      </c>
      <c r="O80" s="60">
        <v>1575306</v>
      </c>
      <c r="P80" s="60">
        <v>6708209</v>
      </c>
      <c r="Q80" s="60">
        <v>0</v>
      </c>
      <c r="R80" s="60">
        <v>6708209</v>
      </c>
      <c r="S80" s="61" t="s">
        <v>99</v>
      </c>
      <c r="T80" s="60"/>
      <c r="U80" s="61">
        <v>2006</v>
      </c>
      <c r="V80" s="58" t="s">
        <v>100</v>
      </c>
      <c r="W80" s="62">
        <v>10</v>
      </c>
      <c r="X80" s="62">
        <v>10</v>
      </c>
      <c r="Y80" s="62">
        <f t="shared" si="8"/>
        <v>10</v>
      </c>
      <c r="Z80" s="61">
        <v>2003</v>
      </c>
      <c r="AA80" s="63">
        <v>37469</v>
      </c>
      <c r="AB80" s="63">
        <v>37956</v>
      </c>
      <c r="AC80" s="64">
        <v>39356</v>
      </c>
      <c r="AD80" s="65">
        <f t="shared" si="9"/>
        <v>2006</v>
      </c>
      <c r="AF80" s="66">
        <f>LOOKUP(AD80,'2018 Escalator'!$A$9:$A$41,'2018 Escalator'!$G$9:$G$41)</f>
        <v>1.3230619810637019</v>
      </c>
      <c r="AG80" s="60">
        <f t="shared" si="12"/>
        <v>8875376.2889293544</v>
      </c>
      <c r="AH80" s="60">
        <f t="shared" si="13"/>
        <v>8875376.2889293544</v>
      </c>
      <c r="AI80" s="62">
        <v>60</v>
      </c>
      <c r="AJ80" s="62">
        <f t="shared" si="14"/>
        <v>60</v>
      </c>
      <c r="AK80" s="62">
        <f t="shared" si="15"/>
        <v>54</v>
      </c>
    </row>
    <row r="81" spans="1:37" x14ac:dyDescent="0.2">
      <c r="A81" s="70">
        <v>829</v>
      </c>
      <c r="B81" s="58" t="s">
        <v>353</v>
      </c>
      <c r="C81" s="58" t="s">
        <v>108</v>
      </c>
      <c r="D81" s="58" t="s">
        <v>361</v>
      </c>
      <c r="E81" s="58" t="s">
        <v>362</v>
      </c>
      <c r="F81" s="58" t="s">
        <v>363</v>
      </c>
      <c r="G81" s="58" t="s">
        <v>116</v>
      </c>
      <c r="H81" s="58">
        <v>1</v>
      </c>
      <c r="I81" s="58">
        <v>150</v>
      </c>
      <c r="J81" s="58">
        <v>50</v>
      </c>
      <c r="K81" s="58" t="s">
        <v>98</v>
      </c>
      <c r="L81" s="59">
        <v>6.4</v>
      </c>
      <c r="M81" s="60">
        <f>11320748+169929</f>
        <v>11490677</v>
      </c>
      <c r="N81" s="60">
        <v>9152676</v>
      </c>
      <c r="O81" s="60">
        <f>926259+510995+0+3329693</f>
        <v>4766947</v>
      </c>
      <c r="P81" s="60">
        <f>SUM(M81:O81)</f>
        <v>25410300</v>
      </c>
      <c r="Q81" s="60">
        <f>P81-R81</f>
        <v>16468800</v>
      </c>
      <c r="R81" s="60">
        <v>8941500</v>
      </c>
      <c r="S81" s="61" t="s">
        <v>99</v>
      </c>
      <c r="T81" s="60"/>
      <c r="U81" s="61">
        <v>2014</v>
      </c>
      <c r="V81" s="58" t="s">
        <v>100</v>
      </c>
      <c r="W81" s="62">
        <v>20</v>
      </c>
      <c r="X81" s="62">
        <v>20</v>
      </c>
      <c r="Y81" s="62">
        <f t="shared" si="8"/>
        <v>20</v>
      </c>
      <c r="Z81" s="61">
        <v>2011</v>
      </c>
      <c r="AA81" s="63">
        <v>39569</v>
      </c>
      <c r="AB81" s="63">
        <v>40664</v>
      </c>
      <c r="AC81" s="64">
        <v>41387</v>
      </c>
      <c r="AD81" s="65">
        <f t="shared" si="9"/>
        <v>2012</v>
      </c>
      <c r="AF81" s="66">
        <f>LOOKUP(AD81,'2018 Escalator'!$A$9:$A$41,'2018 Escalator'!$G$9:$G$41)</f>
        <v>1.0925127659799037</v>
      </c>
      <c r="AG81" s="60">
        <f t="shared" si="12"/>
        <v>27761077.137379147</v>
      </c>
      <c r="AH81" s="60">
        <f t="shared" si="13"/>
        <v>27761077.137379147</v>
      </c>
      <c r="AI81" s="62">
        <v>50</v>
      </c>
      <c r="AJ81" s="62">
        <f t="shared" si="14"/>
        <v>50</v>
      </c>
      <c r="AK81" s="62">
        <f t="shared" si="15"/>
        <v>45</v>
      </c>
    </row>
    <row r="82" spans="1:37" x14ac:dyDescent="0.2">
      <c r="A82" s="57">
        <v>425</v>
      </c>
      <c r="B82" s="58" t="s">
        <v>353</v>
      </c>
      <c r="C82" s="58" t="s">
        <v>108</v>
      </c>
      <c r="D82" s="58" t="s">
        <v>364</v>
      </c>
      <c r="E82" s="58" t="s">
        <v>365</v>
      </c>
      <c r="F82" s="58" t="s">
        <v>366</v>
      </c>
      <c r="G82" s="58" t="s">
        <v>157</v>
      </c>
      <c r="H82" s="58">
        <v>1</v>
      </c>
      <c r="I82" s="58">
        <v>138</v>
      </c>
      <c r="J82" s="58">
        <v>50</v>
      </c>
      <c r="K82" s="58" t="s">
        <v>98</v>
      </c>
      <c r="L82" s="59">
        <v>0</v>
      </c>
      <c r="M82" s="60">
        <v>5833788</v>
      </c>
      <c r="N82" s="60">
        <v>173304</v>
      </c>
      <c r="O82" s="60">
        <v>3768260</v>
      </c>
      <c r="P82" s="60">
        <v>9775352</v>
      </c>
      <c r="Q82" s="60">
        <v>5955000</v>
      </c>
      <c r="R82" s="60">
        <v>3820352</v>
      </c>
      <c r="S82" s="61" t="s">
        <v>99</v>
      </c>
      <c r="T82" s="60"/>
      <c r="U82" s="61">
        <v>2008</v>
      </c>
      <c r="V82" s="58" t="s">
        <v>100</v>
      </c>
      <c r="W82" s="62">
        <v>17</v>
      </c>
      <c r="X82" s="62">
        <v>17</v>
      </c>
      <c r="Y82" s="62">
        <v>17</v>
      </c>
      <c r="Z82" s="61">
        <v>2006</v>
      </c>
      <c r="AA82" s="63">
        <v>38018</v>
      </c>
      <c r="AB82" s="63">
        <v>38231</v>
      </c>
      <c r="AC82" s="64">
        <v>39994</v>
      </c>
      <c r="AD82" s="65">
        <f t="shared" si="9"/>
        <v>2008</v>
      </c>
      <c r="AE82" s="58" t="s">
        <v>367</v>
      </c>
      <c r="AF82" s="66">
        <f>LOOKUP(AD82,'2018 Escalator'!$A$9:$A$41,'2018 Escalator'!$G$9:$G$41)</f>
        <v>1.199491188497166</v>
      </c>
      <c r="AG82" s="60">
        <f t="shared" si="12"/>
        <v>11725448.588458149</v>
      </c>
      <c r="AH82" s="60">
        <f t="shared" si="13"/>
        <v>11725448.588458149</v>
      </c>
      <c r="AI82" s="62">
        <v>30</v>
      </c>
      <c r="AJ82" s="62">
        <f t="shared" si="14"/>
        <v>30</v>
      </c>
      <c r="AK82" s="62">
        <f t="shared" si="15"/>
        <v>27</v>
      </c>
    </row>
    <row r="83" spans="1:37" x14ac:dyDescent="0.2">
      <c r="A83" s="57">
        <v>333</v>
      </c>
      <c r="B83" s="58" t="s">
        <v>353</v>
      </c>
      <c r="C83" s="58" t="s">
        <v>108</v>
      </c>
      <c r="D83" s="58" t="s">
        <v>368</v>
      </c>
      <c r="E83" s="58" t="s">
        <v>369</v>
      </c>
      <c r="F83" s="58" t="s">
        <v>370</v>
      </c>
      <c r="G83" s="58" t="s">
        <v>116</v>
      </c>
      <c r="H83" s="58">
        <v>2</v>
      </c>
      <c r="I83" s="58">
        <v>138</v>
      </c>
      <c r="J83" s="58">
        <v>30</v>
      </c>
      <c r="K83" s="58" t="s">
        <v>98</v>
      </c>
      <c r="L83" s="59">
        <v>2</v>
      </c>
      <c r="M83" s="60">
        <v>4056979</v>
      </c>
      <c r="N83" s="60">
        <v>79665</v>
      </c>
      <c r="O83" s="60">
        <v>958925</v>
      </c>
      <c r="P83" s="60">
        <v>5095569</v>
      </c>
      <c r="Q83" s="60">
        <v>0</v>
      </c>
      <c r="R83" s="60">
        <v>5095569</v>
      </c>
      <c r="S83" s="61" t="s">
        <v>99</v>
      </c>
      <c r="T83" s="60"/>
      <c r="U83" s="61">
        <v>2005</v>
      </c>
      <c r="V83" s="58" t="s">
        <v>100</v>
      </c>
      <c r="W83" s="62">
        <v>12</v>
      </c>
      <c r="X83" s="62">
        <v>12</v>
      </c>
      <c r="Y83" s="62">
        <f>MAX(W83,X83)</f>
        <v>12</v>
      </c>
      <c r="Z83" s="61">
        <v>2003</v>
      </c>
      <c r="AA83" s="63">
        <v>37469</v>
      </c>
      <c r="AB83" s="63">
        <v>37681</v>
      </c>
      <c r="AC83" s="64">
        <v>38572</v>
      </c>
      <c r="AD83" s="65">
        <f t="shared" si="9"/>
        <v>2004</v>
      </c>
      <c r="AE83" s="58" t="s">
        <v>371</v>
      </c>
      <c r="AF83" s="66">
        <f>LOOKUP(AD83,'2018 Escalator'!$A$9:$A$41,'2018 Escalator'!$G$9:$G$41)</f>
        <v>1.483782020350688</v>
      </c>
      <c r="AG83" s="60">
        <f t="shared" si="12"/>
        <v>7560713.6656563347</v>
      </c>
      <c r="AH83" s="60">
        <f t="shared" si="13"/>
        <v>7560713.6656563347</v>
      </c>
      <c r="AI83" s="62">
        <v>30</v>
      </c>
      <c r="AJ83" s="62">
        <f t="shared" si="14"/>
        <v>30</v>
      </c>
      <c r="AK83" s="62">
        <f t="shared" si="15"/>
        <v>27</v>
      </c>
    </row>
    <row r="84" spans="1:37" x14ac:dyDescent="0.2">
      <c r="A84" s="74">
        <v>769</v>
      </c>
      <c r="B84" s="58" t="s">
        <v>372</v>
      </c>
      <c r="C84" s="58" t="s">
        <v>108</v>
      </c>
      <c r="D84" s="58" t="s">
        <v>373</v>
      </c>
      <c r="E84" s="58" t="s">
        <v>374</v>
      </c>
      <c r="F84" s="58" t="s">
        <v>375</v>
      </c>
      <c r="G84" s="58" t="s">
        <v>107</v>
      </c>
      <c r="H84" s="58">
        <v>2</v>
      </c>
      <c r="I84" s="58">
        <v>265</v>
      </c>
      <c r="J84" s="58">
        <v>75</v>
      </c>
      <c r="K84" s="58" t="s">
        <v>98</v>
      </c>
      <c r="L84" s="59">
        <v>0</v>
      </c>
      <c r="M84" s="60">
        <f>18935671</f>
        <v>18935671</v>
      </c>
      <c r="N84" s="60">
        <v>219940</v>
      </c>
      <c r="O84" s="60">
        <v>3195580</v>
      </c>
      <c r="P84" s="60">
        <f>SUM(M84:O84)</f>
        <v>22351191</v>
      </c>
      <c r="Q84" s="60">
        <f>P84-R84</f>
        <v>12617507</v>
      </c>
      <c r="R84" s="60">
        <v>9733684</v>
      </c>
      <c r="S84" s="61" t="s">
        <v>129</v>
      </c>
      <c r="T84" s="60">
        <v>6095642</v>
      </c>
      <c r="U84" s="61">
        <v>2011</v>
      </c>
      <c r="V84" s="58" t="s">
        <v>100</v>
      </c>
      <c r="W84" s="62">
        <v>40</v>
      </c>
      <c r="X84" s="62">
        <v>40</v>
      </c>
      <c r="Y84" s="62">
        <f>MAX(W84,X84)</f>
        <v>40</v>
      </c>
      <c r="Z84" s="61">
        <v>2007</v>
      </c>
      <c r="AA84" s="63">
        <v>39417</v>
      </c>
      <c r="AB84" s="63">
        <v>39783</v>
      </c>
      <c r="AC84" s="64">
        <v>40422</v>
      </c>
      <c r="AD84" s="65">
        <f t="shared" si="9"/>
        <v>2009</v>
      </c>
      <c r="AF84" s="66">
        <f>LOOKUP(AD84,'2018 Escalator'!$A$9:$A$41,'2018 Escalator'!$G$9:$G$41)</f>
        <v>1.1803081251084759</v>
      </c>
      <c r="AG84" s="60">
        <f t="shared" si="12"/>
        <v>26381292.343151443</v>
      </c>
      <c r="AH84" s="60">
        <f t="shared" si="13"/>
        <v>33576028.123503923</v>
      </c>
      <c r="AI84" s="62">
        <v>150</v>
      </c>
      <c r="AJ84" s="62">
        <f t="shared" si="14"/>
        <v>150</v>
      </c>
      <c r="AK84" s="62">
        <f t="shared" si="15"/>
        <v>135</v>
      </c>
    </row>
    <row r="85" spans="1:37" x14ac:dyDescent="0.2">
      <c r="A85" s="70">
        <v>948</v>
      </c>
      <c r="B85" s="58" t="s">
        <v>131</v>
      </c>
      <c r="C85" s="58" t="s">
        <v>132</v>
      </c>
      <c r="D85" s="58" t="s">
        <v>376</v>
      </c>
      <c r="E85" s="68" t="s">
        <v>377</v>
      </c>
      <c r="F85" s="58" t="s">
        <v>378</v>
      </c>
      <c r="G85" s="58" t="s">
        <v>379</v>
      </c>
      <c r="H85" s="58">
        <v>2</v>
      </c>
      <c r="I85" s="58">
        <v>240</v>
      </c>
      <c r="J85" s="58">
        <f>125*2</f>
        <v>250</v>
      </c>
      <c r="K85" s="58" t="s">
        <v>98</v>
      </c>
      <c r="L85" s="59">
        <v>3.5</v>
      </c>
      <c r="M85" s="60">
        <f>4665074+54371</f>
        <v>4719445</v>
      </c>
      <c r="N85" s="60">
        <v>4563198</v>
      </c>
      <c r="O85" s="60">
        <f>637974+1315282+1062539</f>
        <v>3015795</v>
      </c>
      <c r="P85" s="60">
        <f>SUM(M85:O85)</f>
        <v>12298438</v>
      </c>
      <c r="Q85" s="60">
        <f t="shared" ref="Q85:Q101" si="16">P85-R85</f>
        <v>9844250</v>
      </c>
      <c r="R85" s="60">
        <v>2454188</v>
      </c>
      <c r="S85" s="61" t="s">
        <v>99</v>
      </c>
      <c r="T85" s="60"/>
      <c r="U85" s="61">
        <v>2015</v>
      </c>
      <c r="V85" s="58" t="s">
        <v>100</v>
      </c>
      <c r="W85" s="62">
        <v>7</v>
      </c>
      <c r="X85" s="62">
        <v>57</v>
      </c>
      <c r="Y85" s="62">
        <f>MAX(W85,X85)</f>
        <v>57</v>
      </c>
      <c r="Z85" s="61">
        <v>2014</v>
      </c>
      <c r="AA85" s="63">
        <v>40035</v>
      </c>
      <c r="AB85" s="63">
        <v>41459.504166666666</v>
      </c>
      <c r="AC85" s="64">
        <v>42095</v>
      </c>
      <c r="AD85" s="65">
        <f>YEAR(AC85)-1</f>
        <v>2014</v>
      </c>
      <c r="AF85" s="66">
        <f>LOOKUP(AD85,'2018 Escalator'!$A$9:$A$41,'2018 Escalator'!$G$9:$G$41)</f>
        <v>1.0288837306891399</v>
      </c>
      <c r="AG85" s="60">
        <f t="shared" si="12"/>
        <v>12653662.771089084</v>
      </c>
      <c r="AH85" s="60">
        <f t="shared" si="13"/>
        <v>12653662.771089084</v>
      </c>
      <c r="AI85" s="62">
        <v>250</v>
      </c>
      <c r="AJ85" s="62">
        <f t="shared" si="14"/>
        <v>250</v>
      </c>
      <c r="AK85" s="62">
        <f t="shared" si="15"/>
        <v>225</v>
      </c>
    </row>
    <row r="86" spans="1:37" x14ac:dyDescent="0.2">
      <c r="A86" s="70">
        <v>1128</v>
      </c>
      <c r="B86" s="58" t="s">
        <v>131</v>
      </c>
      <c r="C86" s="69" t="s">
        <v>132</v>
      </c>
      <c r="D86" s="69" t="s">
        <v>380</v>
      </c>
      <c r="E86" s="69" t="s">
        <v>381</v>
      </c>
      <c r="F86" s="58" t="s">
        <v>382</v>
      </c>
      <c r="G86" s="68" t="s">
        <v>316</v>
      </c>
      <c r="H86" s="58">
        <v>2</v>
      </c>
      <c r="I86" s="58">
        <v>144</v>
      </c>
      <c r="J86" s="58">
        <f>250*2</f>
        <v>500</v>
      </c>
      <c r="K86" s="58" t="s">
        <v>98</v>
      </c>
      <c r="L86" s="59">
        <v>4</v>
      </c>
      <c r="M86" s="60">
        <v>28524075</v>
      </c>
      <c r="N86" s="60">
        <v>18496135.474490799</v>
      </c>
      <c r="O86" s="60">
        <f>372039+1334675+5385839+61761+5612493</f>
        <v>12766807</v>
      </c>
      <c r="P86" s="60">
        <f t="shared" ref="P86:P97" si="17">SUM(M86:O86)</f>
        <v>59787017.474490799</v>
      </c>
      <c r="Q86" s="60">
        <f t="shared" si="16"/>
        <v>47903119.474490799</v>
      </c>
      <c r="R86" s="60">
        <v>11883898</v>
      </c>
      <c r="S86" s="61" t="s">
        <v>99</v>
      </c>
      <c r="T86" s="60"/>
      <c r="U86" s="61">
        <v>2016</v>
      </c>
      <c r="V86" s="58" t="s">
        <v>100</v>
      </c>
      <c r="W86" s="62">
        <v>10.4</v>
      </c>
      <c r="X86" s="62">
        <v>45</v>
      </c>
      <c r="Y86" s="62">
        <f t="shared" ref="Y86:Y101" si="18">MAX(W86,X86)</f>
        <v>45</v>
      </c>
      <c r="Z86" s="61">
        <v>2013</v>
      </c>
      <c r="AA86" s="63">
        <v>40518</v>
      </c>
      <c r="AB86" s="63">
        <v>40620</v>
      </c>
      <c r="AC86" s="64">
        <v>41687</v>
      </c>
      <c r="AD86" s="65">
        <f t="shared" ref="AD86:AD101" si="19">YEAR(AC86)-1</f>
        <v>2013</v>
      </c>
      <c r="AF86" s="66">
        <f>LOOKUP(AD86,'2018 Escalator'!$A$9:$A$41,'2018 Escalator'!$G$9:$G$41)</f>
        <v>1.0630440922306721</v>
      </c>
      <c r="AG86" s="60">
        <f t="shared" si="12"/>
        <v>63556235.718349397</v>
      </c>
      <c r="AH86" s="60">
        <f t="shared" si="13"/>
        <v>63556235.718349397</v>
      </c>
      <c r="AI86" s="62">
        <f>125*2</f>
        <v>250</v>
      </c>
      <c r="AJ86" s="62">
        <f t="shared" si="14"/>
        <v>250</v>
      </c>
      <c r="AK86" s="62">
        <f t="shared" si="15"/>
        <v>225</v>
      </c>
    </row>
    <row r="87" spans="1:37" x14ac:dyDescent="0.2">
      <c r="A87" s="57">
        <v>1214</v>
      </c>
      <c r="B87" s="58" t="s">
        <v>131</v>
      </c>
      <c r="C87" s="69" t="s">
        <v>132</v>
      </c>
      <c r="D87" s="58" t="s">
        <v>383</v>
      </c>
      <c r="E87" s="69" t="s">
        <v>384</v>
      </c>
      <c r="F87" s="69" t="s">
        <v>385</v>
      </c>
      <c r="G87" s="69" t="s">
        <v>143</v>
      </c>
      <c r="H87" s="58">
        <v>2</v>
      </c>
      <c r="I87" s="58">
        <v>144</v>
      </c>
      <c r="J87" s="58">
        <f>50*2</f>
        <v>100</v>
      </c>
      <c r="K87" s="58" t="s">
        <v>98</v>
      </c>
      <c r="L87" s="59">
        <v>7</v>
      </c>
      <c r="M87" s="60">
        <f>12392931+430472</f>
        <v>12823403</v>
      </c>
      <c r="N87" s="60">
        <v>3564279</v>
      </c>
      <c r="O87" s="60">
        <f>720776+2207496+43838+1929725</f>
        <v>4901835</v>
      </c>
      <c r="P87" s="60">
        <f t="shared" si="17"/>
        <v>21289517</v>
      </c>
      <c r="Q87" s="60">
        <f t="shared" si="16"/>
        <v>19225977</v>
      </c>
      <c r="R87" s="60">
        <v>2063540</v>
      </c>
      <c r="S87" s="61" t="s">
        <v>99</v>
      </c>
      <c r="T87" s="60"/>
      <c r="U87" s="61">
        <v>2015</v>
      </c>
      <c r="V87" s="58" t="s">
        <v>100</v>
      </c>
      <c r="W87" s="62">
        <v>4</v>
      </c>
      <c r="X87" s="62">
        <v>52</v>
      </c>
      <c r="Y87" s="62">
        <f t="shared" si="18"/>
        <v>52</v>
      </c>
      <c r="Z87" s="61">
        <v>2013</v>
      </c>
      <c r="AA87" s="63">
        <v>40648</v>
      </c>
      <c r="AB87" s="63">
        <v>41452.464583333334</v>
      </c>
      <c r="AC87" s="64">
        <v>41913</v>
      </c>
      <c r="AD87" s="65">
        <f t="shared" si="19"/>
        <v>2013</v>
      </c>
      <c r="AF87" s="66">
        <f>LOOKUP(AD87,'2018 Escalator'!$A$9:$A$41,'2018 Escalator'!$G$9:$G$41)</f>
        <v>1.0630440922306721</v>
      </c>
      <c r="AG87" s="60">
        <f t="shared" si="12"/>
        <v>22631695.27329446</v>
      </c>
      <c r="AH87" s="60">
        <f t="shared" si="13"/>
        <v>22631695.27329446</v>
      </c>
      <c r="AI87" s="62">
        <f>2*50</f>
        <v>100</v>
      </c>
      <c r="AJ87" s="62">
        <f t="shared" si="14"/>
        <v>100</v>
      </c>
      <c r="AK87" s="62">
        <f t="shared" si="15"/>
        <v>90</v>
      </c>
    </row>
    <row r="88" spans="1:37" x14ac:dyDescent="0.2">
      <c r="A88" s="57">
        <v>1225</v>
      </c>
      <c r="B88" s="58" t="s">
        <v>131</v>
      </c>
      <c r="C88" s="69" t="s">
        <v>132</v>
      </c>
      <c r="D88" s="58" t="s">
        <v>386</v>
      </c>
      <c r="E88" s="68" t="s">
        <v>387</v>
      </c>
      <c r="F88" s="68" t="s">
        <v>388</v>
      </c>
      <c r="G88" s="69" t="s">
        <v>143</v>
      </c>
      <c r="H88" s="58">
        <v>1</v>
      </c>
      <c r="I88" s="58">
        <v>144</v>
      </c>
      <c r="J88" s="58">
        <v>42</v>
      </c>
      <c r="K88" s="58" t="s">
        <v>98</v>
      </c>
      <c r="L88" s="59">
        <v>9</v>
      </c>
      <c r="M88" s="60">
        <f>6404834+222901</f>
        <v>6627735</v>
      </c>
      <c r="N88" s="60">
        <v>6523446</v>
      </c>
      <c r="O88" s="60">
        <f>1162398+1860283+0+1939648</f>
        <v>4962329</v>
      </c>
      <c r="P88" s="60">
        <f t="shared" si="17"/>
        <v>18113510</v>
      </c>
      <c r="Q88" s="60">
        <f t="shared" si="16"/>
        <v>9092510</v>
      </c>
      <c r="R88" s="60">
        <v>9021000</v>
      </c>
      <c r="S88" s="61" t="s">
        <v>99</v>
      </c>
      <c r="T88" s="60"/>
      <c r="U88" s="61">
        <v>2016</v>
      </c>
      <c r="V88" s="58" t="s">
        <v>100</v>
      </c>
      <c r="W88" s="62">
        <v>12</v>
      </c>
      <c r="X88" s="62">
        <v>20</v>
      </c>
      <c r="Y88" s="62">
        <f t="shared" si="18"/>
        <v>20</v>
      </c>
      <c r="Z88" s="61">
        <v>2013</v>
      </c>
      <c r="AA88" s="63">
        <v>40668</v>
      </c>
      <c r="AB88" s="63">
        <v>41688</v>
      </c>
      <c r="AC88" s="64">
        <v>42217</v>
      </c>
      <c r="AD88" s="65">
        <f t="shared" si="19"/>
        <v>2014</v>
      </c>
      <c r="AF88" s="66">
        <f>LOOKUP(AD88,'2018 Escalator'!$A$9:$A$41,'2018 Escalator'!$G$9:$G$41)</f>
        <v>1.0288837306891399</v>
      </c>
      <c r="AG88" s="60">
        <f t="shared" si="12"/>
        <v>18636695.74467504</v>
      </c>
      <c r="AH88" s="60">
        <f t="shared" si="13"/>
        <v>18636695.74467504</v>
      </c>
      <c r="AI88" s="62">
        <v>42</v>
      </c>
      <c r="AJ88" s="62">
        <f t="shared" si="14"/>
        <v>42</v>
      </c>
      <c r="AK88" s="62">
        <f t="shared" si="15"/>
        <v>37.800000000000004</v>
      </c>
    </row>
    <row r="89" spans="1:37" x14ac:dyDescent="0.2">
      <c r="A89" s="57">
        <v>1263</v>
      </c>
      <c r="B89" s="58" t="s">
        <v>389</v>
      </c>
      <c r="C89" s="58" t="s">
        <v>108</v>
      </c>
      <c r="D89" s="58" t="s">
        <v>390</v>
      </c>
      <c r="E89" s="68" t="s">
        <v>391</v>
      </c>
      <c r="F89" s="68" t="s">
        <v>392</v>
      </c>
      <c r="G89" s="68" t="s">
        <v>116</v>
      </c>
      <c r="H89" s="58">
        <v>1</v>
      </c>
      <c r="I89" s="58">
        <v>138</v>
      </c>
      <c r="J89" s="58">
        <v>30</v>
      </c>
      <c r="K89" s="58" t="s">
        <v>98</v>
      </c>
      <c r="L89" s="59">
        <v>2</v>
      </c>
      <c r="M89" s="60">
        <f>11135760+155520+190031+179872+53706+34148+201312+260473</f>
        <v>12210822</v>
      </c>
      <c r="N89" s="60">
        <f>2544085+267284+100328+248254</f>
        <v>3159951</v>
      </c>
      <c r="O89" s="60">
        <f>1118476+958188+0+944782-1+210177+366506+6592+125406</f>
        <v>3730126</v>
      </c>
      <c r="P89" s="60">
        <f t="shared" si="17"/>
        <v>19100899</v>
      </c>
      <c r="Q89" s="60">
        <f t="shared" si="16"/>
        <v>13408518</v>
      </c>
      <c r="R89" s="60">
        <v>5692381</v>
      </c>
      <c r="S89" s="61" t="s">
        <v>99</v>
      </c>
      <c r="T89" s="60"/>
      <c r="U89" s="61">
        <v>2017</v>
      </c>
      <c r="V89" s="68" t="s">
        <v>100</v>
      </c>
      <c r="W89" s="62">
        <v>2</v>
      </c>
      <c r="X89" s="62">
        <v>8</v>
      </c>
      <c r="Y89" s="62">
        <f t="shared" si="18"/>
        <v>8</v>
      </c>
      <c r="Z89" s="61">
        <v>2013</v>
      </c>
      <c r="AA89" s="63">
        <v>40805</v>
      </c>
      <c r="AB89" s="63">
        <v>41620</v>
      </c>
      <c r="AC89" s="64">
        <v>42446</v>
      </c>
      <c r="AD89" s="65">
        <f t="shared" si="19"/>
        <v>2015</v>
      </c>
      <c r="AF89" s="66">
        <f>LOOKUP(AD89,'2018 Escalator'!$A$9:$A$41,'2018 Escalator'!$G$9:$G$41)</f>
        <v>1.0267399975608473</v>
      </c>
      <c r="AG89" s="60">
        <f t="shared" si="12"/>
        <v>19611656.992669992</v>
      </c>
      <c r="AH89" s="60">
        <f t="shared" si="13"/>
        <v>19611656.992669992</v>
      </c>
      <c r="AI89" s="62">
        <v>30</v>
      </c>
      <c r="AJ89" s="62">
        <f t="shared" si="14"/>
        <v>30</v>
      </c>
      <c r="AK89" s="62">
        <f t="shared" si="15"/>
        <v>27</v>
      </c>
    </row>
    <row r="90" spans="1:37" x14ac:dyDescent="0.2">
      <c r="A90" s="57">
        <v>1309</v>
      </c>
      <c r="B90" s="58" t="s">
        <v>131</v>
      </c>
      <c r="C90" s="69" t="s">
        <v>132</v>
      </c>
      <c r="D90" s="58" t="s">
        <v>393</v>
      </c>
      <c r="E90" s="68" t="s">
        <v>394</v>
      </c>
      <c r="F90" s="68" t="s">
        <v>395</v>
      </c>
      <c r="G90" s="68" t="s">
        <v>143</v>
      </c>
      <c r="H90" s="58">
        <v>1</v>
      </c>
      <c r="I90" s="58">
        <v>144</v>
      </c>
      <c r="J90" s="58">
        <v>50</v>
      </c>
      <c r="K90" s="58" t="s">
        <v>98</v>
      </c>
      <c r="L90" s="59">
        <v>1</v>
      </c>
      <c r="M90" s="60">
        <f>7821662+249859</f>
        <v>8071521</v>
      </c>
      <c r="N90" s="60">
        <v>3376686.5255092001</v>
      </c>
      <c r="O90" s="60">
        <f>1007661+1784924+0+1416307-1</f>
        <v>4208891</v>
      </c>
      <c r="P90" s="60">
        <f t="shared" si="17"/>
        <v>15657098.525509201</v>
      </c>
      <c r="Q90" s="60">
        <f t="shared" si="16"/>
        <v>7952527.525509201</v>
      </c>
      <c r="R90" s="60">
        <v>7704571</v>
      </c>
      <c r="S90" s="61" t="s">
        <v>99</v>
      </c>
      <c r="T90" s="60"/>
      <c r="U90" s="61">
        <v>2015</v>
      </c>
      <c r="V90" s="58" t="s">
        <v>306</v>
      </c>
      <c r="W90" s="62">
        <v>7.5</v>
      </c>
      <c r="X90" s="62">
        <v>15</v>
      </c>
      <c r="Y90" s="62">
        <f t="shared" si="18"/>
        <v>15</v>
      </c>
      <c r="Z90" s="61">
        <v>2013</v>
      </c>
      <c r="AA90" s="63">
        <v>40949</v>
      </c>
      <c r="AB90" s="63">
        <v>41745</v>
      </c>
      <c r="AC90" s="64">
        <v>42125</v>
      </c>
      <c r="AD90" s="65">
        <f t="shared" si="19"/>
        <v>2014</v>
      </c>
      <c r="AF90" s="66">
        <f>LOOKUP(AD90,'2018 Escalator'!$A$9:$A$41,'2018 Escalator'!$G$9:$G$41)</f>
        <v>1.0288837306891399</v>
      </c>
      <c r="AG90" s="60">
        <f t="shared" si="12"/>
        <v>16109333.942693338</v>
      </c>
      <c r="AH90" s="60">
        <f t="shared" si="13"/>
        <v>16109333.942693338</v>
      </c>
      <c r="AI90" s="62">
        <f>1*50</f>
        <v>50</v>
      </c>
      <c r="AJ90" s="62">
        <f t="shared" si="14"/>
        <v>50</v>
      </c>
      <c r="AK90" s="62">
        <f t="shared" si="15"/>
        <v>45</v>
      </c>
    </row>
    <row r="91" spans="1:37" x14ac:dyDescent="0.2">
      <c r="A91" s="57">
        <v>1349</v>
      </c>
      <c r="B91" s="58" t="s">
        <v>92</v>
      </c>
      <c r="C91" s="69" t="s">
        <v>132</v>
      </c>
      <c r="D91" s="58" t="s">
        <v>396</v>
      </c>
      <c r="E91" s="68" t="s">
        <v>397</v>
      </c>
      <c r="F91" s="68" t="s">
        <v>398</v>
      </c>
      <c r="G91" s="68" t="s">
        <v>121</v>
      </c>
      <c r="H91" s="58">
        <v>1</v>
      </c>
      <c r="I91" s="58">
        <v>138</v>
      </c>
      <c r="J91" s="58">
        <v>33</v>
      </c>
      <c r="K91" s="58" t="s">
        <v>98</v>
      </c>
      <c r="L91" s="59">
        <v>0.1</v>
      </c>
      <c r="M91" s="60">
        <f>5790279+221261</f>
        <v>6011540</v>
      </c>
      <c r="N91" s="60">
        <v>502820</v>
      </c>
      <c r="O91" s="60">
        <f>328839+1623587+0+249410</f>
        <v>2201836</v>
      </c>
      <c r="P91" s="60">
        <f t="shared" si="17"/>
        <v>8716196</v>
      </c>
      <c r="Q91" s="60">
        <f t="shared" si="16"/>
        <v>5247196</v>
      </c>
      <c r="R91" s="60">
        <v>3469000</v>
      </c>
      <c r="S91" s="61" t="s">
        <v>99</v>
      </c>
      <c r="T91" s="60"/>
      <c r="U91" s="61">
        <v>2015</v>
      </c>
      <c r="V91" s="68" t="s">
        <v>100</v>
      </c>
      <c r="W91" s="62">
        <v>14</v>
      </c>
      <c r="X91" s="62">
        <v>34</v>
      </c>
      <c r="Y91" s="62">
        <f t="shared" si="18"/>
        <v>34</v>
      </c>
      <c r="Z91" s="61">
        <v>2013</v>
      </c>
      <c r="AA91" s="63">
        <v>41108</v>
      </c>
      <c r="AB91" s="63">
        <v>41715.364583333336</v>
      </c>
      <c r="AC91" s="64">
        <v>42096</v>
      </c>
      <c r="AD91" s="65">
        <f t="shared" si="19"/>
        <v>2014</v>
      </c>
      <c r="AE91" s="69" t="s">
        <v>399</v>
      </c>
      <c r="AF91" s="66">
        <f>LOOKUP(AD91,'2018 Escalator'!$A$9:$A$41,'2018 Escalator'!$G$9:$G$41)</f>
        <v>1.0288837306891399</v>
      </c>
      <c r="AG91" s="60">
        <f t="shared" si="12"/>
        <v>8967952.2578977589</v>
      </c>
      <c r="AH91" s="60">
        <f t="shared" si="13"/>
        <v>8967952.2578977589</v>
      </c>
      <c r="AI91" s="62">
        <f>1*33</f>
        <v>33</v>
      </c>
      <c r="AJ91" s="62">
        <f t="shared" si="14"/>
        <v>33</v>
      </c>
      <c r="AK91" s="62">
        <f t="shared" si="15"/>
        <v>29.7</v>
      </c>
    </row>
    <row r="92" spans="1:37" x14ac:dyDescent="0.2">
      <c r="A92" s="57">
        <v>1358</v>
      </c>
      <c r="B92" s="58" t="s">
        <v>92</v>
      </c>
      <c r="C92" s="69" t="s">
        <v>132</v>
      </c>
      <c r="D92" s="58" t="s">
        <v>400</v>
      </c>
      <c r="E92" s="68" t="s">
        <v>401</v>
      </c>
      <c r="F92" s="69" t="s">
        <v>161</v>
      </c>
      <c r="G92" s="68" t="s">
        <v>121</v>
      </c>
      <c r="H92" s="58">
        <v>2</v>
      </c>
      <c r="I92" s="58">
        <v>138</v>
      </c>
      <c r="J92" s="58">
        <f>33*2</f>
        <v>66</v>
      </c>
      <c r="K92" s="58" t="s">
        <v>98</v>
      </c>
      <c r="L92" s="59">
        <v>0.3</v>
      </c>
      <c r="M92" s="60">
        <f>7566668+602597</f>
        <v>8169265</v>
      </c>
      <c r="N92" s="60">
        <v>1438172</v>
      </c>
      <c r="O92" s="60">
        <f>403352+1929290+0+357299</f>
        <v>2689941</v>
      </c>
      <c r="P92" s="60">
        <f t="shared" si="17"/>
        <v>12297378</v>
      </c>
      <c r="Q92" s="60">
        <f t="shared" si="16"/>
        <v>2590208</v>
      </c>
      <c r="R92" s="60">
        <v>9707170</v>
      </c>
      <c r="S92" s="61" t="s">
        <v>99</v>
      </c>
      <c r="T92" s="60"/>
      <c r="U92" s="61">
        <v>2015</v>
      </c>
      <c r="V92" s="68" t="s">
        <v>100</v>
      </c>
      <c r="W92" s="62">
        <v>5</v>
      </c>
      <c r="X92" s="62">
        <v>27</v>
      </c>
      <c r="Y92" s="62">
        <f t="shared" si="18"/>
        <v>27</v>
      </c>
      <c r="Z92" s="61">
        <v>2013</v>
      </c>
      <c r="AA92" s="63">
        <v>41176</v>
      </c>
      <c r="AB92" s="63">
        <v>41443.585416666669</v>
      </c>
      <c r="AC92" s="64">
        <v>41914</v>
      </c>
      <c r="AD92" s="65">
        <f t="shared" si="19"/>
        <v>2013</v>
      </c>
      <c r="AF92" s="66">
        <f>LOOKUP(AD92,'2018 Escalator'!$A$9:$A$41,'2018 Escalator'!$G$9:$G$41)</f>
        <v>1.0630440922306721</v>
      </c>
      <c r="AG92" s="60">
        <f t="shared" si="12"/>
        <v>13072655.032827439</v>
      </c>
      <c r="AH92" s="60">
        <f t="shared" si="13"/>
        <v>13072655.032827439</v>
      </c>
      <c r="AI92" s="62">
        <v>66</v>
      </c>
      <c r="AJ92" s="62">
        <f t="shared" si="14"/>
        <v>66</v>
      </c>
      <c r="AK92" s="62">
        <f t="shared" si="15"/>
        <v>59.4</v>
      </c>
    </row>
    <row r="93" spans="1:37" x14ac:dyDescent="0.2">
      <c r="A93" s="57">
        <v>1404</v>
      </c>
      <c r="B93" s="68" t="s">
        <v>131</v>
      </c>
      <c r="C93" s="68" t="s">
        <v>132</v>
      </c>
      <c r="D93" s="58" t="s">
        <v>402</v>
      </c>
      <c r="E93" s="68" t="s">
        <v>403</v>
      </c>
      <c r="F93" s="68" t="s">
        <v>404</v>
      </c>
      <c r="G93" s="68" t="s">
        <v>107</v>
      </c>
      <c r="H93" s="58">
        <v>2</v>
      </c>
      <c r="I93" s="58">
        <v>240</v>
      </c>
      <c r="J93" s="58">
        <f>83.88*2</f>
        <v>167.76</v>
      </c>
      <c r="K93" s="58" t="s">
        <v>98</v>
      </c>
      <c r="L93" s="59">
        <v>12</v>
      </c>
      <c r="M93" s="60">
        <f>420321+521094</f>
        <v>941415</v>
      </c>
      <c r="N93" s="60">
        <f>16342241</f>
        <v>16342241</v>
      </c>
      <c r="O93" s="60">
        <f>1991664+12457745+1903984+338497</f>
        <v>16691890</v>
      </c>
      <c r="P93" s="60">
        <f t="shared" si="17"/>
        <v>33975546</v>
      </c>
      <c r="Q93" s="60">
        <f t="shared" si="16"/>
        <v>31525196</v>
      </c>
      <c r="R93" s="60">
        <v>2450350</v>
      </c>
      <c r="S93" s="61" t="s">
        <v>99</v>
      </c>
      <c r="T93" s="60"/>
      <c r="U93" s="61">
        <v>2015</v>
      </c>
      <c r="V93" s="68" t="s">
        <v>213</v>
      </c>
      <c r="W93" s="62">
        <v>35</v>
      </c>
      <c r="X93" s="62">
        <v>35</v>
      </c>
      <c r="Y93" s="62">
        <f t="shared" si="18"/>
        <v>35</v>
      </c>
      <c r="Z93" s="61">
        <v>2013</v>
      </c>
      <c r="AA93" s="63">
        <v>41290</v>
      </c>
      <c r="AB93" s="63">
        <v>42170</v>
      </c>
      <c r="AC93" s="64">
        <v>42887</v>
      </c>
      <c r="AD93" s="65">
        <f t="shared" si="19"/>
        <v>2016</v>
      </c>
      <c r="AF93" s="66">
        <f>LOOKUP(AD93,'2018 Escalator'!$A$9:$A$41,'2018 Escalator'!$G$9:$G$41)</f>
        <v>1.038286218119775</v>
      </c>
      <c r="AG93" s="60">
        <f t="shared" si="12"/>
        <v>35276341.164894447</v>
      </c>
      <c r="AH93" s="60">
        <f t="shared" si="13"/>
        <v>35276341.164894447</v>
      </c>
      <c r="AI93" s="62">
        <f>2*83.88</f>
        <v>167.76</v>
      </c>
      <c r="AJ93" s="62">
        <f t="shared" si="14"/>
        <v>167.76</v>
      </c>
      <c r="AK93" s="62">
        <f t="shared" si="15"/>
        <v>150.98400000000001</v>
      </c>
    </row>
    <row r="94" spans="1:37" x14ac:dyDescent="0.2">
      <c r="A94" s="57">
        <v>1482</v>
      </c>
      <c r="B94" s="68" t="s">
        <v>131</v>
      </c>
      <c r="C94" s="69" t="s">
        <v>132</v>
      </c>
      <c r="D94" s="69" t="s">
        <v>405</v>
      </c>
      <c r="E94" s="69" t="s">
        <v>406</v>
      </c>
      <c r="F94" s="68" t="s">
        <v>407</v>
      </c>
      <c r="G94" s="68" t="s">
        <v>107</v>
      </c>
      <c r="H94" s="58">
        <v>2</v>
      </c>
      <c r="I94" s="58">
        <v>240</v>
      </c>
      <c r="J94" s="58">
        <v>100</v>
      </c>
      <c r="K94" s="58" t="s">
        <v>98</v>
      </c>
      <c r="L94" s="59">
        <v>1.4</v>
      </c>
      <c r="M94" s="60">
        <f>10085700+170132</f>
        <v>10255832</v>
      </c>
      <c r="N94" s="60">
        <v>2858153</v>
      </c>
      <c r="O94" s="60">
        <f>902480+1966306+32987+2261308-1</f>
        <v>5163080</v>
      </c>
      <c r="P94" s="60">
        <f t="shared" si="17"/>
        <v>18277065</v>
      </c>
      <c r="Q94" s="60">
        <f t="shared" si="16"/>
        <v>11237565</v>
      </c>
      <c r="R94" s="60">
        <v>7039500</v>
      </c>
      <c r="S94" s="61" t="s">
        <v>99</v>
      </c>
      <c r="T94" s="60"/>
      <c r="U94" s="61">
        <v>2017</v>
      </c>
      <c r="V94" s="69" t="s">
        <v>408</v>
      </c>
      <c r="W94" s="62">
        <v>1.6</v>
      </c>
      <c r="X94" s="62">
        <v>18.399999999999999</v>
      </c>
      <c r="Y94" s="62">
        <f t="shared" si="18"/>
        <v>18.399999999999999</v>
      </c>
      <c r="Z94" s="61">
        <v>2013</v>
      </c>
      <c r="AA94" s="63">
        <v>41520</v>
      </c>
      <c r="AB94" s="63">
        <v>41933</v>
      </c>
      <c r="AC94" s="64">
        <v>42675</v>
      </c>
      <c r="AD94" s="65">
        <f t="shared" si="19"/>
        <v>2015</v>
      </c>
      <c r="AE94" s="68"/>
      <c r="AF94" s="66">
        <f>LOOKUP(AD94,'2018 Escalator'!$A$9:$A$41,'2018 Escalator'!$G$9:$G$41)</f>
        <v>1.0267399975608473</v>
      </c>
      <c r="AG94" s="60">
        <f t="shared" si="12"/>
        <v>18765793.673519447</v>
      </c>
      <c r="AH94" s="60">
        <f t="shared" si="13"/>
        <v>18765793.673519447</v>
      </c>
      <c r="AI94" s="62">
        <f>50*2</f>
        <v>100</v>
      </c>
      <c r="AJ94" s="62">
        <f t="shared" si="14"/>
        <v>100</v>
      </c>
      <c r="AK94" s="62">
        <f t="shared" si="15"/>
        <v>90</v>
      </c>
    </row>
    <row r="95" spans="1:37" x14ac:dyDescent="0.2">
      <c r="A95" s="57">
        <v>1515</v>
      </c>
      <c r="B95" s="68" t="s">
        <v>92</v>
      </c>
      <c r="C95" s="68" t="s">
        <v>108</v>
      </c>
      <c r="D95" s="69" t="s">
        <v>409</v>
      </c>
      <c r="E95" s="69" t="s">
        <v>410</v>
      </c>
      <c r="F95" s="68" t="s">
        <v>411</v>
      </c>
      <c r="G95" s="68" t="s">
        <v>116</v>
      </c>
      <c r="H95" s="58">
        <v>1</v>
      </c>
      <c r="I95" s="58">
        <v>138</v>
      </c>
      <c r="J95" s="58">
        <v>42</v>
      </c>
      <c r="K95" s="58" t="s">
        <v>98</v>
      </c>
      <c r="L95" s="59">
        <v>0.06</v>
      </c>
      <c r="M95" s="60">
        <f>8454309+891845</f>
        <v>9346154</v>
      </c>
      <c r="N95" s="60">
        <v>756159</v>
      </c>
      <c r="O95" s="60">
        <f>469543+1170065+0+912416</f>
        <v>2552024</v>
      </c>
      <c r="P95" s="60">
        <f t="shared" si="17"/>
        <v>12654337</v>
      </c>
      <c r="Q95" s="60">
        <f t="shared" si="16"/>
        <v>6523937</v>
      </c>
      <c r="R95" s="60">
        <v>6130400</v>
      </c>
      <c r="S95" s="61" t="s">
        <v>99</v>
      </c>
      <c r="T95" s="60"/>
      <c r="U95" s="61">
        <v>2016</v>
      </c>
      <c r="V95" s="69" t="s">
        <v>100</v>
      </c>
      <c r="W95" s="62">
        <v>7.2</v>
      </c>
      <c r="X95" s="62">
        <v>7.2</v>
      </c>
      <c r="Y95" s="62">
        <f>MAX(W95,X95)</f>
        <v>7.2</v>
      </c>
      <c r="Z95" s="61">
        <v>2013</v>
      </c>
      <c r="AA95" s="63">
        <v>41661</v>
      </c>
      <c r="AB95" s="63">
        <v>42076</v>
      </c>
      <c r="AC95" s="64">
        <v>42401</v>
      </c>
      <c r="AD95" s="65">
        <f t="shared" si="19"/>
        <v>2015</v>
      </c>
      <c r="AF95" s="66">
        <f>LOOKUP(AD95,'2018 Escalator'!$A$9:$A$41,'2018 Escalator'!$G$9:$G$41)</f>
        <v>1.0267399975608473</v>
      </c>
      <c r="AG95" s="60">
        <f t="shared" si="12"/>
        <v>12992713.94051414</v>
      </c>
      <c r="AH95" s="60">
        <f t="shared" si="13"/>
        <v>12992713.94051414</v>
      </c>
      <c r="AI95" s="62">
        <v>42</v>
      </c>
      <c r="AJ95" s="62">
        <f t="shared" si="14"/>
        <v>42</v>
      </c>
      <c r="AK95" s="62">
        <f t="shared" si="15"/>
        <v>37.800000000000004</v>
      </c>
    </row>
    <row r="96" spans="1:37" x14ac:dyDescent="0.2">
      <c r="A96" s="57">
        <v>1618</v>
      </c>
      <c r="B96" s="68" t="s">
        <v>131</v>
      </c>
      <c r="C96" s="68" t="s">
        <v>108</v>
      </c>
      <c r="D96" s="69" t="s">
        <v>412</v>
      </c>
      <c r="E96" s="68" t="s">
        <v>413</v>
      </c>
      <c r="F96" s="68" t="s">
        <v>414</v>
      </c>
      <c r="G96" s="68" t="s">
        <v>143</v>
      </c>
      <c r="H96" s="58">
        <v>1</v>
      </c>
      <c r="I96" s="58">
        <v>144</v>
      </c>
      <c r="J96" s="58">
        <v>50</v>
      </c>
      <c r="K96" s="58" t="s">
        <v>98</v>
      </c>
      <c r="L96" s="59">
        <v>4.4999999999999998E-2</v>
      </c>
      <c r="M96" s="60">
        <f>9131390+1061493</f>
        <v>10192883</v>
      </c>
      <c r="N96" s="60">
        <v>446339</v>
      </c>
      <c r="O96" s="60">
        <f>707541+1823432+10212+2196814-1</f>
        <v>4737998</v>
      </c>
      <c r="P96" s="60">
        <f t="shared" si="17"/>
        <v>15377220</v>
      </c>
      <c r="Q96" s="60">
        <f t="shared" si="16"/>
        <v>4158720</v>
      </c>
      <c r="R96" s="60">
        <v>11218500</v>
      </c>
      <c r="S96" s="61" t="s">
        <v>99</v>
      </c>
      <c r="T96" s="60"/>
      <c r="U96" s="61">
        <v>2016</v>
      </c>
      <c r="V96" s="69" t="s">
        <v>213</v>
      </c>
      <c r="W96" s="62">
        <v>21</v>
      </c>
      <c r="X96" s="62">
        <v>21</v>
      </c>
      <c r="Y96" s="62">
        <f>MAX(W96,X96)</f>
        <v>21</v>
      </c>
      <c r="Z96" s="61">
        <v>2016</v>
      </c>
      <c r="AA96" s="63">
        <v>41949</v>
      </c>
      <c r="AB96" s="63">
        <v>42558</v>
      </c>
      <c r="AC96" s="64">
        <v>42887</v>
      </c>
      <c r="AD96" s="65">
        <f t="shared" si="19"/>
        <v>2016</v>
      </c>
      <c r="AF96" s="66">
        <f>LOOKUP(AD96,'2018 Escalator'!$A$9:$A$41,'2018 Escalator'!$G$9:$G$41)</f>
        <v>1.038286218119775</v>
      </c>
      <c r="AG96" s="60">
        <f t="shared" si="12"/>
        <v>15965955.598995766</v>
      </c>
      <c r="AH96" s="60">
        <f t="shared" si="13"/>
        <v>15965955.598995766</v>
      </c>
      <c r="AI96" s="62">
        <v>50</v>
      </c>
      <c r="AJ96" s="62">
        <f t="shared" si="14"/>
        <v>50</v>
      </c>
      <c r="AK96" s="62">
        <f t="shared" si="15"/>
        <v>45</v>
      </c>
    </row>
    <row r="97" spans="1:37" x14ac:dyDescent="0.2">
      <c r="A97" s="57">
        <v>1634</v>
      </c>
      <c r="B97" s="68" t="s">
        <v>131</v>
      </c>
      <c r="C97" s="68" t="s">
        <v>108</v>
      </c>
      <c r="D97" s="58" t="s">
        <v>415</v>
      </c>
      <c r="E97" s="68" t="s">
        <v>416</v>
      </c>
      <c r="F97" s="68" t="s">
        <v>417</v>
      </c>
      <c r="G97" s="68" t="s">
        <v>143</v>
      </c>
      <c r="H97" s="58">
        <v>1</v>
      </c>
      <c r="I97" s="58">
        <v>144</v>
      </c>
      <c r="J97" s="58">
        <v>50</v>
      </c>
      <c r="K97" s="58" t="s">
        <v>98</v>
      </c>
      <c r="L97" s="59">
        <v>4</v>
      </c>
      <c r="M97" s="60">
        <f>7107846+492620</f>
        <v>7600466</v>
      </c>
      <c r="N97" s="60">
        <v>4559539</v>
      </c>
      <c r="O97" s="60">
        <f>781773+1560187+1972+2221607-1</f>
        <v>4565538</v>
      </c>
      <c r="P97" s="60">
        <f t="shared" si="17"/>
        <v>16725543</v>
      </c>
      <c r="Q97" s="60">
        <f t="shared" si="16"/>
        <v>6605143</v>
      </c>
      <c r="R97" s="60">
        <v>10120400</v>
      </c>
      <c r="S97" s="61" t="s">
        <v>99</v>
      </c>
      <c r="T97" s="60"/>
      <c r="U97" s="61">
        <v>2016</v>
      </c>
      <c r="V97" s="69" t="s">
        <v>100</v>
      </c>
      <c r="W97" s="62">
        <v>17.899999999999999</v>
      </c>
      <c r="X97" s="62">
        <v>17.899999999999999</v>
      </c>
      <c r="Y97" s="62">
        <f>MAX(W97,X97)</f>
        <v>17.899999999999999</v>
      </c>
      <c r="Z97" s="61">
        <v>2015</v>
      </c>
      <c r="AA97" s="63">
        <v>42720</v>
      </c>
      <c r="AB97" s="63">
        <v>42293</v>
      </c>
      <c r="AC97" s="64">
        <v>42692</v>
      </c>
      <c r="AD97" s="65">
        <f t="shared" si="19"/>
        <v>2015</v>
      </c>
      <c r="AF97" s="66">
        <f>LOOKUP(AD97,'2018 Escalator'!$A$9:$A$41,'2018 Escalator'!$G$9:$G$41)</f>
        <v>1.0267399975608473</v>
      </c>
      <c r="AG97" s="60">
        <f t="shared" si="12"/>
        <v>17172783.979023848</v>
      </c>
      <c r="AH97" s="60">
        <f t="shared" si="13"/>
        <v>17172783.979023848</v>
      </c>
      <c r="AI97" s="62">
        <v>50</v>
      </c>
      <c r="AJ97" s="62">
        <f t="shared" si="14"/>
        <v>50</v>
      </c>
      <c r="AK97" s="62">
        <f t="shared" si="15"/>
        <v>45</v>
      </c>
    </row>
    <row r="98" spans="1:37" x14ac:dyDescent="0.2">
      <c r="A98" s="70">
        <v>1258</v>
      </c>
      <c r="B98" s="68" t="s">
        <v>92</v>
      </c>
      <c r="C98" s="69" t="s">
        <v>132</v>
      </c>
      <c r="D98" s="58" t="s">
        <v>418</v>
      </c>
      <c r="E98" s="68" t="s">
        <v>419</v>
      </c>
      <c r="F98" s="69" t="s">
        <v>420</v>
      </c>
      <c r="G98" s="69" t="s">
        <v>116</v>
      </c>
      <c r="H98" s="58">
        <v>3</v>
      </c>
      <c r="I98" s="58">
        <v>138</v>
      </c>
      <c r="J98" s="58">
        <f>42*3</f>
        <v>126</v>
      </c>
      <c r="K98" s="58" t="s">
        <v>98</v>
      </c>
      <c r="L98" s="59">
        <v>8</v>
      </c>
      <c r="M98" s="60">
        <f>22081805+1179173</f>
        <v>23260978</v>
      </c>
      <c r="N98" s="60">
        <v>9902214</v>
      </c>
      <c r="O98" s="60">
        <f>1153799+13355868+0+3872013</f>
        <v>18381680</v>
      </c>
      <c r="P98" s="60">
        <f t="shared" ref="P98:P101" si="20">SUM(M98:O98)</f>
        <v>51544872</v>
      </c>
      <c r="Q98" s="60">
        <f t="shared" si="16"/>
        <v>36979261</v>
      </c>
      <c r="R98" s="60">
        <v>14565611</v>
      </c>
      <c r="S98" s="61" t="s">
        <v>99</v>
      </c>
      <c r="T98" s="60"/>
      <c r="U98" s="61">
        <v>2016</v>
      </c>
      <c r="V98" s="69" t="s">
        <v>213</v>
      </c>
      <c r="W98" s="62">
        <v>11</v>
      </c>
      <c r="X98" s="62">
        <v>46</v>
      </c>
      <c r="Y98" s="62">
        <f t="shared" si="18"/>
        <v>46</v>
      </c>
      <c r="Z98" s="61">
        <v>2017</v>
      </c>
      <c r="AA98" s="63">
        <v>40785</v>
      </c>
      <c r="AB98" s="63">
        <v>41590</v>
      </c>
      <c r="AC98" s="64">
        <v>43070</v>
      </c>
      <c r="AD98" s="65">
        <f t="shared" si="19"/>
        <v>2016</v>
      </c>
      <c r="AF98" s="66">
        <f>LOOKUP(AD98,'2018 Escalator'!$A$9:$A$41,'2018 Escalator'!$G$9:$G$41)</f>
        <v>1.038286218119775</v>
      </c>
      <c r="AG98" s="60">
        <f t="shared" si="12"/>
        <v>53518330.21234788</v>
      </c>
      <c r="AH98" s="60">
        <f t="shared" si="13"/>
        <v>53518330.21234788</v>
      </c>
      <c r="AI98" s="62">
        <f>42*2</f>
        <v>84</v>
      </c>
      <c r="AJ98" s="62">
        <f t="shared" si="14"/>
        <v>84</v>
      </c>
      <c r="AK98" s="62">
        <f t="shared" si="15"/>
        <v>75.600000000000009</v>
      </c>
    </row>
    <row r="99" spans="1:37" x14ac:dyDescent="0.2">
      <c r="A99" s="57">
        <v>1284</v>
      </c>
      <c r="B99" s="68" t="s">
        <v>92</v>
      </c>
      <c r="C99" s="68" t="s">
        <v>108</v>
      </c>
      <c r="D99" s="58" t="s">
        <v>421</v>
      </c>
      <c r="F99" s="68" t="s">
        <v>422</v>
      </c>
      <c r="G99" s="68" t="s">
        <v>116</v>
      </c>
      <c r="H99" s="58">
        <v>1</v>
      </c>
      <c r="I99" s="58">
        <v>138</v>
      </c>
      <c r="J99" s="58">
        <v>42</v>
      </c>
      <c r="K99" s="58" t="s">
        <v>98</v>
      </c>
      <c r="L99" s="59">
        <v>0</v>
      </c>
      <c r="M99" s="60">
        <v>5298290</v>
      </c>
      <c r="N99" s="60">
        <v>0</v>
      </c>
      <c r="O99" s="60">
        <f>341283+825220+199381</f>
        <v>1365884</v>
      </c>
      <c r="P99" s="60">
        <f>SUM(M99:O99)</f>
        <v>6664174</v>
      </c>
      <c r="Q99" s="60">
        <f>P99-R99</f>
        <v>0</v>
      </c>
      <c r="R99" s="60">
        <v>6664174</v>
      </c>
      <c r="S99" s="61" t="s">
        <v>99</v>
      </c>
      <c r="T99" s="60"/>
      <c r="U99" s="61">
        <v>2015</v>
      </c>
      <c r="V99" s="69" t="s">
        <v>100</v>
      </c>
      <c r="W99" s="62">
        <v>24.1</v>
      </c>
      <c r="X99" s="62">
        <v>24.1</v>
      </c>
      <c r="Y99" s="62">
        <f t="shared" si="18"/>
        <v>24.1</v>
      </c>
      <c r="Z99" s="61">
        <v>2013</v>
      </c>
      <c r="AA99" s="63">
        <v>41535</v>
      </c>
      <c r="AB99" s="63">
        <v>41535</v>
      </c>
      <c r="AC99" s="64">
        <v>41989</v>
      </c>
      <c r="AD99" s="65">
        <f t="shared" si="19"/>
        <v>2013</v>
      </c>
      <c r="AF99" s="66">
        <f>LOOKUP(AD99,'2018 Escalator'!$A$9:$A$41,'2018 Escalator'!$G$9:$G$41)</f>
        <v>1.0630440922306721</v>
      </c>
      <c r="AG99" s="60">
        <f t="shared" si="12"/>
        <v>7084310.8002972472</v>
      </c>
      <c r="AH99" s="60">
        <f t="shared" si="13"/>
        <v>7084310.8002972472</v>
      </c>
      <c r="AI99" s="62">
        <v>42</v>
      </c>
      <c r="AJ99" s="62">
        <f t="shared" si="14"/>
        <v>42</v>
      </c>
      <c r="AK99" s="62">
        <f t="shared" si="15"/>
        <v>37.800000000000004</v>
      </c>
    </row>
    <row r="100" spans="1:37" x14ac:dyDescent="0.2">
      <c r="A100" s="67"/>
      <c r="B100" s="68"/>
      <c r="C100" s="68"/>
      <c r="D100" s="69"/>
      <c r="K100" s="58" t="s">
        <v>98</v>
      </c>
      <c r="L100" s="59"/>
      <c r="M100" s="60"/>
      <c r="N100" s="60"/>
      <c r="O100" s="60"/>
      <c r="P100" s="60">
        <f t="shared" si="20"/>
        <v>0</v>
      </c>
      <c r="Q100" s="60">
        <f t="shared" si="16"/>
        <v>0</v>
      </c>
      <c r="R100" s="60"/>
      <c r="S100" s="61" t="s">
        <v>99</v>
      </c>
      <c r="T100" s="60"/>
      <c r="U100" s="61"/>
      <c r="W100" s="62"/>
      <c r="X100" s="62"/>
      <c r="Y100" s="62">
        <f t="shared" si="18"/>
        <v>0</v>
      </c>
      <c r="Z100" s="61"/>
      <c r="AA100" s="63"/>
      <c r="AB100" s="63"/>
      <c r="AC100" s="64"/>
      <c r="AD100" s="65">
        <f t="shared" si="19"/>
        <v>1899</v>
      </c>
      <c r="AF100" s="66" t="e">
        <f>LOOKUP(AD100,'2018 Escalator'!$A$9:$A$41,'2018 Escalator'!$G$9:$G$41)</f>
        <v>#N/A</v>
      </c>
      <c r="AG100" s="60" t="e">
        <f t="shared" si="12"/>
        <v>#N/A</v>
      </c>
      <c r="AH100" s="60" t="e">
        <f t="shared" si="13"/>
        <v>#N/A</v>
      </c>
      <c r="AI100" s="62"/>
      <c r="AJ100" s="62"/>
      <c r="AK100" s="62">
        <f t="shared" si="15"/>
        <v>0</v>
      </c>
    </row>
    <row r="101" spans="1:37" x14ac:dyDescent="0.2">
      <c r="A101" s="57"/>
      <c r="B101" s="68"/>
      <c r="C101" s="69"/>
      <c r="D101" s="69"/>
      <c r="K101" s="58" t="s">
        <v>98</v>
      </c>
      <c r="L101" s="59"/>
      <c r="M101" s="60"/>
      <c r="N101" s="60"/>
      <c r="O101" s="60"/>
      <c r="P101" s="60">
        <f t="shared" si="20"/>
        <v>0</v>
      </c>
      <c r="Q101" s="60">
        <f t="shared" si="16"/>
        <v>0</v>
      </c>
      <c r="R101" s="60"/>
      <c r="S101" s="61" t="s">
        <v>99</v>
      </c>
      <c r="T101" s="60"/>
      <c r="U101" s="61"/>
      <c r="W101" s="62"/>
      <c r="X101" s="62"/>
      <c r="Y101" s="62">
        <f t="shared" si="18"/>
        <v>0</v>
      </c>
      <c r="Z101" s="61"/>
      <c r="AA101" s="63"/>
      <c r="AB101" s="63"/>
      <c r="AC101" s="64"/>
      <c r="AD101" s="65">
        <f t="shared" si="19"/>
        <v>1899</v>
      </c>
      <c r="AF101" s="66" t="e">
        <f>LOOKUP(AD101,'2018 Escalator'!$A$9:$A$41,'2018 Escalator'!$G$9:$G$41)</f>
        <v>#N/A</v>
      </c>
      <c r="AG101" s="60" t="e">
        <f t="shared" si="12"/>
        <v>#N/A</v>
      </c>
      <c r="AH101" s="60" t="e">
        <f t="shared" si="13"/>
        <v>#N/A</v>
      </c>
      <c r="AI101" s="62"/>
      <c r="AJ101" s="62"/>
      <c r="AK101" s="62">
        <f t="shared" si="15"/>
        <v>0</v>
      </c>
    </row>
    <row r="102" spans="1:37" x14ac:dyDescent="0.2">
      <c r="A102" s="57"/>
      <c r="K102" s="58" t="s">
        <v>98</v>
      </c>
      <c r="L102" s="59"/>
      <c r="M102" s="60"/>
      <c r="N102" s="60"/>
      <c r="O102" s="60"/>
      <c r="P102" s="60">
        <f t="shared" ref="P102" si="21">SUM(M102:O102)</f>
        <v>0</v>
      </c>
      <c r="Q102" s="60">
        <f t="shared" ref="Q102" si="22">P102-R102</f>
        <v>0</v>
      </c>
      <c r="R102" s="60"/>
      <c r="S102" s="61" t="s">
        <v>99</v>
      </c>
      <c r="T102" s="60"/>
      <c r="U102" s="61"/>
      <c r="W102" s="62"/>
      <c r="X102" s="62"/>
      <c r="Y102" s="62">
        <f t="shared" ref="Y102" si="23">MAX(W102,X102)</f>
        <v>0</v>
      </c>
      <c r="Z102" s="61"/>
      <c r="AA102" s="63"/>
      <c r="AB102" s="63"/>
      <c r="AC102" s="64"/>
      <c r="AD102" s="65">
        <f t="shared" ref="AD102" si="24">YEAR(AC102)-1</f>
        <v>1899</v>
      </c>
      <c r="AF102" s="66" t="e">
        <f>LOOKUP(AD102,'2018 Escalator'!$A$9:$A$41,'2018 Escalator'!$G$9:$G$41)</f>
        <v>#N/A</v>
      </c>
      <c r="AG102" s="60" t="e">
        <f t="shared" ref="AG102" si="25">P102*AF102</f>
        <v>#N/A</v>
      </c>
      <c r="AH102" s="60" t="e">
        <f t="shared" ref="AH102" si="26">SUM($P102,$T102)*$AF102</f>
        <v>#N/A</v>
      </c>
      <c r="AI102" s="62"/>
      <c r="AJ102" s="62"/>
      <c r="AK102" s="62">
        <f t="shared" ref="AK102" si="27">AJ102*0.9</f>
        <v>0</v>
      </c>
    </row>
    <row r="103" spans="1:37" x14ac:dyDescent="0.2">
      <c r="B103" s="75" t="s">
        <v>423</v>
      </c>
      <c r="C103" s="76"/>
      <c r="D103" s="76" t="str">
        <f>COUNTA(D8:D102)&amp;" Projects"</f>
        <v>92 Projects</v>
      </c>
      <c r="M103" s="77">
        <f t="shared" ref="M103:R103" si="28">SUM(M8:M102)</f>
        <v>687063867</v>
      </c>
      <c r="N103" s="77">
        <f t="shared" si="28"/>
        <v>333015114.99000001</v>
      </c>
      <c r="O103" s="77">
        <f t="shared" si="28"/>
        <v>318867797</v>
      </c>
      <c r="P103" s="77">
        <f t="shared" si="28"/>
        <v>1338946779.99</v>
      </c>
      <c r="Q103" s="77">
        <f t="shared" si="28"/>
        <v>689173029.63999999</v>
      </c>
      <c r="R103" s="77">
        <f t="shared" si="28"/>
        <v>652490686</v>
      </c>
      <c r="T103" s="77">
        <f>SUM(T8:T102)</f>
        <v>20292672</v>
      </c>
      <c r="Y103" s="78">
        <f>SUM(Y8:Y102)</f>
        <v>2017.6540000000005</v>
      </c>
      <c r="AG103" s="77" t="e">
        <f>SUM(AG8:AG102)</f>
        <v>#N/A</v>
      </c>
      <c r="AH103" s="77" t="e">
        <f>SUM(AH8:AH102)</f>
        <v>#N/A</v>
      </c>
      <c r="AI103" s="77">
        <f>SUM(AI8:AI102)</f>
        <v>5197.76</v>
      </c>
      <c r="AJ103" s="77">
        <f>SUM(AJ8:AJ102)</f>
        <v>5197.76</v>
      </c>
      <c r="AK103" s="77">
        <f>SUM(AK8:AK102)</f>
        <v>4677.9840000000013</v>
      </c>
    </row>
    <row r="104" spans="1:37" x14ac:dyDescent="0.2">
      <c r="P104" s="60">
        <f>AVERAGE(P$8:P$99)</f>
        <v>14553769.347717391</v>
      </c>
      <c r="Y104" s="80">
        <f>AVERAGE(Y$8:Y$99)</f>
        <v>21.93102173913044</v>
      </c>
    </row>
    <row r="105" spans="1:37" x14ac:dyDescent="0.2">
      <c r="Y105" s="58">
        <v>14553769.347717391</v>
      </c>
    </row>
    <row r="116" spans="30:30" x14ac:dyDescent="0.2">
      <c r="AD116" s="58"/>
    </row>
    <row r="117" spans="30:30" x14ac:dyDescent="0.2">
      <c r="AD117" s="58"/>
    </row>
    <row r="118" spans="30:30" x14ac:dyDescent="0.2">
      <c r="AD118" s="58"/>
    </row>
    <row r="119" spans="30:30" x14ac:dyDescent="0.2">
      <c r="AD119" s="58"/>
    </row>
    <row r="120" spans="30:30" x14ac:dyDescent="0.2">
      <c r="AD120" s="58"/>
    </row>
    <row r="121" spans="30:30" x14ac:dyDescent="0.2">
      <c r="AD121" s="58"/>
    </row>
    <row r="122" spans="30:30" x14ac:dyDescent="0.2">
      <c r="AD122" s="58"/>
    </row>
    <row r="123" spans="30:30" x14ac:dyDescent="0.2">
      <c r="AD123" s="58"/>
    </row>
    <row r="124" spans="30:30" x14ac:dyDescent="0.2">
      <c r="AD124" s="58"/>
    </row>
    <row r="125" spans="30:30" x14ac:dyDescent="0.2">
      <c r="AD125" s="58"/>
    </row>
    <row r="126" spans="30:30" x14ac:dyDescent="0.2">
      <c r="AD126" s="58"/>
    </row>
    <row r="127" spans="30:30" x14ac:dyDescent="0.2">
      <c r="AD127" s="58"/>
    </row>
    <row r="128" spans="30:30" x14ac:dyDescent="0.2">
      <c r="AD128" s="58"/>
    </row>
    <row r="129" spans="30:30" x14ac:dyDescent="0.2">
      <c r="AD129" s="58"/>
    </row>
    <row r="130" spans="30:30" x14ac:dyDescent="0.2">
      <c r="AD130" s="58"/>
    </row>
    <row r="131" spans="30:30" x14ac:dyDescent="0.2">
      <c r="AD131" s="58"/>
    </row>
  </sheetData>
  <pageMargins left="0.5" right="0.5" top="0.75" bottom="0.5" header="0.5" footer="0.25"/>
  <pageSetup paperSize="17" scale="47" fitToHeight="0" orientation="landscape" r:id="rId1"/>
  <headerFooter alignWithMargins="0">
    <oddHeader>&amp;C&amp;"Arial Black,Regular"&amp;11&amp;F [&amp;A]</oddHeader>
    <oddFooter xml:space="preserve">&amp;L&amp;8 20 Jun 2013
 &amp;Z&amp;F&amp;C&amp;8Page &amp;P of &amp;N
&amp;R&amp;8Confidentiality: Public
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8" activePane="bottomLeft" state="frozen"/>
      <selection activeCell="A4" sqref="A4"/>
      <selection pane="bottomLeft" activeCell="A8" sqref="A8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54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G - Point of Delivery Cost Function Workbook</v>
      </c>
    </row>
    <row r="4" spans="1:20" s="1" customFormat="1" x14ac:dyDescent="0.2">
      <c r="A4" s="1" t="s">
        <v>971</v>
      </c>
      <c r="B4" s="42"/>
    </row>
    <row r="5" spans="1:20" s="1" customFormat="1" x14ac:dyDescent="0.2">
      <c r="A5" s="43" t="str">
        <f>TableDate</f>
        <v>August 17, 2018</v>
      </c>
      <c r="B5" s="44"/>
    </row>
    <row r="6" spans="1:20" x14ac:dyDescent="0.2">
      <c r="E6" s="28"/>
    </row>
    <row r="7" spans="1:20" ht="25.5" x14ac:dyDescent="0.2">
      <c r="A7" s="10" t="s">
        <v>0</v>
      </c>
      <c r="B7" s="11" t="s">
        <v>7</v>
      </c>
      <c r="C7" s="12" t="s">
        <v>8</v>
      </c>
      <c r="D7" s="13" t="s">
        <v>30</v>
      </c>
      <c r="E7" s="14" t="s">
        <v>10</v>
      </c>
      <c r="F7" s="12" t="s">
        <v>11</v>
      </c>
      <c r="G7" s="13" t="s">
        <v>12</v>
      </c>
      <c r="H7" s="14" t="s">
        <v>13</v>
      </c>
      <c r="I7" s="12" t="s">
        <v>2</v>
      </c>
      <c r="J7" s="13" t="s">
        <v>14</v>
      </c>
      <c r="K7" s="14" t="s">
        <v>15</v>
      </c>
      <c r="M7" s="11" t="s">
        <v>16</v>
      </c>
      <c r="N7" s="11" t="s">
        <v>17</v>
      </c>
      <c r="P7" s="41" t="s">
        <v>53</v>
      </c>
      <c r="Q7" s="15"/>
      <c r="T7" s="3"/>
    </row>
    <row r="8" spans="1:20" x14ac:dyDescent="0.2">
      <c r="A8" s="25">
        <f>'GF + UG Iteration 2'!A8</f>
        <v>476</v>
      </c>
      <c r="B8" s="25" t="str">
        <f>'GF + UG Iteration 2'!B8</f>
        <v>GF</v>
      </c>
      <c r="C8" s="18">
        <f>'GF + UG Iteration 2'!C8</f>
        <v>14</v>
      </c>
      <c r="D8" s="19">
        <f>'GF + UG Iteration 2'!D8</f>
        <v>16.861812370959647</v>
      </c>
      <c r="E8" s="30">
        <f>'GF + UG Iteration 2'!E8</f>
        <v>2003</v>
      </c>
      <c r="F8" s="18"/>
      <c r="G8" s="19"/>
      <c r="H8" s="20"/>
      <c r="I8" s="18">
        <f>C8+F8</f>
        <v>14</v>
      </c>
      <c r="J8" s="19">
        <f>D8+G8</f>
        <v>16.861812370959647</v>
      </c>
      <c r="K8" s="20">
        <f>MAX(E8,H8)</f>
        <v>2003</v>
      </c>
      <c r="M8" s="21">
        <f>LN(I8)</f>
        <v>2.6390573296152584</v>
      </c>
      <c r="N8" s="21">
        <f>LN(J8)</f>
        <v>2.8250514421084625</v>
      </c>
      <c r="O8" s="3" t="s">
        <v>19</v>
      </c>
      <c r="P8" s="22">
        <f t="array" ref="P8:Q12">LINEST(N8:N292,M8:M292,TRUE,TRUE)</f>
        <v>0.56399946691763025</v>
      </c>
      <c r="Q8" s="22">
        <v>0.95935161645069944</v>
      </c>
      <c r="R8" s="5" t="s">
        <v>20</v>
      </c>
    </row>
    <row r="9" spans="1:20" x14ac:dyDescent="0.2">
      <c r="A9" s="25">
        <f>'GF + UG Iteration 2'!A9</f>
        <v>478</v>
      </c>
      <c r="B9" s="25" t="str">
        <f>'GF + UG Iteration 2'!B9</f>
        <v>GF</v>
      </c>
      <c r="C9" s="18">
        <f>'GF + UG Iteration 2'!C9</f>
        <v>8.5</v>
      </c>
      <c r="D9" s="19">
        <f>'GF + UG Iteration 2'!D9</f>
        <v>6.0182252638842719</v>
      </c>
      <c r="E9" s="30">
        <f>'GF + UG Iteration 2'!E9</f>
        <v>2003</v>
      </c>
      <c r="F9" s="18"/>
      <c r="G9" s="19"/>
      <c r="H9" s="20"/>
      <c r="I9" s="18">
        <f t="shared" ref="I9:I71" si="0">C9+F9</f>
        <v>8.5</v>
      </c>
      <c r="J9" s="19">
        <f t="shared" ref="J9:J71" si="1">D9+G9</f>
        <v>6.0182252638842719</v>
      </c>
      <c r="K9" s="20">
        <f t="shared" ref="K9:K71" si="2">MAX(E9,H9)</f>
        <v>2003</v>
      </c>
      <c r="M9" s="21">
        <f t="shared" ref="M9:M71" si="3">LN(I9)</f>
        <v>2.1400661634962708</v>
      </c>
      <c r="N9" s="21">
        <f t="shared" ref="N9:N71" si="4">LN(J9)</f>
        <v>1.7947924091929603</v>
      </c>
      <c r="O9" s="3" t="s">
        <v>21</v>
      </c>
      <c r="P9" s="22">
        <v>3.2013479209627389E-2</v>
      </c>
      <c r="Q9" s="22">
        <v>0.10208199136061959</v>
      </c>
      <c r="R9" s="5" t="s">
        <v>22</v>
      </c>
    </row>
    <row r="10" spans="1:20" x14ac:dyDescent="0.2">
      <c r="A10" s="25">
        <f>'GF + UG Iteration 2'!A10</f>
        <v>473</v>
      </c>
      <c r="B10" s="25" t="str">
        <f>'GF + UG Iteration 2'!B10</f>
        <v>GF</v>
      </c>
      <c r="C10" s="18">
        <f>'GF + UG Iteration 2'!C10</f>
        <v>30</v>
      </c>
      <c r="D10" s="19">
        <f>'GF + UG Iteration 2'!D10</f>
        <v>14.998991377977235</v>
      </c>
      <c r="E10" s="30">
        <f>'GF + UG Iteration 2'!E10</f>
        <v>2003</v>
      </c>
      <c r="F10" s="18"/>
      <c r="G10" s="19"/>
      <c r="H10" s="20"/>
      <c r="I10" s="18">
        <f t="shared" si="0"/>
        <v>30</v>
      </c>
      <c r="J10" s="19">
        <f t="shared" si="1"/>
        <v>14.998991377977235</v>
      </c>
      <c r="K10" s="20">
        <f t="shared" si="2"/>
        <v>2003</v>
      </c>
      <c r="M10" s="21">
        <f t="shared" si="3"/>
        <v>3.4011973816621555</v>
      </c>
      <c r="N10" s="21">
        <f t="shared" si="4"/>
        <v>2.707982957373217</v>
      </c>
      <c r="O10" s="3" t="s">
        <v>1</v>
      </c>
      <c r="P10" s="22">
        <v>0.52307001682488474</v>
      </c>
      <c r="Q10" s="22">
        <v>0.39217068129618188</v>
      </c>
      <c r="R10" s="5" t="s">
        <v>23</v>
      </c>
    </row>
    <row r="11" spans="1:20" x14ac:dyDescent="0.2">
      <c r="A11" s="25">
        <f>'GF + UG Iteration 2'!A11</f>
        <v>1042</v>
      </c>
      <c r="B11" s="25" t="str">
        <f>'GF + UG Iteration 2'!B11</f>
        <v>GF</v>
      </c>
      <c r="C11" s="18">
        <f>'GF + UG Iteration 2'!C11</f>
        <v>13</v>
      </c>
      <c r="D11" s="19">
        <f>'GF + UG Iteration 2'!D11</f>
        <v>11.164764224012115</v>
      </c>
      <c r="E11" s="30">
        <f>'GF + UG Iteration 2'!E11</f>
        <v>2011</v>
      </c>
      <c r="F11" s="18"/>
      <c r="G11" s="19"/>
      <c r="H11" s="20"/>
      <c r="I11" s="18">
        <f t="shared" si="0"/>
        <v>13</v>
      </c>
      <c r="J11" s="19">
        <f t="shared" si="1"/>
        <v>11.164764224012115</v>
      </c>
      <c r="K11" s="20">
        <f t="shared" si="2"/>
        <v>2011</v>
      </c>
      <c r="M11" s="21">
        <f t="shared" si="3"/>
        <v>2.5649493574615367</v>
      </c>
      <c r="N11" s="21">
        <f t="shared" si="4"/>
        <v>2.4127627676497201</v>
      </c>
      <c r="O11" s="3" t="s">
        <v>24</v>
      </c>
      <c r="P11" s="22">
        <v>310.37850414845991</v>
      </c>
      <c r="Q11" s="22">
        <v>283</v>
      </c>
      <c r="R11" s="5" t="s">
        <v>25</v>
      </c>
    </row>
    <row r="12" spans="1:20" x14ac:dyDescent="0.2">
      <c r="A12" s="25">
        <f>'GF + UG Iteration 2'!A12</f>
        <v>443</v>
      </c>
      <c r="B12" s="25" t="str">
        <f>'GF + UG Iteration 2'!B12</f>
        <v>GF</v>
      </c>
      <c r="C12" s="18">
        <f>'GF + UG Iteration 2'!C12</f>
        <v>24.3</v>
      </c>
      <c r="D12" s="19">
        <f>'GF + UG Iteration 2'!D12</f>
        <v>11.705577131494863</v>
      </c>
      <c r="E12" s="30">
        <f>'GF + UG Iteration 2'!E12</f>
        <v>2006</v>
      </c>
      <c r="F12" s="18"/>
      <c r="G12" s="19"/>
      <c r="H12" s="20"/>
      <c r="I12" s="18">
        <f t="shared" si="0"/>
        <v>24.3</v>
      </c>
      <c r="J12" s="19">
        <f t="shared" si="1"/>
        <v>11.705577131494863</v>
      </c>
      <c r="K12" s="20">
        <f t="shared" si="2"/>
        <v>2006</v>
      </c>
      <c r="M12" s="21">
        <f t="shared" si="3"/>
        <v>3.1904763503465028</v>
      </c>
      <c r="N12" s="21">
        <f t="shared" si="4"/>
        <v>2.4600654061344325</v>
      </c>
      <c r="O12" s="3" t="s">
        <v>26</v>
      </c>
      <c r="P12" s="22">
        <v>47.735544534877796</v>
      </c>
      <c r="Q12" s="22">
        <v>43.524789644932149</v>
      </c>
      <c r="R12" s="5" t="s">
        <v>27</v>
      </c>
    </row>
    <row r="13" spans="1:20" x14ac:dyDescent="0.2">
      <c r="A13" s="25">
        <f>'GF + UG Iteration 2'!A13</f>
        <v>1195</v>
      </c>
      <c r="B13" s="25" t="str">
        <f>'GF + UG Iteration 2'!B13</f>
        <v>GF</v>
      </c>
      <c r="C13" s="18">
        <f>'GF + UG Iteration 2'!C13</f>
        <v>18</v>
      </c>
      <c r="D13" s="19">
        <f>'GF + UG Iteration 2'!D13</f>
        <v>31.659927445331629</v>
      </c>
      <c r="E13" s="30">
        <f>'GF + UG Iteration 2'!E13</f>
        <v>2011</v>
      </c>
      <c r="F13" s="18"/>
      <c r="G13" s="19"/>
      <c r="H13" s="20"/>
      <c r="I13" s="18">
        <f t="shared" si="0"/>
        <v>18</v>
      </c>
      <c r="J13" s="19">
        <f t="shared" si="1"/>
        <v>31.659927445331629</v>
      </c>
      <c r="K13" s="20">
        <f t="shared" si="2"/>
        <v>2011</v>
      </c>
      <c r="M13" s="21">
        <f t="shared" si="3"/>
        <v>2.8903717578961645</v>
      </c>
      <c r="N13" s="21">
        <f t="shared" si="4"/>
        <v>3.4550517627677269</v>
      </c>
    </row>
    <row r="14" spans="1:20" x14ac:dyDescent="0.2">
      <c r="A14" s="25">
        <f>'GF + UG Iteration 2'!A14</f>
        <v>420</v>
      </c>
      <c r="B14" s="25" t="str">
        <f>'GF + UG Iteration 2'!B14</f>
        <v>GF</v>
      </c>
      <c r="C14" s="18">
        <f>'GF + UG Iteration 2'!C14</f>
        <v>6</v>
      </c>
      <c r="D14" s="19">
        <f>'GF + UG Iteration 2'!D14</f>
        <v>9.6396451057157435</v>
      </c>
      <c r="E14" s="30">
        <f>'GF + UG Iteration 2'!E14</f>
        <v>2007</v>
      </c>
      <c r="F14" s="18"/>
      <c r="G14" s="19"/>
      <c r="H14" s="20"/>
      <c r="I14" s="18">
        <f t="shared" si="0"/>
        <v>6</v>
      </c>
      <c r="J14" s="19">
        <f t="shared" si="1"/>
        <v>9.6396451057157435</v>
      </c>
      <c r="K14" s="20">
        <f t="shared" si="2"/>
        <v>2007</v>
      </c>
      <c r="M14" s="21">
        <f t="shared" si="3"/>
        <v>1.791759469228055</v>
      </c>
      <c r="N14" s="21">
        <f t="shared" si="4"/>
        <v>2.2658842931849965</v>
      </c>
      <c r="P14" s="15" t="s">
        <v>6</v>
      </c>
      <c r="Q14" s="15"/>
    </row>
    <row r="15" spans="1:20" x14ac:dyDescent="0.2">
      <c r="A15" s="25">
        <f>'GF + UG Iteration 2'!A15</f>
        <v>440</v>
      </c>
      <c r="B15" s="25" t="str">
        <f>'GF + UG Iteration 2'!B15</f>
        <v>GF</v>
      </c>
      <c r="C15" s="18">
        <f>'GF + UG Iteration 2'!C15</f>
        <v>10</v>
      </c>
      <c r="D15" s="19">
        <f>'GF + UG Iteration 2'!D15</f>
        <v>16.009559216092757</v>
      </c>
      <c r="E15" s="30">
        <f>'GF + UG Iteration 2'!E15</f>
        <v>2006</v>
      </c>
      <c r="F15" s="18"/>
      <c r="G15" s="19"/>
      <c r="H15" s="20"/>
      <c r="I15" s="18">
        <f t="shared" si="0"/>
        <v>10</v>
      </c>
      <c r="J15" s="19">
        <f t="shared" si="1"/>
        <v>16.009559216092757</v>
      </c>
      <c r="K15" s="20">
        <f t="shared" si="2"/>
        <v>2006</v>
      </c>
      <c r="M15" s="21">
        <f t="shared" si="3"/>
        <v>2.3025850929940459</v>
      </c>
      <c r="N15" s="21">
        <f t="shared" si="4"/>
        <v>2.7731859948427808</v>
      </c>
      <c r="O15" s="3" t="s">
        <v>19</v>
      </c>
      <c r="P15" s="23">
        <f>P8</f>
        <v>0.56399946691763025</v>
      </c>
      <c r="Q15" s="31">
        <f>(P15-'GF + UG Iteration 2'!P15)/'GF + UG Iteration 2'!P15</f>
        <v>1.2379789704110026E-2</v>
      </c>
      <c r="R15" s="32" t="s">
        <v>31</v>
      </c>
    </row>
    <row r="16" spans="1:20" x14ac:dyDescent="0.2">
      <c r="A16" s="25">
        <f>'GF + UG Iteration 2'!A16</f>
        <v>1102</v>
      </c>
      <c r="B16" s="25" t="str">
        <f>'GF + UG Iteration 2'!B16</f>
        <v>GF</v>
      </c>
      <c r="C16" s="18">
        <f>'GF + UG Iteration 2'!C16</f>
        <v>20</v>
      </c>
      <c r="D16" s="19">
        <f>'GF + UG Iteration 2'!D16</f>
        <v>16.293644713264708</v>
      </c>
      <c r="E16" s="30">
        <f>'GF + UG Iteration 2'!E16</f>
        <v>2011</v>
      </c>
      <c r="F16" s="18"/>
      <c r="G16" s="19"/>
      <c r="H16" s="20"/>
      <c r="I16" s="18">
        <f t="shared" si="0"/>
        <v>20</v>
      </c>
      <c r="J16" s="19">
        <f t="shared" si="1"/>
        <v>16.293644713264708</v>
      </c>
      <c r="K16" s="20">
        <f t="shared" si="2"/>
        <v>2011</v>
      </c>
      <c r="M16" s="21">
        <f t="shared" si="3"/>
        <v>2.9957322735539909</v>
      </c>
      <c r="N16" s="21">
        <f t="shared" si="4"/>
        <v>2.7907751368922047</v>
      </c>
      <c r="O16" s="3" t="s">
        <v>28</v>
      </c>
      <c r="P16" s="23">
        <f>EXP(Q8)</f>
        <v>2.6100036412555543</v>
      </c>
      <c r="Q16" s="31">
        <f>(P16-'GF + UG Iteration 2'!P16)/'GF + UG Iteration 2'!P16</f>
        <v>-1.3891912810832968E-2</v>
      </c>
      <c r="R16" s="32" t="s">
        <v>32</v>
      </c>
    </row>
    <row r="17" spans="1:18" x14ac:dyDescent="0.2">
      <c r="A17" s="25">
        <f>'GF + UG Iteration 2'!A17</f>
        <v>324</v>
      </c>
      <c r="B17" s="25" t="str">
        <f>'GF + UG Iteration 2'!B17</f>
        <v>GF</v>
      </c>
      <c r="C17" s="18">
        <f>'GF + UG Iteration 2'!C17</f>
        <v>17.2</v>
      </c>
      <c r="D17" s="19">
        <f>'GF + UG Iteration 2'!D17</f>
        <v>8.9094125785416409</v>
      </c>
      <c r="E17" s="30">
        <f>'GF + UG Iteration 2'!E17</f>
        <v>2003</v>
      </c>
      <c r="F17" s="18"/>
      <c r="G17" s="19"/>
      <c r="H17" s="20"/>
      <c r="I17" s="18">
        <f t="shared" si="0"/>
        <v>17.2</v>
      </c>
      <c r="J17" s="19">
        <f t="shared" si="1"/>
        <v>8.9094125785416409</v>
      </c>
      <c r="K17" s="20">
        <f t="shared" si="2"/>
        <v>2003</v>
      </c>
      <c r="M17" s="21">
        <f t="shared" si="3"/>
        <v>2.8449093838194073</v>
      </c>
      <c r="N17" s="21">
        <f t="shared" si="4"/>
        <v>2.1871083109750784</v>
      </c>
      <c r="O17" s="3"/>
      <c r="P17" s="24"/>
      <c r="R17" s="32" t="s">
        <v>33</v>
      </c>
    </row>
    <row r="18" spans="1:18" x14ac:dyDescent="0.2">
      <c r="A18" s="25">
        <f>'GF + UG Iteration 2'!A18</f>
        <v>1103</v>
      </c>
      <c r="B18" s="25" t="str">
        <f>'GF + UG Iteration 2'!B18</f>
        <v>GF</v>
      </c>
      <c r="C18" s="18">
        <f>'GF + UG Iteration 2'!C18</f>
        <v>20</v>
      </c>
      <c r="D18" s="19">
        <f>'GF + UG Iteration 2'!D18</f>
        <v>17.299482978955592</v>
      </c>
      <c r="E18" s="30">
        <f>'GF + UG Iteration 2'!E18</f>
        <v>2011</v>
      </c>
      <c r="F18" s="18"/>
      <c r="G18" s="19"/>
      <c r="H18" s="20"/>
      <c r="I18" s="18">
        <f t="shared" si="0"/>
        <v>20</v>
      </c>
      <c r="J18" s="19">
        <f t="shared" si="1"/>
        <v>17.299482978955592</v>
      </c>
      <c r="K18" s="20">
        <f t="shared" si="2"/>
        <v>2011</v>
      </c>
      <c r="M18" s="21">
        <f t="shared" si="3"/>
        <v>2.9957322735539909</v>
      </c>
      <c r="N18" s="21">
        <f t="shared" si="4"/>
        <v>2.8506766154476462</v>
      </c>
      <c r="P18"/>
      <c r="Q18"/>
      <c r="R18" s="32" t="s">
        <v>34</v>
      </c>
    </row>
    <row r="19" spans="1:18" x14ac:dyDescent="0.2">
      <c r="A19" s="25">
        <f>'GF + UG Iteration 2'!A19</f>
        <v>386</v>
      </c>
      <c r="B19" s="25" t="str">
        <f>'GF + UG Iteration 2'!B19</f>
        <v>GF</v>
      </c>
      <c r="C19" s="18">
        <f>'GF + UG Iteration 2'!C19</f>
        <v>9</v>
      </c>
      <c r="D19" s="19">
        <f>'GF + UG Iteration 2'!D19</f>
        <v>9.9511250787738224</v>
      </c>
      <c r="E19" s="30">
        <f>'GF + UG Iteration 2'!E19</f>
        <v>2003</v>
      </c>
      <c r="F19" s="18"/>
      <c r="G19" s="19"/>
      <c r="H19" s="20"/>
      <c r="I19" s="18">
        <f t="shared" si="0"/>
        <v>9</v>
      </c>
      <c r="J19" s="19">
        <f t="shared" si="1"/>
        <v>9.9511250787738224</v>
      </c>
      <c r="K19" s="20">
        <f t="shared" si="2"/>
        <v>2003</v>
      </c>
      <c r="M19" s="21">
        <f t="shared" si="3"/>
        <v>2.1972245773362196</v>
      </c>
      <c r="N19" s="21">
        <f t="shared" si="4"/>
        <v>2.2976856180218044</v>
      </c>
      <c r="P19"/>
      <c r="Q19"/>
    </row>
    <row r="20" spans="1:18" x14ac:dyDescent="0.2">
      <c r="A20" s="25">
        <f>'GF + UG Iteration 2'!A20</f>
        <v>80</v>
      </c>
      <c r="B20" s="25" t="str">
        <f>'GF + UG Iteration 2'!B20</f>
        <v>GF</v>
      </c>
      <c r="C20" s="18">
        <f>'GF + UG Iteration 2'!C20</f>
        <v>8</v>
      </c>
      <c r="D20" s="19">
        <f>'GF + UG Iteration 2'!D20</f>
        <v>6.0754029342110369</v>
      </c>
      <c r="E20" s="30">
        <f>'GF + UG Iteration 2'!E20</f>
        <v>2001</v>
      </c>
      <c r="F20" s="18"/>
      <c r="G20" s="19"/>
      <c r="H20" s="20"/>
      <c r="I20" s="18">
        <f t="shared" si="0"/>
        <v>8</v>
      </c>
      <c r="J20" s="19">
        <f t="shared" si="1"/>
        <v>6.0754029342110369</v>
      </c>
      <c r="K20" s="20">
        <f t="shared" si="2"/>
        <v>2001</v>
      </c>
      <c r="M20" s="21">
        <f t="shared" si="3"/>
        <v>2.0794415416798357</v>
      </c>
      <c r="N20" s="21">
        <f t="shared" si="4"/>
        <v>1.8042483136462</v>
      </c>
      <c r="P20"/>
      <c r="Q20"/>
    </row>
    <row r="21" spans="1:18" x14ac:dyDescent="0.2">
      <c r="A21" s="25">
        <f>'GF + UG Iteration 2'!A21</f>
        <v>1052</v>
      </c>
      <c r="B21" s="25" t="str">
        <f>'GF + UG Iteration 2'!B21</f>
        <v>GF</v>
      </c>
      <c r="C21" s="18">
        <f>'GF + UG Iteration 2'!C21</f>
        <v>13.6</v>
      </c>
      <c r="D21" s="19">
        <f>'GF + UG Iteration 2'!D21</f>
        <v>10.90270245998838</v>
      </c>
      <c r="E21" s="30">
        <f>'GF + UG Iteration 2'!E21</f>
        <v>2011</v>
      </c>
      <c r="F21" s="18"/>
      <c r="G21" s="19"/>
      <c r="H21" s="20"/>
      <c r="I21" s="18">
        <f t="shared" si="0"/>
        <v>13.6</v>
      </c>
      <c r="J21" s="19">
        <f t="shared" si="1"/>
        <v>10.90270245998838</v>
      </c>
      <c r="K21" s="20">
        <f t="shared" si="2"/>
        <v>2011</v>
      </c>
      <c r="M21" s="21">
        <f t="shared" si="3"/>
        <v>2.6100697927420065</v>
      </c>
      <c r="N21" s="21">
        <f t="shared" si="4"/>
        <v>2.3890106906140374</v>
      </c>
      <c r="P21"/>
      <c r="Q21"/>
    </row>
    <row r="22" spans="1:18" x14ac:dyDescent="0.2">
      <c r="A22" s="25">
        <f>'GF + UG Iteration 2'!A22</f>
        <v>347</v>
      </c>
      <c r="B22" s="25" t="str">
        <f>'GF + UG Iteration 2'!B22</f>
        <v>GF</v>
      </c>
      <c r="C22" s="18">
        <f>'GF + UG Iteration 2'!C22</f>
        <v>10.548</v>
      </c>
      <c r="D22" s="19">
        <f>'GF + UG Iteration 2'!D22</f>
        <v>9.3004925979781259</v>
      </c>
      <c r="E22" s="30">
        <f>'GF + UG Iteration 2'!E22</f>
        <v>2003</v>
      </c>
      <c r="F22" s="18"/>
      <c r="G22" s="19"/>
      <c r="H22" s="20"/>
      <c r="I22" s="18">
        <f t="shared" si="0"/>
        <v>10.548</v>
      </c>
      <c r="J22" s="19">
        <f t="shared" si="1"/>
        <v>9.3004925979781259</v>
      </c>
      <c r="K22" s="20">
        <f t="shared" si="2"/>
        <v>2003</v>
      </c>
      <c r="M22" s="21">
        <f t="shared" si="3"/>
        <v>2.3559362684910403</v>
      </c>
      <c r="N22" s="21">
        <f t="shared" si="4"/>
        <v>2.23006736628101</v>
      </c>
    </row>
    <row r="23" spans="1:18" x14ac:dyDescent="0.2">
      <c r="A23" s="25">
        <f>'GF + UG Iteration 2'!A23</f>
        <v>1358</v>
      </c>
      <c r="B23" s="25" t="str">
        <f>'GF + UG Iteration 2'!B23</f>
        <v>GF</v>
      </c>
      <c r="C23" s="18">
        <f>'GF + UG Iteration 2'!C23</f>
        <v>27</v>
      </c>
      <c r="D23" s="19">
        <f>'GF + UG Iteration 2'!D23</f>
        <v>13.07265503282744</v>
      </c>
      <c r="E23" s="30">
        <f>'GF + UG Iteration 2'!E23</f>
        <v>2011</v>
      </c>
      <c r="F23" s="18"/>
      <c r="G23" s="19"/>
      <c r="H23" s="20"/>
      <c r="I23" s="18">
        <f t="shared" si="0"/>
        <v>27</v>
      </c>
      <c r="J23" s="19">
        <f t="shared" si="1"/>
        <v>13.07265503282744</v>
      </c>
      <c r="K23" s="20">
        <f t="shared" si="2"/>
        <v>2011</v>
      </c>
      <c r="M23" s="21">
        <f t="shared" si="3"/>
        <v>3.2958368660043291</v>
      </c>
      <c r="N23" s="21">
        <f t="shared" si="4"/>
        <v>2.5705226464726247</v>
      </c>
    </row>
    <row r="24" spans="1:18" x14ac:dyDescent="0.2">
      <c r="A24" s="25">
        <f>'GF + UG Iteration 2'!A24</f>
        <v>584</v>
      </c>
      <c r="B24" s="25" t="str">
        <f>'GF + UG Iteration 2'!B24</f>
        <v>GF</v>
      </c>
      <c r="C24" s="18">
        <f>'GF + UG Iteration 2'!C24</f>
        <v>28</v>
      </c>
      <c r="D24" s="19">
        <f>'GF + UG Iteration 2'!D24</f>
        <v>34.903749706800433</v>
      </c>
      <c r="E24" s="30">
        <f>'GF + UG Iteration 2'!E24</f>
        <v>2011</v>
      </c>
      <c r="F24" s="18"/>
      <c r="G24" s="19"/>
      <c r="H24" s="20"/>
      <c r="I24" s="18">
        <f t="shared" si="0"/>
        <v>28</v>
      </c>
      <c r="J24" s="19">
        <f t="shared" si="1"/>
        <v>34.903749706800433</v>
      </c>
      <c r="K24" s="20">
        <f t="shared" si="2"/>
        <v>2011</v>
      </c>
      <c r="M24" s="21">
        <f t="shared" si="3"/>
        <v>3.3322045101752038</v>
      </c>
      <c r="N24" s="21">
        <f t="shared" si="4"/>
        <v>3.5525942648925612</v>
      </c>
    </row>
    <row r="25" spans="1:18" x14ac:dyDescent="0.2">
      <c r="A25" s="25">
        <f>'GF + UG Iteration 2'!A25</f>
        <v>422</v>
      </c>
      <c r="B25" s="25" t="str">
        <f>'GF + UG Iteration 2'!B25</f>
        <v>GF</v>
      </c>
      <c r="C25" s="18">
        <f>'GF + UG Iteration 2'!C25</f>
        <v>24</v>
      </c>
      <c r="D25" s="19">
        <f>'GF + UG Iteration 2'!D25</f>
        <v>13.650794587226329</v>
      </c>
      <c r="E25" s="30">
        <f>'GF + UG Iteration 2'!E25</f>
        <v>2003</v>
      </c>
      <c r="F25" s="18"/>
      <c r="G25" s="19"/>
      <c r="H25" s="20"/>
      <c r="I25" s="18">
        <f t="shared" si="0"/>
        <v>24</v>
      </c>
      <c r="J25" s="19">
        <f t="shared" si="1"/>
        <v>13.650794587226329</v>
      </c>
      <c r="K25" s="20">
        <f t="shared" si="2"/>
        <v>2003</v>
      </c>
      <c r="M25" s="21">
        <f t="shared" si="3"/>
        <v>3.1780538303479458</v>
      </c>
      <c r="N25" s="21">
        <f t="shared" si="4"/>
        <v>2.6137977314551564</v>
      </c>
    </row>
    <row r="26" spans="1:18" x14ac:dyDescent="0.2">
      <c r="A26" s="25">
        <f>'GF + UG Iteration 2'!A26</f>
        <v>944</v>
      </c>
      <c r="B26" s="25" t="str">
        <f>'GF + UG Iteration 2'!B26</f>
        <v>GF</v>
      </c>
      <c r="C26" s="18">
        <f>'GF + UG Iteration 2'!C26</f>
        <v>43</v>
      </c>
      <c r="D26" s="19">
        <f>'GF + UG Iteration 2'!D26</f>
        <v>26.816090615909914</v>
      </c>
      <c r="E26" s="30">
        <f>'GF + UG Iteration 2'!E26</f>
        <v>2010</v>
      </c>
      <c r="F26" s="18"/>
      <c r="G26" s="19"/>
      <c r="H26" s="20"/>
      <c r="I26" s="18">
        <f t="shared" si="0"/>
        <v>43</v>
      </c>
      <c r="J26" s="19">
        <f t="shared" si="1"/>
        <v>26.816090615909914</v>
      </c>
      <c r="K26" s="20">
        <f t="shared" si="2"/>
        <v>2010</v>
      </c>
      <c r="M26" s="21">
        <f t="shared" si="3"/>
        <v>3.7612001156935624</v>
      </c>
      <c r="N26" s="21">
        <f t="shared" si="4"/>
        <v>3.2890021034672148</v>
      </c>
    </row>
    <row r="27" spans="1:18" x14ac:dyDescent="0.2">
      <c r="A27" s="25">
        <f>'GF + UG Iteration 2'!A27</f>
        <v>387</v>
      </c>
      <c r="B27" s="25" t="str">
        <f>'GF + UG Iteration 2'!B27</f>
        <v>GF</v>
      </c>
      <c r="C27" s="18">
        <f>'GF + UG Iteration 2'!C27</f>
        <v>7.5</v>
      </c>
      <c r="D27" s="19">
        <f>'GF + UG Iteration 2'!D27</f>
        <v>9.5130592102135658</v>
      </c>
      <c r="E27" s="30">
        <f>'GF + UG Iteration 2'!E27</f>
        <v>2003</v>
      </c>
      <c r="F27" s="18"/>
      <c r="G27" s="19"/>
      <c r="H27" s="20"/>
      <c r="I27" s="18">
        <f t="shared" si="0"/>
        <v>7.5</v>
      </c>
      <c r="J27" s="19">
        <f t="shared" si="1"/>
        <v>9.5130592102135658</v>
      </c>
      <c r="K27" s="20">
        <f t="shared" si="2"/>
        <v>2003</v>
      </c>
      <c r="M27" s="21">
        <f t="shared" si="3"/>
        <v>2.0149030205422647</v>
      </c>
      <c r="N27" s="21">
        <f t="shared" si="4"/>
        <v>2.2526655083417699</v>
      </c>
    </row>
    <row r="28" spans="1:18" x14ac:dyDescent="0.2">
      <c r="A28" s="25">
        <f>'GF + UG Iteration 2'!A28</f>
        <v>587</v>
      </c>
      <c r="B28" s="25" t="str">
        <f>'GF + UG Iteration 2'!B28</f>
        <v>GF</v>
      </c>
      <c r="C28" s="18">
        <f>'GF + UG Iteration 2'!C28</f>
        <v>17.8</v>
      </c>
      <c r="D28" s="19">
        <f>'GF + UG Iteration 2'!D28</f>
        <v>13.152201549137706</v>
      </c>
      <c r="E28" s="30">
        <f>'GF + UG Iteration 2'!E28</f>
        <v>2006</v>
      </c>
      <c r="F28" s="18"/>
      <c r="G28" s="19"/>
      <c r="H28" s="20"/>
      <c r="I28" s="18">
        <f t="shared" si="0"/>
        <v>17.8</v>
      </c>
      <c r="J28" s="19">
        <f t="shared" si="1"/>
        <v>13.152201549137706</v>
      </c>
      <c r="K28" s="20">
        <f t="shared" si="2"/>
        <v>2006</v>
      </c>
      <c r="M28" s="21">
        <f t="shared" si="3"/>
        <v>2.8791984572980396</v>
      </c>
      <c r="N28" s="21">
        <f t="shared" si="4"/>
        <v>2.57658916279629</v>
      </c>
    </row>
    <row r="29" spans="1:18" x14ac:dyDescent="0.2">
      <c r="A29" s="25">
        <f>'GF + UG Iteration 2'!A29</f>
        <v>585</v>
      </c>
      <c r="B29" s="25" t="str">
        <f>'GF + UG Iteration 2'!B29</f>
        <v>GF</v>
      </c>
      <c r="C29" s="18">
        <f>'GF + UG Iteration 2'!C29</f>
        <v>20.6</v>
      </c>
      <c r="D29" s="19">
        <f>'GF + UG Iteration 2'!D29</f>
        <v>11.291169205189183</v>
      </c>
      <c r="E29" s="30">
        <f>'GF + UG Iteration 2'!E29</f>
        <v>2007</v>
      </c>
      <c r="F29" s="18"/>
      <c r="G29" s="19"/>
      <c r="H29" s="20"/>
      <c r="I29" s="18">
        <f t="shared" si="0"/>
        <v>20.6</v>
      </c>
      <c r="J29" s="19">
        <f t="shared" si="1"/>
        <v>11.291169205189183</v>
      </c>
      <c r="K29" s="20">
        <f t="shared" si="2"/>
        <v>2007</v>
      </c>
      <c r="M29" s="21">
        <f t="shared" si="3"/>
        <v>3.0252910757955354</v>
      </c>
      <c r="N29" s="21">
        <f t="shared" si="4"/>
        <v>2.4240209339322751</v>
      </c>
    </row>
    <row r="30" spans="1:18" x14ac:dyDescent="0.2">
      <c r="A30" s="25">
        <f>'GF + UG Iteration 2'!A30</f>
        <v>831</v>
      </c>
      <c r="B30" s="25" t="str">
        <f>'GF + UG Iteration 2'!B30</f>
        <v>GF</v>
      </c>
      <c r="C30" s="18">
        <f>'GF + UG Iteration 2'!C30</f>
        <v>19.600000000000001</v>
      </c>
      <c r="D30" s="19">
        <f>'GF + UG Iteration 2'!D30</f>
        <v>20.965601428070691</v>
      </c>
      <c r="E30" s="30">
        <f>'GF + UG Iteration 2'!E30</f>
        <v>2011</v>
      </c>
      <c r="F30" s="18"/>
      <c r="G30" s="19"/>
      <c r="H30" s="20"/>
      <c r="I30" s="18">
        <f t="shared" si="0"/>
        <v>19.600000000000001</v>
      </c>
      <c r="J30" s="19">
        <f t="shared" si="1"/>
        <v>20.965601428070691</v>
      </c>
      <c r="K30" s="20">
        <f t="shared" si="2"/>
        <v>2011</v>
      </c>
      <c r="M30" s="21">
        <f t="shared" si="3"/>
        <v>2.9755295662364718</v>
      </c>
      <c r="N30" s="21">
        <f t="shared" si="4"/>
        <v>3.042883067455266</v>
      </c>
    </row>
    <row r="31" spans="1:18" x14ac:dyDescent="0.2">
      <c r="A31" s="25">
        <f>'GF + UG Iteration 2'!A31</f>
        <v>340</v>
      </c>
      <c r="B31" s="25" t="str">
        <f>'GF + UG Iteration 2'!B31</f>
        <v>GF</v>
      </c>
      <c r="C31" s="18">
        <f>'GF + UG Iteration 2'!C31</f>
        <v>22</v>
      </c>
      <c r="D31" s="19">
        <f>'GF + UG Iteration 2'!D31</f>
        <v>13.309615571039751</v>
      </c>
      <c r="E31" s="30">
        <f>'GF + UG Iteration 2'!E31</f>
        <v>2003</v>
      </c>
      <c r="F31" s="18"/>
      <c r="G31" s="19"/>
      <c r="H31" s="20"/>
      <c r="I31" s="18">
        <f t="shared" si="0"/>
        <v>22</v>
      </c>
      <c r="J31" s="19">
        <f t="shared" si="1"/>
        <v>13.309615571039751</v>
      </c>
      <c r="K31" s="20">
        <f t="shared" si="2"/>
        <v>2003</v>
      </c>
      <c r="M31" s="21">
        <f t="shared" si="3"/>
        <v>3.0910424533583161</v>
      </c>
      <c r="N31" s="21">
        <f t="shared" si="4"/>
        <v>2.5884867492731334</v>
      </c>
    </row>
    <row r="32" spans="1:18" x14ac:dyDescent="0.2">
      <c r="A32" s="25">
        <f>'GF + UG Iteration 2'!A32</f>
        <v>334</v>
      </c>
      <c r="B32" s="25" t="str">
        <f>'GF + UG Iteration 2'!B32</f>
        <v>GF</v>
      </c>
      <c r="C32" s="18">
        <f>'GF + UG Iteration 2'!C32</f>
        <v>18.8</v>
      </c>
      <c r="D32" s="19">
        <f>'GF + UG Iteration 2'!D32</f>
        <v>7.9463711126733889</v>
      </c>
      <c r="E32" s="30">
        <f>'GF + UG Iteration 2'!E32</f>
        <v>2003</v>
      </c>
      <c r="F32" s="18"/>
      <c r="G32" s="19"/>
      <c r="H32" s="20"/>
      <c r="I32" s="18">
        <f t="shared" si="0"/>
        <v>18.8</v>
      </c>
      <c r="J32" s="19">
        <f t="shared" si="1"/>
        <v>7.9463711126733889</v>
      </c>
      <c r="K32" s="20">
        <f t="shared" si="2"/>
        <v>2003</v>
      </c>
      <c r="M32" s="21">
        <f t="shared" si="3"/>
        <v>2.9338568698359038</v>
      </c>
      <c r="N32" s="21">
        <f t="shared" si="4"/>
        <v>2.072715360640252</v>
      </c>
    </row>
    <row r="33" spans="1:14" x14ac:dyDescent="0.2">
      <c r="A33" s="25">
        <f>'GF + UG Iteration 2'!A33</f>
        <v>343</v>
      </c>
      <c r="B33" s="25" t="str">
        <f>'GF + UG Iteration 2'!B33</f>
        <v>GF</v>
      </c>
      <c r="C33" s="18">
        <f>'GF + UG Iteration 2'!C33</f>
        <v>15.6</v>
      </c>
      <c r="D33" s="19">
        <f>'GF + UG Iteration 2'!D33</f>
        <v>13.99971574022935</v>
      </c>
      <c r="E33" s="30">
        <f>'GF + UG Iteration 2'!E33</f>
        <v>2003</v>
      </c>
      <c r="F33" s="18"/>
      <c r="G33" s="19"/>
      <c r="H33" s="20"/>
      <c r="I33" s="18">
        <f t="shared" si="0"/>
        <v>15.6</v>
      </c>
      <c r="J33" s="19">
        <f t="shared" si="1"/>
        <v>13.99971574022935</v>
      </c>
      <c r="K33" s="20">
        <f t="shared" si="2"/>
        <v>2003</v>
      </c>
      <c r="M33" s="21">
        <f t="shared" si="3"/>
        <v>2.7472709142554912</v>
      </c>
      <c r="N33" s="21">
        <f t="shared" si="4"/>
        <v>2.6390370251397921</v>
      </c>
    </row>
    <row r="34" spans="1:14" x14ac:dyDescent="0.2">
      <c r="A34" s="25">
        <f>'GF + UG Iteration 2'!A34</f>
        <v>358</v>
      </c>
      <c r="B34" s="25" t="str">
        <f>'GF + UG Iteration 2'!B34</f>
        <v>GF</v>
      </c>
      <c r="C34" s="18">
        <f>'GF + UG Iteration 2'!C34</f>
        <v>19.8</v>
      </c>
      <c r="D34" s="19">
        <f>'GF + UG Iteration 2'!D34</f>
        <v>7.2248521864398549</v>
      </c>
      <c r="E34" s="30">
        <f>'GF + UG Iteration 2'!E34</f>
        <v>2003</v>
      </c>
      <c r="F34" s="18"/>
      <c r="G34" s="19"/>
      <c r="H34" s="20"/>
      <c r="I34" s="18">
        <f t="shared" si="0"/>
        <v>19.8</v>
      </c>
      <c r="J34" s="19">
        <f t="shared" si="1"/>
        <v>7.2248521864398549</v>
      </c>
      <c r="K34" s="20">
        <f t="shared" si="2"/>
        <v>2003</v>
      </c>
      <c r="M34" s="21">
        <f t="shared" si="3"/>
        <v>2.9856819377004897</v>
      </c>
      <c r="N34" s="21">
        <f t="shared" si="4"/>
        <v>1.9775267751649739</v>
      </c>
    </row>
    <row r="35" spans="1:14" x14ac:dyDescent="0.2">
      <c r="A35" s="25">
        <f>'GF + UG Iteration 2'!A35</f>
        <v>702</v>
      </c>
      <c r="B35" s="25" t="str">
        <f>'GF + UG Iteration 2'!B35</f>
        <v>GF</v>
      </c>
      <c r="C35" s="18">
        <f>'GF + UG Iteration 2'!C35</f>
        <v>28.4</v>
      </c>
      <c r="D35" s="19">
        <f>'GF + UG Iteration 2'!D35</f>
        <v>5.2101531080390755</v>
      </c>
      <c r="E35" s="30">
        <f>'GF + UG Iteration 2'!E35</f>
        <v>2007</v>
      </c>
      <c r="F35" s="18"/>
      <c r="G35" s="19"/>
      <c r="H35" s="20"/>
      <c r="I35" s="18">
        <f t="shared" si="0"/>
        <v>28.4</v>
      </c>
      <c r="J35" s="19">
        <f t="shared" si="1"/>
        <v>5.2101531080390755</v>
      </c>
      <c r="K35" s="20">
        <f t="shared" si="2"/>
        <v>2007</v>
      </c>
      <c r="M35" s="21">
        <f t="shared" si="3"/>
        <v>3.3463891451671604</v>
      </c>
      <c r="N35" s="21">
        <f t="shared" si="4"/>
        <v>1.6506092426730299</v>
      </c>
    </row>
    <row r="36" spans="1:14" x14ac:dyDescent="0.2">
      <c r="A36" s="25">
        <f>'GF + UG Iteration 2'!A36</f>
        <v>526</v>
      </c>
      <c r="B36" s="25" t="str">
        <f>'GF + UG Iteration 2'!B36</f>
        <v>GF</v>
      </c>
      <c r="C36" s="18">
        <f>'GF + UG Iteration 2'!C36</f>
        <v>19</v>
      </c>
      <c r="D36" s="19">
        <f>'GF + UG Iteration 2'!D36</f>
        <v>13.758834109767626</v>
      </c>
      <c r="E36" s="30">
        <f>'GF + UG Iteration 2'!E36</f>
        <v>2007</v>
      </c>
      <c r="F36" s="18"/>
      <c r="G36" s="19"/>
      <c r="H36" s="20"/>
      <c r="I36" s="18">
        <f t="shared" si="0"/>
        <v>19</v>
      </c>
      <c r="J36" s="19">
        <f t="shared" si="1"/>
        <v>13.758834109767626</v>
      </c>
      <c r="K36" s="20">
        <f t="shared" si="2"/>
        <v>2007</v>
      </c>
      <c r="M36" s="21">
        <f t="shared" si="3"/>
        <v>2.9444389791664403</v>
      </c>
      <c r="N36" s="21">
        <f t="shared" si="4"/>
        <v>2.6216810985205803</v>
      </c>
    </row>
    <row r="37" spans="1:14" x14ac:dyDescent="0.2">
      <c r="A37" s="25">
        <f>'GF + UG Iteration 2'!A37</f>
        <v>288</v>
      </c>
      <c r="B37" s="25" t="str">
        <f>'GF + UG Iteration 2'!B37</f>
        <v>GF</v>
      </c>
      <c r="C37" s="18">
        <f>'GF + UG Iteration 2'!C37</f>
        <v>12</v>
      </c>
      <c r="D37" s="19">
        <f>'GF + UG Iteration 2'!D37</f>
        <v>4.4533584840568787</v>
      </c>
      <c r="E37" s="30">
        <f>'GF + UG Iteration 2'!E37</f>
        <v>2001</v>
      </c>
      <c r="F37" s="18"/>
      <c r="G37" s="19"/>
      <c r="H37" s="20"/>
      <c r="I37" s="18">
        <f t="shared" si="0"/>
        <v>12</v>
      </c>
      <c r="J37" s="19">
        <f t="shared" si="1"/>
        <v>4.4533584840568787</v>
      </c>
      <c r="K37" s="20">
        <f t="shared" si="2"/>
        <v>2001</v>
      </c>
      <c r="M37" s="21">
        <f t="shared" si="3"/>
        <v>2.4849066497880004</v>
      </c>
      <c r="N37" s="21">
        <f t="shared" si="4"/>
        <v>1.4936585270420049</v>
      </c>
    </row>
    <row r="38" spans="1:14" x14ac:dyDescent="0.2">
      <c r="A38" s="25">
        <f>'GF + UG Iteration 2'!A38</f>
        <v>851</v>
      </c>
      <c r="B38" s="25" t="str">
        <f>'GF + UG Iteration 2'!B38</f>
        <v>GF</v>
      </c>
      <c r="C38" s="18">
        <f>'GF + UG Iteration 2'!C38</f>
        <v>25</v>
      </c>
      <c r="D38" s="19">
        <f>'GF + UG Iteration 2'!D38</f>
        <v>12.931754132918639</v>
      </c>
      <c r="E38" s="30">
        <f>'GF + UG Iteration 2'!E38</f>
        <v>2007</v>
      </c>
      <c r="F38" s="18"/>
      <c r="G38" s="19"/>
      <c r="H38" s="20"/>
      <c r="I38" s="18">
        <f t="shared" si="0"/>
        <v>25</v>
      </c>
      <c r="J38" s="19">
        <f t="shared" si="1"/>
        <v>12.931754132918639</v>
      </c>
      <c r="K38" s="20">
        <f t="shared" si="2"/>
        <v>2007</v>
      </c>
      <c r="M38" s="21">
        <f t="shared" si="3"/>
        <v>3.2188758248682006</v>
      </c>
      <c r="N38" s="21">
        <f t="shared" si="4"/>
        <v>2.5596858473810773</v>
      </c>
    </row>
    <row r="39" spans="1:14" x14ac:dyDescent="0.2">
      <c r="A39" s="25">
        <f>'GF + UG Iteration 2'!A39</f>
        <v>648</v>
      </c>
      <c r="B39" s="25" t="str">
        <f>'GF + UG Iteration 2'!B39</f>
        <v>GF</v>
      </c>
      <c r="C39" s="18">
        <f>'GF + UG Iteration 2'!C39</f>
        <v>15</v>
      </c>
      <c r="D39" s="19">
        <f>'GF + UG Iteration 2'!D39</f>
        <v>14.973718181093032</v>
      </c>
      <c r="E39" s="30">
        <f>'GF + UG Iteration 2'!E39</f>
        <v>2007</v>
      </c>
      <c r="F39" s="18"/>
      <c r="G39" s="19"/>
      <c r="H39" s="20"/>
      <c r="I39" s="18">
        <f t="shared" si="0"/>
        <v>15</v>
      </c>
      <c r="J39" s="19">
        <f t="shared" si="1"/>
        <v>14.973718181093032</v>
      </c>
      <c r="K39" s="20">
        <f t="shared" si="2"/>
        <v>2007</v>
      </c>
      <c r="M39" s="21">
        <f t="shared" si="3"/>
        <v>2.7080502011022101</v>
      </c>
      <c r="N39" s="21">
        <f t="shared" si="4"/>
        <v>2.7062965430819679</v>
      </c>
    </row>
    <row r="40" spans="1:14" x14ac:dyDescent="0.2">
      <c r="A40" s="25">
        <f>'GF + UG Iteration 2'!A40</f>
        <v>855</v>
      </c>
      <c r="B40" s="25" t="str">
        <f>'GF + UG Iteration 2'!B40</f>
        <v>GF</v>
      </c>
      <c r="C40" s="18">
        <f>'GF + UG Iteration 2'!C40</f>
        <v>23</v>
      </c>
      <c r="D40" s="19">
        <f>'GF + UG Iteration 2'!D40</f>
        <v>28.66706963950903</v>
      </c>
      <c r="E40" s="30">
        <f>'GF + UG Iteration 2'!E40</f>
        <v>2011</v>
      </c>
      <c r="F40" s="18"/>
      <c r="G40" s="19"/>
      <c r="H40" s="20"/>
      <c r="I40" s="18">
        <f t="shared" si="0"/>
        <v>23</v>
      </c>
      <c r="J40" s="19">
        <f t="shared" si="1"/>
        <v>28.66706963950903</v>
      </c>
      <c r="K40" s="20">
        <f t="shared" si="2"/>
        <v>2011</v>
      </c>
      <c r="M40" s="21">
        <f t="shared" si="3"/>
        <v>3.1354942159291497</v>
      </c>
      <c r="N40" s="21">
        <f t="shared" si="4"/>
        <v>3.355749064678772</v>
      </c>
    </row>
    <row r="41" spans="1:14" x14ac:dyDescent="0.2">
      <c r="A41" s="25">
        <f>'GF + UG Iteration 2'!A41</f>
        <v>700</v>
      </c>
      <c r="B41" s="25" t="str">
        <f>'GF + UG Iteration 2'!B41</f>
        <v>GF</v>
      </c>
      <c r="C41" s="18">
        <f>'GF + UG Iteration 2'!C41</f>
        <v>9.8000000000000007</v>
      </c>
      <c r="D41" s="19">
        <f>'GF + UG Iteration 2'!D41</f>
        <v>7.0657947644327148</v>
      </c>
      <c r="E41" s="30">
        <f>'GF + UG Iteration 2'!E41</f>
        <v>2007</v>
      </c>
      <c r="F41" s="18"/>
      <c r="G41" s="19"/>
      <c r="H41" s="20"/>
      <c r="I41" s="18">
        <f t="shared" si="0"/>
        <v>9.8000000000000007</v>
      </c>
      <c r="J41" s="19">
        <f t="shared" si="1"/>
        <v>7.0657947644327148</v>
      </c>
      <c r="K41" s="20">
        <f t="shared" si="2"/>
        <v>2007</v>
      </c>
      <c r="M41" s="21">
        <f t="shared" si="3"/>
        <v>2.2823823856765264</v>
      </c>
      <c r="N41" s="21">
        <f t="shared" si="4"/>
        <v>1.9552655030060266</v>
      </c>
    </row>
    <row r="42" spans="1:14" x14ac:dyDescent="0.2">
      <c r="A42" s="25">
        <f>'GF + UG Iteration 2'!A42</f>
        <v>683</v>
      </c>
      <c r="B42" s="25" t="str">
        <f>'GF + UG Iteration 2'!B42</f>
        <v>GF</v>
      </c>
      <c r="C42" s="18">
        <f>'GF + UG Iteration 2'!C42</f>
        <v>30</v>
      </c>
      <c r="D42" s="19">
        <f>'GF + UG Iteration 2'!D42</f>
        <v>16.03232257186292</v>
      </c>
      <c r="E42" s="30">
        <f>'GF + UG Iteration 2'!E42</f>
        <v>2011</v>
      </c>
      <c r="F42" s="18"/>
      <c r="G42" s="19"/>
      <c r="H42" s="20"/>
      <c r="I42" s="18">
        <f t="shared" si="0"/>
        <v>30</v>
      </c>
      <c r="J42" s="19">
        <f t="shared" si="1"/>
        <v>16.03232257186292</v>
      </c>
      <c r="K42" s="20">
        <f t="shared" si="2"/>
        <v>2011</v>
      </c>
      <c r="M42" s="21">
        <f t="shared" si="3"/>
        <v>3.4011973816621555</v>
      </c>
      <c r="N42" s="21">
        <f t="shared" si="4"/>
        <v>2.7746068452004713</v>
      </c>
    </row>
    <row r="43" spans="1:14" x14ac:dyDescent="0.2">
      <c r="A43" s="25">
        <f>'GF + UG Iteration 2'!A43</f>
        <v>559</v>
      </c>
      <c r="B43" s="25" t="str">
        <f>'GF + UG Iteration 2'!B43</f>
        <v>GF</v>
      </c>
      <c r="C43" s="18">
        <f>'GF + UG Iteration 2'!C43</f>
        <v>115</v>
      </c>
      <c r="D43" s="19">
        <f>'GF + UG Iteration 2'!D43</f>
        <v>56.859498956472109</v>
      </c>
      <c r="E43" s="30">
        <f>'GF + UG Iteration 2'!E43</f>
        <v>2011</v>
      </c>
      <c r="F43" s="18"/>
      <c r="G43" s="19"/>
      <c r="H43" s="20"/>
      <c r="I43" s="18">
        <f t="shared" si="0"/>
        <v>115</v>
      </c>
      <c r="J43" s="19">
        <f t="shared" si="1"/>
        <v>56.859498956472109</v>
      </c>
      <c r="K43" s="20">
        <f t="shared" si="2"/>
        <v>2011</v>
      </c>
      <c r="M43" s="21">
        <f t="shared" si="3"/>
        <v>4.7449321283632502</v>
      </c>
      <c r="N43" s="21">
        <f t="shared" si="4"/>
        <v>4.0405832943034818</v>
      </c>
    </row>
    <row r="44" spans="1:14" x14ac:dyDescent="0.2">
      <c r="A44" s="25">
        <f>'GF + UG Iteration 2'!A44</f>
        <v>1074</v>
      </c>
      <c r="B44" s="25" t="str">
        <f>'GF + UG Iteration 2'!B44</f>
        <v>GF</v>
      </c>
      <c r="C44" s="18">
        <f>'GF + UG Iteration 2'!C44</f>
        <v>67</v>
      </c>
      <c r="D44" s="19">
        <f>'GF + UG Iteration 2'!D44</f>
        <v>43.13883453102715</v>
      </c>
      <c r="E44" s="30">
        <f>'GF + UG Iteration 2'!E44</f>
        <v>2011</v>
      </c>
      <c r="F44" s="18"/>
      <c r="G44" s="19"/>
      <c r="H44" s="20"/>
      <c r="I44" s="18">
        <f t="shared" si="0"/>
        <v>67</v>
      </c>
      <c r="J44" s="19">
        <f t="shared" si="1"/>
        <v>43.13883453102715</v>
      </c>
      <c r="K44" s="20">
        <f t="shared" si="2"/>
        <v>2011</v>
      </c>
      <c r="M44" s="21">
        <f t="shared" si="3"/>
        <v>4.2046926193909657</v>
      </c>
      <c r="N44" s="21">
        <f t="shared" si="4"/>
        <v>3.7644236246254454</v>
      </c>
    </row>
    <row r="45" spans="1:14" x14ac:dyDescent="0.2">
      <c r="A45" s="25">
        <f>'GF + UG Iteration 2'!A45</f>
        <v>34</v>
      </c>
      <c r="B45" s="25" t="str">
        <f>'GF + UG Iteration 2'!B45</f>
        <v>GF</v>
      </c>
      <c r="C45" s="18">
        <f>'GF + UG Iteration 2'!C45</f>
        <v>16</v>
      </c>
      <c r="D45" s="19">
        <f>'GF + UG Iteration 2'!D45</f>
        <v>7.5134124542159286</v>
      </c>
      <c r="E45" s="30">
        <f>'GF + UG Iteration 2'!E45</f>
        <v>2000</v>
      </c>
      <c r="F45" s="18"/>
      <c r="G45" s="19"/>
      <c r="H45" s="20"/>
      <c r="I45" s="18">
        <f t="shared" si="0"/>
        <v>16</v>
      </c>
      <c r="J45" s="19">
        <f t="shared" si="1"/>
        <v>7.5134124542159286</v>
      </c>
      <c r="K45" s="20">
        <f t="shared" si="2"/>
        <v>2000</v>
      </c>
      <c r="M45" s="21">
        <f t="shared" si="3"/>
        <v>2.7725887222397811</v>
      </c>
      <c r="N45" s="21">
        <f t="shared" si="4"/>
        <v>2.0166897506177883</v>
      </c>
    </row>
    <row r="46" spans="1:14" x14ac:dyDescent="0.2">
      <c r="A46" s="25">
        <f>'GF + UG Iteration 2'!A46</f>
        <v>433</v>
      </c>
      <c r="B46" s="25" t="str">
        <f>'GF + UG Iteration 2'!B46</f>
        <v>GF</v>
      </c>
      <c r="C46" s="18">
        <f>'GF + UG Iteration 2'!C46</f>
        <v>25</v>
      </c>
      <c r="D46" s="19">
        <f>'GF + UG Iteration 2'!D46</f>
        <v>22.308265318441425</v>
      </c>
      <c r="E46" s="30">
        <f>'GF + UG Iteration 2'!E46</f>
        <v>2003</v>
      </c>
      <c r="F46" s="18"/>
      <c r="G46" s="19"/>
      <c r="H46" s="20"/>
      <c r="I46" s="18">
        <f t="shared" si="0"/>
        <v>25</v>
      </c>
      <c r="J46" s="19">
        <f t="shared" si="1"/>
        <v>22.308265318441425</v>
      </c>
      <c r="K46" s="20">
        <f t="shared" si="2"/>
        <v>2003</v>
      </c>
      <c r="M46" s="21">
        <f t="shared" si="3"/>
        <v>3.2188758248682006</v>
      </c>
      <c r="N46" s="21">
        <f t="shared" si="4"/>
        <v>3.1049572518778392</v>
      </c>
    </row>
    <row r="47" spans="1:14" x14ac:dyDescent="0.2">
      <c r="A47" s="25" t="str">
        <f>'GF + UG Iteration 2'!A47</f>
        <v>79A</v>
      </c>
      <c r="B47" s="25" t="str">
        <f>'GF + UG Iteration 2'!B47</f>
        <v>GF</v>
      </c>
      <c r="C47" s="18">
        <f>'GF + UG Iteration 2'!C47</f>
        <v>8</v>
      </c>
      <c r="D47" s="19">
        <f>'GF + UG Iteration 2'!D47</f>
        <v>5.0823375539699818</v>
      </c>
      <c r="E47" s="30">
        <f>'GF + UG Iteration 2'!E47</f>
        <v>2000</v>
      </c>
      <c r="F47" s="18"/>
      <c r="G47" s="19"/>
      <c r="H47" s="20"/>
      <c r="I47" s="18">
        <f t="shared" si="0"/>
        <v>8</v>
      </c>
      <c r="J47" s="19">
        <f t="shared" si="1"/>
        <v>5.0823375539699818</v>
      </c>
      <c r="K47" s="20">
        <f t="shared" si="2"/>
        <v>2000</v>
      </c>
      <c r="M47" s="21">
        <f t="shared" si="3"/>
        <v>2.0794415416798357</v>
      </c>
      <c r="N47" s="21">
        <f t="shared" si="4"/>
        <v>1.62577130417386</v>
      </c>
    </row>
    <row r="48" spans="1:14" x14ac:dyDescent="0.2">
      <c r="A48" s="25" t="str">
        <f>'GF + UG Iteration 2'!A48</f>
        <v>10A</v>
      </c>
      <c r="B48" s="25" t="str">
        <f>'GF + UG Iteration 2'!B48</f>
        <v>GF</v>
      </c>
      <c r="C48" s="18">
        <f>'GF + UG Iteration 2'!C48</f>
        <v>6.2</v>
      </c>
      <c r="D48" s="19">
        <f>'GF + UG Iteration 2'!D48</f>
        <v>8.9160103759227685</v>
      </c>
      <c r="E48" s="30">
        <f>'GF + UG Iteration 2'!E48</f>
        <v>2001</v>
      </c>
      <c r="F48" s="18"/>
      <c r="G48" s="19"/>
      <c r="H48" s="20"/>
      <c r="I48" s="18">
        <f t="shared" si="0"/>
        <v>6.2</v>
      </c>
      <c r="J48" s="19">
        <f t="shared" si="1"/>
        <v>8.9160103759227685</v>
      </c>
      <c r="K48" s="20">
        <f t="shared" si="2"/>
        <v>2001</v>
      </c>
      <c r="M48" s="21">
        <f t="shared" si="3"/>
        <v>1.824549292051046</v>
      </c>
      <c r="N48" s="21">
        <f t="shared" si="4"/>
        <v>2.1878485792648439</v>
      </c>
    </row>
    <row r="49" spans="1:14" x14ac:dyDescent="0.2">
      <c r="A49" s="25">
        <f>'GF + UG Iteration 2'!A49</f>
        <v>345</v>
      </c>
      <c r="B49" s="25" t="str">
        <f>'GF + UG Iteration 2'!B49</f>
        <v>GF</v>
      </c>
      <c r="C49" s="18">
        <f>'GF + UG Iteration 2'!C49</f>
        <v>35</v>
      </c>
      <c r="D49" s="19">
        <f>'GF + UG Iteration 2'!D49</f>
        <v>8.3689831482940882</v>
      </c>
      <c r="E49" s="30">
        <f>'GF + UG Iteration 2'!E49</f>
        <v>2003</v>
      </c>
      <c r="F49" s="18"/>
      <c r="G49" s="19"/>
      <c r="H49" s="20"/>
      <c r="I49" s="18">
        <f t="shared" si="0"/>
        <v>35</v>
      </c>
      <c r="J49" s="19">
        <f t="shared" si="1"/>
        <v>8.3689831482940882</v>
      </c>
      <c r="K49" s="20">
        <f t="shared" si="2"/>
        <v>2003</v>
      </c>
      <c r="M49" s="21">
        <f t="shared" si="3"/>
        <v>3.5553480614894135</v>
      </c>
      <c r="N49" s="21">
        <f t="shared" si="4"/>
        <v>2.1245323894621508</v>
      </c>
    </row>
    <row r="50" spans="1:14" x14ac:dyDescent="0.2">
      <c r="A50" s="25">
        <f>'GF + UG Iteration 2'!A50</f>
        <v>1049</v>
      </c>
      <c r="B50" s="25" t="str">
        <f>'GF + UG Iteration 2'!B50</f>
        <v>GF</v>
      </c>
      <c r="C50" s="18">
        <f>'GF + UG Iteration 2'!C50</f>
        <v>15.2</v>
      </c>
      <c r="D50" s="19">
        <f>'GF + UG Iteration 2'!D50</f>
        <v>54.551770509232071</v>
      </c>
      <c r="E50" s="30">
        <f>'GF + UG Iteration 2'!E50</f>
        <v>2011</v>
      </c>
      <c r="F50" s="18"/>
      <c r="G50" s="19"/>
      <c r="H50" s="20"/>
      <c r="I50" s="18">
        <f t="shared" si="0"/>
        <v>15.2</v>
      </c>
      <c r="J50" s="19">
        <f t="shared" si="1"/>
        <v>54.551770509232071</v>
      </c>
      <c r="K50" s="20">
        <f t="shared" si="2"/>
        <v>2011</v>
      </c>
      <c r="M50" s="21">
        <f t="shared" si="3"/>
        <v>2.7212954278522306</v>
      </c>
      <c r="N50" s="21">
        <f t="shared" si="4"/>
        <v>3.9991501683835766</v>
      </c>
    </row>
    <row r="51" spans="1:14" x14ac:dyDescent="0.2">
      <c r="A51" s="25">
        <f>'GF + UG Iteration 2'!A51</f>
        <v>230</v>
      </c>
      <c r="B51" s="25" t="str">
        <f>'GF + UG Iteration 2'!B51</f>
        <v>GF</v>
      </c>
      <c r="C51" s="18">
        <f>'GF + UG Iteration 2'!C51</f>
        <v>17</v>
      </c>
      <c r="D51" s="19">
        <f>'GF + UG Iteration 2'!D51</f>
        <v>10.739901169983137</v>
      </c>
      <c r="E51" s="30">
        <f>'GF + UG Iteration 2'!E51</f>
        <v>2003</v>
      </c>
      <c r="F51" s="18"/>
      <c r="G51" s="19"/>
      <c r="H51" s="20"/>
      <c r="I51" s="18">
        <f t="shared" si="0"/>
        <v>17</v>
      </c>
      <c r="J51" s="19">
        <f t="shared" si="1"/>
        <v>10.739901169983137</v>
      </c>
      <c r="K51" s="20">
        <f t="shared" si="2"/>
        <v>2003</v>
      </c>
      <c r="M51" s="21">
        <f t="shared" si="3"/>
        <v>2.8332133440562162</v>
      </c>
      <c r="N51" s="21">
        <f t="shared" si="4"/>
        <v>2.3739658869883922</v>
      </c>
    </row>
    <row r="52" spans="1:14" x14ac:dyDescent="0.2">
      <c r="A52" s="25" t="str">
        <f>'GF + UG Iteration 2'!A52</f>
        <v>79B</v>
      </c>
      <c r="B52" s="25" t="str">
        <f>'GF + UG Iteration 2'!B52</f>
        <v>GF</v>
      </c>
      <c r="C52" s="18">
        <f>'GF + UG Iteration 2'!C52</f>
        <v>8</v>
      </c>
      <c r="D52" s="19">
        <f>'GF + UG Iteration 2'!D52</f>
        <v>3.3788339951362953</v>
      </c>
      <c r="E52" s="30">
        <f>'GF + UG Iteration 2'!E52</f>
        <v>2000</v>
      </c>
      <c r="F52" s="18"/>
      <c r="G52" s="19"/>
      <c r="H52" s="20"/>
      <c r="I52" s="18">
        <f t="shared" si="0"/>
        <v>8</v>
      </c>
      <c r="J52" s="19">
        <f t="shared" si="1"/>
        <v>3.3788339951362953</v>
      </c>
      <c r="K52" s="20">
        <f t="shared" si="2"/>
        <v>2000</v>
      </c>
      <c r="M52" s="21">
        <f t="shared" si="3"/>
        <v>2.0794415416798357</v>
      </c>
      <c r="N52" s="21">
        <f t="shared" si="4"/>
        <v>1.2175306781252826</v>
      </c>
    </row>
    <row r="53" spans="1:14" x14ac:dyDescent="0.2">
      <c r="A53" s="25" t="str">
        <f>'GF + UG Iteration 2'!A53</f>
        <v>10B</v>
      </c>
      <c r="B53" s="25" t="str">
        <f>'GF + UG Iteration 2'!B53</f>
        <v>GF</v>
      </c>
      <c r="C53" s="18">
        <f>'GF + UG Iteration 2'!C53</f>
        <v>9.4060000000000006</v>
      </c>
      <c r="D53" s="19">
        <f>'GF + UG Iteration 2'!D53</f>
        <v>9.7991326901064184</v>
      </c>
      <c r="E53" s="30">
        <f>'GF + UG Iteration 2'!E53</f>
        <v>2001</v>
      </c>
      <c r="F53" s="18"/>
      <c r="G53" s="19"/>
      <c r="H53" s="20"/>
      <c r="I53" s="18">
        <f t="shared" si="0"/>
        <v>9.4060000000000006</v>
      </c>
      <c r="J53" s="19">
        <f t="shared" si="1"/>
        <v>9.7991326901064184</v>
      </c>
      <c r="K53" s="20">
        <f t="shared" si="2"/>
        <v>2001</v>
      </c>
      <c r="M53" s="21">
        <f t="shared" si="3"/>
        <v>2.2413477835228561</v>
      </c>
      <c r="N53" s="21">
        <f t="shared" si="4"/>
        <v>2.2822938807505317</v>
      </c>
    </row>
    <row r="54" spans="1:14" x14ac:dyDescent="0.2">
      <c r="A54" s="25">
        <f>'GF + UG Iteration 2'!A54</f>
        <v>8</v>
      </c>
      <c r="B54" s="25" t="str">
        <f>'GF + UG Iteration 2'!B54</f>
        <v>GF</v>
      </c>
      <c r="C54" s="18">
        <f>'GF + UG Iteration 2'!C54</f>
        <v>18</v>
      </c>
      <c r="D54" s="19">
        <f>'GF + UG Iteration 2'!D54</f>
        <v>11.984110505191126</v>
      </c>
      <c r="E54" s="30">
        <f>'GF + UG Iteration 2'!E54</f>
        <v>2000</v>
      </c>
      <c r="F54" s="18"/>
      <c r="G54" s="19"/>
      <c r="H54" s="20"/>
      <c r="I54" s="18">
        <f t="shared" si="0"/>
        <v>18</v>
      </c>
      <c r="J54" s="19">
        <f t="shared" si="1"/>
        <v>11.984110505191126</v>
      </c>
      <c r="K54" s="20">
        <f t="shared" si="2"/>
        <v>2000</v>
      </c>
      <c r="M54" s="21">
        <f t="shared" si="3"/>
        <v>2.8903717578961645</v>
      </c>
      <c r="N54" s="21">
        <f t="shared" si="4"/>
        <v>2.4835816477930246</v>
      </c>
    </row>
    <row r="55" spans="1:14" x14ac:dyDescent="0.2">
      <c r="A55" s="25">
        <f>'GF + UG Iteration 2'!A55</f>
        <v>487</v>
      </c>
      <c r="B55" s="25" t="str">
        <f>'GF + UG Iteration 2'!B55</f>
        <v>GF</v>
      </c>
      <c r="C55" s="18">
        <f>'GF + UG Iteration 2'!C55</f>
        <v>22</v>
      </c>
      <c r="D55" s="19">
        <f>'GF + UG Iteration 2'!D55</f>
        <v>16.606728766354362</v>
      </c>
      <c r="E55" s="30">
        <f>'GF + UG Iteration 2'!E55</f>
        <v>2007</v>
      </c>
      <c r="F55" s="18"/>
      <c r="G55" s="19"/>
      <c r="H55" s="20"/>
      <c r="I55" s="18">
        <f t="shared" si="0"/>
        <v>22</v>
      </c>
      <c r="J55" s="19">
        <f t="shared" si="1"/>
        <v>16.606728766354362</v>
      </c>
      <c r="K55" s="20">
        <f t="shared" si="2"/>
        <v>2007</v>
      </c>
      <c r="M55" s="21">
        <f t="shared" si="3"/>
        <v>3.0910424533583161</v>
      </c>
      <c r="N55" s="21">
        <f t="shared" si="4"/>
        <v>2.8098079606021904</v>
      </c>
    </row>
    <row r="56" spans="1:14" x14ac:dyDescent="0.2">
      <c r="A56" s="25">
        <f>'GF + UG Iteration 2'!A56</f>
        <v>385</v>
      </c>
      <c r="B56" s="25" t="str">
        <f>'GF + UG Iteration 2'!B56</f>
        <v>GF</v>
      </c>
      <c r="C56" s="18">
        <f>'GF + UG Iteration 2'!C56</f>
        <v>7.5</v>
      </c>
      <c r="D56" s="19">
        <f>'GF + UG Iteration 2'!D56</f>
        <v>8.5880709825089685</v>
      </c>
      <c r="E56" s="30">
        <f>'GF + UG Iteration 2'!E56</f>
        <v>2003</v>
      </c>
      <c r="F56" s="18"/>
      <c r="G56" s="19"/>
      <c r="H56" s="20"/>
      <c r="I56" s="18">
        <f t="shared" si="0"/>
        <v>7.5</v>
      </c>
      <c r="J56" s="19">
        <f t="shared" si="1"/>
        <v>8.5880709825089685</v>
      </c>
      <c r="K56" s="20">
        <f t="shared" si="2"/>
        <v>2003</v>
      </c>
      <c r="M56" s="21">
        <f t="shared" si="3"/>
        <v>2.0149030205422647</v>
      </c>
      <c r="N56" s="21">
        <f t="shared" si="4"/>
        <v>2.1503741452954848</v>
      </c>
    </row>
    <row r="57" spans="1:14" x14ac:dyDescent="0.2">
      <c r="A57" s="25">
        <f>'GF + UG Iteration 2'!A57</f>
        <v>865</v>
      </c>
      <c r="B57" s="25" t="str">
        <f>'GF + UG Iteration 2'!B57</f>
        <v>GF</v>
      </c>
      <c r="C57" s="18">
        <f>'GF + UG Iteration 2'!C57</f>
        <v>25</v>
      </c>
      <c r="D57" s="19">
        <f>'GF + UG Iteration 2'!D57</f>
        <v>8.6091983279462436</v>
      </c>
      <c r="E57" s="30">
        <f>'GF + UG Iteration 2'!E57</f>
        <v>2007</v>
      </c>
      <c r="F57" s="18"/>
      <c r="G57" s="19"/>
      <c r="H57" s="20"/>
      <c r="I57" s="18">
        <f t="shared" si="0"/>
        <v>25</v>
      </c>
      <c r="J57" s="19">
        <f t="shared" si="1"/>
        <v>8.6091983279462436</v>
      </c>
      <c r="K57" s="20">
        <f t="shared" si="2"/>
        <v>2007</v>
      </c>
      <c r="M57" s="21">
        <f t="shared" si="3"/>
        <v>3.2188758248682006</v>
      </c>
      <c r="N57" s="21">
        <f t="shared" si="4"/>
        <v>2.1528312046907798</v>
      </c>
    </row>
    <row r="58" spans="1:14" x14ac:dyDescent="0.2">
      <c r="A58" s="25">
        <f>'GF + UG Iteration 2'!A58</f>
        <v>863</v>
      </c>
      <c r="B58" s="25" t="str">
        <f>'GF + UG Iteration 2'!B58</f>
        <v>GF</v>
      </c>
      <c r="C58" s="18">
        <f>'GF + UG Iteration 2'!C58</f>
        <v>25</v>
      </c>
      <c r="D58" s="19">
        <f>'GF + UG Iteration 2'!D58</f>
        <v>8.2434360504581008</v>
      </c>
      <c r="E58" s="30">
        <f>'GF + UG Iteration 2'!E58</f>
        <v>2007</v>
      </c>
      <c r="F58" s="18"/>
      <c r="G58" s="19"/>
      <c r="H58" s="20"/>
      <c r="I58" s="18">
        <f t="shared" si="0"/>
        <v>25</v>
      </c>
      <c r="J58" s="19">
        <f t="shared" si="1"/>
        <v>8.2434360504581008</v>
      </c>
      <c r="K58" s="20">
        <f t="shared" si="2"/>
        <v>2007</v>
      </c>
      <c r="M58" s="21">
        <f t="shared" si="3"/>
        <v>3.2188758248682006</v>
      </c>
      <c r="N58" s="21">
        <f t="shared" si="4"/>
        <v>2.1094172534173556</v>
      </c>
    </row>
    <row r="59" spans="1:14" x14ac:dyDescent="0.2">
      <c r="A59" s="25">
        <f>'GF + UG Iteration 2'!A59</f>
        <v>527</v>
      </c>
      <c r="B59" s="25" t="str">
        <f>'GF + UG Iteration 2'!B59</f>
        <v>GF</v>
      </c>
      <c r="C59" s="18">
        <f>'GF + UG Iteration 2'!C59</f>
        <v>17</v>
      </c>
      <c r="D59" s="19">
        <f>'GF + UG Iteration 2'!D59</f>
        <v>6.9318595783251213</v>
      </c>
      <c r="E59" s="30">
        <f>'GF + UG Iteration 2'!E59</f>
        <v>2007</v>
      </c>
      <c r="F59" s="18"/>
      <c r="G59" s="19"/>
      <c r="H59" s="20"/>
      <c r="I59" s="18">
        <f t="shared" si="0"/>
        <v>17</v>
      </c>
      <c r="J59" s="19">
        <f t="shared" si="1"/>
        <v>6.9318595783251213</v>
      </c>
      <c r="K59" s="20">
        <f t="shared" si="2"/>
        <v>2007</v>
      </c>
      <c r="M59" s="21">
        <f t="shared" si="3"/>
        <v>2.8332133440562162</v>
      </c>
      <c r="N59" s="21">
        <f t="shared" si="4"/>
        <v>1.936128114626418</v>
      </c>
    </row>
    <row r="60" spans="1:14" x14ac:dyDescent="0.2">
      <c r="A60" s="25">
        <f>'GF + UG Iteration 2'!A60</f>
        <v>595</v>
      </c>
      <c r="B60" s="25" t="str">
        <f>'GF + UG Iteration 2'!B60</f>
        <v>GF</v>
      </c>
      <c r="C60" s="18">
        <f>'GF + UG Iteration 2'!C60</f>
        <v>11</v>
      </c>
      <c r="D60" s="19">
        <f>'GF + UG Iteration 2'!D60</f>
        <v>19.087371326529755</v>
      </c>
      <c r="E60" s="30">
        <f>'GF + UG Iteration 2'!E60</f>
        <v>2007</v>
      </c>
      <c r="F60" s="18"/>
      <c r="G60" s="19"/>
      <c r="H60" s="20"/>
      <c r="I60" s="18">
        <f t="shared" si="0"/>
        <v>11</v>
      </c>
      <c r="J60" s="19">
        <f t="shared" si="1"/>
        <v>19.087371326529755</v>
      </c>
      <c r="K60" s="20">
        <f t="shared" si="2"/>
        <v>2007</v>
      </c>
      <c r="M60" s="21">
        <f t="shared" si="3"/>
        <v>2.3978952727983707</v>
      </c>
      <c r="N60" s="21">
        <f t="shared" si="4"/>
        <v>2.9490269292793174</v>
      </c>
    </row>
    <row r="61" spans="1:14" x14ac:dyDescent="0.2">
      <c r="A61" s="25">
        <f>'GF + UG Iteration 2'!A61</f>
        <v>528</v>
      </c>
      <c r="B61" s="25" t="str">
        <f>'GF + UG Iteration 2'!B61</f>
        <v>GF</v>
      </c>
      <c r="C61" s="18">
        <f>'GF + UG Iteration 2'!C61</f>
        <v>17</v>
      </c>
      <c r="D61" s="19">
        <f>'GF + UG Iteration 2'!D61</f>
        <v>5.2657663175025586</v>
      </c>
      <c r="E61" s="30">
        <f>'GF + UG Iteration 2'!E61</f>
        <v>2007</v>
      </c>
      <c r="F61" s="18"/>
      <c r="G61" s="19"/>
      <c r="H61" s="20"/>
      <c r="I61" s="18">
        <f t="shared" si="0"/>
        <v>17</v>
      </c>
      <c r="J61" s="19">
        <f t="shared" si="1"/>
        <v>5.2657663175025586</v>
      </c>
      <c r="K61" s="20">
        <f t="shared" si="2"/>
        <v>2007</v>
      </c>
      <c r="M61" s="21">
        <f t="shared" si="3"/>
        <v>2.8332133440562162</v>
      </c>
      <c r="N61" s="21">
        <f t="shared" si="4"/>
        <v>1.6612266843778571</v>
      </c>
    </row>
    <row r="62" spans="1:14" x14ac:dyDescent="0.2">
      <c r="A62" s="25">
        <f>'GF + UG Iteration 2'!A62</f>
        <v>529</v>
      </c>
      <c r="B62" s="25" t="str">
        <f>'GF + UG Iteration 2'!B62</f>
        <v>GF</v>
      </c>
      <c r="C62" s="18">
        <f>'GF + UG Iteration 2'!C62</f>
        <v>17</v>
      </c>
      <c r="D62" s="19">
        <f>'GF + UG Iteration 2'!D62</f>
        <v>7.7921694439597555</v>
      </c>
      <c r="E62" s="30">
        <f>'GF + UG Iteration 2'!E62</f>
        <v>2007</v>
      </c>
      <c r="F62" s="18"/>
      <c r="G62" s="19"/>
      <c r="H62" s="20"/>
      <c r="I62" s="18">
        <f t="shared" si="0"/>
        <v>17</v>
      </c>
      <c r="J62" s="19">
        <f t="shared" si="1"/>
        <v>7.7921694439597555</v>
      </c>
      <c r="K62" s="20">
        <f t="shared" si="2"/>
        <v>2007</v>
      </c>
      <c r="M62" s="21">
        <f t="shared" si="3"/>
        <v>2.8332133440562162</v>
      </c>
      <c r="N62" s="21">
        <f t="shared" si="4"/>
        <v>2.0531193119918547</v>
      </c>
    </row>
    <row r="63" spans="1:14" x14ac:dyDescent="0.2">
      <c r="A63" s="25">
        <f>'GF + UG Iteration 2'!A63</f>
        <v>1095</v>
      </c>
      <c r="B63" s="25" t="str">
        <f>'GF + UG Iteration 2'!B63</f>
        <v>GF</v>
      </c>
      <c r="C63" s="18">
        <f>'GF + UG Iteration 2'!C63</f>
        <v>18</v>
      </c>
      <c r="D63" s="19">
        <f>'GF + UG Iteration 2'!D63</f>
        <v>11.923356574074873</v>
      </c>
      <c r="E63" s="30">
        <f>'GF + UG Iteration 2'!E63</f>
        <v>2011</v>
      </c>
      <c r="F63" s="18"/>
      <c r="G63" s="19"/>
      <c r="H63" s="20"/>
      <c r="I63" s="18">
        <f t="shared" si="0"/>
        <v>18</v>
      </c>
      <c r="J63" s="19">
        <f t="shared" si="1"/>
        <v>11.923356574074873</v>
      </c>
      <c r="K63" s="20">
        <f t="shared" si="2"/>
        <v>2011</v>
      </c>
      <c r="M63" s="21">
        <f t="shared" si="3"/>
        <v>2.8903717578961645</v>
      </c>
      <c r="N63" s="21">
        <f t="shared" si="4"/>
        <v>2.4784992137824831</v>
      </c>
    </row>
    <row r="64" spans="1:14" x14ac:dyDescent="0.2">
      <c r="A64" s="25">
        <f>'GF + UG Iteration 2'!A64</f>
        <v>561</v>
      </c>
      <c r="B64" s="25" t="str">
        <f>'GF + UG Iteration 2'!B64</f>
        <v>GF</v>
      </c>
      <c r="C64" s="18">
        <f>'GF + UG Iteration 2'!C64</f>
        <v>46</v>
      </c>
      <c r="D64" s="19">
        <f>'GF + UG Iteration 2'!D64</f>
        <v>58.100097147658744</v>
      </c>
      <c r="E64" s="30">
        <f>'GF + UG Iteration 2'!E64</f>
        <v>2011</v>
      </c>
      <c r="F64" s="18"/>
      <c r="G64" s="19"/>
      <c r="H64" s="20"/>
      <c r="I64" s="18">
        <f t="shared" si="0"/>
        <v>46</v>
      </c>
      <c r="J64" s="19">
        <f t="shared" si="1"/>
        <v>58.100097147658744</v>
      </c>
      <c r="K64" s="20">
        <f t="shared" si="2"/>
        <v>2011</v>
      </c>
      <c r="M64" s="21">
        <f t="shared" si="3"/>
        <v>3.8286413964890951</v>
      </c>
      <c r="N64" s="21">
        <f t="shared" si="4"/>
        <v>4.0621673359332098</v>
      </c>
    </row>
    <row r="65" spans="1:14" x14ac:dyDescent="0.2">
      <c r="A65" s="25">
        <f>'GF + UG Iteration 2'!A65</f>
        <v>1018</v>
      </c>
      <c r="B65" s="25" t="str">
        <f>'GF + UG Iteration 2'!B65</f>
        <v>GF</v>
      </c>
      <c r="C65" s="18">
        <f>'GF + UG Iteration 2'!C65</f>
        <v>3</v>
      </c>
      <c r="D65" s="19">
        <f>'GF + UG Iteration 2'!D65</f>
        <v>10.634643135603309</v>
      </c>
      <c r="E65" s="30">
        <f>'GF + UG Iteration 2'!E65</f>
        <v>2011</v>
      </c>
      <c r="F65" s="18"/>
      <c r="G65" s="19"/>
      <c r="H65" s="20"/>
      <c r="I65" s="18">
        <f t="shared" si="0"/>
        <v>3</v>
      </c>
      <c r="J65" s="19">
        <f t="shared" si="1"/>
        <v>10.634643135603309</v>
      </c>
      <c r="K65" s="20">
        <f t="shared" si="2"/>
        <v>2011</v>
      </c>
      <c r="M65" s="21">
        <f t="shared" si="3"/>
        <v>1.0986122886681098</v>
      </c>
      <c r="N65" s="21">
        <f t="shared" si="4"/>
        <v>2.3641168924336546</v>
      </c>
    </row>
    <row r="66" spans="1:14" x14ac:dyDescent="0.2">
      <c r="A66" s="25">
        <f>'GF + UG Iteration 2'!A66</f>
        <v>360</v>
      </c>
      <c r="B66" s="25" t="str">
        <f>'GF + UG Iteration 2'!B66</f>
        <v>GF</v>
      </c>
      <c r="C66" s="18">
        <f>'GF + UG Iteration 2'!C66</f>
        <v>22</v>
      </c>
      <c r="D66" s="19">
        <f>'GF + UG Iteration 2'!D66</f>
        <v>7.1174715515965792</v>
      </c>
      <c r="E66" s="30">
        <f>'GF + UG Iteration 2'!E66</f>
        <v>2003</v>
      </c>
      <c r="F66" s="18"/>
      <c r="G66" s="19"/>
      <c r="H66" s="20"/>
      <c r="I66" s="18">
        <f t="shared" si="0"/>
        <v>22</v>
      </c>
      <c r="J66" s="19">
        <f t="shared" si="1"/>
        <v>7.1174715515965792</v>
      </c>
      <c r="K66" s="20">
        <f t="shared" si="2"/>
        <v>2003</v>
      </c>
      <c r="M66" s="21">
        <f t="shared" si="3"/>
        <v>3.0910424533583161</v>
      </c>
      <c r="N66" s="21">
        <f t="shared" si="4"/>
        <v>1.9625525431963604</v>
      </c>
    </row>
    <row r="67" spans="1:14" x14ac:dyDescent="0.2">
      <c r="A67" s="25">
        <f>'GF + UG Iteration 2'!A67</f>
        <v>1106</v>
      </c>
      <c r="B67" s="25" t="str">
        <f>'GF + UG Iteration 2'!B67</f>
        <v>GF</v>
      </c>
      <c r="C67" s="18">
        <f>'GF + UG Iteration 2'!C67</f>
        <v>12</v>
      </c>
      <c r="D67" s="19">
        <f>'GF + UG Iteration 2'!D67</f>
        <v>20.217898457447252</v>
      </c>
      <c r="E67" s="30">
        <f>'GF + UG Iteration 2'!E67</f>
        <v>2011</v>
      </c>
      <c r="F67" s="18"/>
      <c r="G67" s="19"/>
      <c r="H67" s="20"/>
      <c r="I67" s="18">
        <f t="shared" si="0"/>
        <v>12</v>
      </c>
      <c r="J67" s="19">
        <f t="shared" si="1"/>
        <v>20.217898457447252</v>
      </c>
      <c r="K67" s="20">
        <f t="shared" si="2"/>
        <v>2011</v>
      </c>
      <c r="M67" s="21">
        <f t="shared" si="3"/>
        <v>2.4849066497880004</v>
      </c>
      <c r="N67" s="21">
        <f t="shared" si="4"/>
        <v>3.0065682743355979</v>
      </c>
    </row>
    <row r="68" spans="1:14" x14ac:dyDescent="0.2">
      <c r="A68" s="25">
        <f>'GF + UG Iteration 2'!A68</f>
        <v>899</v>
      </c>
      <c r="B68" s="25" t="str">
        <f>'GF + UG Iteration 2'!B68</f>
        <v>GF</v>
      </c>
      <c r="C68" s="18">
        <f>'GF + UG Iteration 2'!C68</f>
        <v>25</v>
      </c>
      <c r="D68" s="19">
        <f>'GF + UG Iteration 2'!D68</f>
        <v>15.17251837286627</v>
      </c>
      <c r="E68" s="30">
        <f>'GF + UG Iteration 2'!E68</f>
        <v>2010</v>
      </c>
      <c r="F68" s="18"/>
      <c r="G68" s="19"/>
      <c r="H68" s="20"/>
      <c r="I68" s="18">
        <f t="shared" si="0"/>
        <v>25</v>
      </c>
      <c r="J68" s="19">
        <f t="shared" si="1"/>
        <v>15.17251837286627</v>
      </c>
      <c r="K68" s="20">
        <f t="shared" si="2"/>
        <v>2010</v>
      </c>
      <c r="M68" s="21">
        <f t="shared" si="3"/>
        <v>3.2188758248682006</v>
      </c>
      <c r="N68" s="21">
        <f t="shared" si="4"/>
        <v>2.7194857896591729</v>
      </c>
    </row>
    <row r="69" spans="1:14" x14ac:dyDescent="0.2">
      <c r="A69" s="25">
        <f>'GF + UG Iteration 2'!A69</f>
        <v>1191</v>
      </c>
      <c r="B69" s="25" t="str">
        <f>'GF + UG Iteration 2'!B69</f>
        <v>GF</v>
      </c>
      <c r="C69" s="18">
        <f>'GF + UG Iteration 2'!C69</f>
        <v>11</v>
      </c>
      <c r="D69" s="19">
        <f>'GF + UG Iteration 2'!D69</f>
        <v>12.628076471206382</v>
      </c>
      <c r="E69" s="30">
        <f>'GF + UG Iteration 2'!E69</f>
        <v>2011</v>
      </c>
      <c r="F69" s="18"/>
      <c r="G69" s="19"/>
      <c r="H69" s="20"/>
      <c r="I69" s="18">
        <f t="shared" si="0"/>
        <v>11</v>
      </c>
      <c r="J69" s="19">
        <f t="shared" si="1"/>
        <v>12.628076471206382</v>
      </c>
      <c r="K69" s="20">
        <f t="shared" si="2"/>
        <v>2011</v>
      </c>
      <c r="M69" s="21">
        <f t="shared" si="3"/>
        <v>2.3978952727983707</v>
      </c>
      <c r="N69" s="21">
        <f t="shared" si="4"/>
        <v>2.5359226263636927</v>
      </c>
    </row>
    <row r="70" spans="1:14" x14ac:dyDescent="0.2">
      <c r="A70" s="25">
        <f>'GF + UG Iteration 2'!A70</f>
        <v>1115</v>
      </c>
      <c r="B70" s="25" t="str">
        <f>'GF + UG Iteration 2'!B70</f>
        <v>GF</v>
      </c>
      <c r="C70" s="18">
        <f>'GF + UG Iteration 2'!C70</f>
        <v>10</v>
      </c>
      <c r="D70" s="19">
        <f>'GF + UG Iteration 2'!D70</f>
        <v>24.362790290493837</v>
      </c>
      <c r="E70" s="30">
        <f>'GF + UG Iteration 2'!E70</f>
        <v>2011</v>
      </c>
      <c r="F70" s="18"/>
      <c r="G70" s="19"/>
      <c r="H70" s="20"/>
      <c r="I70" s="18">
        <f t="shared" si="0"/>
        <v>10</v>
      </c>
      <c r="J70" s="19">
        <f t="shared" si="1"/>
        <v>24.362790290493837</v>
      </c>
      <c r="K70" s="20">
        <f t="shared" si="2"/>
        <v>2011</v>
      </c>
      <c r="M70" s="21">
        <f t="shared" si="3"/>
        <v>2.3025850929940459</v>
      </c>
      <c r="N70" s="21">
        <f t="shared" si="4"/>
        <v>3.1930569802267783</v>
      </c>
    </row>
    <row r="71" spans="1:14" x14ac:dyDescent="0.2">
      <c r="A71" s="25">
        <f>'GF + UG Iteration 2'!A71</f>
        <v>1053</v>
      </c>
      <c r="B71" s="25" t="str">
        <f>'GF + UG Iteration 2'!B71</f>
        <v>GF</v>
      </c>
      <c r="C71" s="18">
        <f>'GF + UG Iteration 2'!C71</f>
        <v>9</v>
      </c>
      <c r="D71" s="19">
        <f>'GF + UG Iteration 2'!D71</f>
        <v>14.71443826778331</v>
      </c>
      <c r="E71" s="30">
        <f>'GF + UG Iteration 2'!E71</f>
        <v>2011</v>
      </c>
      <c r="F71" s="18"/>
      <c r="G71" s="19"/>
      <c r="H71" s="20"/>
      <c r="I71" s="18">
        <f t="shared" si="0"/>
        <v>9</v>
      </c>
      <c r="J71" s="19">
        <f t="shared" si="1"/>
        <v>14.71443826778331</v>
      </c>
      <c r="K71" s="20">
        <f t="shared" si="2"/>
        <v>2011</v>
      </c>
      <c r="M71" s="21">
        <f t="shared" si="3"/>
        <v>2.1972245773362196</v>
      </c>
      <c r="N71" s="21">
        <f t="shared" si="4"/>
        <v>2.6888292068340069</v>
      </c>
    </row>
    <row r="72" spans="1:14" x14ac:dyDescent="0.2">
      <c r="A72" s="25">
        <f>'GF + UG Iteration 2'!A72</f>
        <v>864</v>
      </c>
      <c r="B72" s="25" t="str">
        <f>'GF + UG Iteration 2'!B72</f>
        <v>GF</v>
      </c>
      <c r="C72" s="18">
        <f>'GF + UG Iteration 2'!C72</f>
        <v>25</v>
      </c>
      <c r="D72" s="19">
        <f>'GF + UG Iteration 2'!D72</f>
        <v>9.825778201045452</v>
      </c>
      <c r="E72" s="30">
        <f>'GF + UG Iteration 2'!E72</f>
        <v>2007</v>
      </c>
      <c r="F72" s="18"/>
      <c r="G72" s="19"/>
      <c r="H72" s="20"/>
      <c r="I72" s="18">
        <f t="shared" ref="I72:I117" si="5">C72+F72</f>
        <v>25</v>
      </c>
      <c r="J72" s="19">
        <f t="shared" ref="J72:J117" si="6">D72+G72</f>
        <v>9.825778201045452</v>
      </c>
      <c r="K72" s="20">
        <f t="shared" ref="K72:K117" si="7">MAX(E72,H72)</f>
        <v>2007</v>
      </c>
      <c r="M72" s="21">
        <f t="shared" ref="M72:M117" si="8">LN(I72)</f>
        <v>3.2188758248682006</v>
      </c>
      <c r="N72" s="21">
        <f t="shared" ref="N72:N117" si="9">LN(J72)</f>
        <v>2.2850093608319559</v>
      </c>
    </row>
    <row r="73" spans="1:14" x14ac:dyDescent="0.2">
      <c r="A73" s="25">
        <f>'GF + UG Iteration 2'!A73</f>
        <v>834</v>
      </c>
      <c r="B73" s="25" t="str">
        <f>'GF + UG Iteration 2'!B73</f>
        <v>GF</v>
      </c>
      <c r="C73" s="18">
        <f>'GF + UG Iteration 2'!C73</f>
        <v>45</v>
      </c>
      <c r="D73" s="19">
        <f>'GF + UG Iteration 2'!D73</f>
        <v>25.798393978216257</v>
      </c>
      <c r="E73" s="30">
        <f>'GF + UG Iteration 2'!E73</f>
        <v>2010</v>
      </c>
      <c r="F73" s="18"/>
      <c r="G73" s="19"/>
      <c r="H73" s="20"/>
      <c r="I73" s="18">
        <f t="shared" si="5"/>
        <v>45</v>
      </c>
      <c r="J73" s="19">
        <f t="shared" si="6"/>
        <v>25.798393978216257</v>
      </c>
      <c r="K73" s="20">
        <f t="shared" si="7"/>
        <v>2010</v>
      </c>
      <c r="M73" s="21">
        <f t="shared" si="8"/>
        <v>3.8066624897703196</v>
      </c>
      <c r="N73" s="21">
        <f t="shared" si="9"/>
        <v>3.2503122410836816</v>
      </c>
    </row>
    <row r="74" spans="1:14" x14ac:dyDescent="0.2">
      <c r="A74" s="25">
        <f>'GF + UG Iteration 2'!A74</f>
        <v>722</v>
      </c>
      <c r="B74" s="25" t="str">
        <f>'GF + UG Iteration 2'!B74</f>
        <v>GF</v>
      </c>
      <c r="C74" s="18">
        <f>'GF + UG Iteration 2'!C74</f>
        <v>10.5</v>
      </c>
      <c r="D74" s="19">
        <f>'GF + UG Iteration 2'!D74</f>
        <v>13.501544643115857</v>
      </c>
      <c r="E74" s="30">
        <f>'GF + UG Iteration 2'!E74</f>
        <v>2010</v>
      </c>
      <c r="F74" s="18"/>
      <c r="G74" s="19"/>
      <c r="H74" s="20"/>
      <c r="I74" s="18">
        <f t="shared" si="5"/>
        <v>10.5</v>
      </c>
      <c r="J74" s="19">
        <f t="shared" si="6"/>
        <v>13.501544643115857</v>
      </c>
      <c r="K74" s="20">
        <f t="shared" si="7"/>
        <v>2010</v>
      </c>
      <c r="M74" s="21">
        <f t="shared" si="8"/>
        <v>2.3513752571634776</v>
      </c>
      <c r="N74" s="21">
        <f t="shared" si="9"/>
        <v>2.6028040969077249</v>
      </c>
    </row>
    <row r="75" spans="1:14" x14ac:dyDescent="0.2">
      <c r="A75" s="25">
        <f>'GF + UG Iteration 2'!A75</f>
        <v>927</v>
      </c>
      <c r="B75" s="25" t="str">
        <f>'GF + UG Iteration 2'!B75</f>
        <v>GF</v>
      </c>
      <c r="C75" s="18">
        <f>'GF + UG Iteration 2'!C75</f>
        <v>60</v>
      </c>
      <c r="D75" s="19">
        <f>'GF + UG Iteration 2'!D75</f>
        <v>25.887106037100622</v>
      </c>
      <c r="E75" s="30">
        <f>'GF + UG Iteration 2'!E75</f>
        <v>2011</v>
      </c>
      <c r="F75" s="18"/>
      <c r="G75" s="19"/>
      <c r="H75" s="20"/>
      <c r="I75" s="18">
        <f t="shared" si="5"/>
        <v>60</v>
      </c>
      <c r="J75" s="19">
        <f t="shared" si="6"/>
        <v>25.887106037100622</v>
      </c>
      <c r="K75" s="20">
        <f t="shared" si="7"/>
        <v>2011</v>
      </c>
      <c r="M75" s="21">
        <f t="shared" si="8"/>
        <v>4.0943445622221004</v>
      </c>
      <c r="N75" s="21">
        <f t="shared" si="9"/>
        <v>3.2537450083384241</v>
      </c>
    </row>
    <row r="76" spans="1:14" x14ac:dyDescent="0.2">
      <c r="A76" s="25">
        <f>'GF + UG Iteration 2'!A76</f>
        <v>1068</v>
      </c>
      <c r="B76" s="25" t="str">
        <f>'GF + UG Iteration 2'!B76</f>
        <v>GF</v>
      </c>
      <c r="C76" s="18">
        <f>'GF + UG Iteration 2'!C76</f>
        <v>11.2</v>
      </c>
      <c r="D76" s="19">
        <f>'GF + UG Iteration 2'!D76</f>
        <v>26.918199168374588</v>
      </c>
      <c r="E76" s="30">
        <f>'GF + UG Iteration 2'!E76</f>
        <v>2011</v>
      </c>
      <c r="F76" s="18"/>
      <c r="G76" s="19"/>
      <c r="H76" s="20"/>
      <c r="I76" s="18">
        <f t="shared" si="5"/>
        <v>11.2</v>
      </c>
      <c r="J76" s="19">
        <f t="shared" si="6"/>
        <v>26.918199168374588</v>
      </c>
      <c r="K76" s="20">
        <f t="shared" si="7"/>
        <v>2011</v>
      </c>
      <c r="M76" s="21">
        <f t="shared" si="8"/>
        <v>2.4159137783010487</v>
      </c>
      <c r="N76" s="21">
        <f t="shared" si="9"/>
        <v>3.2928026068618901</v>
      </c>
    </row>
    <row r="77" spans="1:14" x14ac:dyDescent="0.2">
      <c r="A77" s="25">
        <f>'GF + UG Iteration 2'!A77</f>
        <v>506</v>
      </c>
      <c r="B77" s="25" t="str">
        <f>'GF + UG Iteration 2'!B77</f>
        <v>GF</v>
      </c>
      <c r="C77" s="18">
        <f>'GF + UG Iteration 2'!C77</f>
        <v>20</v>
      </c>
      <c r="D77" s="19">
        <f>'GF + UG Iteration 2'!D77</f>
        <v>13.969254162639503</v>
      </c>
      <c r="E77" s="30">
        <f>'GF + UG Iteration 2'!E77</f>
        <v>2003</v>
      </c>
      <c r="F77" s="18"/>
      <c r="G77" s="19"/>
      <c r="H77" s="20"/>
      <c r="I77" s="18">
        <f t="shared" si="5"/>
        <v>20</v>
      </c>
      <c r="J77" s="19">
        <f t="shared" si="6"/>
        <v>13.969254162639503</v>
      </c>
      <c r="K77" s="20">
        <f t="shared" si="7"/>
        <v>2003</v>
      </c>
      <c r="M77" s="21">
        <f t="shared" si="8"/>
        <v>2.9957322735539909</v>
      </c>
      <c r="N77" s="21">
        <f t="shared" si="9"/>
        <v>2.6368587833425443</v>
      </c>
    </row>
    <row r="78" spans="1:14" x14ac:dyDescent="0.2">
      <c r="A78" s="25">
        <f>'GF + UG Iteration 2'!A78</f>
        <v>456</v>
      </c>
      <c r="B78" s="25" t="str">
        <f>'GF + UG Iteration 2'!B78</f>
        <v>GF</v>
      </c>
      <c r="C78" s="18">
        <f>'GF + UG Iteration 2'!C78</f>
        <v>16</v>
      </c>
      <c r="D78" s="19">
        <f>'GF + UG Iteration 2'!D78</f>
        <v>17.647037003819346</v>
      </c>
      <c r="E78" s="30">
        <f>'GF + UG Iteration 2'!E78</f>
        <v>2007</v>
      </c>
      <c r="F78" s="18"/>
      <c r="G78" s="19"/>
      <c r="H78" s="20"/>
      <c r="I78" s="18">
        <f t="shared" si="5"/>
        <v>16</v>
      </c>
      <c r="J78" s="19">
        <f t="shared" si="6"/>
        <v>17.647037003819346</v>
      </c>
      <c r="K78" s="20">
        <f t="shared" si="7"/>
        <v>2007</v>
      </c>
      <c r="M78" s="21">
        <f t="shared" si="8"/>
        <v>2.7725887222397811</v>
      </c>
      <c r="N78" s="21">
        <f t="shared" si="9"/>
        <v>2.8705678941489836</v>
      </c>
    </row>
    <row r="79" spans="1:14" x14ac:dyDescent="0.2">
      <c r="A79" s="25">
        <f>'GF + UG Iteration 2'!A79</f>
        <v>130</v>
      </c>
      <c r="B79" s="25" t="str">
        <f>'GF + UG Iteration 2'!B79</f>
        <v>GF</v>
      </c>
      <c r="C79" s="18">
        <f>'GF + UG Iteration 2'!C79</f>
        <v>18</v>
      </c>
      <c r="D79" s="19">
        <f>'GF + UG Iteration 2'!D79</f>
        <v>8.4369732753123952</v>
      </c>
      <c r="E79" s="30">
        <f>'GF + UG Iteration 2'!E79</f>
        <v>2001</v>
      </c>
      <c r="F79" s="18"/>
      <c r="G79" s="19"/>
      <c r="H79" s="20"/>
      <c r="I79" s="18">
        <f t="shared" si="5"/>
        <v>18</v>
      </c>
      <c r="J79" s="19">
        <f t="shared" si="6"/>
        <v>8.4369732753123952</v>
      </c>
      <c r="K79" s="20">
        <f t="shared" si="7"/>
        <v>2001</v>
      </c>
      <c r="M79" s="21">
        <f t="shared" si="8"/>
        <v>2.8903717578961645</v>
      </c>
      <c r="N79" s="21">
        <f t="shared" si="9"/>
        <v>2.1326236276203829</v>
      </c>
    </row>
    <row r="80" spans="1:14" x14ac:dyDescent="0.2">
      <c r="A80" s="25">
        <f>'GF + UG Iteration 2'!A80</f>
        <v>308</v>
      </c>
      <c r="B80" s="25" t="str">
        <f>'GF + UG Iteration 2'!B80</f>
        <v>GF</v>
      </c>
      <c r="C80" s="18">
        <f>'GF + UG Iteration 2'!C80</f>
        <v>10</v>
      </c>
      <c r="D80" s="19">
        <f>'GF + UG Iteration 2'!D80</f>
        <v>8.8753762889293544</v>
      </c>
      <c r="E80" s="30">
        <f>'GF + UG Iteration 2'!E80</f>
        <v>2003</v>
      </c>
      <c r="F80" s="18"/>
      <c r="G80" s="19"/>
      <c r="H80" s="20"/>
      <c r="I80" s="18">
        <f t="shared" si="5"/>
        <v>10</v>
      </c>
      <c r="J80" s="19">
        <f t="shared" si="6"/>
        <v>8.8753762889293544</v>
      </c>
      <c r="K80" s="20">
        <f t="shared" si="7"/>
        <v>2003</v>
      </c>
      <c r="M80" s="21">
        <f t="shared" si="8"/>
        <v>2.3025850929940459</v>
      </c>
      <c r="N80" s="21">
        <f t="shared" si="9"/>
        <v>2.1832807332152813</v>
      </c>
    </row>
    <row r="81" spans="1:14" x14ac:dyDescent="0.2">
      <c r="A81" s="25">
        <f>'GF + UG Iteration 2'!A81</f>
        <v>829</v>
      </c>
      <c r="B81" s="25" t="str">
        <f>'GF + UG Iteration 2'!B81</f>
        <v>GF</v>
      </c>
      <c r="C81" s="18">
        <f>'GF + UG Iteration 2'!C81</f>
        <v>20</v>
      </c>
      <c r="D81" s="19">
        <f>'GF + UG Iteration 2'!D81</f>
        <v>27.761077137379147</v>
      </c>
      <c r="E81" s="30">
        <f>'GF + UG Iteration 2'!E81</f>
        <v>2011</v>
      </c>
      <c r="F81" s="18"/>
      <c r="G81" s="19"/>
      <c r="H81" s="20"/>
      <c r="I81" s="18">
        <f t="shared" si="5"/>
        <v>20</v>
      </c>
      <c r="J81" s="19">
        <f t="shared" si="6"/>
        <v>27.761077137379147</v>
      </c>
      <c r="K81" s="20">
        <f t="shared" si="7"/>
        <v>2011</v>
      </c>
      <c r="M81" s="21">
        <f t="shared" si="8"/>
        <v>2.9957322735539909</v>
      </c>
      <c r="N81" s="21">
        <f t="shared" si="9"/>
        <v>3.3236349366646221</v>
      </c>
    </row>
    <row r="82" spans="1:14" x14ac:dyDescent="0.2">
      <c r="A82" s="25">
        <f>'GF + UG Iteration 2'!A82</f>
        <v>425</v>
      </c>
      <c r="B82" s="25" t="str">
        <f>'GF + UG Iteration 2'!B82</f>
        <v>GF</v>
      </c>
      <c r="C82" s="18">
        <f>'GF + UG Iteration 2'!C82</f>
        <v>17</v>
      </c>
      <c r="D82" s="19">
        <f>'GF + UG Iteration 2'!D82</f>
        <v>11.725448588458148</v>
      </c>
      <c r="E82" s="30">
        <f>'GF + UG Iteration 2'!E82</f>
        <v>2006</v>
      </c>
      <c r="F82" s="18"/>
      <c r="G82" s="19"/>
      <c r="H82" s="20"/>
      <c r="I82" s="18">
        <f t="shared" si="5"/>
        <v>17</v>
      </c>
      <c r="J82" s="19">
        <f t="shared" si="6"/>
        <v>11.725448588458148</v>
      </c>
      <c r="K82" s="20">
        <f t="shared" si="7"/>
        <v>2006</v>
      </c>
      <c r="M82" s="21">
        <f t="shared" si="8"/>
        <v>2.8332133440562162</v>
      </c>
      <c r="N82" s="21">
        <f t="shared" si="9"/>
        <v>2.4617615727440327</v>
      </c>
    </row>
    <row r="83" spans="1:14" x14ac:dyDescent="0.2">
      <c r="A83" s="25">
        <f>'GF + UG Iteration 2'!A83</f>
        <v>333</v>
      </c>
      <c r="B83" s="25" t="str">
        <f>'GF + UG Iteration 2'!B83</f>
        <v>GF</v>
      </c>
      <c r="C83" s="18">
        <f>'GF + UG Iteration 2'!C83</f>
        <v>12</v>
      </c>
      <c r="D83" s="19">
        <f>'GF + UG Iteration 2'!D83</f>
        <v>7.5607136656563343</v>
      </c>
      <c r="E83" s="30">
        <f>'GF + UG Iteration 2'!E83</f>
        <v>2003</v>
      </c>
      <c r="F83" s="18"/>
      <c r="G83" s="19"/>
      <c r="H83" s="20"/>
      <c r="I83" s="18">
        <f t="shared" si="5"/>
        <v>12</v>
      </c>
      <c r="J83" s="19">
        <f t="shared" si="6"/>
        <v>7.5607136656563343</v>
      </c>
      <c r="K83" s="20">
        <f t="shared" si="7"/>
        <v>2003</v>
      </c>
      <c r="M83" s="21">
        <f t="shared" si="8"/>
        <v>2.4849066497880004</v>
      </c>
      <c r="N83" s="21">
        <f t="shared" si="9"/>
        <v>2.022965585955113</v>
      </c>
    </row>
    <row r="84" spans="1:14" x14ac:dyDescent="0.2">
      <c r="A84" s="25">
        <f>'GF + UG Iteration 2'!A84</f>
        <v>769</v>
      </c>
      <c r="B84" s="25" t="str">
        <f>'GF + UG Iteration 2'!B84</f>
        <v>GF</v>
      </c>
      <c r="C84" s="18">
        <f>'GF + UG Iteration 2'!C84</f>
        <v>40</v>
      </c>
      <c r="D84" s="19">
        <f>'GF + UG Iteration 2'!D84</f>
        <v>26.381292343151443</v>
      </c>
      <c r="E84" s="30">
        <f>'GF + UG Iteration 2'!E84</f>
        <v>2007</v>
      </c>
      <c r="F84" s="18"/>
      <c r="G84" s="19"/>
      <c r="H84" s="20"/>
      <c r="I84" s="18">
        <f t="shared" si="5"/>
        <v>40</v>
      </c>
      <c r="J84" s="19">
        <f t="shared" si="6"/>
        <v>26.381292343151443</v>
      </c>
      <c r="K84" s="20">
        <f t="shared" si="7"/>
        <v>2007</v>
      </c>
      <c r="M84" s="21">
        <f t="shared" si="8"/>
        <v>3.6888794541139363</v>
      </c>
      <c r="N84" s="21">
        <f t="shared" si="9"/>
        <v>3.2726551355945839</v>
      </c>
    </row>
    <row r="85" spans="1:14" x14ac:dyDescent="0.2">
      <c r="A85" s="25">
        <f>'GF + UG Iteration 2'!A85</f>
        <v>948</v>
      </c>
      <c r="B85" s="25" t="str">
        <f>'GF + UG Iteration 2'!B85</f>
        <v>GF</v>
      </c>
      <c r="C85" s="18">
        <f>'GF + UG Iteration 2'!C85</f>
        <v>57</v>
      </c>
      <c r="D85" s="19">
        <f>'GF + UG Iteration 2'!D85</f>
        <v>12.653662771089085</v>
      </c>
      <c r="E85" s="30">
        <f>'GF + UG Iteration 2'!E85</f>
        <v>2014</v>
      </c>
      <c r="F85" s="18"/>
      <c r="G85" s="19"/>
      <c r="H85" s="20"/>
      <c r="I85" s="18">
        <f t="shared" si="5"/>
        <v>57</v>
      </c>
      <c r="J85" s="19">
        <f t="shared" si="6"/>
        <v>12.653662771089085</v>
      </c>
      <c r="K85" s="20">
        <f t="shared" si="7"/>
        <v>2014</v>
      </c>
      <c r="M85" s="21">
        <f t="shared" si="8"/>
        <v>4.0430512678345503</v>
      </c>
      <c r="N85" s="21">
        <f t="shared" si="9"/>
        <v>2.5379467203845181</v>
      </c>
    </row>
    <row r="86" spans="1:14" x14ac:dyDescent="0.2">
      <c r="A86" s="25">
        <f>'GF + UG Iteration 2'!A86</f>
        <v>1128</v>
      </c>
      <c r="B86" s="25" t="str">
        <f>'GF + UG Iteration 2'!B86</f>
        <v>GF</v>
      </c>
      <c r="C86" s="18">
        <f>'GF + UG Iteration 2'!C86</f>
        <v>45</v>
      </c>
      <c r="D86" s="19">
        <f>'GF + UG Iteration 2'!D86</f>
        <v>63.556235718349399</v>
      </c>
      <c r="E86" s="30">
        <f>'GF + UG Iteration 2'!E86</f>
        <v>2013</v>
      </c>
      <c r="F86" s="18"/>
      <c r="G86" s="19"/>
      <c r="H86" s="20"/>
      <c r="I86" s="18">
        <f t="shared" si="5"/>
        <v>45</v>
      </c>
      <c r="J86" s="19">
        <f t="shared" si="6"/>
        <v>63.556235718349399</v>
      </c>
      <c r="K86" s="20">
        <f t="shared" si="7"/>
        <v>2013</v>
      </c>
      <c r="M86" s="21">
        <f t="shared" si="8"/>
        <v>3.8066624897703196</v>
      </c>
      <c r="N86" s="21">
        <f t="shared" si="9"/>
        <v>4.1519251158484547</v>
      </c>
    </row>
    <row r="87" spans="1:14" x14ac:dyDescent="0.2">
      <c r="A87" s="25">
        <f>'GF + UG Iteration 2'!A87</f>
        <v>1214</v>
      </c>
      <c r="B87" s="25" t="str">
        <f>'GF + UG Iteration 2'!B87</f>
        <v>GF</v>
      </c>
      <c r="C87" s="18">
        <f>'GF + UG Iteration 2'!C87</f>
        <v>52</v>
      </c>
      <c r="D87" s="19">
        <f>'GF + UG Iteration 2'!D87</f>
        <v>22.631695273294461</v>
      </c>
      <c r="E87" s="30">
        <f>'GF + UG Iteration 2'!E87</f>
        <v>2013</v>
      </c>
      <c r="F87" s="18"/>
      <c r="G87" s="19"/>
      <c r="H87" s="20"/>
      <c r="I87" s="18">
        <f t="shared" si="5"/>
        <v>52</v>
      </c>
      <c r="J87" s="19">
        <f t="shared" si="6"/>
        <v>22.631695273294461</v>
      </c>
      <c r="K87" s="20">
        <f t="shared" si="7"/>
        <v>2013</v>
      </c>
      <c r="M87" s="21">
        <f t="shared" si="8"/>
        <v>3.9512437185814275</v>
      </c>
      <c r="N87" s="21">
        <f t="shared" si="9"/>
        <v>3.1193513694907367</v>
      </c>
    </row>
    <row r="88" spans="1:14" x14ac:dyDescent="0.2">
      <c r="A88" s="25">
        <f>'GF + UG Iteration 2'!A88</f>
        <v>1225</v>
      </c>
      <c r="B88" s="25" t="str">
        <f>'GF + UG Iteration 2'!B88</f>
        <v>GF</v>
      </c>
      <c r="C88" s="18">
        <f>'GF + UG Iteration 2'!C88</f>
        <v>20</v>
      </c>
      <c r="D88" s="19">
        <f>'GF + UG Iteration 2'!D88</f>
        <v>18.636695744675041</v>
      </c>
      <c r="E88" s="30">
        <f>'GF + UG Iteration 2'!E88</f>
        <v>2013</v>
      </c>
      <c r="F88" s="18"/>
      <c r="G88" s="19"/>
      <c r="H88" s="20"/>
      <c r="I88" s="18">
        <f t="shared" si="5"/>
        <v>20</v>
      </c>
      <c r="J88" s="19">
        <f t="shared" si="6"/>
        <v>18.636695744675041</v>
      </c>
      <c r="K88" s="20">
        <f t="shared" si="7"/>
        <v>2013</v>
      </c>
      <c r="M88" s="21">
        <f t="shared" si="8"/>
        <v>2.9957322735539909</v>
      </c>
      <c r="N88" s="21">
        <f t="shared" si="9"/>
        <v>2.925132526627233</v>
      </c>
    </row>
    <row r="89" spans="1:14" x14ac:dyDescent="0.2">
      <c r="A89" s="25">
        <f>'GF + UG Iteration 2'!A89</f>
        <v>1263</v>
      </c>
      <c r="B89" s="25" t="str">
        <f>'GF + UG Iteration 2'!B89</f>
        <v>GF</v>
      </c>
      <c r="C89" s="18">
        <f>'GF + UG Iteration 2'!C89</f>
        <v>8</v>
      </c>
      <c r="D89" s="19">
        <f>'GF + UG Iteration 2'!D89</f>
        <v>19.611656992669992</v>
      </c>
      <c r="E89" s="30">
        <f>'GF + UG Iteration 2'!E89</f>
        <v>2013</v>
      </c>
      <c r="F89" s="18"/>
      <c r="G89" s="19"/>
      <c r="H89" s="20"/>
      <c r="I89" s="18">
        <f t="shared" si="5"/>
        <v>8</v>
      </c>
      <c r="J89" s="19">
        <f t="shared" si="6"/>
        <v>19.611656992669992</v>
      </c>
      <c r="K89" s="20">
        <f t="shared" si="7"/>
        <v>2013</v>
      </c>
      <c r="M89" s="21">
        <f t="shared" si="8"/>
        <v>2.0794415416798357</v>
      </c>
      <c r="N89" s="21">
        <f t="shared" si="9"/>
        <v>2.9761241339700195</v>
      </c>
    </row>
    <row r="90" spans="1:14" x14ac:dyDescent="0.2">
      <c r="A90" s="25">
        <f>'GF + UG Iteration 2'!A90</f>
        <v>1309</v>
      </c>
      <c r="B90" s="25" t="str">
        <f>'GF + UG Iteration 2'!B90</f>
        <v>GF</v>
      </c>
      <c r="C90" s="18">
        <f>'GF + UG Iteration 2'!C90</f>
        <v>15</v>
      </c>
      <c r="D90" s="19">
        <f>'GF + UG Iteration 2'!D90</f>
        <v>16.109333942693336</v>
      </c>
      <c r="E90" s="30">
        <f>'GF + UG Iteration 2'!E90</f>
        <v>2013</v>
      </c>
      <c r="F90" s="18"/>
      <c r="G90" s="19"/>
      <c r="H90" s="20"/>
      <c r="I90" s="18">
        <f t="shared" si="5"/>
        <v>15</v>
      </c>
      <c r="J90" s="19">
        <f t="shared" si="6"/>
        <v>16.109333942693336</v>
      </c>
      <c r="K90" s="20">
        <f t="shared" si="7"/>
        <v>2013</v>
      </c>
      <c r="M90" s="21">
        <f t="shared" si="8"/>
        <v>2.7080502011022101</v>
      </c>
      <c r="N90" s="21">
        <f t="shared" si="9"/>
        <v>2.7793988519948485</v>
      </c>
    </row>
    <row r="91" spans="1:14" x14ac:dyDescent="0.2">
      <c r="A91" s="25">
        <f>'GF + UG Iteration 2'!A91</f>
        <v>1349</v>
      </c>
      <c r="B91" s="25" t="str">
        <f>'GF + UG Iteration 2'!B91</f>
        <v>GF</v>
      </c>
      <c r="C91" s="18">
        <f>'GF + UG Iteration 2'!C91</f>
        <v>34</v>
      </c>
      <c r="D91" s="19">
        <f>'GF + UG Iteration 2'!D91</f>
        <v>8.9679522578977586</v>
      </c>
      <c r="E91" s="30">
        <f>'GF + UG Iteration 2'!E91</f>
        <v>2013</v>
      </c>
      <c r="F91" s="18"/>
      <c r="G91" s="19"/>
      <c r="H91" s="20"/>
      <c r="I91" s="18">
        <f t="shared" si="5"/>
        <v>34</v>
      </c>
      <c r="J91" s="19">
        <f t="shared" si="6"/>
        <v>8.9679522578977586</v>
      </c>
      <c r="K91" s="20">
        <f t="shared" si="7"/>
        <v>2013</v>
      </c>
      <c r="M91" s="21">
        <f t="shared" si="8"/>
        <v>3.5263605246161616</v>
      </c>
      <c r="N91" s="21">
        <f t="shared" si="9"/>
        <v>2.193657362149283</v>
      </c>
    </row>
    <row r="92" spans="1:14" x14ac:dyDescent="0.2">
      <c r="A92" s="25">
        <f>'GF + UG Iteration 2'!A92</f>
        <v>1358</v>
      </c>
      <c r="B92" s="25" t="str">
        <f>'GF + UG Iteration 2'!B92</f>
        <v>GF</v>
      </c>
      <c r="C92" s="18">
        <f>'GF + UG Iteration 2'!C92</f>
        <v>27</v>
      </c>
      <c r="D92" s="19">
        <f>'GF + UG Iteration 2'!D92</f>
        <v>13.07265503282744</v>
      </c>
      <c r="E92" s="30">
        <f>'GF + UG Iteration 2'!E92</f>
        <v>2013</v>
      </c>
      <c r="F92" s="18"/>
      <c r="G92" s="19"/>
      <c r="H92" s="20"/>
      <c r="I92" s="18">
        <f t="shared" si="5"/>
        <v>27</v>
      </c>
      <c r="J92" s="19">
        <f t="shared" si="6"/>
        <v>13.07265503282744</v>
      </c>
      <c r="K92" s="20">
        <f t="shared" si="7"/>
        <v>2013</v>
      </c>
      <c r="M92" s="21">
        <f t="shared" si="8"/>
        <v>3.2958368660043291</v>
      </c>
      <c r="N92" s="21">
        <f t="shared" si="9"/>
        <v>2.5705226464726247</v>
      </c>
    </row>
    <row r="93" spans="1:14" x14ac:dyDescent="0.2">
      <c r="A93" s="25">
        <f>'GF + UG Iteration 2'!A93</f>
        <v>1404</v>
      </c>
      <c r="B93" s="25" t="str">
        <f>'GF + UG Iteration 2'!B93</f>
        <v>GF</v>
      </c>
      <c r="C93" s="18">
        <f>'GF + UG Iteration 2'!C93</f>
        <v>35</v>
      </c>
      <c r="D93" s="19">
        <f>'GF + UG Iteration 2'!D93</f>
        <v>35.276341164894447</v>
      </c>
      <c r="E93" s="30">
        <f>'GF + UG Iteration 2'!E93</f>
        <v>2013</v>
      </c>
      <c r="F93" s="18"/>
      <c r="G93" s="19"/>
      <c r="H93" s="20"/>
      <c r="I93" s="18">
        <f t="shared" si="5"/>
        <v>35</v>
      </c>
      <c r="J93" s="19">
        <f t="shared" si="6"/>
        <v>35.276341164894447</v>
      </c>
      <c r="K93" s="20">
        <f t="shared" si="7"/>
        <v>2013</v>
      </c>
      <c r="M93" s="21">
        <f t="shared" si="8"/>
        <v>3.5553480614894135</v>
      </c>
      <c r="N93" s="21">
        <f t="shared" si="9"/>
        <v>3.5632125172824458</v>
      </c>
    </row>
    <row r="94" spans="1:14" x14ac:dyDescent="0.2">
      <c r="A94" s="25">
        <f>'GF + UG Iteration 2'!A94</f>
        <v>1482</v>
      </c>
      <c r="B94" s="25" t="str">
        <f>'GF + UG Iteration 2'!B94</f>
        <v>GF</v>
      </c>
      <c r="C94" s="18">
        <f>'GF + UG Iteration 2'!C94</f>
        <v>18.399999999999999</v>
      </c>
      <c r="D94" s="19">
        <f>'GF + UG Iteration 2'!D94</f>
        <v>18.765793673519447</v>
      </c>
      <c r="E94" s="30">
        <f>'GF + UG Iteration 2'!E94</f>
        <v>2013</v>
      </c>
      <c r="F94" s="18"/>
      <c r="G94" s="19"/>
      <c r="H94" s="20"/>
      <c r="I94" s="18">
        <f t="shared" si="5"/>
        <v>18.399999999999999</v>
      </c>
      <c r="J94" s="19">
        <f t="shared" si="6"/>
        <v>18.765793673519447</v>
      </c>
      <c r="K94" s="20">
        <f t="shared" si="7"/>
        <v>2013</v>
      </c>
      <c r="M94" s="21">
        <f t="shared" si="8"/>
        <v>2.91235066461494</v>
      </c>
      <c r="N94" s="21">
        <f t="shared" si="9"/>
        <v>2.9320357271105943</v>
      </c>
    </row>
    <row r="95" spans="1:14" x14ac:dyDescent="0.2">
      <c r="A95" s="25">
        <f>'GF + UG Iteration 2'!A95</f>
        <v>1515</v>
      </c>
      <c r="B95" s="25" t="str">
        <f>'GF + UG Iteration 2'!B95</f>
        <v>GF</v>
      </c>
      <c r="C95" s="18">
        <f>'GF + UG Iteration 2'!C95</f>
        <v>7.2</v>
      </c>
      <c r="D95" s="19">
        <f>'GF + UG Iteration 2'!D95</f>
        <v>12.99271394051414</v>
      </c>
      <c r="E95" s="30">
        <f>'GF + UG Iteration 2'!E95</f>
        <v>2013</v>
      </c>
      <c r="F95" s="18"/>
      <c r="G95" s="19"/>
      <c r="H95" s="20"/>
      <c r="I95" s="18">
        <f t="shared" si="5"/>
        <v>7.2</v>
      </c>
      <c r="J95" s="19">
        <f t="shared" si="6"/>
        <v>12.99271394051414</v>
      </c>
      <c r="K95" s="20">
        <f t="shared" si="7"/>
        <v>2013</v>
      </c>
      <c r="M95" s="21">
        <f t="shared" si="8"/>
        <v>1.9740810260220096</v>
      </c>
      <c r="N95" s="21">
        <f t="shared" si="9"/>
        <v>2.5643887342273977</v>
      </c>
    </row>
    <row r="96" spans="1:14" x14ac:dyDescent="0.2">
      <c r="A96" s="25">
        <f>'GF + UG Iteration 2'!A96</f>
        <v>1618</v>
      </c>
      <c r="B96" s="25" t="str">
        <f>'GF + UG Iteration 2'!B96</f>
        <v>GF</v>
      </c>
      <c r="C96" s="18">
        <f>'GF + UG Iteration 2'!C96</f>
        <v>21</v>
      </c>
      <c r="D96" s="19">
        <f>'GF + UG Iteration 2'!D96</f>
        <v>15.965955598995766</v>
      </c>
      <c r="E96" s="30">
        <f>'GF + UG Iteration 2'!E96</f>
        <v>2016</v>
      </c>
      <c r="F96" s="18"/>
      <c r="G96" s="19"/>
      <c r="H96" s="20"/>
      <c r="I96" s="18">
        <f t="shared" si="5"/>
        <v>21</v>
      </c>
      <c r="J96" s="19">
        <f t="shared" si="6"/>
        <v>15.965955598995766</v>
      </c>
      <c r="K96" s="20">
        <f t="shared" si="7"/>
        <v>2016</v>
      </c>
      <c r="M96" s="21">
        <f t="shared" si="8"/>
        <v>3.044522437723423</v>
      </c>
      <c r="N96" s="21">
        <f t="shared" si="9"/>
        <v>2.7704586802474096</v>
      </c>
    </row>
    <row r="97" spans="1:17" x14ac:dyDescent="0.2">
      <c r="A97" s="25">
        <f>'GF + UG Iteration 2'!A97</f>
        <v>1634</v>
      </c>
      <c r="B97" s="25" t="str">
        <f>'GF + UG Iteration 2'!B97</f>
        <v>GF</v>
      </c>
      <c r="C97" s="18">
        <f>'GF + UG Iteration 2'!C97</f>
        <v>17.899999999999999</v>
      </c>
      <c r="D97" s="19">
        <f>'GF + UG Iteration 2'!D97</f>
        <v>17.172783979023848</v>
      </c>
      <c r="E97" s="30">
        <f>'GF + UG Iteration 2'!E97</f>
        <v>2015</v>
      </c>
      <c r="F97" s="18"/>
      <c r="G97" s="19"/>
      <c r="H97" s="20"/>
      <c r="I97" s="18">
        <f t="shared" si="5"/>
        <v>17.899999999999999</v>
      </c>
      <c r="J97" s="19">
        <f t="shared" si="6"/>
        <v>17.172783979023848</v>
      </c>
      <c r="K97" s="20">
        <f t="shared" si="7"/>
        <v>2015</v>
      </c>
      <c r="M97" s="21">
        <f t="shared" si="8"/>
        <v>2.884800712846709</v>
      </c>
      <c r="N97" s="21">
        <f t="shared" si="9"/>
        <v>2.8433258038172586</v>
      </c>
    </row>
    <row r="98" spans="1:17" x14ac:dyDescent="0.2">
      <c r="A98" s="25">
        <f>'GF + UG Iteration 2'!A98</f>
        <v>1258</v>
      </c>
      <c r="B98" s="25" t="str">
        <f>'GF + UG Iteration 2'!B98</f>
        <v>GF</v>
      </c>
      <c r="C98" s="18">
        <f>'GF + UG Iteration 2'!C98</f>
        <v>46</v>
      </c>
      <c r="D98" s="19">
        <f>'GF + UG Iteration 2'!D98</f>
        <v>53.518330212347877</v>
      </c>
      <c r="E98" s="30">
        <f>'GF + UG Iteration 2'!E98</f>
        <v>2017</v>
      </c>
      <c r="F98" s="18"/>
      <c r="G98" s="19"/>
      <c r="H98" s="20"/>
      <c r="I98" s="18">
        <f t="shared" si="5"/>
        <v>46</v>
      </c>
      <c r="J98" s="19">
        <f t="shared" si="6"/>
        <v>53.518330212347877</v>
      </c>
      <c r="K98" s="20">
        <f t="shared" si="7"/>
        <v>2017</v>
      </c>
      <c r="M98" s="21">
        <f t="shared" si="8"/>
        <v>3.8286413964890951</v>
      </c>
      <c r="N98" s="21">
        <f t="shared" si="9"/>
        <v>3.98002421601241</v>
      </c>
    </row>
    <row r="99" spans="1:17" x14ac:dyDescent="0.2">
      <c r="A99" s="25">
        <f>'GF + UG Iteration 2'!A99</f>
        <v>1284</v>
      </c>
      <c r="B99" s="25" t="str">
        <f>'GF + UG Iteration 2'!B99</f>
        <v>GF</v>
      </c>
      <c r="C99" s="18">
        <f>'GF + UG Iteration 2'!C99</f>
        <v>24.1</v>
      </c>
      <c r="D99" s="19">
        <f>'GF + UG Iteration 2'!D99</f>
        <v>7.0843108002972475</v>
      </c>
      <c r="E99" s="30">
        <f>'GF + UG Iteration 2'!E99</f>
        <v>2013</v>
      </c>
      <c r="F99" s="18"/>
      <c r="G99" s="19"/>
      <c r="H99" s="20"/>
      <c r="I99" s="18">
        <f t="shared" si="5"/>
        <v>24.1</v>
      </c>
      <c r="J99" s="19">
        <f t="shared" si="6"/>
        <v>7.0843108002972475</v>
      </c>
      <c r="K99" s="20">
        <f t="shared" si="7"/>
        <v>2013</v>
      </c>
      <c r="M99" s="21">
        <f t="shared" si="8"/>
        <v>3.1822118404966093</v>
      </c>
      <c r="N99" s="21">
        <f t="shared" si="9"/>
        <v>1.9578825925179175</v>
      </c>
    </row>
    <row r="100" spans="1:17" x14ac:dyDescent="0.2">
      <c r="A100" s="25" t="str">
        <f>'GF + UG Iteration 2'!A100</f>
        <v>Pre-01</v>
      </c>
      <c r="B100" s="25" t="str">
        <f>'GF + UG Iteration 2'!B100</f>
        <v>GF</v>
      </c>
      <c r="C100" s="18">
        <f>'GF + UG Iteration 2'!C100</f>
        <v>2.2000000000000002</v>
      </c>
      <c r="D100" s="19">
        <f>'GF + UG Iteration 2'!D100</f>
        <v>2.4933711786255444</v>
      </c>
      <c r="E100" s="30">
        <f>'GF + UG Iteration 2'!E100</f>
        <v>1990</v>
      </c>
      <c r="F100" s="18"/>
      <c r="G100" s="19"/>
      <c r="H100" s="20"/>
      <c r="I100" s="18">
        <f t="shared" si="5"/>
        <v>2.2000000000000002</v>
      </c>
      <c r="J100" s="19">
        <f t="shared" si="6"/>
        <v>2.4933711786255444</v>
      </c>
      <c r="K100" s="20">
        <f t="shared" si="7"/>
        <v>1990</v>
      </c>
      <c r="M100" s="21">
        <f t="shared" si="8"/>
        <v>0.78845736036427028</v>
      </c>
      <c r="N100" s="21">
        <f t="shared" si="9"/>
        <v>0.91363568179621524</v>
      </c>
    </row>
    <row r="101" spans="1:17" x14ac:dyDescent="0.2">
      <c r="A101" s="25" t="str">
        <f>'GF + UG Iteration 2'!A101</f>
        <v>Pre-02</v>
      </c>
      <c r="B101" s="25" t="str">
        <f>'GF + UG Iteration 2'!B101</f>
        <v>GF</v>
      </c>
      <c r="C101" s="18">
        <f>'GF + UG Iteration 2'!C101</f>
        <v>1.464</v>
      </c>
      <c r="D101" s="19">
        <f>'GF + UG Iteration 2'!D101</f>
        <v>1.4940223849019025</v>
      </c>
      <c r="E101" s="30">
        <f>'GF + UG Iteration 2'!E101</f>
        <v>1987</v>
      </c>
      <c r="F101" s="18"/>
      <c r="G101" s="19"/>
      <c r="H101" s="20"/>
      <c r="I101" s="18">
        <f t="shared" si="5"/>
        <v>1.464</v>
      </c>
      <c r="J101" s="19">
        <f t="shared" si="6"/>
        <v>1.4940223849019025</v>
      </c>
      <c r="K101" s="20">
        <f t="shared" si="7"/>
        <v>1987</v>
      </c>
      <c r="M101" s="21">
        <f t="shared" si="8"/>
        <v>0.38117241553911979</v>
      </c>
      <c r="N101" s="21">
        <f t="shared" si="9"/>
        <v>0.40147206979911648</v>
      </c>
    </row>
    <row r="102" spans="1:17" x14ac:dyDescent="0.2">
      <c r="A102" s="25" t="str">
        <f>'GF + UG Iteration 2'!A102</f>
        <v>Pre-03</v>
      </c>
      <c r="B102" s="25" t="str">
        <f>'GF + UG Iteration 2'!B102</f>
        <v>GF</v>
      </c>
      <c r="C102" s="18">
        <f>'GF + UG Iteration 2'!C102</f>
        <v>4.0750000000000002</v>
      </c>
      <c r="D102" s="19">
        <f>'GF + UG Iteration 2'!D102</f>
        <v>1.9369408873503524</v>
      </c>
      <c r="E102" s="30">
        <f>'GF + UG Iteration 2'!E102</f>
        <v>1990</v>
      </c>
      <c r="F102" s="18"/>
      <c r="G102" s="19"/>
      <c r="H102" s="20"/>
      <c r="I102" s="18">
        <f t="shared" si="5"/>
        <v>4.0750000000000002</v>
      </c>
      <c r="J102" s="19">
        <f t="shared" si="6"/>
        <v>1.9369408873503524</v>
      </c>
      <c r="K102" s="20">
        <f t="shared" si="7"/>
        <v>1990</v>
      </c>
      <c r="M102" s="21">
        <f t="shared" si="8"/>
        <v>1.4048707466928261</v>
      </c>
      <c r="N102" s="21">
        <f t="shared" si="9"/>
        <v>0.66110986632901214</v>
      </c>
    </row>
    <row r="103" spans="1:17" x14ac:dyDescent="0.2">
      <c r="A103" s="25" t="str">
        <f>'GF + UG Iteration 2'!A103</f>
        <v>Pre-04</v>
      </c>
      <c r="B103" s="25" t="str">
        <f>'GF + UG Iteration 2'!B103</f>
        <v>GF</v>
      </c>
      <c r="C103" s="18">
        <f>'GF + UG Iteration 2'!C103</f>
        <v>10</v>
      </c>
      <c r="D103" s="19">
        <f>'GF + UG Iteration 2'!D103</f>
        <v>8.526519330793306</v>
      </c>
      <c r="E103" s="30">
        <f>'GF + UG Iteration 2'!E103</f>
        <v>1991</v>
      </c>
      <c r="F103" s="18"/>
      <c r="G103" s="19"/>
      <c r="H103" s="20"/>
      <c r="I103" s="18">
        <f t="shared" si="5"/>
        <v>10</v>
      </c>
      <c r="J103" s="19">
        <f t="shared" si="6"/>
        <v>8.526519330793306</v>
      </c>
      <c r="K103" s="20">
        <f t="shared" si="7"/>
        <v>1991</v>
      </c>
      <c r="M103" s="21">
        <f t="shared" si="8"/>
        <v>2.3025850929940459</v>
      </c>
      <c r="N103" s="21">
        <f t="shared" si="9"/>
        <v>2.143181227911088</v>
      </c>
    </row>
    <row r="104" spans="1:17" x14ac:dyDescent="0.2">
      <c r="A104" s="25" t="str">
        <f>'GF + UG Iteration 2'!A104</f>
        <v>Pre-05</v>
      </c>
      <c r="B104" s="25" t="str">
        <f>'GF + UG Iteration 2'!B104</f>
        <v>GF</v>
      </c>
      <c r="C104" s="18">
        <f>'GF + UG Iteration 2'!C104</f>
        <v>4.8</v>
      </c>
      <c r="D104" s="19">
        <f>'GF + UG Iteration 2'!D104</f>
        <v>4.0521826998299986</v>
      </c>
      <c r="E104" s="30">
        <f>'GF + UG Iteration 2'!E104</f>
        <v>1988</v>
      </c>
      <c r="F104" s="18"/>
      <c r="G104" s="19"/>
      <c r="H104" s="20"/>
      <c r="I104" s="18">
        <f t="shared" si="5"/>
        <v>4.8</v>
      </c>
      <c r="J104" s="19">
        <f t="shared" si="6"/>
        <v>4.0521826998299986</v>
      </c>
      <c r="K104" s="20">
        <f t="shared" si="7"/>
        <v>1988</v>
      </c>
      <c r="M104" s="21">
        <f t="shared" si="8"/>
        <v>1.5686159179138452</v>
      </c>
      <c r="N104" s="21">
        <f t="shared" si="9"/>
        <v>1.3992556741730273</v>
      </c>
    </row>
    <row r="105" spans="1:17" x14ac:dyDescent="0.2">
      <c r="A105" s="25" t="str">
        <f>'GF + UG Iteration 2'!A105</f>
        <v>Pre-06</v>
      </c>
      <c r="B105" s="25" t="str">
        <f>'GF + UG Iteration 2'!B105</f>
        <v>GF</v>
      </c>
      <c r="C105" s="18">
        <f>'GF + UG Iteration 2'!C105</f>
        <v>5.0999999999999996</v>
      </c>
      <c r="D105" s="19">
        <f>'GF + UG Iteration 2'!D105</f>
        <v>9.6482174286466869</v>
      </c>
      <c r="E105" s="30">
        <f>'GF + UG Iteration 2'!E105</f>
        <v>1989</v>
      </c>
      <c r="F105" s="18"/>
      <c r="G105" s="19"/>
      <c r="H105" s="20"/>
      <c r="I105" s="18">
        <f t="shared" si="5"/>
        <v>5.0999999999999996</v>
      </c>
      <c r="J105" s="19">
        <f t="shared" si="6"/>
        <v>9.6482174286466869</v>
      </c>
      <c r="K105" s="20">
        <f t="shared" si="7"/>
        <v>1989</v>
      </c>
      <c r="M105" s="21">
        <f t="shared" si="8"/>
        <v>1.62924053973028</v>
      </c>
      <c r="N105" s="21">
        <f t="shared" si="9"/>
        <v>2.2667731758675744</v>
      </c>
    </row>
    <row r="106" spans="1:17" x14ac:dyDescent="0.2">
      <c r="A106" s="25" t="str">
        <f>'GF + UG Iteration 2'!A106</f>
        <v>Pre-07</v>
      </c>
      <c r="B106" s="25" t="str">
        <f>'GF + UG Iteration 2'!B106</f>
        <v>GF</v>
      </c>
      <c r="C106" s="18">
        <f>'GF + UG Iteration 2'!C106</f>
        <v>6.9</v>
      </c>
      <c r="D106" s="19">
        <f>'GF + UG Iteration 2'!D106</f>
        <v>5.029432718717521</v>
      </c>
      <c r="E106" s="30">
        <f>'GF + UG Iteration 2'!E106</f>
        <v>1997</v>
      </c>
      <c r="F106" s="18"/>
      <c r="G106" s="19"/>
      <c r="H106" s="20"/>
      <c r="I106" s="18">
        <f t="shared" si="5"/>
        <v>6.9</v>
      </c>
      <c r="J106" s="19">
        <f t="shared" si="6"/>
        <v>5.029432718717521</v>
      </c>
      <c r="K106" s="20">
        <f t="shared" si="7"/>
        <v>1997</v>
      </c>
      <c r="M106" s="21">
        <f t="shared" si="8"/>
        <v>1.9315214116032138</v>
      </c>
      <c r="N106" s="21">
        <f t="shared" si="9"/>
        <v>1.6153071981725313</v>
      </c>
      <c r="P106"/>
      <c r="Q106"/>
    </row>
    <row r="107" spans="1:17" x14ac:dyDescent="0.2">
      <c r="A107" s="25" t="str">
        <f>'GF + UG Iteration 2'!A107</f>
        <v>Pre-08</v>
      </c>
      <c r="B107" s="25" t="str">
        <f>'GF + UG Iteration 2'!B107</f>
        <v>GF</v>
      </c>
      <c r="C107" s="18">
        <f>'GF + UG Iteration 2'!C107</f>
        <v>11.8</v>
      </c>
      <c r="D107" s="19">
        <f>'GF + UG Iteration 2'!D107</f>
        <v>6.372939235597177</v>
      </c>
      <c r="E107" s="30">
        <f>'GF + UG Iteration 2'!E107</f>
        <v>1987</v>
      </c>
      <c r="F107" s="18"/>
      <c r="G107" s="19"/>
      <c r="H107" s="20"/>
      <c r="I107" s="18">
        <f t="shared" si="5"/>
        <v>11.8</v>
      </c>
      <c r="J107" s="19">
        <f t="shared" si="6"/>
        <v>6.372939235597177</v>
      </c>
      <c r="K107" s="20">
        <f t="shared" si="7"/>
        <v>1987</v>
      </c>
      <c r="M107" s="21">
        <f t="shared" si="8"/>
        <v>2.4680995314716192</v>
      </c>
      <c r="N107" s="21">
        <f t="shared" si="9"/>
        <v>1.8520607816244041</v>
      </c>
      <c r="P107"/>
      <c r="Q107"/>
    </row>
    <row r="108" spans="1:17" x14ac:dyDescent="0.2">
      <c r="A108" s="25" t="str">
        <f>'GF + UG Iteration 2'!A108</f>
        <v>Pre-09</v>
      </c>
      <c r="B108" s="25" t="str">
        <f>'GF + UG Iteration 2'!B108</f>
        <v>GF</v>
      </c>
      <c r="C108" s="18">
        <f>'GF + UG Iteration 2'!C108</f>
        <v>9.6999999999999993</v>
      </c>
      <c r="D108" s="19">
        <f>'GF + UG Iteration 2'!D108</f>
        <v>2.9443376052628771</v>
      </c>
      <c r="E108" s="30">
        <f>'GF + UG Iteration 2'!E108</f>
        <v>1997</v>
      </c>
      <c r="F108" s="18"/>
      <c r="G108" s="19"/>
      <c r="H108" s="20"/>
      <c r="I108" s="18">
        <f t="shared" si="5"/>
        <v>9.6999999999999993</v>
      </c>
      <c r="J108" s="19">
        <f t="shared" si="6"/>
        <v>2.9443376052628771</v>
      </c>
      <c r="K108" s="20">
        <f t="shared" si="7"/>
        <v>1997</v>
      </c>
      <c r="M108" s="21">
        <f t="shared" si="8"/>
        <v>2.2721258855093369</v>
      </c>
      <c r="N108" s="21">
        <f t="shared" si="9"/>
        <v>1.0798838699925799</v>
      </c>
    </row>
    <row r="109" spans="1:17" x14ac:dyDescent="0.2">
      <c r="A109" s="25" t="str">
        <f>'GF + UG Iteration 2'!A109</f>
        <v>Pre-10</v>
      </c>
      <c r="B109" s="25" t="str">
        <f>'GF + UG Iteration 2'!B109</f>
        <v>GF</v>
      </c>
      <c r="C109" s="18">
        <f>'GF + UG Iteration 2'!C109</f>
        <v>6.12</v>
      </c>
      <c r="D109" s="19">
        <f>'GF + UG Iteration 2'!D109</f>
        <v>13.481108575958453</v>
      </c>
      <c r="E109" s="30">
        <f>'GF + UG Iteration 2'!E109</f>
        <v>1990</v>
      </c>
      <c r="F109" s="18"/>
      <c r="G109" s="19"/>
      <c r="H109" s="20"/>
      <c r="I109" s="18">
        <f t="shared" si="5"/>
        <v>6.12</v>
      </c>
      <c r="J109" s="19">
        <f t="shared" si="6"/>
        <v>13.481108575958453</v>
      </c>
      <c r="K109" s="20">
        <f t="shared" si="7"/>
        <v>1990</v>
      </c>
      <c r="M109" s="21">
        <f t="shared" si="8"/>
        <v>1.8115620965242347</v>
      </c>
      <c r="N109" s="21">
        <f t="shared" si="9"/>
        <v>2.6012893406753403</v>
      </c>
    </row>
    <row r="110" spans="1:17" x14ac:dyDescent="0.2">
      <c r="A110" s="25" t="str">
        <f>'GF + UG Iteration 2'!A110</f>
        <v>Pre-11</v>
      </c>
      <c r="B110" s="25" t="str">
        <f>'GF + UG Iteration 2'!B110</f>
        <v>GF</v>
      </c>
      <c r="C110" s="18">
        <f>'GF + UG Iteration 2'!C110</f>
        <v>6.2671999999999999</v>
      </c>
      <c r="D110" s="19">
        <f>'GF + UG Iteration 2'!D110</f>
        <v>2.9102311039234974</v>
      </c>
      <c r="E110" s="30">
        <f>'GF + UG Iteration 2'!E110</f>
        <v>1987</v>
      </c>
      <c r="F110" s="18"/>
      <c r="G110" s="19"/>
      <c r="H110" s="20"/>
      <c r="I110" s="18">
        <f t="shared" si="5"/>
        <v>6.2671999999999999</v>
      </c>
      <c r="J110" s="19">
        <f t="shared" si="6"/>
        <v>2.9102311039234974</v>
      </c>
      <c r="K110" s="20">
        <f t="shared" si="7"/>
        <v>1987</v>
      </c>
      <c r="M110" s="21">
        <f t="shared" si="8"/>
        <v>1.8353296839294297</v>
      </c>
      <c r="N110" s="21">
        <f t="shared" si="9"/>
        <v>1.0682324951858668</v>
      </c>
    </row>
    <row r="111" spans="1:17" x14ac:dyDescent="0.2">
      <c r="A111" s="25" t="str">
        <f>'GF + UG Iteration 2'!A111</f>
        <v>Pre-12</v>
      </c>
      <c r="B111" s="25" t="str">
        <f>'GF + UG Iteration 2'!B111</f>
        <v>GF</v>
      </c>
      <c r="C111" s="18">
        <f>'GF + UG Iteration 2'!C111</f>
        <v>6.3659999999999997</v>
      </c>
      <c r="D111" s="19">
        <f>'GF + UG Iteration 2'!D111</f>
        <v>9.8906921245327926</v>
      </c>
      <c r="E111" s="30">
        <f>'GF + UG Iteration 2'!E111</f>
        <v>1993</v>
      </c>
      <c r="F111" s="18"/>
      <c r="G111" s="19"/>
      <c r="H111" s="20"/>
      <c r="I111" s="18">
        <f t="shared" si="5"/>
        <v>6.3659999999999997</v>
      </c>
      <c r="J111" s="19">
        <f t="shared" si="6"/>
        <v>9.8906921245327926</v>
      </c>
      <c r="K111" s="20">
        <f t="shared" si="7"/>
        <v>1993</v>
      </c>
      <c r="M111" s="21">
        <f t="shared" si="8"/>
        <v>1.850971328859901</v>
      </c>
      <c r="N111" s="21">
        <f t="shared" si="9"/>
        <v>2.2915941254440955</v>
      </c>
    </row>
    <row r="112" spans="1:17" x14ac:dyDescent="0.2">
      <c r="A112" s="25" t="str">
        <f>'GF + UG Iteration 2'!A112</f>
        <v>Pre-13</v>
      </c>
      <c r="B112" s="25" t="str">
        <f>'GF + UG Iteration 2'!B112</f>
        <v>GF</v>
      </c>
      <c r="C112" s="18">
        <f>'GF + UG Iteration 2'!C112</f>
        <v>8.5</v>
      </c>
      <c r="D112" s="19">
        <f>'GF + UG Iteration 2'!D112</f>
        <v>5.9446476688134462</v>
      </c>
      <c r="E112" s="30">
        <f>'GF + UG Iteration 2'!E112</f>
        <v>1990</v>
      </c>
      <c r="F112" s="18"/>
      <c r="G112" s="19"/>
      <c r="H112" s="20"/>
      <c r="I112" s="18">
        <f t="shared" si="5"/>
        <v>8.5</v>
      </c>
      <c r="J112" s="19">
        <f t="shared" si="6"/>
        <v>5.9446476688134462</v>
      </c>
      <c r="K112" s="20">
        <f t="shared" si="7"/>
        <v>1990</v>
      </c>
      <c r="M112" s="21">
        <f t="shared" si="8"/>
        <v>2.1400661634962708</v>
      </c>
      <c r="N112" s="21">
        <f t="shared" si="9"/>
        <v>1.7824912632583982</v>
      </c>
    </row>
    <row r="113" spans="1:14" x14ac:dyDescent="0.2">
      <c r="A113" s="25" t="str">
        <f>'GF + UG Iteration 2'!A113</f>
        <v>Pre-14</v>
      </c>
      <c r="B113" s="25" t="str">
        <f>'GF + UG Iteration 2'!B113</f>
        <v>GF</v>
      </c>
      <c r="C113" s="18">
        <f>'GF + UG Iteration 2'!C113</f>
        <v>46.55</v>
      </c>
      <c r="D113" s="19">
        <f>'GF + UG Iteration 2'!D113</f>
        <v>7.1936227504100643</v>
      </c>
      <c r="E113" s="30">
        <f>'GF + UG Iteration 2'!E113</f>
        <v>1991</v>
      </c>
      <c r="F113" s="18"/>
      <c r="G113" s="19"/>
      <c r="H113" s="20"/>
      <c r="I113" s="18">
        <f t="shared" si="5"/>
        <v>46.55</v>
      </c>
      <c r="J113" s="19">
        <f t="shared" si="6"/>
        <v>7.1936227504100643</v>
      </c>
      <c r="K113" s="20">
        <f t="shared" si="7"/>
        <v>1991</v>
      </c>
      <c r="M113" s="21">
        <f t="shared" si="8"/>
        <v>3.8405270037230759</v>
      </c>
      <c r="N113" s="21">
        <f t="shared" si="9"/>
        <v>1.9731949044224915</v>
      </c>
    </row>
    <row r="114" spans="1:14" x14ac:dyDescent="0.2">
      <c r="A114" s="25" t="str">
        <f>'GF + UG Iteration 2'!A114</f>
        <v>Pre-15</v>
      </c>
      <c r="B114" s="25" t="str">
        <f>'GF + UG Iteration 2'!B114</f>
        <v>GF</v>
      </c>
      <c r="C114" s="18">
        <f>'GF + UG Iteration 2'!C114</f>
        <v>56.8</v>
      </c>
      <c r="D114" s="19">
        <f>'GF + UG Iteration 2'!D114</f>
        <v>17.594466678549747</v>
      </c>
      <c r="E114" s="30">
        <f>'GF + UG Iteration 2'!E114</f>
        <v>1990</v>
      </c>
      <c r="F114" s="18"/>
      <c r="G114" s="19"/>
      <c r="H114" s="20"/>
      <c r="I114" s="18">
        <f t="shared" si="5"/>
        <v>56.8</v>
      </c>
      <c r="J114" s="19">
        <f t="shared" si="6"/>
        <v>17.594466678549747</v>
      </c>
      <c r="K114" s="20">
        <f t="shared" si="7"/>
        <v>1990</v>
      </c>
      <c r="M114" s="21">
        <f t="shared" si="8"/>
        <v>4.0395363257271057</v>
      </c>
      <c r="N114" s="21">
        <f t="shared" si="9"/>
        <v>2.867584459347964</v>
      </c>
    </row>
    <row r="115" spans="1:14" x14ac:dyDescent="0.2">
      <c r="A115" s="25" t="str">
        <f>'GF + UG Iteration 2'!A115</f>
        <v>Pre-16</v>
      </c>
      <c r="B115" s="25" t="str">
        <f>'GF + UG Iteration 2'!B115</f>
        <v>GF</v>
      </c>
      <c r="C115" s="18">
        <f>'GF + UG Iteration 2'!C115</f>
        <v>81.575999999999993</v>
      </c>
      <c r="D115" s="19">
        <f>'GF + UG Iteration 2'!D115</f>
        <v>14.026199251012313</v>
      </c>
      <c r="E115" s="30">
        <f>'GF + UG Iteration 2'!E115</f>
        <v>1988</v>
      </c>
      <c r="F115" s="18"/>
      <c r="G115" s="19"/>
      <c r="H115" s="20"/>
      <c r="I115" s="18">
        <f t="shared" si="5"/>
        <v>81.575999999999993</v>
      </c>
      <c r="J115" s="19">
        <f t="shared" si="6"/>
        <v>14.026199251012313</v>
      </c>
      <c r="K115" s="20">
        <f t="shared" si="7"/>
        <v>1988</v>
      </c>
      <c r="M115" s="21">
        <f t="shared" si="8"/>
        <v>4.4015351010619241</v>
      </c>
      <c r="N115" s="21">
        <f t="shared" si="9"/>
        <v>2.6409269558467208</v>
      </c>
    </row>
    <row r="116" spans="1:14" x14ac:dyDescent="0.2">
      <c r="A116" s="25" t="str">
        <f>'GF + UG Iteration 2'!A116</f>
        <v>Pre-17</v>
      </c>
      <c r="B116" s="25" t="str">
        <f>'GF + UG Iteration 2'!B116</f>
        <v>GF</v>
      </c>
      <c r="C116" s="18">
        <f>'GF + UG Iteration 2'!C116</f>
        <v>95.2</v>
      </c>
      <c r="D116" s="19">
        <f>'GF + UG Iteration 2'!D116</f>
        <v>14.219904176944949</v>
      </c>
      <c r="E116" s="30">
        <f>'GF + UG Iteration 2'!E116</f>
        <v>1999</v>
      </c>
      <c r="F116" s="18"/>
      <c r="G116" s="19"/>
      <c r="H116" s="20"/>
      <c r="I116" s="18">
        <f t="shared" si="5"/>
        <v>95.2</v>
      </c>
      <c r="J116" s="19">
        <f t="shared" si="6"/>
        <v>14.219904176944949</v>
      </c>
      <c r="K116" s="20">
        <f t="shared" si="7"/>
        <v>1999</v>
      </c>
      <c r="M116" s="21">
        <f t="shared" si="8"/>
        <v>4.5559799417973199</v>
      </c>
      <c r="N116" s="21">
        <f t="shared" si="9"/>
        <v>2.654642685740924</v>
      </c>
    </row>
    <row r="117" spans="1:14" x14ac:dyDescent="0.2">
      <c r="A117" s="25" t="str">
        <f>'GF + UG Iteration 2'!A117</f>
        <v>Pre-18</v>
      </c>
      <c r="B117" s="25" t="str">
        <f>'GF + UG Iteration 2'!B117</f>
        <v>GF</v>
      </c>
      <c r="C117" s="18">
        <f>'GF + UG Iteration 2'!C117</f>
        <v>122.77200000000001</v>
      </c>
      <c r="D117" s="19">
        <f>'GF + UG Iteration 2'!D117</f>
        <v>23.447549869052086</v>
      </c>
      <c r="E117" s="30">
        <f>'GF + UG Iteration 2'!E117</f>
        <v>1990</v>
      </c>
      <c r="F117" s="18"/>
      <c r="G117" s="19"/>
      <c r="H117" s="20"/>
      <c r="I117" s="18">
        <f t="shared" si="5"/>
        <v>122.77200000000001</v>
      </c>
      <c r="J117" s="19">
        <f t="shared" si="6"/>
        <v>23.447549869052086</v>
      </c>
      <c r="K117" s="20">
        <f t="shared" si="7"/>
        <v>1990</v>
      </c>
      <c r="M117" s="21">
        <f t="shared" si="8"/>
        <v>4.8103289766848034</v>
      </c>
      <c r="N117" s="21">
        <f t="shared" si="9"/>
        <v>3.1547660062374661</v>
      </c>
    </row>
    <row r="118" spans="1:14" x14ac:dyDescent="0.2">
      <c r="A118" s="33">
        <f>'GF + UG Iteration 2'!A118</f>
        <v>1184</v>
      </c>
      <c r="B118" s="34" t="str">
        <f>'GF + UG Iteration 2'!B118</f>
        <v>UG</v>
      </c>
      <c r="C118" s="35">
        <f>'GF + UG Iteration 2'!C118</f>
        <v>30</v>
      </c>
      <c r="D118" s="36">
        <f>'GF + UG Iteration 2'!P$16*(C118^'GF + UG Iteration 2'!P$15)</f>
        <v>17.604543293642553</v>
      </c>
      <c r="E118" s="37">
        <f>'GF + UG Iteration 2'!E118</f>
        <v>2013</v>
      </c>
      <c r="F118" s="35">
        <f>'GF + UG Iteration 2'!F118</f>
        <v>18.200000000000003</v>
      </c>
      <c r="G118" s="36">
        <f>'GF + UG Iteration 2'!G118</f>
        <v>18.869341885211266</v>
      </c>
      <c r="H118" s="38">
        <f>'GF + UG Iteration 2'!H118</f>
        <v>2012</v>
      </c>
      <c r="I118" s="35">
        <f>C118+F118</f>
        <v>48.2</v>
      </c>
      <c r="J118" s="36">
        <f>D118+G118</f>
        <v>36.47388517885382</v>
      </c>
      <c r="K118" s="38">
        <f>MAX(E118,H118)</f>
        <v>2013</v>
      </c>
      <c r="M118" s="21">
        <f>LN(I118)</f>
        <v>3.8753590210565547</v>
      </c>
      <c r="N118" s="21">
        <f>LN(J118)</f>
        <v>3.5965965299624281</v>
      </c>
    </row>
    <row r="119" spans="1:14" x14ac:dyDescent="0.2">
      <c r="A119" s="33">
        <f>'GF + UG Iteration 2'!A119</f>
        <v>1481</v>
      </c>
      <c r="B119" s="34" t="str">
        <f>'GF + UG Iteration 2'!B119</f>
        <v>UG</v>
      </c>
      <c r="C119" s="35">
        <f>'GF + UG Iteration 2'!C119</f>
        <v>48.2</v>
      </c>
      <c r="D119" s="36">
        <f>'GF + UG Iteration 2'!P$16*(C119^'GF + UG Iteration 2'!P$15)</f>
        <v>22.926964748391399</v>
      </c>
      <c r="E119" s="37">
        <f>'GF + UG Iteration 2'!E119</f>
        <v>2013</v>
      </c>
      <c r="F119" s="35">
        <f>'GF + UG Iteration 2'!F119</f>
        <v>0</v>
      </c>
      <c r="G119" s="36">
        <f>'GF + UG Iteration 2'!G119</f>
        <v>1.1114331301697908</v>
      </c>
      <c r="H119" s="38">
        <f>'GF + UG Iteration 2'!H119</f>
        <v>2014</v>
      </c>
      <c r="I119" s="35">
        <f t="shared" ref="I119:I183" si="10">C119+F119</f>
        <v>48.2</v>
      </c>
      <c r="J119" s="36">
        <f t="shared" ref="J119:J183" si="11">D119+G119</f>
        <v>24.038397878561188</v>
      </c>
      <c r="K119" s="38">
        <f t="shared" ref="K119:K183" si="12">MAX(E119,H119)</f>
        <v>2014</v>
      </c>
      <c r="M119" s="21">
        <f t="shared" ref="M119:M183" si="13">LN(I119)</f>
        <v>3.8753590210565547</v>
      </c>
      <c r="N119" s="21">
        <f t="shared" ref="N119:N183" si="14">LN(J119)</f>
        <v>3.1796524634595582</v>
      </c>
    </row>
    <row r="120" spans="1:14" x14ac:dyDescent="0.2">
      <c r="A120" s="33">
        <f>'GF + UG Iteration 2'!A120</f>
        <v>457</v>
      </c>
      <c r="B120" s="34" t="str">
        <f>'GF + UG Iteration 2'!B120</f>
        <v>UG</v>
      </c>
      <c r="C120" s="35">
        <f>'GF + UG Iteration 2'!C120</f>
        <v>10.77</v>
      </c>
      <c r="D120" s="36">
        <f>'GF + UG Iteration 2'!P$16*(C120^'GF + UG Iteration 2'!P$15)</f>
        <v>9.9487083539269943</v>
      </c>
      <c r="E120" s="37">
        <f>'GF + UG Iteration 2'!E120</f>
        <v>1990</v>
      </c>
      <c r="F120" s="35">
        <f>'GF + UG Iteration 2'!F120</f>
        <v>10</v>
      </c>
      <c r="G120" s="36">
        <f>'GF + UG Iteration 2'!G120</f>
        <v>3.289132084924363</v>
      </c>
      <c r="H120" s="38">
        <f>'GF + UG Iteration 2'!H120</f>
        <v>2006</v>
      </c>
      <c r="I120" s="35">
        <f t="shared" si="10"/>
        <v>20.77</v>
      </c>
      <c r="J120" s="36">
        <f t="shared" si="11"/>
        <v>13.237840438851357</v>
      </c>
      <c r="K120" s="38">
        <f t="shared" si="12"/>
        <v>2006</v>
      </c>
      <c r="M120" s="21">
        <f t="shared" si="13"/>
        <v>3.0335096378880211</v>
      </c>
      <c r="N120" s="21">
        <f t="shared" si="14"/>
        <v>2.5830794283570824</v>
      </c>
    </row>
    <row r="121" spans="1:14" x14ac:dyDescent="0.2">
      <c r="A121" s="33">
        <f>'GF + UG Iteration 2'!A121</f>
        <v>407</v>
      </c>
      <c r="B121" s="34" t="str">
        <f>'GF + UG Iteration 2'!B121</f>
        <v>UG</v>
      </c>
      <c r="C121" s="35">
        <f>'GF + UG Iteration 2'!C121</f>
        <v>25.4</v>
      </c>
      <c r="D121" s="36">
        <f>'GF + UG Iteration 2'!P$16*(C121^'GF + UG Iteration 2'!P$15)</f>
        <v>16.045497366669192</v>
      </c>
      <c r="E121" s="37">
        <f>'GF + UG Iteration 2'!E121</f>
        <v>1982</v>
      </c>
      <c r="F121" s="35">
        <f>'GF + UG Iteration 2'!F121</f>
        <v>2</v>
      </c>
      <c r="G121" s="36">
        <f>'GF + UG Iteration 2'!G121</f>
        <v>0.60106525862386018</v>
      </c>
      <c r="H121" s="38">
        <f>'GF + UG Iteration 2'!H121</f>
        <v>2004</v>
      </c>
      <c r="I121" s="35">
        <f t="shared" si="10"/>
        <v>27.4</v>
      </c>
      <c r="J121" s="36">
        <f t="shared" si="11"/>
        <v>16.646562625293051</v>
      </c>
      <c r="K121" s="38">
        <f t="shared" si="12"/>
        <v>2004</v>
      </c>
      <c r="M121" s="21">
        <f t="shared" si="13"/>
        <v>3.3105430133940246</v>
      </c>
      <c r="N121" s="21">
        <f t="shared" si="14"/>
        <v>2.8122037461815905</v>
      </c>
    </row>
    <row r="122" spans="1:14" x14ac:dyDescent="0.2">
      <c r="A122" s="33">
        <f>'GF + UG Iteration 2'!A122</f>
        <v>706</v>
      </c>
      <c r="B122" s="34" t="str">
        <f>'GF + UG Iteration 2'!B122</f>
        <v>UG</v>
      </c>
      <c r="C122" s="35">
        <f>'GF + UG Iteration 2'!C122</f>
        <v>14.85</v>
      </c>
      <c r="D122" s="36">
        <f>'GF + UG Iteration 2'!P$16*(C122^'GF + UG Iteration 2'!P$15)</f>
        <v>11.898398464899902</v>
      </c>
      <c r="E122" s="37">
        <f>'GF + UG Iteration 2'!E122</f>
        <v>1984</v>
      </c>
      <c r="F122" s="35">
        <f>'GF + UG Iteration 2'!F122</f>
        <v>14.250000000000002</v>
      </c>
      <c r="G122" s="36">
        <f>'GF + UG Iteration 2'!G122</f>
        <v>5.8346214151737739</v>
      </c>
      <c r="H122" s="38">
        <f>'GF + UG Iteration 2'!H122</f>
        <v>2008</v>
      </c>
      <c r="I122" s="35">
        <f t="shared" si="10"/>
        <v>29.1</v>
      </c>
      <c r="J122" s="36">
        <f t="shared" si="11"/>
        <v>17.733019880073677</v>
      </c>
      <c r="K122" s="38">
        <f t="shared" si="12"/>
        <v>2008</v>
      </c>
      <c r="M122" s="21">
        <f t="shared" si="13"/>
        <v>3.3707381741774469</v>
      </c>
      <c r="N122" s="21">
        <f t="shared" si="14"/>
        <v>2.8754284315875731</v>
      </c>
    </row>
    <row r="123" spans="1:14" x14ac:dyDescent="0.2">
      <c r="A123" s="33">
        <f>'GF + UG Iteration 2'!A123</f>
        <v>1070</v>
      </c>
      <c r="B123" s="34" t="str">
        <f>'GF + UG Iteration 2'!B123</f>
        <v>UG</v>
      </c>
      <c r="C123" s="35">
        <f>'GF + UG Iteration 2'!C123</f>
        <v>34</v>
      </c>
      <c r="D123" s="36">
        <f>'GF + UG Iteration 2'!P$16*(C123^'GF + UG Iteration 2'!P$15)</f>
        <v>18.875895343766977</v>
      </c>
      <c r="E123" s="37">
        <f>'GF + UG Iteration 2'!E123</f>
        <v>1984</v>
      </c>
      <c r="F123" s="35">
        <f>'GF + UG Iteration 2'!F123</f>
        <v>4.8999999999999986</v>
      </c>
      <c r="G123" s="36">
        <f>'GF + UG Iteration 2'!G123</f>
        <v>0.83607952853202894</v>
      </c>
      <c r="H123" s="38">
        <f>'GF + UG Iteration 2'!H123</f>
        <v>2011</v>
      </c>
      <c r="I123" s="35">
        <f t="shared" si="10"/>
        <v>38.9</v>
      </c>
      <c r="J123" s="36">
        <f t="shared" si="11"/>
        <v>19.711974872299006</v>
      </c>
      <c r="K123" s="38">
        <f t="shared" si="12"/>
        <v>2011</v>
      </c>
      <c r="M123" s="21">
        <f t="shared" si="13"/>
        <v>3.6609942506244004</v>
      </c>
      <c r="N123" s="21">
        <f t="shared" si="14"/>
        <v>2.981226312608972</v>
      </c>
    </row>
    <row r="124" spans="1:14" x14ac:dyDescent="0.2">
      <c r="A124" s="33">
        <f>'GF + UG Iteration 2'!A124</f>
        <v>1264</v>
      </c>
      <c r="B124" s="34" t="str">
        <f>'GF + UG Iteration 2'!B124</f>
        <v>UG</v>
      </c>
      <c r="C124" s="35">
        <f>'GF + UG Iteration 2'!C124</f>
        <v>38.9</v>
      </c>
      <c r="D124" s="36">
        <f>'GF + UG Iteration 2'!P$16*(C124^'GF + UG Iteration 2'!P$15)</f>
        <v>20.346126207502433</v>
      </c>
      <c r="E124" s="37">
        <f>'GF + UG Iteration 2'!E124</f>
        <v>1984</v>
      </c>
      <c r="F124" s="35">
        <f>'GF + UG Iteration 2'!F124</f>
        <v>7.2000000000000028</v>
      </c>
      <c r="G124" s="36">
        <f>'GF + UG Iteration 2'!G124</f>
        <v>8.0578720930203094</v>
      </c>
      <c r="H124" s="38">
        <f>'GF + UG Iteration 2'!H124</f>
        <v>2013</v>
      </c>
      <c r="I124" s="35">
        <f t="shared" si="10"/>
        <v>46.1</v>
      </c>
      <c r="J124" s="36">
        <f t="shared" si="11"/>
        <v>28.403998300522744</v>
      </c>
      <c r="K124" s="38">
        <f t="shared" si="12"/>
        <v>2013</v>
      </c>
      <c r="M124" s="21">
        <f t="shared" si="13"/>
        <v>3.8308129500026027</v>
      </c>
      <c r="N124" s="21">
        <f t="shared" si="14"/>
        <v>3.3465299204875238</v>
      </c>
    </row>
    <row r="125" spans="1:14" x14ac:dyDescent="0.2">
      <c r="A125" s="33">
        <f>'GF + UG Iteration 2'!A125</f>
        <v>1208</v>
      </c>
      <c r="B125" s="34" t="str">
        <f>'GF + UG Iteration 2'!B125</f>
        <v>UG</v>
      </c>
      <c r="C125" s="35">
        <f>'GF + UG Iteration 2'!C125</f>
        <v>14.1</v>
      </c>
      <c r="D125" s="36">
        <f>'GF + UG Iteration 2'!P$16*(C125^'GF + UG Iteration 2'!P$15)</f>
        <v>11.559781081377993</v>
      </c>
      <c r="E125" s="37">
        <f>'GF + UG Iteration 2'!E125</f>
        <v>1961</v>
      </c>
      <c r="F125" s="35">
        <f>'GF + UG Iteration 2'!F125</f>
        <v>11.500000000000002</v>
      </c>
      <c r="G125" s="36">
        <f>'GF + UG Iteration 2'!G125</f>
        <v>2.7992110812000917</v>
      </c>
      <c r="H125" s="38">
        <f>'GF + UG Iteration 2'!H125</f>
        <v>2012</v>
      </c>
      <c r="I125" s="35">
        <f t="shared" si="10"/>
        <v>25.6</v>
      </c>
      <c r="J125" s="36">
        <f t="shared" si="11"/>
        <v>14.358992162578085</v>
      </c>
      <c r="K125" s="38">
        <f t="shared" si="12"/>
        <v>2012</v>
      </c>
      <c r="M125" s="21">
        <f t="shared" si="13"/>
        <v>3.2425923514855168</v>
      </c>
      <c r="N125" s="21">
        <f t="shared" si="14"/>
        <v>2.6643763774926108</v>
      </c>
    </row>
    <row r="126" spans="1:14" x14ac:dyDescent="0.2">
      <c r="A126" s="33">
        <f>'GF + UG Iteration 2'!A126</f>
        <v>655</v>
      </c>
      <c r="B126" s="34" t="str">
        <f>'GF + UG Iteration 2'!B126</f>
        <v>UG</v>
      </c>
      <c r="C126" s="35">
        <f>'GF + UG Iteration 2'!C126</f>
        <v>12.052999999999999</v>
      </c>
      <c r="D126" s="36">
        <f>'GF + UG Iteration 2'!P$16*(C126^'GF + UG Iteration 2'!P$15)</f>
        <v>10.592478052595776</v>
      </c>
      <c r="E126" s="37">
        <f>'GF + UG Iteration 2'!E126</f>
        <v>1974</v>
      </c>
      <c r="F126" s="35">
        <f>'GF + UG Iteration 2'!F126</f>
        <v>2.3390000000000004</v>
      </c>
      <c r="G126" s="36">
        <f>'GF + UG Iteration 2'!G126</f>
        <v>0.59464786373478107</v>
      </c>
      <c r="H126" s="38">
        <f>'GF + UG Iteration 2'!H126</f>
        <v>2007</v>
      </c>
      <c r="I126" s="35">
        <f t="shared" si="10"/>
        <v>14.391999999999999</v>
      </c>
      <c r="J126" s="36">
        <f t="shared" si="11"/>
        <v>11.187125916330558</v>
      </c>
      <c r="K126" s="38">
        <f t="shared" si="12"/>
        <v>2007</v>
      </c>
      <c r="M126" s="21">
        <f t="shared" si="13"/>
        <v>2.666672496648232</v>
      </c>
      <c r="N126" s="21">
        <f t="shared" si="14"/>
        <v>2.4147636453954928</v>
      </c>
    </row>
    <row r="127" spans="1:14" x14ac:dyDescent="0.2">
      <c r="A127" s="33">
        <f>'GF + UG Iteration 2'!A127</f>
        <v>733</v>
      </c>
      <c r="B127" s="34" t="str">
        <f>'GF + UG Iteration 2'!B127</f>
        <v>UG</v>
      </c>
      <c r="C127" s="35">
        <f>'GF + UG Iteration 2'!C127</f>
        <v>24.3</v>
      </c>
      <c r="D127" s="36">
        <f>'GF + UG Iteration 2'!P$16*(C127^'GF + UG Iteration 2'!P$15)</f>
        <v>15.65458373909118</v>
      </c>
      <c r="E127" s="37">
        <f>'GF + UG Iteration 2'!E127</f>
        <v>2007</v>
      </c>
      <c r="F127" s="35">
        <f>'GF + UG Iteration 2'!F127</f>
        <v>17.099999999999998</v>
      </c>
      <c r="G127" s="36">
        <f>'GF + UG Iteration 2'!G127</f>
        <v>6.7726080218724345</v>
      </c>
      <c r="H127" s="38">
        <f>'GF + UG Iteration 2'!H127</f>
        <v>2009</v>
      </c>
      <c r="I127" s="35">
        <f t="shared" si="10"/>
        <v>41.4</v>
      </c>
      <c r="J127" s="36">
        <f t="shared" si="11"/>
        <v>22.427191760963616</v>
      </c>
      <c r="K127" s="38">
        <f t="shared" si="12"/>
        <v>2009</v>
      </c>
      <c r="M127" s="21">
        <f t="shared" si="13"/>
        <v>3.7232808808312687</v>
      </c>
      <c r="N127" s="21">
        <f t="shared" si="14"/>
        <v>3.1102741405585541</v>
      </c>
    </row>
    <row r="128" spans="1:14" x14ac:dyDescent="0.2">
      <c r="A128" s="33">
        <f>'GF + UG Iteration 2'!A128</f>
        <v>1700</v>
      </c>
      <c r="B128" s="34" t="str">
        <f>'GF + UG Iteration 2'!B128</f>
        <v>UG</v>
      </c>
      <c r="C128" s="35">
        <f>'GF + UG Iteration 2'!C128</f>
        <v>13.4</v>
      </c>
      <c r="D128" s="36">
        <f>'GF + UG Iteration 2'!P$16*(C128^'GF + UG Iteration 2'!P$15)</f>
        <v>11.236464042295193</v>
      </c>
      <c r="E128" s="37">
        <f>'GF + UG Iteration 2'!E128</f>
        <v>0</v>
      </c>
      <c r="F128" s="35">
        <f>'GF + UG Iteration 2'!F128</f>
        <v>0</v>
      </c>
      <c r="G128" s="36">
        <f>'GF + UG Iteration 2'!G128</f>
        <v>4.0238803148956235</v>
      </c>
      <c r="H128" s="38">
        <f>'GF + UG Iteration 2'!H128</f>
        <v>2016</v>
      </c>
      <c r="I128" s="35">
        <f t="shared" ref="I128" si="15">C128+F128</f>
        <v>13.4</v>
      </c>
      <c r="J128" s="36">
        <f t="shared" ref="J128" si="16">D128+G128</f>
        <v>15.260344357190817</v>
      </c>
      <c r="K128" s="38">
        <f t="shared" ref="K128" si="17">MAX(E128,H128)</f>
        <v>2016</v>
      </c>
      <c r="M128" s="21">
        <f t="shared" ref="M128" si="18">LN(I128)</f>
        <v>2.5952547069568657</v>
      </c>
      <c r="N128" s="21">
        <f t="shared" ref="N128" si="19">LN(J128)</f>
        <v>2.7252575916037221</v>
      </c>
    </row>
    <row r="129" spans="1:14" x14ac:dyDescent="0.2">
      <c r="A129" s="33">
        <f>'GF + UG Iteration 2'!A129</f>
        <v>1569</v>
      </c>
      <c r="B129" s="34" t="str">
        <f>'GF + UG Iteration 2'!B129</f>
        <v>UG</v>
      </c>
      <c r="C129" s="35">
        <f>'GF + UG Iteration 2'!C129</f>
        <v>17.7</v>
      </c>
      <c r="D129" s="36">
        <f>'GF + UG Iteration 2'!P$16*(C129^'GF + UG Iteration 2'!P$15)</f>
        <v>13.120966013352302</v>
      </c>
      <c r="E129" s="37">
        <f>'GF + UG Iteration 2'!E129</f>
        <v>1997</v>
      </c>
      <c r="F129" s="35">
        <f>'GF + UG Iteration 2'!F129</f>
        <v>0</v>
      </c>
      <c r="G129" s="36">
        <f>'GF + UG Iteration 2'!G129</f>
        <v>3.7372730134616279</v>
      </c>
      <c r="H129" s="38">
        <f>'GF + UG Iteration 2'!H129</f>
        <v>2015</v>
      </c>
      <c r="I129" s="35">
        <f t="shared" si="10"/>
        <v>17.7</v>
      </c>
      <c r="J129" s="36">
        <f t="shared" si="11"/>
        <v>16.85823902681393</v>
      </c>
      <c r="K129" s="38">
        <f t="shared" si="12"/>
        <v>2015</v>
      </c>
      <c r="M129" s="21">
        <f t="shared" si="13"/>
        <v>2.8735646395797834</v>
      </c>
      <c r="N129" s="21">
        <f t="shared" si="14"/>
        <v>2.8248395003105724</v>
      </c>
    </row>
    <row r="130" spans="1:14" x14ac:dyDescent="0.2">
      <c r="A130" s="33">
        <f>'GF + UG Iteration 2'!A130</f>
        <v>401</v>
      </c>
      <c r="B130" s="34" t="str">
        <f>'GF + UG Iteration 2'!B130</f>
        <v>UG</v>
      </c>
      <c r="C130" s="35">
        <f>'GF + UG Iteration 2'!C130</f>
        <v>2</v>
      </c>
      <c r="D130" s="36">
        <f>'GF + UG Iteration 2'!P$16*(C130^'GF + UG Iteration 2'!P$15)</f>
        <v>3.8942264479773376</v>
      </c>
      <c r="E130" s="37">
        <f>'GF + UG Iteration 2'!E130</f>
        <v>1986</v>
      </c>
      <c r="F130" s="35">
        <f>'GF + UG Iteration 2'!F130</f>
        <v>1.5</v>
      </c>
      <c r="G130" s="36">
        <f>'GF + UG Iteration 2'!G130</f>
        <v>0.36204281296556784</v>
      </c>
      <c r="H130" s="38">
        <f>'GF + UG Iteration 2'!H130</f>
        <v>2004</v>
      </c>
      <c r="I130" s="35">
        <f t="shared" si="10"/>
        <v>3.5</v>
      </c>
      <c r="J130" s="36">
        <f t="shared" si="11"/>
        <v>4.2562692609429051</v>
      </c>
      <c r="K130" s="38">
        <f t="shared" si="12"/>
        <v>2004</v>
      </c>
      <c r="M130" s="21">
        <f t="shared" si="13"/>
        <v>1.2527629684953681</v>
      </c>
      <c r="N130" s="21">
        <f t="shared" si="14"/>
        <v>1.4483930162371126</v>
      </c>
    </row>
    <row r="131" spans="1:14" x14ac:dyDescent="0.2">
      <c r="A131" s="33">
        <f>'GF + UG Iteration 2'!A131</f>
        <v>1412</v>
      </c>
      <c r="B131" s="34" t="str">
        <f>'GF + UG Iteration 2'!B131</f>
        <v>UG</v>
      </c>
      <c r="C131" s="35">
        <f>'GF + UG Iteration 2'!C131</f>
        <v>3.5</v>
      </c>
      <c r="D131" s="36">
        <f>'GF + UG Iteration 2'!P$16*(C131^'GF + UG Iteration 2'!P$15)</f>
        <v>5.3188573612032082</v>
      </c>
      <c r="E131" s="37">
        <f>'GF + UG Iteration 2'!E131</f>
        <v>1986</v>
      </c>
      <c r="F131" s="35">
        <f>'GF + UG Iteration 2'!F131</f>
        <v>11</v>
      </c>
      <c r="G131" s="36">
        <f>'GF + UG Iteration 2'!G131</f>
        <v>4.3574845496482366</v>
      </c>
      <c r="H131" s="38">
        <f>'GF + UG Iteration 2'!H131</f>
        <v>2015</v>
      </c>
      <c r="I131" s="35">
        <f t="shared" si="10"/>
        <v>14.5</v>
      </c>
      <c r="J131" s="36">
        <f t="shared" si="11"/>
        <v>9.6763419108514448</v>
      </c>
      <c r="K131" s="38">
        <f t="shared" si="12"/>
        <v>2015</v>
      </c>
      <c r="M131" s="21">
        <f t="shared" si="13"/>
        <v>2.6741486494265287</v>
      </c>
      <c r="N131" s="21">
        <f t="shared" si="14"/>
        <v>2.2696839280940719</v>
      </c>
    </row>
    <row r="132" spans="1:14" x14ac:dyDescent="0.2">
      <c r="A132" s="33">
        <f>'GF + UG Iteration 2'!A132</f>
        <v>1318</v>
      </c>
      <c r="B132" s="34" t="str">
        <f>'GF + UG Iteration 2'!B132</f>
        <v>UG</v>
      </c>
      <c r="C132" s="35">
        <f>'GF + UG Iteration 2'!C132</f>
        <v>22.3</v>
      </c>
      <c r="D132" s="36">
        <f>'GF + UG Iteration 2'!P$16*(C132^'GF + UG Iteration 2'!P$15)</f>
        <v>14.923160478926274</v>
      </c>
      <c r="E132" s="37">
        <f>'GF + UG Iteration 2'!E132</f>
        <v>1997</v>
      </c>
      <c r="F132" s="35">
        <f>'GF + UG Iteration 2'!F132</f>
        <v>28.900000000000002</v>
      </c>
      <c r="G132" s="36">
        <f>'GF + UG Iteration 2'!G132</f>
        <v>1.6878206182928517</v>
      </c>
      <c r="H132" s="38">
        <f>'GF + UG Iteration 2'!H132</f>
        <v>2013</v>
      </c>
      <c r="I132" s="35">
        <f t="shared" si="10"/>
        <v>51.2</v>
      </c>
      <c r="J132" s="36">
        <f t="shared" si="11"/>
        <v>16.610981097219124</v>
      </c>
      <c r="K132" s="38">
        <f t="shared" si="12"/>
        <v>2013</v>
      </c>
      <c r="M132" s="21">
        <f t="shared" si="13"/>
        <v>3.9357395320454622</v>
      </c>
      <c r="N132" s="21">
        <f t="shared" si="14"/>
        <v>2.810063988540628</v>
      </c>
    </row>
    <row r="133" spans="1:14" x14ac:dyDescent="0.2">
      <c r="A133" s="33">
        <f>'GF + UG Iteration 2'!A133</f>
        <v>1194</v>
      </c>
      <c r="B133" s="34" t="str">
        <f>'GF + UG Iteration 2'!B133</f>
        <v>UG</v>
      </c>
      <c r="C133" s="35">
        <f>'GF + UG Iteration 2'!C133</f>
        <v>5.8</v>
      </c>
      <c r="D133" s="36">
        <f>'GF + UG Iteration 2'!P$16*(C133^'GF + UG Iteration 2'!P$15)</f>
        <v>7.047325864071837</v>
      </c>
      <c r="E133" s="37">
        <f>'GF + UG Iteration 2'!E133</f>
        <v>1980</v>
      </c>
      <c r="F133" s="35">
        <f>'GF + UG Iteration 2'!F133</f>
        <v>9.6000000000000014</v>
      </c>
      <c r="G133" s="36">
        <f>'GF + UG Iteration 2'!G133</f>
        <v>1.6086060831571487</v>
      </c>
      <c r="H133" s="38">
        <f>'GF + UG Iteration 2'!H133</f>
        <v>2011</v>
      </c>
      <c r="I133" s="35">
        <f t="shared" si="10"/>
        <v>15.400000000000002</v>
      </c>
      <c r="J133" s="36">
        <f t="shared" si="11"/>
        <v>8.6559319472289857</v>
      </c>
      <c r="K133" s="38">
        <f t="shared" si="12"/>
        <v>2011</v>
      </c>
      <c r="M133" s="21">
        <f t="shared" si="13"/>
        <v>2.7343675094195836</v>
      </c>
      <c r="N133" s="21">
        <f t="shared" si="14"/>
        <v>2.1582448601542032</v>
      </c>
    </row>
    <row r="134" spans="1:14" x14ac:dyDescent="0.2">
      <c r="A134" s="33">
        <f>'GF + UG Iteration 2'!A134</f>
        <v>801</v>
      </c>
      <c r="B134" s="34" t="str">
        <f>'GF + UG Iteration 2'!B134</f>
        <v>UG</v>
      </c>
      <c r="C134" s="35">
        <f>'GF + UG Iteration 2'!C134</f>
        <v>10</v>
      </c>
      <c r="D134" s="36">
        <f>'GF + UG Iteration 2'!P$16*(C134^'GF + UG Iteration 2'!P$15)</f>
        <v>9.5459519927801075</v>
      </c>
      <c r="E134" s="37">
        <f>'GF + UG Iteration 2'!E134</f>
        <v>2008</v>
      </c>
      <c r="F134" s="35">
        <f>'GF + UG Iteration 2'!F134</f>
        <v>0</v>
      </c>
      <c r="G134" s="36">
        <f>'GF + UG Iteration 2'!G134</f>
        <v>6.3106495854024782</v>
      </c>
      <c r="H134" s="38">
        <f>'GF + UG Iteration 2'!H134</f>
        <v>2009</v>
      </c>
      <c r="I134" s="35">
        <f t="shared" si="10"/>
        <v>10</v>
      </c>
      <c r="J134" s="36">
        <f t="shared" si="11"/>
        <v>15.856601578182586</v>
      </c>
      <c r="K134" s="38">
        <f t="shared" si="12"/>
        <v>2009</v>
      </c>
      <c r="M134" s="21">
        <f t="shared" si="13"/>
        <v>2.3025850929940459</v>
      </c>
      <c r="N134" s="21">
        <f t="shared" si="14"/>
        <v>2.7635859169652122</v>
      </c>
    </row>
    <row r="135" spans="1:14" x14ac:dyDescent="0.2">
      <c r="A135" s="33">
        <f>'GF + UG Iteration 2'!A135</f>
        <v>804</v>
      </c>
      <c r="B135" s="34" t="str">
        <f>'GF + UG Iteration 2'!B135</f>
        <v>UG</v>
      </c>
      <c r="C135" s="35">
        <f>'GF + UG Iteration 2'!C135</f>
        <v>14.429</v>
      </c>
      <c r="D135" s="36">
        <f>'GF + UG Iteration 2'!P$16*(C135^'GF + UG Iteration 2'!P$15)</f>
        <v>11.709279536374664</v>
      </c>
      <c r="E135" s="37">
        <f>'GF + UG Iteration 2'!E135</f>
        <v>1982</v>
      </c>
      <c r="F135" s="35">
        <f>'GF + UG Iteration 2'!F135</f>
        <v>9.8710000000000004</v>
      </c>
      <c r="G135" s="36">
        <f>'GF + UG Iteration 2'!G135</f>
        <v>9.1566982400815444</v>
      </c>
      <c r="H135" s="38">
        <f>'GF + UG Iteration 2'!H135</f>
        <v>2009</v>
      </c>
      <c r="I135" s="35">
        <f t="shared" si="10"/>
        <v>24.3</v>
      </c>
      <c r="J135" s="36">
        <f t="shared" si="11"/>
        <v>20.865977776456209</v>
      </c>
      <c r="K135" s="38">
        <f t="shared" si="12"/>
        <v>2009</v>
      </c>
      <c r="M135" s="21">
        <f t="shared" si="13"/>
        <v>3.1904763503465028</v>
      </c>
      <c r="N135" s="21">
        <f t="shared" si="14"/>
        <v>3.0381199749851229</v>
      </c>
    </row>
    <row r="136" spans="1:14" x14ac:dyDescent="0.2">
      <c r="A136" s="33">
        <f>'GF + UG Iteration 2'!A136</f>
        <v>365</v>
      </c>
      <c r="B136" s="34" t="str">
        <f>'GF + UG Iteration 2'!B136</f>
        <v>UG</v>
      </c>
      <c r="C136" s="35">
        <f>'GF + UG Iteration 2'!C136</f>
        <v>15.9</v>
      </c>
      <c r="D136" s="36">
        <f>'GF + UG Iteration 2'!P$16*(C136^'GF + UG Iteration 2'!P$15)</f>
        <v>12.359989967832876</v>
      </c>
      <c r="E136" s="37">
        <f>'GF + UG Iteration 2'!E136</f>
        <v>1982</v>
      </c>
      <c r="F136" s="35">
        <f>'GF + UG Iteration 2'!F136</f>
        <v>0.26900000000000013</v>
      </c>
      <c r="G136" s="36">
        <f>'GF + UG Iteration 2'!G136</f>
        <v>0.59607313292480213</v>
      </c>
      <c r="H136" s="38">
        <f>'GF + UG Iteration 2'!H136</f>
        <v>2003</v>
      </c>
      <c r="I136" s="35">
        <f t="shared" si="10"/>
        <v>16.169</v>
      </c>
      <c r="J136" s="36">
        <f t="shared" si="11"/>
        <v>12.956063100757678</v>
      </c>
      <c r="K136" s="38">
        <f t="shared" si="12"/>
        <v>2003</v>
      </c>
      <c r="M136" s="21">
        <f t="shared" si="13"/>
        <v>2.7830958287576775</v>
      </c>
      <c r="N136" s="21">
        <f t="shared" si="14"/>
        <v>2.5615638716860523</v>
      </c>
    </row>
    <row r="137" spans="1:14" x14ac:dyDescent="0.2">
      <c r="A137" s="33">
        <f>'GF + UG Iteration 2'!A137</f>
        <v>708</v>
      </c>
      <c r="B137" s="34" t="str">
        <f>'GF + UG Iteration 2'!B137</f>
        <v>UG</v>
      </c>
      <c r="C137" s="35">
        <f>'GF + UG Iteration 2'!C137</f>
        <v>16.2</v>
      </c>
      <c r="D137" s="36">
        <f>'GF + UG Iteration 2'!P$16*(C137^'GF + UG Iteration 2'!P$15)</f>
        <v>12.489372432276378</v>
      </c>
      <c r="E137" s="37">
        <f>'GF + UG Iteration 2'!E137</f>
        <v>1982</v>
      </c>
      <c r="F137" s="35">
        <f>'GF + UG Iteration 2'!F137</f>
        <v>11.5</v>
      </c>
      <c r="G137" s="36">
        <f>'GF + UG Iteration 2'!G137</f>
        <v>6.8374623210633541</v>
      </c>
      <c r="H137" s="38">
        <f>'GF + UG Iteration 2'!H137</f>
        <v>2007</v>
      </c>
      <c r="I137" s="35">
        <f t="shared" si="10"/>
        <v>27.7</v>
      </c>
      <c r="J137" s="36">
        <f t="shared" si="11"/>
        <v>19.326834753339732</v>
      </c>
      <c r="K137" s="38">
        <f t="shared" si="12"/>
        <v>2007</v>
      </c>
      <c r="M137" s="21">
        <f t="shared" si="13"/>
        <v>3.3214324131932926</v>
      </c>
      <c r="N137" s="21">
        <f t="shared" si="14"/>
        <v>2.9614945319248549</v>
      </c>
    </row>
    <row r="138" spans="1:14" x14ac:dyDescent="0.2">
      <c r="A138" s="33">
        <f>'GF + UG Iteration 2'!A138</f>
        <v>1568</v>
      </c>
      <c r="B138" s="34" t="str">
        <f>'GF + UG Iteration 2'!B138</f>
        <v>UG</v>
      </c>
      <c r="C138" s="35">
        <f>'GF + UG Iteration 2'!C138</f>
        <v>27.7</v>
      </c>
      <c r="D138" s="36">
        <f>'GF + UG Iteration 2'!P$16*(C138^'GF + UG Iteration 2'!P$15)</f>
        <v>16.839372318089712</v>
      </c>
      <c r="E138" s="37">
        <f>'GF + UG Iteration 2'!E138</f>
        <v>1997</v>
      </c>
      <c r="F138" s="35">
        <f>'GF + UG Iteration 2'!F138</f>
        <v>8.0999999999999979</v>
      </c>
      <c r="G138" s="36">
        <f>'GF + UG Iteration 2'!G138</f>
        <v>3.5848996641236104</v>
      </c>
      <c r="H138" s="38">
        <f>'GF + UG Iteration 2'!H138</f>
        <v>2015</v>
      </c>
      <c r="I138" s="35">
        <f t="shared" si="10"/>
        <v>35.799999999999997</v>
      </c>
      <c r="J138" s="36">
        <f t="shared" si="11"/>
        <v>20.424271982213323</v>
      </c>
      <c r="K138" s="38">
        <f t="shared" si="12"/>
        <v>2015</v>
      </c>
      <c r="M138" s="21">
        <f t="shared" si="13"/>
        <v>3.5779478934066544</v>
      </c>
      <c r="N138" s="21">
        <f t="shared" si="14"/>
        <v>3.0167239966451351</v>
      </c>
    </row>
    <row r="139" spans="1:14" x14ac:dyDescent="0.2">
      <c r="A139" s="33">
        <f>'GF + UG Iteration 2'!A139</f>
        <v>398</v>
      </c>
      <c r="B139" s="34" t="str">
        <f>'GF + UG Iteration 2'!B139</f>
        <v>UG</v>
      </c>
      <c r="C139" s="35">
        <f>'GF + UG Iteration 2'!C139</f>
        <v>27.329000000000001</v>
      </c>
      <c r="D139" s="36">
        <f>'GF + UG Iteration 2'!P$16*(C139^'GF + UG Iteration 2'!P$15)</f>
        <v>16.713349319965513</v>
      </c>
      <c r="E139" s="37">
        <f>'GF + UG Iteration 2'!E139</f>
        <v>1981</v>
      </c>
      <c r="F139" s="35">
        <f>'GF + UG Iteration 2'!F139</f>
        <v>2</v>
      </c>
      <c r="G139" s="36">
        <f>'GF + UG Iteration 2'!G139</f>
        <v>1.454685054931611</v>
      </c>
      <c r="H139" s="38">
        <f>'GF + UG Iteration 2'!H139</f>
        <v>2004</v>
      </c>
      <c r="I139" s="35">
        <f t="shared" si="10"/>
        <v>29.329000000000001</v>
      </c>
      <c r="J139" s="36">
        <f t="shared" si="11"/>
        <v>18.168034374897125</v>
      </c>
      <c r="K139" s="38">
        <f t="shared" si="12"/>
        <v>2004</v>
      </c>
      <c r="M139" s="21">
        <f t="shared" si="13"/>
        <v>3.3785767876246213</v>
      </c>
      <c r="N139" s="21">
        <f t="shared" si="14"/>
        <v>2.8996636968587728</v>
      </c>
    </row>
    <row r="140" spans="1:14" x14ac:dyDescent="0.2">
      <c r="A140" s="33">
        <f>'GF + UG Iteration 2'!A140</f>
        <v>1642</v>
      </c>
      <c r="B140" s="34" t="str">
        <f>'GF + UG Iteration 2'!B140</f>
        <v>UG</v>
      </c>
      <c r="C140" s="35">
        <f>'GF + UG Iteration 2'!C140</f>
        <v>16.12</v>
      </c>
      <c r="D140" s="36">
        <f>'GF + UG Iteration 2'!P$16*(C140^'GF + UG Iteration 2'!P$15)</f>
        <v>12.454974952861235</v>
      </c>
      <c r="E140" s="37" t="str">
        <f>'GF + UG Iteration 2'!E140</f>
        <v>unknown</v>
      </c>
      <c r="F140" s="35">
        <f>'GF + UG Iteration 2'!F140</f>
        <v>2.7799999999999976</v>
      </c>
      <c r="G140" s="36">
        <f>'GF + UG Iteration 2'!G140</f>
        <v>10.134123990225088</v>
      </c>
      <c r="H140" s="38">
        <f>'GF + UG Iteration 2'!H140</f>
        <v>2015</v>
      </c>
      <c r="I140" s="35">
        <f t="shared" si="10"/>
        <v>18.899999999999999</v>
      </c>
      <c r="J140" s="36">
        <f t="shared" si="11"/>
        <v>22.589098943086324</v>
      </c>
      <c r="K140" s="38">
        <f t="shared" si="12"/>
        <v>2015</v>
      </c>
      <c r="M140" s="21">
        <f t="shared" si="13"/>
        <v>2.9391619220655967</v>
      </c>
      <c r="N140" s="21">
        <f t="shared" si="14"/>
        <v>3.1174674422601432</v>
      </c>
    </row>
    <row r="141" spans="1:14" x14ac:dyDescent="0.2">
      <c r="A141" s="33">
        <f>'GF + UG Iteration 2'!A141</f>
        <v>522</v>
      </c>
      <c r="B141" s="34" t="str">
        <f>'GF + UG Iteration 2'!B141</f>
        <v>UG</v>
      </c>
      <c r="C141" s="35">
        <f>'GF + UG Iteration 2'!C141</f>
        <v>38.700000000000003</v>
      </c>
      <c r="D141" s="36">
        <f>'GF + UG Iteration 2'!P$16*(C141^'GF + UG Iteration 2'!P$15)</f>
        <v>20.287782668809367</v>
      </c>
      <c r="E141" s="37">
        <f>'GF + UG Iteration 2'!E141</f>
        <v>1981</v>
      </c>
      <c r="F141" s="35">
        <f>'GF + UG Iteration 2'!F141</f>
        <v>2.2999999999999972</v>
      </c>
      <c r="G141" s="36">
        <f>'GF + UG Iteration 2'!G141</f>
        <v>0.49326793696611254</v>
      </c>
      <c r="H141" s="38">
        <f>'GF + UG Iteration 2'!H141</f>
        <v>2006</v>
      </c>
      <c r="I141" s="35">
        <f t="shared" si="10"/>
        <v>41</v>
      </c>
      <c r="J141" s="36">
        <f t="shared" si="11"/>
        <v>20.78105060577548</v>
      </c>
      <c r="K141" s="38">
        <f t="shared" si="12"/>
        <v>2006</v>
      </c>
      <c r="M141" s="21">
        <f t="shared" si="13"/>
        <v>3.713572066704308</v>
      </c>
      <c r="N141" s="21">
        <f t="shared" si="14"/>
        <v>3.0340415429000442</v>
      </c>
    </row>
    <row r="142" spans="1:14" x14ac:dyDescent="0.2">
      <c r="A142" s="33">
        <f>'GF + UG Iteration 2'!A142</f>
        <v>170</v>
      </c>
      <c r="B142" s="34" t="str">
        <f>'GF + UG Iteration 2'!B142</f>
        <v>UG</v>
      </c>
      <c r="C142" s="35">
        <f>'GF + UG Iteration 2'!C142</f>
        <v>20.399999999999999</v>
      </c>
      <c r="D142" s="36">
        <f>'GF + UG Iteration 2'!P$16*(C142^'GF + UG Iteration 2'!P$15)</f>
        <v>14.200872680683586</v>
      </c>
      <c r="E142" s="37" t="str">
        <f>'GF + UG Iteration 2'!E142</f>
        <v>unknown</v>
      </c>
      <c r="F142" s="35">
        <f>'GF + UG Iteration 2'!F142</f>
        <v>5.6000000000000014</v>
      </c>
      <c r="G142" s="36">
        <f>'GF + UG Iteration 2'!G142</f>
        <v>4.433742547698083</v>
      </c>
      <c r="H142" s="38">
        <f>'GF + UG Iteration 2'!H142</f>
        <v>2001</v>
      </c>
      <c r="I142" s="35">
        <f t="shared" si="10"/>
        <v>26</v>
      </c>
      <c r="J142" s="36">
        <f t="shared" si="11"/>
        <v>18.634615228381669</v>
      </c>
      <c r="K142" s="38">
        <f t="shared" si="12"/>
        <v>2001</v>
      </c>
      <c r="M142" s="21">
        <f t="shared" si="13"/>
        <v>3.2580965380214821</v>
      </c>
      <c r="N142" s="21">
        <f t="shared" si="14"/>
        <v>2.9250208849252797</v>
      </c>
    </row>
    <row r="143" spans="1:14" x14ac:dyDescent="0.2">
      <c r="A143" s="33">
        <f>'GF + UG Iteration 2'!A143</f>
        <v>1312</v>
      </c>
      <c r="B143" s="34" t="str">
        <f>'GF + UG Iteration 2'!B143</f>
        <v>UG</v>
      </c>
      <c r="C143" s="35">
        <f>'GF + UG Iteration 2'!C143</f>
        <v>23.63</v>
      </c>
      <c r="D143" s="36">
        <f>'GF + UG Iteration 2'!P$16*(C143^'GF + UG Iteration 2'!P$15)</f>
        <v>15.412634379628892</v>
      </c>
      <c r="E143" s="37" t="str">
        <f>'GF + UG Iteration 2'!E143</f>
        <v>unknown</v>
      </c>
      <c r="F143" s="35">
        <f>'GF + UG Iteration 2'!F143</f>
        <v>0</v>
      </c>
      <c r="G143" s="36">
        <f>'GF + UG Iteration 2'!G143</f>
        <v>6.0245111186360631</v>
      </c>
      <c r="H143" s="38">
        <f>'GF + UG Iteration 2'!H143</f>
        <v>2013</v>
      </c>
      <c r="I143" s="35">
        <f t="shared" si="10"/>
        <v>23.63</v>
      </c>
      <c r="J143" s="36">
        <f t="shared" si="11"/>
        <v>21.437145498264954</v>
      </c>
      <c r="K143" s="38">
        <f t="shared" si="12"/>
        <v>2013</v>
      </c>
      <c r="M143" s="21">
        <f t="shared" si="13"/>
        <v>3.1625170911988163</v>
      </c>
      <c r="N143" s="21">
        <f t="shared" si="14"/>
        <v>3.0651251882653452</v>
      </c>
    </row>
    <row r="144" spans="1:14" x14ac:dyDescent="0.2">
      <c r="A144" s="33">
        <f>'GF + UG Iteration 2'!A144</f>
        <v>170</v>
      </c>
      <c r="B144" s="34" t="str">
        <f>'GF + UG Iteration 2'!B144</f>
        <v>UG</v>
      </c>
      <c r="C144" s="35">
        <f>'GF + UG Iteration 2'!C144</f>
        <v>21.6</v>
      </c>
      <c r="D144" s="36">
        <f>'GF + UG Iteration 2'!P$16*(C144^'GF + UG Iteration 2'!P$15)</f>
        <v>14.660349302864974</v>
      </c>
      <c r="E144" s="37" t="str">
        <f>'GF + UG Iteration 2'!E144</f>
        <v>unknown</v>
      </c>
      <c r="F144" s="35">
        <f>'GF + UG Iteration 2'!F144</f>
        <v>1</v>
      </c>
      <c r="G144" s="36">
        <f>'GF + UG Iteration 2'!G144</f>
        <v>4.8829870198591019</v>
      </c>
      <c r="H144" s="38">
        <f>'GF + UG Iteration 2'!H144</f>
        <v>2001</v>
      </c>
      <c r="I144" s="35">
        <f t="shared" si="10"/>
        <v>22.6</v>
      </c>
      <c r="J144" s="36">
        <f t="shared" si="11"/>
        <v>19.543336322724077</v>
      </c>
      <c r="K144" s="38">
        <f t="shared" si="12"/>
        <v>2001</v>
      </c>
      <c r="M144" s="21">
        <f t="shared" si="13"/>
        <v>3.1179499062782403</v>
      </c>
      <c r="N144" s="21">
        <f t="shared" si="14"/>
        <v>2.9726343752701756</v>
      </c>
    </row>
    <row r="145" spans="1:14" x14ac:dyDescent="0.2">
      <c r="A145" s="33">
        <f>'GF + UG Iteration 2'!A145</f>
        <v>1366</v>
      </c>
      <c r="B145" s="34" t="str">
        <f>'GF + UG Iteration 2'!B145</f>
        <v>UG</v>
      </c>
      <c r="C145" s="35">
        <f>'GF + UG Iteration 2'!C145</f>
        <v>25.5</v>
      </c>
      <c r="D145" s="36">
        <f>'GF + UG Iteration 2'!P$16*(C145^'GF + UG Iteration 2'!P$15)</f>
        <v>16.080659612585539</v>
      </c>
      <c r="E145" s="37">
        <f>'GF + UG Iteration 2'!E145</f>
        <v>0</v>
      </c>
      <c r="F145" s="35">
        <f>'GF + UG Iteration 2'!F145</f>
        <v>14</v>
      </c>
      <c r="G145" s="36">
        <f>'GF + UG Iteration 2'!G145</f>
        <v>5.5737060104438019</v>
      </c>
      <c r="H145" s="38">
        <f>'GF + UG Iteration 2'!H145</f>
        <v>2013</v>
      </c>
      <c r="I145" s="35">
        <f t="shared" si="10"/>
        <v>39.5</v>
      </c>
      <c r="J145" s="36">
        <f t="shared" si="11"/>
        <v>21.654365623029342</v>
      </c>
      <c r="K145" s="38">
        <f t="shared" si="12"/>
        <v>2013</v>
      </c>
      <c r="M145" s="21">
        <f t="shared" si="13"/>
        <v>3.6763006719070761</v>
      </c>
      <c r="N145" s="21">
        <f t="shared" si="14"/>
        <v>3.0752070795263089</v>
      </c>
    </row>
    <row r="146" spans="1:14" x14ac:dyDescent="0.2">
      <c r="A146" s="33">
        <f>'GF + UG Iteration 2'!A146</f>
        <v>170</v>
      </c>
      <c r="B146" s="34" t="str">
        <f>'GF + UG Iteration 2'!B146</f>
        <v>UG</v>
      </c>
      <c r="C146" s="35">
        <f>'GF + UG Iteration 2'!C146</f>
        <v>5.4</v>
      </c>
      <c r="D146" s="36">
        <f>'GF + UG Iteration 2'!P$16*(C146^'GF + UG Iteration 2'!P$15)</f>
        <v>6.7722830220489776</v>
      </c>
      <c r="E146" s="37" t="str">
        <f>'GF + UG Iteration 2'!E146</f>
        <v>unknown</v>
      </c>
      <c r="F146" s="35">
        <f>'GF + UG Iteration 2'!F146</f>
        <v>10.6</v>
      </c>
      <c r="G146" s="36">
        <f>'GF + UG Iteration 2'!G146</f>
        <v>5.2097107088088661</v>
      </c>
      <c r="H146" s="38">
        <f>'GF + UG Iteration 2'!H146</f>
        <v>2001</v>
      </c>
      <c r="I146" s="35">
        <f t="shared" si="10"/>
        <v>16</v>
      </c>
      <c r="J146" s="36">
        <f t="shared" si="11"/>
        <v>11.981993730857845</v>
      </c>
      <c r="K146" s="38">
        <f t="shared" si="12"/>
        <v>2001</v>
      </c>
      <c r="M146" s="21">
        <f t="shared" si="13"/>
        <v>2.7725887222397811</v>
      </c>
      <c r="N146" s="21">
        <f t="shared" si="14"/>
        <v>2.4834050004482635</v>
      </c>
    </row>
    <row r="147" spans="1:14" x14ac:dyDescent="0.2">
      <c r="A147" s="33">
        <f>'GF + UG Iteration 2'!A147</f>
        <v>1350</v>
      </c>
      <c r="B147" s="34" t="str">
        <f>'GF + UG Iteration 2'!B147</f>
        <v>UG</v>
      </c>
      <c r="C147" s="35">
        <f>'GF + UG Iteration 2'!C147</f>
        <v>16</v>
      </c>
      <c r="D147" s="36">
        <f>'GF + UG Iteration 2'!P$16*(C147^'GF + UG Iteration 2'!P$15)</f>
        <v>12.403236646246079</v>
      </c>
      <c r="E147" s="37">
        <f>'GF + UG Iteration 2'!E147</f>
        <v>0</v>
      </c>
      <c r="F147" s="35">
        <f>'GF + UG Iteration 2'!F147</f>
        <v>20</v>
      </c>
      <c r="G147" s="36">
        <f>'GF + UG Iteration 2'!G147</f>
        <v>6.5300342953877131</v>
      </c>
      <c r="H147" s="38">
        <f>'GF + UG Iteration 2'!H147</f>
        <v>2013</v>
      </c>
      <c r="I147" s="35">
        <f t="shared" si="10"/>
        <v>36</v>
      </c>
      <c r="J147" s="36">
        <f t="shared" si="11"/>
        <v>18.933270941633793</v>
      </c>
      <c r="K147" s="38">
        <f t="shared" si="12"/>
        <v>2013</v>
      </c>
      <c r="M147" s="21">
        <f t="shared" si="13"/>
        <v>3.5835189384561099</v>
      </c>
      <c r="N147" s="21">
        <f t="shared" si="14"/>
        <v>2.9409207417173229</v>
      </c>
    </row>
    <row r="148" spans="1:14" x14ac:dyDescent="0.2">
      <c r="A148" s="33">
        <f>'GF + UG Iteration 2'!A148</f>
        <v>658</v>
      </c>
      <c r="B148" s="34" t="str">
        <f>'GF + UG Iteration 2'!B148</f>
        <v>UG</v>
      </c>
      <c r="C148" s="35">
        <f>'GF + UG Iteration 2'!C148</f>
        <v>1.6</v>
      </c>
      <c r="D148" s="36">
        <f>'GF + UG Iteration 2'!P$16*(C148^'GF + UG Iteration 2'!P$15)</f>
        <v>3.4390015900961655</v>
      </c>
      <c r="E148" s="37">
        <f>'GF + UG Iteration 2'!E148</f>
        <v>1996</v>
      </c>
      <c r="F148" s="35">
        <f>'GF + UG Iteration 2'!F148</f>
        <v>13.200000000000001</v>
      </c>
      <c r="G148" s="36">
        <f>'GF + UG Iteration 2'!G148</f>
        <v>7.1146692323992218</v>
      </c>
      <c r="H148" s="38">
        <f>'GF + UG Iteration 2'!H148</f>
        <v>2008</v>
      </c>
      <c r="I148" s="35">
        <f t="shared" si="10"/>
        <v>14.8</v>
      </c>
      <c r="J148" s="36">
        <f t="shared" si="11"/>
        <v>10.553670822495388</v>
      </c>
      <c r="K148" s="38">
        <f t="shared" si="12"/>
        <v>2008</v>
      </c>
      <c r="M148" s="21">
        <f t="shared" si="13"/>
        <v>2.6946271807700692</v>
      </c>
      <c r="N148" s="21">
        <f t="shared" si="14"/>
        <v>2.3564737446633877</v>
      </c>
    </row>
    <row r="149" spans="1:14" x14ac:dyDescent="0.2">
      <c r="A149" s="33">
        <f>'GF + UG Iteration 2'!A149</f>
        <v>897</v>
      </c>
      <c r="B149" s="34" t="str">
        <f>'GF + UG Iteration 2'!B149</f>
        <v>UG</v>
      </c>
      <c r="C149" s="35">
        <f>'GF + UG Iteration 2'!C149</f>
        <v>14.8</v>
      </c>
      <c r="D149" s="36">
        <f>'GF + UG Iteration 2'!P$16*(C149^'GF + UG Iteration 2'!P$15)</f>
        <v>11.876063179369652</v>
      </c>
      <c r="E149" s="37">
        <f>'GF + UG Iteration 2'!E149</f>
        <v>1996</v>
      </c>
      <c r="F149" s="35">
        <f>'GF + UG Iteration 2'!F149</f>
        <v>3</v>
      </c>
      <c r="G149" s="36">
        <f>'GF + UG Iteration 2'!G149</f>
        <v>6.2372112776035529</v>
      </c>
      <c r="H149" s="38">
        <f>'GF + UG Iteration 2'!H149</f>
        <v>2010</v>
      </c>
      <c r="I149" s="35">
        <f t="shared" si="10"/>
        <v>17.8</v>
      </c>
      <c r="J149" s="36">
        <f t="shared" si="11"/>
        <v>18.113274456973205</v>
      </c>
      <c r="K149" s="38">
        <f t="shared" si="12"/>
        <v>2010</v>
      </c>
      <c r="M149" s="21">
        <f t="shared" si="13"/>
        <v>2.8791984572980396</v>
      </c>
      <c r="N149" s="21">
        <f t="shared" si="14"/>
        <v>2.8966450648816662</v>
      </c>
    </row>
    <row r="150" spans="1:14" x14ac:dyDescent="0.2">
      <c r="A150" s="33">
        <f>'GF + UG Iteration 2'!A150</f>
        <v>483</v>
      </c>
      <c r="B150" s="34" t="str">
        <f>'GF + UG Iteration 2'!B150</f>
        <v>UG</v>
      </c>
      <c r="C150" s="35">
        <f>'GF + UG Iteration 2'!C150</f>
        <v>20.7</v>
      </c>
      <c r="D150" s="36">
        <f>'GF + UG Iteration 2'!P$16*(C150^'GF + UG Iteration 2'!P$15)</f>
        <v>14.316839745250817</v>
      </c>
      <c r="E150" s="37">
        <f>'GF + UG Iteration 2'!E150</f>
        <v>1986</v>
      </c>
      <c r="F150" s="35">
        <f>'GF + UG Iteration 2'!F150</f>
        <v>18.099999999999998</v>
      </c>
      <c r="G150" s="36">
        <f>'GF + UG Iteration 2'!G150</f>
        <v>3.6200694377675466</v>
      </c>
      <c r="H150" s="38">
        <f>'GF + UG Iteration 2'!H150</f>
        <v>2005</v>
      </c>
      <c r="I150" s="35">
        <f t="shared" si="10"/>
        <v>38.799999999999997</v>
      </c>
      <c r="J150" s="36">
        <f t="shared" si="11"/>
        <v>17.936909183018365</v>
      </c>
      <c r="K150" s="38">
        <f t="shared" si="12"/>
        <v>2005</v>
      </c>
      <c r="M150" s="21">
        <f t="shared" si="13"/>
        <v>3.6584202466292277</v>
      </c>
      <c r="N150" s="21">
        <f t="shared" si="14"/>
        <v>2.8868605554453102</v>
      </c>
    </row>
    <row r="151" spans="1:14" x14ac:dyDescent="0.2">
      <c r="A151" s="33">
        <f>'GF + UG Iteration 2'!A151</f>
        <v>1494</v>
      </c>
      <c r="B151" s="34" t="str">
        <f>'GF + UG Iteration 2'!B151</f>
        <v>UG</v>
      </c>
      <c r="C151" s="35">
        <f>'GF + UG Iteration 2'!C151</f>
        <v>13.3</v>
      </c>
      <c r="D151" s="36">
        <f>'GF + UG Iteration 2'!P$16*(C151^'GF + UG Iteration 2'!P$15)</f>
        <v>11.189671159486469</v>
      </c>
      <c r="E151" s="37">
        <f>'GF + UG Iteration 2'!E151</f>
        <v>0</v>
      </c>
      <c r="F151" s="35">
        <f>'GF + UG Iteration 2'!F151</f>
        <v>6</v>
      </c>
      <c r="G151" s="36">
        <f>'GF + UG Iteration 2'!G151</f>
        <v>6.4297485673579153</v>
      </c>
      <c r="H151" s="38">
        <f>'GF + UG Iteration 2'!H151</f>
        <v>2014</v>
      </c>
      <c r="I151" s="35">
        <f t="shared" si="10"/>
        <v>19.3</v>
      </c>
      <c r="J151" s="36">
        <f t="shared" si="11"/>
        <v>17.619419726844384</v>
      </c>
      <c r="K151" s="38">
        <f t="shared" si="12"/>
        <v>2014</v>
      </c>
      <c r="M151" s="21">
        <f t="shared" si="13"/>
        <v>2.9601050959108397</v>
      </c>
      <c r="N151" s="21">
        <f t="shared" si="14"/>
        <v>2.8690016873235393</v>
      </c>
    </row>
    <row r="152" spans="1:14" x14ac:dyDescent="0.2">
      <c r="A152" s="33">
        <f>'GF + UG Iteration 2'!A152</f>
        <v>488</v>
      </c>
      <c r="B152" s="34" t="str">
        <f>'GF + UG Iteration 2'!B152</f>
        <v>UG</v>
      </c>
      <c r="C152" s="35">
        <f>'GF + UG Iteration 2'!C152</f>
        <v>41.3</v>
      </c>
      <c r="D152" s="36">
        <f>'GF + UG Iteration 2'!P$16*(C152^'GF + UG Iteration 2'!P$15)</f>
        <v>21.036169135172404</v>
      </c>
      <c r="E152" s="37">
        <f>'GF + UG Iteration 2'!E152</f>
        <v>1982</v>
      </c>
      <c r="F152" s="35">
        <f>'GF + UG Iteration 2'!F152</f>
        <v>24.200000000000003</v>
      </c>
      <c r="G152" s="36">
        <f>'GF + UG Iteration 2'!G152</f>
        <v>0.40462675342078769</v>
      </c>
      <c r="H152" s="38">
        <f>'GF + UG Iteration 2'!H152</f>
        <v>2006</v>
      </c>
      <c r="I152" s="35">
        <f t="shared" si="10"/>
        <v>65.5</v>
      </c>
      <c r="J152" s="36">
        <f t="shared" si="11"/>
        <v>21.440795888593193</v>
      </c>
      <c r="K152" s="38">
        <f t="shared" si="12"/>
        <v>2006</v>
      </c>
      <c r="M152" s="21">
        <f t="shared" si="13"/>
        <v>4.1820501426412067</v>
      </c>
      <c r="N152" s="21">
        <f t="shared" si="14"/>
        <v>3.0652954571830677</v>
      </c>
    </row>
    <row r="153" spans="1:14" x14ac:dyDescent="0.2">
      <c r="A153" s="33">
        <f>'GF + UG Iteration 2'!A153</f>
        <v>1692</v>
      </c>
      <c r="B153" s="34" t="str">
        <f>'GF + UG Iteration 2'!B153</f>
        <v>UG</v>
      </c>
      <c r="C153" s="35">
        <f>'GF + UG Iteration 2'!C153</f>
        <v>65.5</v>
      </c>
      <c r="D153" s="36">
        <f>'GF + UG Iteration 2'!P$16*(C153^'GF + UG Iteration 2'!P$15)</f>
        <v>27.198780978660437</v>
      </c>
      <c r="E153" s="37">
        <f>'GF + UG Iteration 2'!E153</f>
        <v>0</v>
      </c>
      <c r="F153" s="35">
        <f>'GF + UG Iteration 2'!F153</f>
        <v>0</v>
      </c>
      <c r="G153" s="36">
        <f>'GF + UG Iteration 2'!G153</f>
        <v>2.2188176481219593</v>
      </c>
      <c r="H153" s="38">
        <f>'GF + UG Iteration 2'!H153</f>
        <v>2016</v>
      </c>
      <c r="I153" s="35">
        <f t="shared" si="10"/>
        <v>65.5</v>
      </c>
      <c r="J153" s="36">
        <f t="shared" si="11"/>
        <v>29.417598626782397</v>
      </c>
      <c r="K153" s="38">
        <f t="shared" si="12"/>
        <v>2016</v>
      </c>
      <c r="M153" s="21">
        <f t="shared" si="13"/>
        <v>4.1820501426412067</v>
      </c>
      <c r="N153" s="21">
        <f t="shared" si="14"/>
        <v>3.3815930880071603</v>
      </c>
    </row>
    <row r="154" spans="1:14" x14ac:dyDescent="0.2">
      <c r="A154" s="33">
        <f>'GF + UG Iteration 2'!A154</f>
        <v>318</v>
      </c>
      <c r="B154" s="34" t="str">
        <f>'GF + UG Iteration 2'!B154</f>
        <v>UG</v>
      </c>
      <c r="C154" s="35">
        <f>'GF + UG Iteration 2'!C154</f>
        <v>22.87</v>
      </c>
      <c r="D154" s="36">
        <f>'GF + UG Iteration 2'!P$16*(C154^'GF + UG Iteration 2'!P$15)</f>
        <v>15.134475667361338</v>
      </c>
      <c r="E154" s="37">
        <f>'GF + UG Iteration 2'!E154</f>
        <v>1996</v>
      </c>
      <c r="F154" s="35">
        <f>'GF + UG Iteration 2'!F154</f>
        <v>1</v>
      </c>
      <c r="G154" s="36">
        <f>'GF + UG Iteration 2'!G154</f>
        <v>0.76702040063252341</v>
      </c>
      <c r="H154" s="38">
        <f>'GF + UG Iteration 2'!H154</f>
        <v>2001</v>
      </c>
      <c r="I154" s="35">
        <f t="shared" si="10"/>
        <v>23.87</v>
      </c>
      <c r="J154" s="36">
        <f t="shared" si="11"/>
        <v>15.901496067993861</v>
      </c>
      <c r="K154" s="38">
        <f t="shared" si="12"/>
        <v>2001</v>
      </c>
      <c r="M154" s="21">
        <f t="shared" si="13"/>
        <v>3.1726224403507386</v>
      </c>
      <c r="N154" s="21">
        <f t="shared" si="14"/>
        <v>2.7664131971264383</v>
      </c>
    </row>
    <row r="155" spans="1:14" x14ac:dyDescent="0.2">
      <c r="A155" s="33">
        <f>'GF + UG Iteration 2'!A155</f>
        <v>806</v>
      </c>
      <c r="B155" s="34" t="str">
        <f>'GF + UG Iteration 2'!B155</f>
        <v>UG</v>
      </c>
      <c r="C155" s="35">
        <f>'GF + UG Iteration 2'!C155</f>
        <v>23.867000000000001</v>
      </c>
      <c r="D155" s="36">
        <f>'GF + UG Iteration 2'!P$16*(C155^'GF + UG Iteration 2'!P$15)</f>
        <v>15.498562577021861</v>
      </c>
      <c r="E155" s="37">
        <f>'GF + UG Iteration 2'!E155</f>
        <v>1996</v>
      </c>
      <c r="F155" s="35">
        <f>'GF + UG Iteration 2'!F155</f>
        <v>5.4329999999999998</v>
      </c>
      <c r="G155" s="36">
        <f>'GF + UG Iteration 2'!G155</f>
        <v>0.68947713107767894</v>
      </c>
      <c r="H155" s="38">
        <f>'GF + UG Iteration 2'!H155</f>
        <v>2008</v>
      </c>
      <c r="I155" s="35">
        <f t="shared" si="10"/>
        <v>29.3</v>
      </c>
      <c r="J155" s="36">
        <f t="shared" si="11"/>
        <v>16.188039708099542</v>
      </c>
      <c r="K155" s="38">
        <f t="shared" si="12"/>
        <v>2008</v>
      </c>
      <c r="M155" s="21">
        <f t="shared" si="13"/>
        <v>3.3775875160230218</v>
      </c>
      <c r="N155" s="21">
        <f t="shared" si="14"/>
        <v>2.7842726799448547</v>
      </c>
    </row>
    <row r="156" spans="1:14" x14ac:dyDescent="0.2">
      <c r="A156" s="33">
        <f>'GF + UG Iteration 2'!A156</f>
        <v>1495</v>
      </c>
      <c r="B156" s="34" t="str">
        <f>'GF + UG Iteration 2'!B156</f>
        <v>UG</v>
      </c>
      <c r="C156" s="35">
        <f>'GF + UG Iteration 2'!C156</f>
        <v>29.3</v>
      </c>
      <c r="D156" s="36">
        <f>'GF + UG Iteration 2'!P$16*(C156^'GF + UG Iteration 2'!P$15)</f>
        <v>17.374504822592691</v>
      </c>
      <c r="E156" s="37">
        <f>'GF + UG Iteration 2'!E156</f>
        <v>1996</v>
      </c>
      <c r="F156" s="35">
        <f>'GF + UG Iteration 2'!F156</f>
        <v>0</v>
      </c>
      <c r="G156" s="36">
        <f>'GF + UG Iteration 2'!G156</f>
        <v>5.142810508174632</v>
      </c>
      <c r="H156" s="38">
        <f>'GF + UG Iteration 2'!H156</f>
        <v>2014</v>
      </c>
      <c r="I156" s="35">
        <f t="shared" si="10"/>
        <v>29.3</v>
      </c>
      <c r="J156" s="36">
        <f t="shared" si="11"/>
        <v>22.517315330767325</v>
      </c>
      <c r="K156" s="38">
        <f t="shared" si="12"/>
        <v>2014</v>
      </c>
      <c r="M156" s="21">
        <f t="shared" si="13"/>
        <v>3.3775875160230218</v>
      </c>
      <c r="N156" s="21">
        <f t="shared" si="14"/>
        <v>3.1142845834993458</v>
      </c>
    </row>
    <row r="157" spans="1:14" x14ac:dyDescent="0.2">
      <c r="A157" s="33">
        <f>'GF + UG Iteration 2'!A157</f>
        <v>1386</v>
      </c>
      <c r="B157" s="34" t="str">
        <f>'GF + UG Iteration 2'!B157</f>
        <v>UG</v>
      </c>
      <c r="C157" s="35">
        <f>'GF + UG Iteration 2'!C157</f>
        <v>32.700000000000003</v>
      </c>
      <c r="D157" s="36">
        <f>'GF + UG Iteration 2'!P$16*(C157^'GF + UG Iteration 2'!P$15)</f>
        <v>18.470351661605935</v>
      </c>
      <c r="E157" s="37">
        <f>'GF + UG Iteration 2'!E157</f>
        <v>0</v>
      </c>
      <c r="F157" s="35">
        <f>'GF + UG Iteration 2'!F157</f>
        <v>13.5</v>
      </c>
      <c r="G157" s="36">
        <f>'GF + UG Iteration 2'!G157</f>
        <v>0.85934464632152285</v>
      </c>
      <c r="H157" s="38">
        <f>'GF + UG Iteration 2'!H157</f>
        <v>2013</v>
      </c>
      <c r="I157" s="35">
        <f t="shared" si="10"/>
        <v>46.2</v>
      </c>
      <c r="J157" s="36">
        <f t="shared" si="11"/>
        <v>19.32969630792746</v>
      </c>
      <c r="K157" s="38">
        <f t="shared" si="12"/>
        <v>2013</v>
      </c>
      <c r="M157" s="21">
        <f t="shared" si="13"/>
        <v>3.8329797980876932</v>
      </c>
      <c r="N157" s="21">
        <f t="shared" si="14"/>
        <v>2.9616425821773937</v>
      </c>
    </row>
    <row r="158" spans="1:14" x14ac:dyDescent="0.2">
      <c r="A158" s="33">
        <f>'GF + UG Iteration 2'!A158</f>
        <v>928</v>
      </c>
      <c r="B158" s="34" t="str">
        <f>'GF + UG Iteration 2'!B158</f>
        <v>UG</v>
      </c>
      <c r="C158" s="35">
        <f>'GF + UG Iteration 2'!C158</f>
        <v>18.02</v>
      </c>
      <c r="D158" s="36">
        <f>'GF + UG Iteration 2'!P$16*(C158^'GF + UG Iteration 2'!P$15)</f>
        <v>13.252594696226842</v>
      </c>
      <c r="E158" s="37">
        <f>'GF + UG Iteration 2'!E158</f>
        <v>1992</v>
      </c>
      <c r="F158" s="35">
        <f>'GF + UG Iteration 2'!F158</f>
        <v>3.4800000000000004</v>
      </c>
      <c r="G158" s="36">
        <f>'GF + UG Iteration 2'!G158</f>
        <v>10.364367944955573</v>
      </c>
      <c r="H158" s="38">
        <f>'GF + UG Iteration 2'!H158</f>
        <v>2010</v>
      </c>
      <c r="I158" s="35">
        <f t="shared" si="10"/>
        <v>21.5</v>
      </c>
      <c r="J158" s="36">
        <f t="shared" si="11"/>
        <v>23.616962641182415</v>
      </c>
      <c r="K158" s="38">
        <f t="shared" si="12"/>
        <v>2010</v>
      </c>
      <c r="M158" s="21">
        <f t="shared" si="13"/>
        <v>3.068052935133617</v>
      </c>
      <c r="N158" s="21">
        <f t="shared" si="14"/>
        <v>3.1619652098324944</v>
      </c>
    </row>
    <row r="159" spans="1:14" x14ac:dyDescent="0.2">
      <c r="A159" s="33">
        <f>'GF + UG Iteration 2'!A159</f>
        <v>1450</v>
      </c>
      <c r="B159" s="34" t="str">
        <f>'GF + UG Iteration 2'!B159</f>
        <v>UG</v>
      </c>
      <c r="C159" s="35">
        <f>'GF + UG Iteration 2'!C159</f>
        <v>21.5</v>
      </c>
      <c r="D159" s="36">
        <f>'GF + UG Iteration 2'!P$16*(C159^'GF + UG Iteration 2'!P$15)</f>
        <v>14.622498786501462</v>
      </c>
      <c r="E159" s="37">
        <f>'GF + UG Iteration 2'!E159</f>
        <v>1992</v>
      </c>
      <c r="F159" s="35">
        <f>'GF + UG Iteration 2'!F159</f>
        <v>16.299999999999997</v>
      </c>
      <c r="G159" s="36">
        <f>'GF + UG Iteration 2'!G159</f>
        <v>5.1529943993409928</v>
      </c>
      <c r="H159" s="38">
        <f>'GF + UG Iteration 2'!H159</f>
        <v>2014</v>
      </c>
      <c r="I159" s="35">
        <f t="shared" si="10"/>
        <v>37.799999999999997</v>
      </c>
      <c r="J159" s="36">
        <f t="shared" si="11"/>
        <v>19.775493185842453</v>
      </c>
      <c r="K159" s="38">
        <f t="shared" si="12"/>
        <v>2014</v>
      </c>
      <c r="M159" s="21">
        <f t="shared" si="13"/>
        <v>3.6323091026255421</v>
      </c>
      <c r="N159" s="21">
        <f t="shared" si="14"/>
        <v>2.984443453208335</v>
      </c>
    </row>
    <row r="160" spans="1:14" x14ac:dyDescent="0.2">
      <c r="A160" s="33">
        <f>'GF + UG Iteration 2'!A160</f>
        <v>170</v>
      </c>
      <c r="B160" s="34" t="str">
        <f>'GF + UG Iteration 2'!B160</f>
        <v>UG</v>
      </c>
      <c r="C160" s="35">
        <f>'GF + UG Iteration 2'!C160</f>
        <v>17.7</v>
      </c>
      <c r="D160" s="36">
        <f>'GF + UG Iteration 2'!P$16*(C160^'GF + UG Iteration 2'!P$15)</f>
        <v>13.120966013352302</v>
      </c>
      <c r="E160" s="37" t="str">
        <f>'GF + UG Iteration 2'!E160</f>
        <v>unknown</v>
      </c>
      <c r="F160" s="35">
        <f>'GF + UG Iteration 2'!F160</f>
        <v>8.8000000000000007</v>
      </c>
      <c r="G160" s="36">
        <f>'GF + UG Iteration 2'!G160</f>
        <v>1.1342290648673055</v>
      </c>
      <c r="H160" s="38">
        <f>'GF + UG Iteration 2'!H160</f>
        <v>2001</v>
      </c>
      <c r="I160" s="35">
        <f t="shared" si="10"/>
        <v>26.5</v>
      </c>
      <c r="J160" s="36">
        <f t="shared" si="11"/>
        <v>14.255195078219607</v>
      </c>
      <c r="K160" s="38">
        <f t="shared" si="12"/>
        <v>2001</v>
      </c>
      <c r="M160" s="21">
        <f t="shared" si="13"/>
        <v>3.2771447329921766</v>
      </c>
      <c r="N160" s="21">
        <f t="shared" si="14"/>
        <v>2.6571214071689009</v>
      </c>
    </row>
    <row r="161" spans="1:14" x14ac:dyDescent="0.2">
      <c r="A161" s="33">
        <f>'GF + UG Iteration 2'!A161</f>
        <v>649</v>
      </c>
      <c r="B161" s="34" t="str">
        <f>'GF + UG Iteration 2'!B161</f>
        <v>UG</v>
      </c>
      <c r="C161" s="35">
        <f>'GF + UG Iteration 2'!C161</f>
        <v>26.5</v>
      </c>
      <c r="D161" s="36">
        <f>'GF + UG Iteration 2'!P$16*(C161^'GF + UG Iteration 2'!P$15)</f>
        <v>16.428981678018431</v>
      </c>
      <c r="E161" s="37">
        <f>'GF + UG Iteration 2'!E161</f>
        <v>1997</v>
      </c>
      <c r="F161" s="35">
        <f>'GF + UG Iteration 2'!F161</f>
        <v>33.799999999999997</v>
      </c>
      <c r="G161" s="36">
        <f>'GF + UG Iteration 2'!G161</f>
        <v>5.0180795362586865</v>
      </c>
      <c r="H161" s="38">
        <f>'GF + UG Iteration 2'!H161</f>
        <v>2007</v>
      </c>
      <c r="I161" s="35">
        <f t="shared" si="10"/>
        <v>60.3</v>
      </c>
      <c r="J161" s="36">
        <f t="shared" si="11"/>
        <v>21.447061214277117</v>
      </c>
      <c r="K161" s="38">
        <f t="shared" si="12"/>
        <v>2007</v>
      </c>
      <c r="M161" s="21">
        <f t="shared" si="13"/>
        <v>4.0993321037331398</v>
      </c>
      <c r="N161" s="21">
        <f t="shared" si="14"/>
        <v>3.0655876296603948</v>
      </c>
    </row>
    <row r="162" spans="1:14" x14ac:dyDescent="0.2">
      <c r="A162" s="33">
        <f>'GF + UG Iteration 2'!A162</f>
        <v>1203</v>
      </c>
      <c r="B162" s="34" t="str">
        <f>'GF + UG Iteration 2'!B162</f>
        <v>UG</v>
      </c>
      <c r="C162" s="35">
        <f>'GF + UG Iteration 2'!C162</f>
        <v>20.5</v>
      </c>
      <c r="D162" s="36">
        <f>'GF + UG Iteration 2'!P$16*(C162^'GF + UG Iteration 2'!P$15)</f>
        <v>14.239611778788275</v>
      </c>
      <c r="E162" s="37">
        <f>'GF + UG Iteration 2'!E162</f>
        <v>1977</v>
      </c>
      <c r="F162" s="35">
        <f>'GF + UG Iteration 2'!F162</f>
        <v>4.1000000000000014</v>
      </c>
      <c r="G162" s="36">
        <f>'GF + UG Iteration 2'!G162</f>
        <v>12.443615523285567</v>
      </c>
      <c r="H162" s="38">
        <f>'GF + UG Iteration 2'!H162</f>
        <v>2012</v>
      </c>
      <c r="I162" s="35">
        <f t="shared" si="10"/>
        <v>24.6</v>
      </c>
      <c r="J162" s="36">
        <f t="shared" si="11"/>
        <v>26.683227302073842</v>
      </c>
      <c r="K162" s="38">
        <f t="shared" si="12"/>
        <v>2012</v>
      </c>
      <c r="M162" s="21">
        <f t="shared" si="13"/>
        <v>3.202746442938317</v>
      </c>
      <c r="N162" s="21">
        <f t="shared" si="14"/>
        <v>3.2840351770780432</v>
      </c>
    </row>
    <row r="163" spans="1:14" x14ac:dyDescent="0.2">
      <c r="A163" s="33">
        <f>'GF + UG Iteration 2'!A163</f>
        <v>170</v>
      </c>
      <c r="B163" s="34" t="str">
        <f>'GF + UG Iteration 2'!B163</f>
        <v>UG</v>
      </c>
      <c r="C163" s="35">
        <f>'GF + UG Iteration 2'!C163</f>
        <v>7.9</v>
      </c>
      <c r="D163" s="36">
        <f>'GF + UG Iteration 2'!P$16*(C163^'GF + UG Iteration 2'!P$15)</f>
        <v>8.3711866789245217</v>
      </c>
      <c r="E163" s="37">
        <f>'GF + UG Iteration 2'!E163</f>
        <v>1972</v>
      </c>
      <c r="F163" s="35">
        <f>'GF + UG Iteration 2'!F163</f>
        <v>6.1</v>
      </c>
      <c r="G163" s="36">
        <f>'GF + UG Iteration 2'!G163</f>
        <v>2.9004939377112939</v>
      </c>
      <c r="H163" s="38">
        <f>'GF + UG Iteration 2'!H163</f>
        <v>2001</v>
      </c>
      <c r="I163" s="35">
        <f t="shared" si="10"/>
        <v>14</v>
      </c>
      <c r="J163" s="36">
        <f t="shared" si="11"/>
        <v>11.271680616635816</v>
      </c>
      <c r="K163" s="38">
        <f t="shared" si="12"/>
        <v>2001</v>
      </c>
      <c r="M163" s="21">
        <f t="shared" si="13"/>
        <v>2.6390573296152584</v>
      </c>
      <c r="N163" s="21">
        <f t="shared" si="14"/>
        <v>2.4222934399717331</v>
      </c>
    </row>
    <row r="164" spans="1:14" x14ac:dyDescent="0.2">
      <c r="A164" s="33">
        <f>'GF + UG Iteration 2'!A164</f>
        <v>363</v>
      </c>
      <c r="B164" s="34" t="str">
        <f>'GF + UG Iteration 2'!B164</f>
        <v>UG</v>
      </c>
      <c r="C164" s="35">
        <f>'GF + UG Iteration 2'!C164</f>
        <v>21.225999999999999</v>
      </c>
      <c r="D164" s="36">
        <f>'GF + UG Iteration 2'!P$16*(C164^'GF + UG Iteration 2'!P$15)</f>
        <v>14.518386878338859</v>
      </c>
      <c r="E164" s="37">
        <f>'GF + UG Iteration 2'!E164</f>
        <v>1975</v>
      </c>
      <c r="F164" s="35">
        <f>'GF + UG Iteration 2'!F164</f>
        <v>4.1999999999999993</v>
      </c>
      <c r="G164" s="36">
        <f>'GF + UG Iteration 2'!G164</f>
        <v>0.82194253395528394</v>
      </c>
      <c r="H164" s="38">
        <f>'GF + UG Iteration 2'!H164</f>
        <v>2004</v>
      </c>
      <c r="I164" s="35">
        <f t="shared" si="10"/>
        <v>25.425999999999998</v>
      </c>
      <c r="J164" s="36">
        <f t="shared" si="11"/>
        <v>15.340329412294142</v>
      </c>
      <c r="K164" s="38">
        <f t="shared" si="12"/>
        <v>2004</v>
      </c>
      <c r="M164" s="21">
        <f t="shared" si="13"/>
        <v>3.2357722725279308</v>
      </c>
      <c r="N164" s="21">
        <f t="shared" si="14"/>
        <v>2.7304852697824793</v>
      </c>
    </row>
    <row r="165" spans="1:14" x14ac:dyDescent="0.2">
      <c r="A165" s="33">
        <f>'GF + UG Iteration 2'!A165</f>
        <v>493</v>
      </c>
      <c r="B165" s="34" t="str">
        <f>'GF + UG Iteration 2'!B165</f>
        <v>UG</v>
      </c>
      <c r="C165" s="35">
        <f>'GF + UG Iteration 2'!C165</f>
        <v>25.4</v>
      </c>
      <c r="D165" s="36">
        <f>'GF + UG Iteration 2'!P$16*(C165^'GF + UG Iteration 2'!P$15)</f>
        <v>16.045497366669192</v>
      </c>
      <c r="E165" s="37">
        <f>'GF + UG Iteration 2'!E165</f>
        <v>1975</v>
      </c>
      <c r="F165" s="35">
        <f>'GF + UG Iteration 2'!F165</f>
        <v>3.3000000000000007</v>
      </c>
      <c r="G165" s="36">
        <f>'GF + UG Iteration 2'!G165</f>
        <v>3.4002692913337142</v>
      </c>
      <c r="H165" s="38">
        <f>'GF + UG Iteration 2'!H165</f>
        <v>2006</v>
      </c>
      <c r="I165" s="35">
        <f t="shared" si="10"/>
        <v>28.7</v>
      </c>
      <c r="J165" s="36">
        <f t="shared" si="11"/>
        <v>19.445766658002906</v>
      </c>
      <c r="K165" s="38">
        <f t="shared" si="12"/>
        <v>2006</v>
      </c>
      <c r="M165" s="21">
        <f t="shared" si="13"/>
        <v>3.3568971227655755</v>
      </c>
      <c r="N165" s="21">
        <f t="shared" si="14"/>
        <v>2.9676293938298648</v>
      </c>
    </row>
    <row r="166" spans="1:14" x14ac:dyDescent="0.2">
      <c r="A166" s="33">
        <f>'GF + UG Iteration 2'!A166</f>
        <v>685</v>
      </c>
      <c r="B166" s="34" t="str">
        <f>'GF + UG Iteration 2'!B166</f>
        <v>UG</v>
      </c>
      <c r="C166" s="35">
        <f>'GF + UG Iteration 2'!C166</f>
        <v>28.7</v>
      </c>
      <c r="D166" s="36">
        <f>'GF + UG Iteration 2'!P$16*(C166^'GF + UG Iteration 2'!P$15)</f>
        <v>17.175384390027236</v>
      </c>
      <c r="E166" s="37">
        <f>'GF + UG Iteration 2'!E166</f>
        <v>1975</v>
      </c>
      <c r="F166" s="35">
        <f>'GF + UG Iteration 2'!F166</f>
        <v>4.1999999999999993</v>
      </c>
      <c r="G166" s="36">
        <f>'GF + UG Iteration 2'!G166</f>
        <v>0.94606982488538283</v>
      </c>
      <c r="H166" s="38">
        <f>'GF + UG Iteration 2'!H166</f>
        <v>2007</v>
      </c>
      <c r="I166" s="35">
        <f t="shared" si="10"/>
        <v>32.9</v>
      </c>
      <c r="J166" s="36">
        <f t="shared" si="11"/>
        <v>18.121454214912621</v>
      </c>
      <c r="K166" s="38">
        <f t="shared" si="12"/>
        <v>2007</v>
      </c>
      <c r="M166" s="21">
        <f t="shared" si="13"/>
        <v>3.493472657771326</v>
      </c>
      <c r="N166" s="21">
        <f t="shared" si="14"/>
        <v>2.897096552080725</v>
      </c>
    </row>
    <row r="167" spans="1:14" x14ac:dyDescent="0.2">
      <c r="A167" s="33">
        <f>'GF + UG Iteration 2'!A167</f>
        <v>1574</v>
      </c>
      <c r="B167" s="34" t="str">
        <f>'GF + UG Iteration 2'!B167</f>
        <v>UG</v>
      </c>
      <c r="C167" s="35">
        <f>'GF + UG Iteration 2'!C167</f>
        <v>28</v>
      </c>
      <c r="D167" s="36">
        <f>'GF + UG Iteration 2'!P$16*(C167^'GF + UG Iteration 2'!P$15)</f>
        <v>16.940731983600163</v>
      </c>
      <c r="E167" s="37">
        <f>'GF + UG Iteration 2'!E167</f>
        <v>2013</v>
      </c>
      <c r="F167" s="35">
        <f>'GF + UG Iteration 2'!F167</f>
        <v>0</v>
      </c>
      <c r="G167" s="36">
        <f>'GF + UG Iteration 2'!G167</f>
        <v>6.2662260340537754</v>
      </c>
      <c r="H167" s="38">
        <f>'GF + UG Iteration 2'!H167</f>
        <v>2015</v>
      </c>
      <c r="I167" s="35">
        <f t="shared" si="10"/>
        <v>28</v>
      </c>
      <c r="J167" s="36">
        <f t="shared" si="11"/>
        <v>23.206958017653939</v>
      </c>
      <c r="K167" s="38">
        <f t="shared" si="12"/>
        <v>2015</v>
      </c>
      <c r="M167" s="21">
        <f t="shared" si="13"/>
        <v>3.3322045101752038</v>
      </c>
      <c r="N167" s="21">
        <f t="shared" si="14"/>
        <v>3.144452148260934</v>
      </c>
    </row>
    <row r="168" spans="1:14" x14ac:dyDescent="0.2">
      <c r="A168" s="33">
        <f>'GF + UG Iteration 2'!A168</f>
        <v>435</v>
      </c>
      <c r="B168" s="34" t="str">
        <f>'GF + UG Iteration 2'!B168</f>
        <v>UG</v>
      </c>
      <c r="C168" s="35">
        <f>'GF + UG Iteration 2'!C168</f>
        <v>10.6</v>
      </c>
      <c r="D168" s="36">
        <f>'GF + UG Iteration 2'!P$16*(C168^'GF + UG Iteration 2'!P$15)</f>
        <v>9.860914894976716</v>
      </c>
      <c r="E168" s="37">
        <f>'GF + UG Iteration 2'!E168</f>
        <v>1990</v>
      </c>
      <c r="F168" s="35">
        <f>'GF + UG Iteration 2'!F168</f>
        <v>8.4</v>
      </c>
      <c r="G168" s="36">
        <f>'GF + UG Iteration 2'!G168</f>
        <v>3.0773639102073269</v>
      </c>
      <c r="H168" s="38">
        <f>'GF + UG Iteration 2'!H168</f>
        <v>2004</v>
      </c>
      <c r="I168" s="35">
        <f t="shared" si="10"/>
        <v>19</v>
      </c>
      <c r="J168" s="36">
        <f t="shared" si="11"/>
        <v>12.938278805184042</v>
      </c>
      <c r="K168" s="38">
        <f t="shared" si="12"/>
        <v>2004</v>
      </c>
      <c r="M168" s="21">
        <f t="shared" si="13"/>
        <v>2.9444389791664403</v>
      </c>
      <c r="N168" s="21">
        <f t="shared" si="14"/>
        <v>2.5601902667159391</v>
      </c>
    </row>
    <row r="169" spans="1:14" x14ac:dyDescent="0.2">
      <c r="A169" s="33">
        <f>'GF + UG Iteration 2'!A169</f>
        <v>652</v>
      </c>
      <c r="B169" s="34" t="str">
        <f>'GF + UG Iteration 2'!B169</f>
        <v>UG</v>
      </c>
      <c r="C169" s="35">
        <f>'GF + UG Iteration 2'!C169</f>
        <v>10.195</v>
      </c>
      <c r="D169" s="36">
        <f>'GF + UG Iteration 2'!P$16*(C169^'GF + UG Iteration 2'!P$15)</f>
        <v>9.6492107963680613</v>
      </c>
      <c r="E169" s="37">
        <f>'GF + UG Iteration 2'!E169</f>
        <v>1986</v>
      </c>
      <c r="F169" s="35">
        <f>'GF + UG Iteration 2'!F169</f>
        <v>3.4049999999999994</v>
      </c>
      <c r="G169" s="36">
        <f>'GF + UG Iteration 2'!G169</f>
        <v>4.380227937072533</v>
      </c>
      <c r="H169" s="38">
        <f>'GF + UG Iteration 2'!H169</f>
        <v>2007</v>
      </c>
      <c r="I169" s="35">
        <f t="shared" si="10"/>
        <v>13.6</v>
      </c>
      <c r="J169" s="36">
        <f t="shared" si="11"/>
        <v>14.029438733440594</v>
      </c>
      <c r="K169" s="38">
        <f t="shared" si="12"/>
        <v>2007</v>
      </c>
      <c r="M169" s="21">
        <f t="shared" si="13"/>
        <v>2.6100697927420065</v>
      </c>
      <c r="N169" s="21">
        <f t="shared" si="14"/>
        <v>2.6411578885700813</v>
      </c>
    </row>
    <row r="170" spans="1:14" x14ac:dyDescent="0.2">
      <c r="A170" s="33">
        <f>'GF + UG Iteration 2'!A170</f>
        <v>366</v>
      </c>
      <c r="B170" s="34" t="str">
        <f>'GF + UG Iteration 2'!B170</f>
        <v>UG</v>
      </c>
      <c r="C170" s="35">
        <f>'GF + UG Iteration 2'!C170</f>
        <v>11.1</v>
      </c>
      <c r="D170" s="36">
        <f>'GF + UG Iteration 2'!P$16*(C170^'GF + UG Iteration 2'!P$15)</f>
        <v>10.117397137829851</v>
      </c>
      <c r="E170" s="37">
        <f>'GF + UG Iteration 2'!E170</f>
        <v>1981</v>
      </c>
      <c r="F170" s="35">
        <f>'GF + UG Iteration 2'!F170</f>
        <v>4.8000000000000007</v>
      </c>
      <c r="G170" s="36">
        <f>'GF + UG Iteration 2'!G170</f>
        <v>0.60207988766843201</v>
      </c>
      <c r="H170" s="38">
        <f>'GF + UG Iteration 2'!H170</f>
        <v>2003</v>
      </c>
      <c r="I170" s="35">
        <f t="shared" si="10"/>
        <v>15.9</v>
      </c>
      <c r="J170" s="36">
        <f t="shared" si="11"/>
        <v>10.719477025498284</v>
      </c>
      <c r="K170" s="38">
        <f t="shared" si="12"/>
        <v>2003</v>
      </c>
      <c r="M170" s="21">
        <f t="shared" si="13"/>
        <v>2.7663191092261861</v>
      </c>
      <c r="N170" s="21">
        <f t="shared" si="14"/>
        <v>2.3720623695177707</v>
      </c>
    </row>
    <row r="171" spans="1:14" x14ac:dyDescent="0.2">
      <c r="A171" s="33">
        <f>'GF + UG Iteration 2'!A171</f>
        <v>1640</v>
      </c>
      <c r="B171" s="34" t="str">
        <f>'GF + UG Iteration 2'!B171</f>
        <v>UG</v>
      </c>
      <c r="C171" s="35">
        <f>'GF + UG Iteration 2'!C171</f>
        <v>15.9</v>
      </c>
      <c r="D171" s="36">
        <f>'GF + UG Iteration 2'!P$16*(C171^'GF + UG Iteration 2'!P$15)</f>
        <v>12.359989967832876</v>
      </c>
      <c r="E171" s="37">
        <f>'GF + UG Iteration 2'!E171</f>
        <v>1981</v>
      </c>
      <c r="F171" s="35">
        <f>'GF + UG Iteration 2'!F171</f>
        <v>2.4999999999999982</v>
      </c>
      <c r="G171" s="36">
        <f>'GF + UG Iteration 2'!G171</f>
        <v>8.3244002844443177</v>
      </c>
      <c r="H171" s="38">
        <f>'GF + UG Iteration 2'!H171</f>
        <v>2015</v>
      </c>
      <c r="I171" s="35">
        <f t="shared" si="10"/>
        <v>18.399999999999999</v>
      </c>
      <c r="J171" s="36">
        <f t="shared" si="11"/>
        <v>20.684390252277193</v>
      </c>
      <c r="K171" s="38">
        <f t="shared" si="12"/>
        <v>2015</v>
      </c>
      <c r="M171" s="21">
        <f t="shared" si="13"/>
        <v>2.91235066461494</v>
      </c>
      <c r="N171" s="21">
        <f t="shared" si="14"/>
        <v>3.0293793217064624</v>
      </c>
    </row>
    <row r="172" spans="1:14" x14ac:dyDescent="0.2">
      <c r="A172" s="33">
        <f>'GF + UG Iteration 2'!A172</f>
        <v>367</v>
      </c>
      <c r="B172" s="34" t="str">
        <f>'GF + UG Iteration 2'!B172</f>
        <v>UG</v>
      </c>
      <c r="C172" s="35">
        <f>'GF + UG Iteration 2'!C172</f>
        <v>11.211</v>
      </c>
      <c r="D172" s="36">
        <f>'GF + UG Iteration 2'!P$16*(C172^'GF + UG Iteration 2'!P$15)</f>
        <v>10.173637204444821</v>
      </c>
      <c r="E172" s="37">
        <f>'GF + UG Iteration 2'!E172</f>
        <v>1988</v>
      </c>
      <c r="F172" s="35">
        <f>'GF + UG Iteration 2'!F172</f>
        <v>1</v>
      </c>
      <c r="G172" s="36">
        <f>'GF + UG Iteration 2'!G172</f>
        <v>0.55588557988620213</v>
      </c>
      <c r="H172" s="38">
        <f>'GF + UG Iteration 2'!H172</f>
        <v>2004</v>
      </c>
      <c r="I172" s="35">
        <f t="shared" si="10"/>
        <v>12.211</v>
      </c>
      <c r="J172" s="36">
        <f t="shared" si="11"/>
        <v>10.729522784331024</v>
      </c>
      <c r="K172" s="38">
        <f t="shared" si="12"/>
        <v>2004</v>
      </c>
      <c r="M172" s="21">
        <f t="shared" si="13"/>
        <v>2.5023371848508846</v>
      </c>
      <c r="N172" s="21">
        <f t="shared" si="14"/>
        <v>2.3729990807543171</v>
      </c>
    </row>
    <row r="173" spans="1:14" x14ac:dyDescent="0.2">
      <c r="A173" s="33">
        <f>'GF + UG Iteration 2'!A173</f>
        <v>650</v>
      </c>
      <c r="B173" s="34" t="str">
        <f>'GF + UG Iteration 2'!B173</f>
        <v>UG</v>
      </c>
      <c r="C173" s="35">
        <f>'GF + UG Iteration 2'!C173</f>
        <v>23</v>
      </c>
      <c r="D173" s="36">
        <f>'GF + UG Iteration 2'!P$16*(C173^'GF + UG Iteration 2'!P$15)</f>
        <v>15.182342452397922</v>
      </c>
      <c r="E173" s="37">
        <f>'GF + UG Iteration 2'!E173</f>
        <v>1981</v>
      </c>
      <c r="F173" s="35">
        <f>'GF + UG Iteration 2'!F173</f>
        <v>0</v>
      </c>
      <c r="G173" s="36">
        <f>'GF + UG Iteration 2'!G173</f>
        <v>5.9476879309059552</v>
      </c>
      <c r="H173" s="38">
        <f>'GF + UG Iteration 2'!H173</f>
        <v>2007</v>
      </c>
      <c r="I173" s="35">
        <f t="shared" si="10"/>
        <v>23</v>
      </c>
      <c r="J173" s="36">
        <f t="shared" si="11"/>
        <v>21.130030383303875</v>
      </c>
      <c r="K173" s="38">
        <f t="shared" si="12"/>
        <v>2007</v>
      </c>
      <c r="M173" s="21">
        <f t="shared" si="13"/>
        <v>3.1354942159291497</v>
      </c>
      <c r="N173" s="21">
        <f t="shared" si="14"/>
        <v>3.0506952695495002</v>
      </c>
    </row>
    <row r="174" spans="1:14" x14ac:dyDescent="0.2">
      <c r="A174" s="33">
        <f>'GF + UG Iteration 2'!A174</f>
        <v>902</v>
      </c>
      <c r="B174" s="34" t="str">
        <f>'GF + UG Iteration 2'!B174</f>
        <v>UG</v>
      </c>
      <c r="C174" s="35">
        <f>'GF + UG Iteration 2'!C174</f>
        <v>19.2</v>
      </c>
      <c r="D174" s="36">
        <f>'GF + UG Iteration 2'!P$16*(C174^'GF + UG Iteration 2'!P$15)</f>
        <v>13.729259446568388</v>
      </c>
      <c r="E174" s="37">
        <f>'GF + UG Iteration 2'!E174</f>
        <v>2002</v>
      </c>
      <c r="F174" s="35">
        <f>'GF + UG Iteration 2'!F174</f>
        <v>13.500000000000004</v>
      </c>
      <c r="G174" s="36">
        <f>'GF + UG Iteration 2'!G174</f>
        <v>0.54699963688402187</v>
      </c>
      <c r="H174" s="38">
        <f>'GF + UG Iteration 2'!H174</f>
        <v>2009</v>
      </c>
      <c r="I174" s="35">
        <f t="shared" si="10"/>
        <v>32.700000000000003</v>
      </c>
      <c r="J174" s="36">
        <f t="shared" si="11"/>
        <v>14.276259083452411</v>
      </c>
      <c r="K174" s="38">
        <f t="shared" si="12"/>
        <v>2009</v>
      </c>
      <c r="M174" s="21">
        <f t="shared" si="13"/>
        <v>3.487375077903208</v>
      </c>
      <c r="N174" s="21">
        <f t="shared" si="14"/>
        <v>2.6585979536456703</v>
      </c>
    </row>
    <row r="175" spans="1:14" x14ac:dyDescent="0.2">
      <c r="A175" s="33">
        <f>'GF + UG Iteration 2'!A175</f>
        <v>1202</v>
      </c>
      <c r="B175" s="34" t="str">
        <f>'GF + UG Iteration 2'!B175</f>
        <v>UG</v>
      </c>
      <c r="C175" s="35">
        <f>'GF + UG Iteration 2'!C175</f>
        <v>19.399999999999999</v>
      </c>
      <c r="D175" s="36">
        <f>'GF + UG Iteration 2'!P$16*(C175^'GF + UG Iteration 2'!P$15)</f>
        <v>13.808749563480218</v>
      </c>
      <c r="E175" s="37">
        <f>'GF + UG Iteration 2'!E175</f>
        <v>1989</v>
      </c>
      <c r="F175" s="35">
        <f>'GF + UG Iteration 2'!F175</f>
        <v>1.6000000000000014</v>
      </c>
      <c r="G175" s="36">
        <f>'GF + UG Iteration 2'!G175</f>
        <v>10.745042225505973</v>
      </c>
      <c r="H175" s="38">
        <f>'GF + UG Iteration 2'!H175</f>
        <v>2012</v>
      </c>
      <c r="I175" s="35">
        <f t="shared" si="10"/>
        <v>21</v>
      </c>
      <c r="J175" s="36">
        <f t="shared" si="11"/>
        <v>24.553791788986189</v>
      </c>
      <c r="K175" s="38">
        <f t="shared" si="12"/>
        <v>2012</v>
      </c>
      <c r="M175" s="21">
        <f t="shared" si="13"/>
        <v>3.044522437723423</v>
      </c>
      <c r="N175" s="21">
        <f t="shared" si="14"/>
        <v>3.2008662940039603</v>
      </c>
    </row>
    <row r="176" spans="1:14" x14ac:dyDescent="0.2">
      <c r="A176" s="33">
        <f>'GF + UG Iteration 2'!A176</f>
        <v>1338</v>
      </c>
      <c r="B176" s="34" t="str">
        <f>'GF + UG Iteration 2'!B176</f>
        <v>UG</v>
      </c>
      <c r="C176" s="35">
        <f>'GF + UG Iteration 2'!C176</f>
        <v>7.5</v>
      </c>
      <c r="D176" s="36">
        <f>'GF + UG Iteration 2'!P$16*(C176^'GF + UG Iteration 2'!P$15)</f>
        <v>8.1323403143718185</v>
      </c>
      <c r="E176" s="37" t="str">
        <f>'GF + UG Iteration 2'!E176</f>
        <v>unknown</v>
      </c>
      <c r="F176" s="35">
        <f>'GF + UG Iteration 2'!F176</f>
        <v>2</v>
      </c>
      <c r="G176" s="36">
        <f>'GF + UG Iteration 2'!G176</f>
        <v>6.6635813355623759</v>
      </c>
      <c r="H176" s="38">
        <f>'GF + UG Iteration 2'!H176</f>
        <v>2013</v>
      </c>
      <c r="I176" s="35">
        <f t="shared" si="10"/>
        <v>9.5</v>
      </c>
      <c r="J176" s="36">
        <f t="shared" si="11"/>
        <v>14.795921649934193</v>
      </c>
      <c r="K176" s="38">
        <f t="shared" si="12"/>
        <v>2013</v>
      </c>
      <c r="M176" s="21">
        <f t="shared" si="13"/>
        <v>2.2512917986064953</v>
      </c>
      <c r="N176" s="21">
        <f t="shared" si="14"/>
        <v>2.694351578601645</v>
      </c>
    </row>
    <row r="177" spans="1:14" x14ac:dyDescent="0.2">
      <c r="A177" s="33">
        <f>'GF + UG Iteration 2'!A177</f>
        <v>212</v>
      </c>
      <c r="B177" s="34" t="str">
        <f>'GF + UG Iteration 2'!B177</f>
        <v>UG</v>
      </c>
      <c r="C177" s="35">
        <f>'GF + UG Iteration 2'!C177</f>
        <v>36.549999999999997</v>
      </c>
      <c r="D177" s="36">
        <f>'GF + UG Iteration 2'!P$16*(C177^'GF + UG Iteration 2'!P$15)</f>
        <v>19.651934118434585</v>
      </c>
      <c r="E177" s="37">
        <f>'GF + UG Iteration 2'!E177</f>
        <v>1978</v>
      </c>
      <c r="F177" s="35">
        <f>'GF + UG Iteration 2'!F177</f>
        <v>28</v>
      </c>
      <c r="G177" s="36">
        <f>'GF + UG Iteration 2'!G177</f>
        <v>4.6264535731184777</v>
      </c>
      <c r="H177" s="38">
        <f>'GF + UG Iteration 2'!H177</f>
        <v>2003</v>
      </c>
      <c r="I177" s="35">
        <f t="shared" si="10"/>
        <v>64.55</v>
      </c>
      <c r="J177" s="36">
        <f t="shared" si="11"/>
        <v>24.278387691553064</v>
      </c>
      <c r="K177" s="38">
        <f t="shared" si="12"/>
        <v>2003</v>
      </c>
      <c r="M177" s="21">
        <f t="shared" si="13"/>
        <v>4.1674401172926512</v>
      </c>
      <c r="N177" s="21">
        <f t="shared" si="14"/>
        <v>3.1895865591903991</v>
      </c>
    </row>
    <row r="178" spans="1:14" x14ac:dyDescent="0.2">
      <c r="A178" s="33">
        <f>'GF + UG Iteration 2'!A178</f>
        <v>653</v>
      </c>
      <c r="B178" s="34" t="str">
        <f>'GF + UG Iteration 2'!B178</f>
        <v>UG</v>
      </c>
      <c r="C178" s="35">
        <f>'GF + UG Iteration 2'!C178</f>
        <v>64.55</v>
      </c>
      <c r="D178" s="36">
        <f>'GF + UG Iteration 2'!P$16*(C178^'GF + UG Iteration 2'!P$15)</f>
        <v>26.978300871225951</v>
      </c>
      <c r="E178" s="37">
        <f>'GF + UG Iteration 2'!E178</f>
        <v>1977</v>
      </c>
      <c r="F178" s="35">
        <f>'GF + UG Iteration 2'!F178</f>
        <v>1.3200000000000074</v>
      </c>
      <c r="G178" s="36">
        <f>'GF + UG Iteration 2'!G178</f>
        <v>0.56894692945086811</v>
      </c>
      <c r="H178" s="38">
        <f>'GF + UG Iteration 2'!H178</f>
        <v>2007</v>
      </c>
      <c r="I178" s="35">
        <f t="shared" si="10"/>
        <v>65.87</v>
      </c>
      <c r="J178" s="36">
        <f t="shared" si="11"/>
        <v>27.547247800676818</v>
      </c>
      <c r="K178" s="38">
        <f t="shared" si="12"/>
        <v>2007</v>
      </c>
      <c r="M178" s="21">
        <f t="shared" si="13"/>
        <v>4.1876831026526018</v>
      </c>
      <c r="N178" s="21">
        <f t="shared" si="14"/>
        <v>3.3159026322667127</v>
      </c>
    </row>
    <row r="179" spans="1:14" x14ac:dyDescent="0.2">
      <c r="A179" s="33">
        <f>'GF + UG Iteration 2'!A179</f>
        <v>1679</v>
      </c>
      <c r="B179" s="34" t="str">
        <f>'GF + UG Iteration 2'!B179</f>
        <v>UG</v>
      </c>
      <c r="C179" s="35">
        <f>'GF + UG Iteration 2'!C179</f>
        <v>65.87</v>
      </c>
      <c r="D179" s="36">
        <f>'GF + UG Iteration 2'!P$16*(C179^'GF + UG Iteration 2'!P$15)</f>
        <v>27.284268544419692</v>
      </c>
      <c r="E179" s="37">
        <f>'GF + UG Iteration 2'!E179</f>
        <v>1977</v>
      </c>
      <c r="F179" s="35">
        <f>'GF + UG Iteration 2'!F179</f>
        <v>0</v>
      </c>
      <c r="G179" s="36">
        <f>'GF + UG Iteration 2'!G179</f>
        <v>3.0359489017822221</v>
      </c>
      <c r="H179" s="38">
        <f>'GF + UG Iteration 2'!H179</f>
        <v>2016</v>
      </c>
      <c r="I179" s="35">
        <f t="shared" si="10"/>
        <v>65.87</v>
      </c>
      <c r="J179" s="36">
        <f t="shared" si="11"/>
        <v>30.320217446201916</v>
      </c>
      <c r="K179" s="38">
        <f t="shared" si="12"/>
        <v>2016</v>
      </c>
      <c r="M179" s="21">
        <f t="shared" si="13"/>
        <v>4.1876831026526018</v>
      </c>
      <c r="N179" s="21">
        <f t="shared" si="14"/>
        <v>3.411814732456961</v>
      </c>
    </row>
    <row r="180" spans="1:14" x14ac:dyDescent="0.2">
      <c r="A180" s="33">
        <f>'GF + UG Iteration 2'!A180</f>
        <v>1382</v>
      </c>
      <c r="B180" s="34" t="str">
        <f>'GF + UG Iteration 2'!B180</f>
        <v>UG</v>
      </c>
      <c r="C180" s="35">
        <f>'GF + UG Iteration 2'!C180</f>
        <v>24.2</v>
      </c>
      <c r="D180" s="36">
        <f>'GF + UG Iteration 2'!P$16*(C180^'GF + UG Iteration 2'!P$15)</f>
        <v>15.618661213803037</v>
      </c>
      <c r="E180" s="37" t="str">
        <f>'GF + UG Iteration 2'!E180</f>
        <v>unknown</v>
      </c>
      <c r="F180" s="35">
        <f>'GF + UG Iteration 2'!F180</f>
        <v>11.900000000000002</v>
      </c>
      <c r="G180" s="36">
        <f>'GF + UG Iteration 2'!G180</f>
        <v>2.4484361075925429</v>
      </c>
      <c r="H180" s="38">
        <f>'GF + UG Iteration 2'!H180</f>
        <v>2013</v>
      </c>
      <c r="I180" s="35">
        <f t="shared" si="10"/>
        <v>36.1</v>
      </c>
      <c r="J180" s="36">
        <f t="shared" si="11"/>
        <v>18.067097321395579</v>
      </c>
      <c r="K180" s="38">
        <f t="shared" si="12"/>
        <v>2013</v>
      </c>
      <c r="M180" s="21">
        <f t="shared" si="13"/>
        <v>3.5862928653388351</v>
      </c>
      <c r="N180" s="21">
        <f t="shared" si="14"/>
        <v>2.8940924564710095</v>
      </c>
    </row>
    <row r="181" spans="1:14" x14ac:dyDescent="0.2">
      <c r="A181" s="33">
        <f>'GF + UG Iteration 2'!A181</f>
        <v>1638</v>
      </c>
      <c r="B181" s="34" t="str">
        <f>'GF + UG Iteration 2'!B181</f>
        <v>UG</v>
      </c>
      <c r="C181" s="35">
        <f>'GF + UG Iteration 2'!C181</f>
        <v>36.1</v>
      </c>
      <c r="D181" s="36">
        <f>'GF + UG Iteration 2'!P$16*(C181^'GF + UG Iteration 2'!P$15)</f>
        <v>19.516771941734365</v>
      </c>
      <c r="E181" s="37" t="str">
        <f>'GF + UG Iteration 2'!E181</f>
        <v>unknown</v>
      </c>
      <c r="F181" s="35">
        <f>'GF + UG Iteration 2'!F181</f>
        <v>0</v>
      </c>
      <c r="G181" s="36">
        <f>'GF + UG Iteration 2'!G181</f>
        <v>1.4307693737810239</v>
      </c>
      <c r="H181" s="38">
        <f>'GF + UG Iteration 2'!H181</f>
        <v>2015</v>
      </c>
      <c r="I181" s="35">
        <f t="shared" si="10"/>
        <v>36.1</v>
      </c>
      <c r="J181" s="36">
        <f t="shared" si="11"/>
        <v>20.947541315515391</v>
      </c>
      <c r="K181" s="38">
        <f t="shared" si="12"/>
        <v>2015</v>
      </c>
      <c r="M181" s="21">
        <f t="shared" si="13"/>
        <v>3.5862928653388351</v>
      </c>
      <c r="N181" s="21">
        <f t="shared" si="14"/>
        <v>3.0420212798396951</v>
      </c>
    </row>
    <row r="182" spans="1:14" x14ac:dyDescent="0.2">
      <c r="A182" s="33">
        <f>'GF + UG Iteration 2'!A182</f>
        <v>874</v>
      </c>
      <c r="B182" s="34" t="str">
        <f>'GF + UG Iteration 2'!B182</f>
        <v>UG</v>
      </c>
      <c r="C182" s="35">
        <f>'GF + UG Iteration 2'!C182</f>
        <v>6.4</v>
      </c>
      <c r="D182" s="36">
        <f>'GF + UG Iteration 2'!P$16*(C182^'GF + UG Iteration 2'!P$15)</f>
        <v>7.4446038949896129</v>
      </c>
      <c r="E182" s="37">
        <f>'GF + UG Iteration 2'!E182</f>
        <v>1997</v>
      </c>
      <c r="F182" s="35">
        <f>'GF + UG Iteration 2'!F182</f>
        <v>0.5</v>
      </c>
      <c r="G182" s="36">
        <f>'GF + UG Iteration 2'!G182</f>
        <v>3.6333602061432981</v>
      </c>
      <c r="H182" s="38">
        <f>'GF + UG Iteration 2'!H182</f>
        <v>2009</v>
      </c>
      <c r="I182" s="35">
        <f t="shared" si="10"/>
        <v>6.9</v>
      </c>
      <c r="J182" s="36">
        <f t="shared" si="11"/>
        <v>11.077964101132912</v>
      </c>
      <c r="K182" s="38">
        <f t="shared" si="12"/>
        <v>2009</v>
      </c>
      <c r="M182" s="21">
        <f t="shared" si="13"/>
        <v>1.9315214116032138</v>
      </c>
      <c r="N182" s="21">
        <f t="shared" si="14"/>
        <v>2.4049579190507702</v>
      </c>
    </row>
    <row r="183" spans="1:14" x14ac:dyDescent="0.2">
      <c r="A183" s="33">
        <f>'GF + UG Iteration 2'!A183</f>
        <v>491</v>
      </c>
      <c r="B183" s="34" t="str">
        <f>'GF + UG Iteration 2'!B183</f>
        <v>UG</v>
      </c>
      <c r="C183" s="35">
        <f>'GF + UG Iteration 2'!C183</f>
        <v>27.9</v>
      </c>
      <c r="D183" s="36">
        <f>'GF + UG Iteration 2'!P$16*(C183^'GF + UG Iteration 2'!P$15)</f>
        <v>16.90699911298892</v>
      </c>
      <c r="E183" s="37">
        <f>'GF + UG Iteration 2'!E183</f>
        <v>1984</v>
      </c>
      <c r="F183" s="35">
        <f>'GF + UG Iteration 2'!F183</f>
        <v>1</v>
      </c>
      <c r="G183" s="36">
        <f>'GF + UG Iteration 2'!G183</f>
        <v>0.19252271805052243</v>
      </c>
      <c r="H183" s="38">
        <f>'GF + UG Iteration 2'!H183</f>
        <v>2006</v>
      </c>
      <c r="I183" s="35">
        <f t="shared" si="10"/>
        <v>28.9</v>
      </c>
      <c r="J183" s="36">
        <f t="shared" si="11"/>
        <v>17.099521831039443</v>
      </c>
      <c r="K183" s="38">
        <f t="shared" si="12"/>
        <v>2006</v>
      </c>
      <c r="M183" s="21">
        <f t="shared" si="13"/>
        <v>3.3638415951183864</v>
      </c>
      <c r="N183" s="21">
        <f t="shared" si="14"/>
        <v>2.8390505000205311</v>
      </c>
    </row>
    <row r="184" spans="1:14" x14ac:dyDescent="0.2">
      <c r="A184" s="33">
        <f>'GF + UG Iteration 2'!A184</f>
        <v>1396</v>
      </c>
      <c r="B184" s="34" t="str">
        <f>'GF + UG Iteration 2'!B184</f>
        <v>UG</v>
      </c>
      <c r="C184" s="35">
        <f>'GF + UG Iteration 2'!C184</f>
        <v>20.6</v>
      </c>
      <c r="D184" s="36">
        <f>'GF + UG Iteration 2'!P$16*(C184^'GF + UG Iteration 2'!P$15)</f>
        <v>14.278267271985992</v>
      </c>
      <c r="E184" s="37">
        <f>'GF + UG Iteration 2'!E184</f>
        <v>2009</v>
      </c>
      <c r="F184" s="35">
        <f>'GF + UG Iteration 2'!F184</f>
        <v>5.3999999999999986</v>
      </c>
      <c r="G184" s="36">
        <f>'GF + UG Iteration 2'!G184</f>
        <v>0.37351117224616898</v>
      </c>
      <c r="H184" s="38">
        <f>'GF + UG Iteration 2'!H184</f>
        <v>2013</v>
      </c>
      <c r="I184" s="35">
        <f t="shared" ref="I184:I246" si="20">C184+F184</f>
        <v>26</v>
      </c>
      <c r="J184" s="36">
        <f t="shared" ref="J184:J246" si="21">D184+G184</f>
        <v>14.651778444232161</v>
      </c>
      <c r="K184" s="38">
        <f t="shared" ref="K184:K246" si="22">MAX(E184,H184)</f>
        <v>2013</v>
      </c>
      <c r="M184" s="21">
        <f t="shared" ref="M184:M246" si="23">LN(I184)</f>
        <v>3.2580965380214821</v>
      </c>
      <c r="N184" s="21">
        <f t="shared" ref="N184:N246" si="24">LN(J184)</f>
        <v>2.6845617236059653</v>
      </c>
    </row>
    <row r="185" spans="1:14" x14ac:dyDescent="0.2">
      <c r="A185" s="33">
        <f>'GF + UG Iteration 2'!A185</f>
        <v>1597</v>
      </c>
      <c r="B185" s="34" t="str">
        <f>'GF + UG Iteration 2'!B185</f>
        <v>UG</v>
      </c>
      <c r="C185" s="35">
        <f>'GF + UG Iteration 2'!C185</f>
        <v>26</v>
      </c>
      <c r="D185" s="36">
        <f>'GF + UG Iteration 2'!P$16*(C185^'GF + UG Iteration 2'!P$15)</f>
        <v>16.255562383774606</v>
      </c>
      <c r="E185" s="37">
        <f>'GF + UG Iteration 2'!E185</f>
        <v>2009</v>
      </c>
      <c r="F185" s="35">
        <f>'GF + UG Iteration 2'!F185</f>
        <v>27.299999999999997</v>
      </c>
      <c r="G185" s="36">
        <f>'GF + UG Iteration 2'!G185</f>
        <v>4.2355817632178319</v>
      </c>
      <c r="H185" s="38">
        <f>'GF + UG Iteration 2'!H185</f>
        <v>2015</v>
      </c>
      <c r="I185" s="35">
        <f t="shared" si="20"/>
        <v>53.3</v>
      </c>
      <c r="J185" s="36">
        <f t="shared" si="21"/>
        <v>20.49114414699244</v>
      </c>
      <c r="K185" s="38">
        <f t="shared" si="22"/>
        <v>2015</v>
      </c>
      <c r="M185" s="21">
        <f t="shared" si="23"/>
        <v>3.9759363311717988</v>
      </c>
      <c r="N185" s="21">
        <f t="shared" si="24"/>
        <v>3.0199927999789415</v>
      </c>
    </row>
    <row r="186" spans="1:14" x14ac:dyDescent="0.2">
      <c r="A186" s="33">
        <f>'GF + UG Iteration 2'!A186</f>
        <v>1292</v>
      </c>
      <c r="B186" s="34" t="str">
        <f>'GF + UG Iteration 2'!B186</f>
        <v>UG</v>
      </c>
      <c r="C186" s="35">
        <f>'GF + UG Iteration 2'!C186</f>
        <v>30.3</v>
      </c>
      <c r="D186" s="36">
        <f>'GF + UG Iteration 2'!P$16*(C186^'GF + UG Iteration 2'!P$15)</f>
        <v>17.702402523054293</v>
      </c>
      <c r="E186" s="37" t="str">
        <f>'GF + UG Iteration 2'!E186</f>
        <v>unknown</v>
      </c>
      <c r="F186" s="35">
        <f>'GF + UG Iteration 2'!F186</f>
        <v>2.4999999999999964</v>
      </c>
      <c r="G186" s="36">
        <f>'GF + UG Iteration 2'!G186</f>
        <v>4.47116983018676</v>
      </c>
      <c r="H186" s="38">
        <f>'GF + UG Iteration 2'!H186</f>
        <v>2013</v>
      </c>
      <c r="I186" s="35">
        <f t="shared" si="20"/>
        <v>32.799999999999997</v>
      </c>
      <c r="J186" s="36">
        <f t="shared" si="21"/>
        <v>22.173572353241052</v>
      </c>
      <c r="K186" s="38">
        <f t="shared" si="22"/>
        <v>2013</v>
      </c>
      <c r="M186" s="21">
        <f t="shared" si="23"/>
        <v>3.4904285153900978</v>
      </c>
      <c r="N186" s="21">
        <f t="shared" si="24"/>
        <v>3.098901145209509</v>
      </c>
    </row>
    <row r="187" spans="1:14" x14ac:dyDescent="0.2">
      <c r="A187" s="33">
        <f>'GF + UG Iteration 2'!A187</f>
        <v>364</v>
      </c>
      <c r="B187" s="34" t="str">
        <f>'GF + UG Iteration 2'!B187</f>
        <v>UG</v>
      </c>
      <c r="C187" s="35">
        <f>'GF + UG Iteration 2'!C187</f>
        <v>44.904000000000003</v>
      </c>
      <c r="D187" s="36">
        <f>'GF + UG Iteration 2'!P$16*(C187^'GF + UG Iteration 2'!P$15)</f>
        <v>22.039866844965029</v>
      </c>
      <c r="E187" s="37">
        <f>'GF + UG Iteration 2'!E187</f>
        <v>1975</v>
      </c>
      <c r="F187" s="35">
        <f>'GF + UG Iteration 2'!F187</f>
        <v>2</v>
      </c>
      <c r="G187" s="36">
        <f>'GF + UG Iteration 2'!G187</f>
        <v>1.3174901179839253</v>
      </c>
      <c r="H187" s="38">
        <f>'GF + UG Iteration 2'!H187</f>
        <v>2004</v>
      </c>
      <c r="I187" s="35">
        <f t="shared" si="20"/>
        <v>46.904000000000003</v>
      </c>
      <c r="J187" s="36">
        <f t="shared" si="21"/>
        <v>23.357356962948955</v>
      </c>
      <c r="K187" s="38">
        <f t="shared" si="22"/>
        <v>2004</v>
      </c>
      <c r="M187" s="21">
        <f t="shared" si="23"/>
        <v>3.8481029596619138</v>
      </c>
      <c r="N187" s="21">
        <f t="shared" si="24"/>
        <v>3.1509120078494171</v>
      </c>
    </row>
    <row r="188" spans="1:14" x14ac:dyDescent="0.2">
      <c r="A188" s="33">
        <f>'GF + UG Iteration 2'!A188</f>
        <v>1306</v>
      </c>
      <c r="B188" s="34" t="str">
        <f>'GF + UG Iteration 2'!B188</f>
        <v>UG</v>
      </c>
      <c r="C188" s="35">
        <f>'GF + UG Iteration 2'!C188</f>
        <v>23.1</v>
      </c>
      <c r="D188" s="36">
        <f>'GF + UG Iteration 2'!P$16*(C188^'GF + UG Iteration 2'!P$15)</f>
        <v>15.219081568024247</v>
      </c>
      <c r="E188" s="37">
        <f>'GF + UG Iteration 2'!E188</f>
        <v>1985</v>
      </c>
      <c r="F188" s="35">
        <f>'GF + UG Iteration 2'!F188</f>
        <v>2.0999999999999979</v>
      </c>
      <c r="G188" s="36">
        <f>'GF + UG Iteration 2'!G188</f>
        <v>5.9848606370399509</v>
      </c>
      <c r="H188" s="38">
        <f>'GF + UG Iteration 2'!H188</f>
        <v>2013</v>
      </c>
      <c r="I188" s="35">
        <f t="shared" si="20"/>
        <v>25.2</v>
      </c>
      <c r="J188" s="36">
        <f t="shared" si="21"/>
        <v>21.203942205064198</v>
      </c>
      <c r="K188" s="38">
        <f t="shared" si="22"/>
        <v>2013</v>
      </c>
      <c r="M188" s="21">
        <f t="shared" si="23"/>
        <v>3.2268439945173775</v>
      </c>
      <c r="N188" s="21">
        <f t="shared" si="24"/>
        <v>3.0541871174599038</v>
      </c>
    </row>
    <row r="189" spans="1:14" x14ac:dyDescent="0.2">
      <c r="A189" s="33">
        <f>'GF + UG Iteration 2'!A189</f>
        <v>858</v>
      </c>
      <c r="B189" s="34" t="str">
        <f>'GF + UG Iteration 2'!B189</f>
        <v>UG</v>
      </c>
      <c r="C189" s="35">
        <f>'GF + UG Iteration 2'!C189</f>
        <v>28.4</v>
      </c>
      <c r="D189" s="36">
        <f>'GF + UG Iteration 2'!P$16*(C189^'GF + UG Iteration 2'!P$15)</f>
        <v>17.075133031648523</v>
      </c>
      <c r="E189" s="37">
        <f>'GF + UG Iteration 2'!E189</f>
        <v>2009</v>
      </c>
      <c r="F189" s="35">
        <f>'GF + UG Iteration 2'!F189</f>
        <v>13.300000000000004</v>
      </c>
      <c r="G189" s="36">
        <f>'GF + UG Iteration 2'!G189</f>
        <v>5.4358775042665943</v>
      </c>
      <c r="H189" s="38">
        <f>'GF + UG Iteration 2'!H189</f>
        <v>2010</v>
      </c>
      <c r="I189" s="35">
        <f t="shared" si="20"/>
        <v>41.7</v>
      </c>
      <c r="J189" s="36">
        <f t="shared" si="21"/>
        <v>22.511010535915119</v>
      </c>
      <c r="K189" s="38">
        <f t="shared" si="22"/>
        <v>2010</v>
      </c>
      <c r="M189" s="21">
        <f t="shared" si="23"/>
        <v>3.730501128804756</v>
      </c>
      <c r="N189" s="21">
        <f t="shared" si="24"/>
        <v>3.1140045466659942</v>
      </c>
    </row>
    <row r="190" spans="1:14" x14ac:dyDescent="0.2">
      <c r="A190" s="33">
        <f>'GF + UG Iteration 2'!A190</f>
        <v>1454</v>
      </c>
      <c r="B190" s="34" t="str">
        <f>'GF + UG Iteration 2'!B190</f>
        <v>UG</v>
      </c>
      <c r="C190" s="35">
        <f>'GF + UG Iteration 2'!C190</f>
        <v>41.7</v>
      </c>
      <c r="D190" s="36">
        <f>'GF + UG Iteration 2'!P$16*(C190^'GF + UG Iteration 2'!P$15)</f>
        <v>21.149430991734057</v>
      </c>
      <c r="E190" s="37">
        <f>'GF + UG Iteration 2'!E190</f>
        <v>2009</v>
      </c>
      <c r="F190" s="35">
        <f>'GF + UG Iteration 2'!F190</f>
        <v>5.6999999999999957</v>
      </c>
      <c r="G190" s="36">
        <f>'GF + UG Iteration 2'!G190</f>
        <v>0.45762240995573644</v>
      </c>
      <c r="H190" s="38">
        <f>'GF + UG Iteration 2'!H190</f>
        <v>2013</v>
      </c>
      <c r="I190" s="35">
        <f t="shared" si="20"/>
        <v>47.4</v>
      </c>
      <c r="J190" s="36">
        <f t="shared" si="21"/>
        <v>21.607053401689793</v>
      </c>
      <c r="K190" s="38">
        <f t="shared" si="22"/>
        <v>2013</v>
      </c>
      <c r="M190" s="21">
        <f t="shared" si="23"/>
        <v>3.858622228701031</v>
      </c>
      <c r="N190" s="21">
        <f t="shared" si="24"/>
        <v>3.0730198077599833</v>
      </c>
    </row>
    <row r="191" spans="1:14" x14ac:dyDescent="0.2">
      <c r="A191" s="33">
        <f>'GF + UG Iteration 2'!A191</f>
        <v>637</v>
      </c>
      <c r="B191" s="34" t="str">
        <f>'GF + UG Iteration 2'!B191</f>
        <v>UG</v>
      </c>
      <c r="C191" s="35">
        <f>'GF + UG Iteration 2'!C191</f>
        <v>15.499999999999998</v>
      </c>
      <c r="D191" s="36">
        <f>'GF + UG Iteration 2'!P$16*(C191^'GF + UG Iteration 2'!P$15)</f>
        <v>12.185785802661631</v>
      </c>
      <c r="E191" s="37">
        <f>'GF + UG Iteration 2'!E191</f>
        <v>1989</v>
      </c>
      <c r="F191" s="35">
        <f>'GF + UG Iteration 2'!F191</f>
        <v>8.4</v>
      </c>
      <c r="G191" s="36">
        <f>'GF + UG Iteration 2'!G191</f>
        <v>5.068859840469166</v>
      </c>
      <c r="H191" s="38">
        <f>'GF + UG Iteration 2'!H191</f>
        <v>2007</v>
      </c>
      <c r="I191" s="35">
        <f t="shared" si="20"/>
        <v>23.9</v>
      </c>
      <c r="J191" s="36">
        <f t="shared" si="21"/>
        <v>17.254645643130797</v>
      </c>
      <c r="K191" s="38">
        <f t="shared" si="22"/>
        <v>2007</v>
      </c>
      <c r="M191" s="21">
        <f t="shared" si="23"/>
        <v>3.1738784589374651</v>
      </c>
      <c r="N191" s="21">
        <f t="shared" si="24"/>
        <v>2.8480814198644917</v>
      </c>
    </row>
    <row r="192" spans="1:14" x14ac:dyDescent="0.2">
      <c r="A192" s="33">
        <f>'GF + UG Iteration 2'!A192</f>
        <v>1254</v>
      </c>
      <c r="B192" s="34" t="str">
        <f>'GF + UG Iteration 2'!B192</f>
        <v>UG</v>
      </c>
      <c r="C192" s="35">
        <f>'GF + UG Iteration 2'!C192</f>
        <v>23.9</v>
      </c>
      <c r="D192" s="36">
        <f>'GF + UG Iteration 2'!P$16*(C192^'GF + UG Iteration 2'!P$15)</f>
        <v>15.510497231403088</v>
      </c>
      <c r="E192" s="37">
        <f>'GF + UG Iteration 2'!E192</f>
        <v>1989</v>
      </c>
      <c r="F192" s="35">
        <f>'GF + UG Iteration 2'!F192</f>
        <v>15.399999999999999</v>
      </c>
      <c r="G192" s="36">
        <f>'GF + UG Iteration 2'!G192</f>
        <v>6.528436764593768</v>
      </c>
      <c r="H192" s="38">
        <f>'GF + UG Iteration 2'!H192</f>
        <v>2012</v>
      </c>
      <c r="I192" s="35">
        <f t="shared" si="20"/>
        <v>39.299999999999997</v>
      </c>
      <c r="J192" s="36">
        <f t="shared" si="21"/>
        <v>22.038933995996857</v>
      </c>
      <c r="K192" s="38">
        <f t="shared" si="22"/>
        <v>2012</v>
      </c>
      <c r="M192" s="21">
        <f t="shared" si="23"/>
        <v>3.6712245188752153</v>
      </c>
      <c r="N192" s="21">
        <f t="shared" si="24"/>
        <v>3.0928106163272013</v>
      </c>
    </row>
    <row r="193" spans="1:14" x14ac:dyDescent="0.2">
      <c r="A193" s="33">
        <f>'GF + UG Iteration 2'!A193</f>
        <v>734</v>
      </c>
      <c r="B193" s="34" t="str">
        <f>'GF + UG Iteration 2'!B193</f>
        <v>UG</v>
      </c>
      <c r="C193" s="35">
        <f>'GF + UG Iteration 2'!C193</f>
        <v>20</v>
      </c>
      <c r="D193" s="36">
        <f>'GF + UG Iteration 2'!P$16*(C193^'GF + UG Iteration 2'!P$15)</f>
        <v>14.045068291748759</v>
      </c>
      <c r="E193" s="37">
        <f>'GF + UG Iteration 2'!E193</f>
        <v>1974</v>
      </c>
      <c r="F193" s="35">
        <f>'GF + UG Iteration 2'!F193</f>
        <v>4.3999999999999986</v>
      </c>
      <c r="G193" s="36">
        <f>'GF + UG Iteration 2'!G193</f>
        <v>11.261124599264825</v>
      </c>
      <c r="H193" s="38">
        <f>'GF + UG Iteration 2'!H193</f>
        <v>2011</v>
      </c>
      <c r="I193" s="35">
        <f t="shared" ref="I193" si="25">C193+F193</f>
        <v>24.4</v>
      </c>
      <c r="J193" s="36">
        <f t="shared" ref="J193" si="26">D193+G193</f>
        <v>25.306192891013584</v>
      </c>
      <c r="K193" s="38">
        <f t="shared" ref="K193" si="27">MAX(E193,H193)</f>
        <v>2011</v>
      </c>
      <c r="M193" s="21">
        <f t="shared" ref="M193" si="28">LN(I193)</f>
        <v>3.1945831322991562</v>
      </c>
      <c r="N193" s="21">
        <f t="shared" ref="N193" si="29">LN(J193)</f>
        <v>3.2310491440810862</v>
      </c>
    </row>
    <row r="194" spans="1:14" x14ac:dyDescent="0.2">
      <c r="A194" s="33">
        <f>'GF + UG Iteration 2'!A194</f>
        <v>1594</v>
      </c>
      <c r="B194" s="34" t="str">
        <f>'GF + UG Iteration 2'!B194</f>
        <v>UG</v>
      </c>
      <c r="C194" s="35">
        <f>'GF + UG Iteration 2'!C194</f>
        <v>24.4</v>
      </c>
      <c r="D194" s="36">
        <f>'GF + UG Iteration 2'!P$16*(C194^'GF + UG Iteration 2'!P$15)</f>
        <v>15.690440850569699</v>
      </c>
      <c r="E194" s="37">
        <f>'GF + UG Iteration 2'!E194</f>
        <v>1974</v>
      </c>
      <c r="F194" s="35">
        <f>'GF + UG Iteration 2'!F194</f>
        <v>0</v>
      </c>
      <c r="G194" s="36">
        <f>'GF + UG Iteration 2'!G194</f>
        <v>17.2334453477478</v>
      </c>
      <c r="H194" s="38">
        <f>'GF + UG Iteration 2'!H194</f>
        <v>2017</v>
      </c>
      <c r="I194" s="35">
        <f t="shared" si="20"/>
        <v>24.4</v>
      </c>
      <c r="J194" s="36">
        <f t="shared" si="21"/>
        <v>32.923886198317497</v>
      </c>
      <c r="K194" s="38">
        <f t="shared" si="22"/>
        <v>2017</v>
      </c>
      <c r="M194" s="21">
        <f t="shared" si="23"/>
        <v>3.1945831322991562</v>
      </c>
      <c r="N194" s="21">
        <f t="shared" si="24"/>
        <v>3.4941984186081747</v>
      </c>
    </row>
    <row r="195" spans="1:14" x14ac:dyDescent="0.2">
      <c r="A195" s="33">
        <f>'GF + UG Iteration 2'!A195</f>
        <v>1674</v>
      </c>
      <c r="B195" s="34" t="str">
        <f>'GF + UG Iteration 2'!B195</f>
        <v>UG</v>
      </c>
      <c r="C195" s="35">
        <f>'GF + UG Iteration 2'!C195</f>
        <v>17.399999999999999</v>
      </c>
      <c r="D195" s="36">
        <f>'GF + UG Iteration 2'!P$16*(C195^'GF + UG Iteration 2'!P$15)</f>
        <v>12.996603520769183</v>
      </c>
      <c r="E195" s="37">
        <f>'GF + UG Iteration 2'!E195</f>
        <v>0</v>
      </c>
      <c r="F195" s="35">
        <f>'GF + UG Iteration 2'!F195</f>
        <v>3.7000000000000028</v>
      </c>
      <c r="G195" s="36">
        <f>'GF + UG Iteration 2'!G195</f>
        <v>10.327278566796926</v>
      </c>
      <c r="H195" s="38">
        <f>'GF + UG Iteration 2'!H195</f>
        <v>2016</v>
      </c>
      <c r="I195" s="35">
        <f t="shared" si="20"/>
        <v>21.1</v>
      </c>
      <c r="J195" s="36">
        <f t="shared" si="21"/>
        <v>23.323882087566108</v>
      </c>
      <c r="K195" s="38">
        <f t="shared" si="22"/>
        <v>2016</v>
      </c>
      <c r="M195" s="21">
        <f t="shared" si="23"/>
        <v>3.0492730404820207</v>
      </c>
      <c r="N195" s="21">
        <f t="shared" si="24"/>
        <v>3.1494778179349421</v>
      </c>
    </row>
    <row r="196" spans="1:14" x14ac:dyDescent="0.2">
      <c r="A196" s="33">
        <f>'GF + UG Iteration 2'!A196</f>
        <v>711</v>
      </c>
      <c r="B196" s="34" t="str">
        <f>'GF + UG Iteration 2'!B196</f>
        <v>UG</v>
      </c>
      <c r="C196" s="35">
        <f>'GF + UG Iteration 2'!C196</f>
        <v>11.5</v>
      </c>
      <c r="D196" s="36">
        <f>'GF + UG Iteration 2'!P$16*(C196^'GF + UG Iteration 2'!P$15)</f>
        <v>10.318918297726029</v>
      </c>
      <c r="E196" s="37">
        <f>'GF + UG Iteration 2'!E196</f>
        <v>1976</v>
      </c>
      <c r="F196" s="35">
        <f>'GF + UG Iteration 2'!F196</f>
        <v>13.7</v>
      </c>
      <c r="G196" s="36">
        <f>'GF + UG Iteration 2'!G196</f>
        <v>9.2617881543087019</v>
      </c>
      <c r="H196" s="38">
        <f>'GF + UG Iteration 2'!H196</f>
        <v>2009</v>
      </c>
      <c r="I196" s="35">
        <f t="shared" si="20"/>
        <v>25.2</v>
      </c>
      <c r="J196" s="36">
        <f t="shared" si="21"/>
        <v>19.580706452034732</v>
      </c>
      <c r="K196" s="38">
        <f t="shared" si="22"/>
        <v>2009</v>
      </c>
      <c r="M196" s="21">
        <f t="shared" si="23"/>
        <v>3.2268439945173775</v>
      </c>
      <c r="N196" s="21">
        <f t="shared" si="24"/>
        <v>2.9745447167392665</v>
      </c>
    </row>
    <row r="197" spans="1:14" x14ac:dyDescent="0.2">
      <c r="A197" s="33">
        <f>'GF + UG Iteration 2'!A197</f>
        <v>408</v>
      </c>
      <c r="B197" s="34" t="str">
        <f>'GF + UG Iteration 2'!B197</f>
        <v>UG</v>
      </c>
      <c r="C197" s="35">
        <f>'GF + UG Iteration 2'!C197</f>
        <v>37.700000000000003</v>
      </c>
      <c r="D197" s="36">
        <f>'GF + UG Iteration 2'!P$16*(C197^'GF + UG Iteration 2'!P$15)</f>
        <v>19.994039294852517</v>
      </c>
      <c r="E197" s="37">
        <f>'GF + UG Iteration 2'!E197</f>
        <v>1976</v>
      </c>
      <c r="F197" s="35">
        <f>'GF + UG Iteration 2'!F197</f>
        <v>2.0419999999999945</v>
      </c>
      <c r="G197" s="36">
        <f>'GF + UG Iteration 2'!G197</f>
        <v>0.58015876995711901</v>
      </c>
      <c r="H197" s="38">
        <f>'GF + UG Iteration 2'!H197</f>
        <v>2004</v>
      </c>
      <c r="I197" s="35">
        <f t="shared" si="20"/>
        <v>39.741999999999997</v>
      </c>
      <c r="J197" s="36">
        <f t="shared" si="21"/>
        <v>20.574198064809636</v>
      </c>
      <c r="K197" s="38">
        <f t="shared" si="22"/>
        <v>2004</v>
      </c>
      <c r="M197" s="21">
        <f t="shared" si="23"/>
        <v>3.6824085629836243</v>
      </c>
      <c r="N197" s="21">
        <f t="shared" si="24"/>
        <v>3.0240377696095995</v>
      </c>
    </row>
    <row r="198" spans="1:14" x14ac:dyDescent="0.2">
      <c r="A198" s="33">
        <f>'GF + UG Iteration 2'!A198</f>
        <v>698</v>
      </c>
      <c r="B198" s="34" t="str">
        <f>'GF + UG Iteration 2'!B198</f>
        <v>UG</v>
      </c>
      <c r="C198" s="35">
        <f>'GF + UG Iteration 2'!C198</f>
        <v>39.700000000000003</v>
      </c>
      <c r="D198" s="36">
        <f>'GF + UG Iteration 2'!P$16*(C198^'GF + UG Iteration 2'!P$15)</f>
        <v>20.578183044458054</v>
      </c>
      <c r="E198" s="37">
        <f>'GF + UG Iteration 2'!E198</f>
        <v>1976</v>
      </c>
      <c r="F198" s="35">
        <f>'GF + UG Iteration 2'!F198</f>
        <v>20.9</v>
      </c>
      <c r="G198" s="36">
        <f>'GF + UG Iteration 2'!G198</f>
        <v>1.4406821685518079</v>
      </c>
      <c r="H198" s="38">
        <f>'GF + UG Iteration 2'!H198</f>
        <v>2007</v>
      </c>
      <c r="I198" s="35">
        <f t="shared" si="20"/>
        <v>60.6</v>
      </c>
      <c r="J198" s="36">
        <f t="shared" si="21"/>
        <v>22.01886521300986</v>
      </c>
      <c r="K198" s="38">
        <f t="shared" si="22"/>
        <v>2007</v>
      </c>
      <c r="M198" s="21">
        <f t="shared" si="23"/>
        <v>4.1042948930752692</v>
      </c>
      <c r="N198" s="21">
        <f t="shared" si="24"/>
        <v>3.0918995955892017</v>
      </c>
    </row>
    <row r="199" spans="1:14" x14ac:dyDescent="0.2">
      <c r="A199" s="33">
        <f>'GF + UG Iteration 2'!A199</f>
        <v>696</v>
      </c>
      <c r="B199" s="34" t="str">
        <f>'GF + UG Iteration 2'!B199</f>
        <v>UG</v>
      </c>
      <c r="C199" s="35">
        <f>'GF + UG Iteration 2'!C199</f>
        <v>9.1370000000000005</v>
      </c>
      <c r="D199" s="36">
        <f>'GF + UG Iteration 2'!P$16*(C199^'GF + UG Iteration 2'!P$15)</f>
        <v>9.0778466364313264</v>
      </c>
      <c r="E199" s="37">
        <f>'GF + UG Iteration 2'!E199</f>
        <v>1981</v>
      </c>
      <c r="F199" s="35">
        <f>'GF + UG Iteration 2'!F199</f>
        <v>8.0629999999999988</v>
      </c>
      <c r="G199" s="36">
        <f>'GF + UG Iteration 2'!G199</f>
        <v>0.26810351472539734</v>
      </c>
      <c r="H199" s="38">
        <f>'GF + UG Iteration 2'!H199</f>
        <v>2007</v>
      </c>
      <c r="I199" s="35">
        <f t="shared" si="20"/>
        <v>17.2</v>
      </c>
      <c r="J199" s="36">
        <f t="shared" si="21"/>
        <v>9.3459501511567229</v>
      </c>
      <c r="K199" s="38">
        <f t="shared" si="22"/>
        <v>2007</v>
      </c>
      <c r="M199" s="21">
        <f t="shared" si="23"/>
        <v>2.8449093838194073</v>
      </c>
      <c r="N199" s="21">
        <f t="shared" si="24"/>
        <v>2.234943110555121</v>
      </c>
    </row>
    <row r="200" spans="1:14" x14ac:dyDescent="0.2">
      <c r="A200" s="33">
        <f>'GF + UG Iteration 2'!A200</f>
        <v>1636</v>
      </c>
      <c r="B200" s="34" t="str">
        <f>'GF + UG Iteration 2'!B200</f>
        <v>UG</v>
      </c>
      <c r="C200" s="35">
        <f>'GF + UG Iteration 2'!C200</f>
        <v>17.2</v>
      </c>
      <c r="D200" s="36">
        <f>'GF + UG Iteration 2'!P$16*(C200^'GF + UG Iteration 2'!P$15)</f>
        <v>12.91316703066324</v>
      </c>
      <c r="E200" s="37">
        <f>'GF + UG Iteration 2'!E200</f>
        <v>1981</v>
      </c>
      <c r="F200" s="35">
        <f>'GF + UG Iteration 2'!F200</f>
        <v>0</v>
      </c>
      <c r="G200" s="36">
        <f>'GF + UG Iteration 2'!G200</f>
        <v>6.6058972937468434</v>
      </c>
      <c r="H200" s="38">
        <f>'GF + UG Iteration 2'!H200</f>
        <v>2015</v>
      </c>
      <c r="I200" s="35">
        <f t="shared" si="20"/>
        <v>17.2</v>
      </c>
      <c r="J200" s="36">
        <f t="shared" si="21"/>
        <v>19.519064324410085</v>
      </c>
      <c r="K200" s="38">
        <f t="shared" si="22"/>
        <v>2015</v>
      </c>
      <c r="M200" s="21">
        <f t="shared" si="23"/>
        <v>2.8449093838194073</v>
      </c>
      <c r="N200" s="21">
        <f t="shared" si="24"/>
        <v>2.9713916456357627</v>
      </c>
    </row>
    <row r="201" spans="1:14" x14ac:dyDescent="0.2">
      <c r="A201" s="33">
        <f>'GF + UG Iteration 2'!A201</f>
        <v>1185</v>
      </c>
      <c r="B201" s="34" t="str">
        <f>'GF + UG Iteration 2'!B201</f>
        <v>UG</v>
      </c>
      <c r="C201" s="35">
        <f>'GF + UG Iteration 2'!C201</f>
        <v>32.4</v>
      </c>
      <c r="D201" s="36">
        <f>'GF + UG Iteration 2'!P$16*(C201^'GF + UG Iteration 2'!P$15)</f>
        <v>18.375756432158578</v>
      </c>
      <c r="E201" s="37">
        <f>'GF + UG Iteration 2'!E201</f>
        <v>1988</v>
      </c>
      <c r="F201" s="35">
        <f>'GF + UG Iteration 2'!F201</f>
        <v>2.5</v>
      </c>
      <c r="G201" s="36">
        <f>'GF + UG Iteration 2'!G201</f>
        <v>2.8087836612562955</v>
      </c>
      <c r="H201" s="38">
        <f>'GF + UG Iteration 2'!H201</f>
        <v>2011</v>
      </c>
      <c r="I201" s="35">
        <f t="shared" si="20"/>
        <v>34.9</v>
      </c>
      <c r="J201" s="36">
        <f t="shared" si="21"/>
        <v>21.184540093414874</v>
      </c>
      <c r="K201" s="38">
        <f t="shared" si="22"/>
        <v>2011</v>
      </c>
      <c r="M201" s="21">
        <f t="shared" si="23"/>
        <v>3.5524868292083815</v>
      </c>
      <c r="N201" s="21">
        <f t="shared" si="24"/>
        <v>3.0532716747758428</v>
      </c>
    </row>
    <row r="202" spans="1:14" x14ac:dyDescent="0.2">
      <c r="A202" s="33">
        <f>'GF + UG Iteration 2'!A202</f>
        <v>568</v>
      </c>
      <c r="B202" s="34" t="str">
        <f>'GF + UG Iteration 2'!B202</f>
        <v>UG</v>
      </c>
      <c r="C202" s="35">
        <f>'GF + UG Iteration 2'!C202</f>
        <v>38.04</v>
      </c>
      <c r="D202" s="36">
        <f>'GF + UG Iteration 2'!P$16*(C202^'GF + UG Iteration 2'!P$15)</f>
        <v>20.094294946837191</v>
      </c>
      <c r="E202" s="37">
        <f>'GF + UG Iteration 2'!E202</f>
        <v>1978</v>
      </c>
      <c r="F202" s="35">
        <f>'GF + UG Iteration 2'!F202</f>
        <v>1</v>
      </c>
      <c r="G202" s="36">
        <f>'GF + UG Iteration 2'!G202</f>
        <v>2.8818936071529556E-2</v>
      </c>
      <c r="H202" s="38">
        <f>'GF + UG Iteration 2'!H202</f>
        <v>2006</v>
      </c>
      <c r="I202" s="35">
        <f t="shared" si="20"/>
        <v>39.04</v>
      </c>
      <c r="J202" s="36">
        <f t="shared" si="21"/>
        <v>20.123113882908722</v>
      </c>
      <c r="K202" s="38">
        <f t="shared" si="22"/>
        <v>2006</v>
      </c>
      <c r="M202" s="21">
        <f t="shared" si="23"/>
        <v>3.6645867615448919</v>
      </c>
      <c r="N202" s="21">
        <f t="shared" si="24"/>
        <v>3.0018690988087093</v>
      </c>
    </row>
    <row r="203" spans="1:14" x14ac:dyDescent="0.2">
      <c r="A203" s="33">
        <f>'GF + UG Iteration 2'!A203</f>
        <v>853</v>
      </c>
      <c r="B203" s="34" t="str">
        <f>'GF + UG Iteration 2'!B203</f>
        <v>UG</v>
      </c>
      <c r="C203" s="35">
        <f>'GF + UG Iteration 2'!C203</f>
        <v>20</v>
      </c>
      <c r="D203" s="36">
        <f>'GF + UG Iteration 2'!P$16*(C203^'GF + UG Iteration 2'!P$15)</f>
        <v>14.045068291748759</v>
      </c>
      <c r="E203" s="37">
        <f>'GF + UG Iteration 2'!E203</f>
        <v>1991</v>
      </c>
      <c r="F203" s="35">
        <f>'GF + UG Iteration 2'!F203</f>
        <v>21.700000000000003</v>
      </c>
      <c r="G203" s="36">
        <f>'GF + UG Iteration 2'!G203</f>
        <v>4.2556245512411124</v>
      </c>
      <c r="H203" s="38">
        <f>'GF + UG Iteration 2'!H203</f>
        <v>2009</v>
      </c>
      <c r="I203" s="35">
        <f t="shared" si="20"/>
        <v>41.7</v>
      </c>
      <c r="J203" s="36">
        <f t="shared" si="21"/>
        <v>18.300692842989871</v>
      </c>
      <c r="K203" s="38">
        <f t="shared" si="22"/>
        <v>2009</v>
      </c>
      <c r="M203" s="21">
        <f t="shared" si="23"/>
        <v>3.730501128804756</v>
      </c>
      <c r="N203" s="21">
        <f t="shared" si="24"/>
        <v>2.9069389194033639</v>
      </c>
    </row>
    <row r="204" spans="1:14" x14ac:dyDescent="0.2">
      <c r="A204" s="33">
        <f>'GF + UG Iteration 2'!A204</f>
        <v>1201</v>
      </c>
      <c r="B204" s="34" t="str">
        <f>'GF + UG Iteration 2'!B204</f>
        <v>UG</v>
      </c>
      <c r="C204" s="35">
        <f>'GF + UG Iteration 2'!C204</f>
        <v>13.3</v>
      </c>
      <c r="D204" s="36">
        <f>'GF + UG Iteration 2'!P$16*(C204^'GF + UG Iteration 2'!P$15)</f>
        <v>11.189671159486469</v>
      </c>
      <c r="E204" s="37" t="str">
        <f>'GF + UG Iteration 2'!E204</f>
        <v>unknown</v>
      </c>
      <c r="F204" s="35">
        <f>'GF + UG Iteration 2'!F204</f>
        <v>10.599999999999998</v>
      </c>
      <c r="G204" s="36">
        <f>'GF + UG Iteration 2'!G204</f>
        <v>7.6364894321569698</v>
      </c>
      <c r="H204" s="38">
        <f>'GF + UG Iteration 2'!H204</f>
        <v>2012</v>
      </c>
      <c r="I204" s="35">
        <f t="shared" si="20"/>
        <v>23.9</v>
      </c>
      <c r="J204" s="36">
        <f t="shared" si="21"/>
        <v>18.82616059164344</v>
      </c>
      <c r="K204" s="38">
        <f t="shared" si="22"/>
        <v>2012</v>
      </c>
      <c r="M204" s="21">
        <f t="shared" si="23"/>
        <v>3.1738784589374651</v>
      </c>
      <c r="N204" s="21">
        <f t="shared" si="24"/>
        <v>2.9352474234000998</v>
      </c>
    </row>
    <row r="205" spans="1:14" x14ac:dyDescent="0.2">
      <c r="A205" s="33">
        <f>'GF + UG Iteration 2'!A205</f>
        <v>654</v>
      </c>
      <c r="B205" s="34" t="str">
        <f>'GF + UG Iteration 2'!B205</f>
        <v>UG</v>
      </c>
      <c r="C205" s="35">
        <f>'GF + UG Iteration 2'!C205</f>
        <v>7.29</v>
      </c>
      <c r="D205" s="36">
        <f>'GF + UG Iteration 2'!P$16*(C205^'GF + UG Iteration 2'!P$15)</f>
        <v>8.0046876079840814</v>
      </c>
      <c r="E205" s="37">
        <f>'GF + UG Iteration 2'!E205</f>
        <v>1976</v>
      </c>
      <c r="F205" s="35">
        <f>'GF + UG Iteration 2'!F205</f>
        <v>4.4099999999999993</v>
      </c>
      <c r="G205" s="36">
        <f>'GF + UG Iteration 2'!G205</f>
        <v>0.73672544554632269</v>
      </c>
      <c r="H205" s="38">
        <f>'GF + UG Iteration 2'!H205</f>
        <v>2007</v>
      </c>
      <c r="I205" s="35">
        <f t="shared" si="20"/>
        <v>11.7</v>
      </c>
      <c r="J205" s="36">
        <f t="shared" si="21"/>
        <v>8.7414130535304047</v>
      </c>
      <c r="K205" s="38">
        <f t="shared" si="22"/>
        <v>2007</v>
      </c>
      <c r="M205" s="21">
        <f t="shared" si="23"/>
        <v>2.4595888418037104</v>
      </c>
      <c r="N205" s="21">
        <f t="shared" si="24"/>
        <v>2.1680718532044998</v>
      </c>
    </row>
    <row r="206" spans="1:14" x14ac:dyDescent="0.2">
      <c r="A206" s="33">
        <f>'GF + UG Iteration 2'!A206</f>
        <v>1394</v>
      </c>
      <c r="B206" s="34" t="str">
        <f>'GF + UG Iteration 2'!B206</f>
        <v>UG</v>
      </c>
      <c r="C206" s="35">
        <f>'GF + UG Iteration 2'!C206</f>
        <v>11.7</v>
      </c>
      <c r="D206" s="36">
        <f>'GF + UG Iteration 2'!P$16*(C206^'GF + UG Iteration 2'!P$15)</f>
        <v>10.418513778798109</v>
      </c>
      <c r="E206" s="37">
        <f>'GF + UG Iteration 2'!E206</f>
        <v>1976</v>
      </c>
      <c r="F206" s="35">
        <f>'GF + UG Iteration 2'!F206</f>
        <v>10</v>
      </c>
      <c r="G206" s="36">
        <f>'GF + UG Iteration 2'!G206</f>
        <v>5.0057806862702598</v>
      </c>
      <c r="H206" s="38">
        <f>'GF + UG Iteration 2'!H206</f>
        <v>2014</v>
      </c>
      <c r="I206" s="35">
        <f t="shared" si="20"/>
        <v>21.7</v>
      </c>
      <c r="J206" s="36">
        <f t="shared" si="21"/>
        <v>15.424294465068369</v>
      </c>
      <c r="K206" s="38">
        <f t="shared" si="22"/>
        <v>2014</v>
      </c>
      <c r="M206" s="21">
        <f t="shared" si="23"/>
        <v>3.0773122605464138</v>
      </c>
      <c r="N206" s="21">
        <f t="shared" si="24"/>
        <v>2.7359438290415259</v>
      </c>
    </row>
    <row r="207" spans="1:14" x14ac:dyDescent="0.2">
      <c r="A207" s="33">
        <f>'GF + UG Iteration 2'!A207</f>
        <v>1294</v>
      </c>
      <c r="B207" s="34" t="str">
        <f>'GF + UG Iteration 2'!B207</f>
        <v>UG</v>
      </c>
      <c r="C207" s="35">
        <f>'GF + UG Iteration 2'!C207</f>
        <v>8.5</v>
      </c>
      <c r="D207" s="36">
        <f>'GF + UG Iteration 2'!P$16*(C207^'GF + UG Iteration 2'!P$15)</f>
        <v>8.7196357277506973</v>
      </c>
      <c r="E207" s="37">
        <f>'GF + UG Iteration 2'!E207</f>
        <v>0</v>
      </c>
      <c r="F207" s="35">
        <f>'GF + UG Iteration 2'!F207</f>
        <v>1.5999999999999996</v>
      </c>
      <c r="G207" s="36">
        <f>'GF + UG Iteration 2'!G207</f>
        <v>4.5619922667121129</v>
      </c>
      <c r="H207" s="38">
        <f>'GF + UG Iteration 2'!H207</f>
        <v>2014</v>
      </c>
      <c r="I207" s="35">
        <f t="shared" si="20"/>
        <v>10.1</v>
      </c>
      <c r="J207" s="36">
        <f t="shared" si="21"/>
        <v>13.281627994462809</v>
      </c>
      <c r="K207" s="38">
        <f t="shared" si="22"/>
        <v>2014</v>
      </c>
      <c r="M207" s="21">
        <f t="shared" si="23"/>
        <v>2.3125354238472138</v>
      </c>
      <c r="N207" s="21">
        <f t="shared" si="24"/>
        <v>2.5863817264792432</v>
      </c>
    </row>
    <row r="208" spans="1:14" x14ac:dyDescent="0.2">
      <c r="A208" s="33">
        <f>'GF + UG Iteration 2'!A208</f>
        <v>1670</v>
      </c>
      <c r="B208" s="34" t="str">
        <f>'GF + UG Iteration 2'!B208</f>
        <v>UG</v>
      </c>
      <c r="C208" s="35">
        <f>'GF + UG Iteration 2'!C208</f>
        <v>31.45</v>
      </c>
      <c r="D208" s="36">
        <f>'GF + UG Iteration 2'!P$16*(C208^'GF + UG Iteration 2'!P$15)</f>
        <v>18.073615142833948</v>
      </c>
      <c r="E208" s="37">
        <f>'GF + UG Iteration 2'!E208</f>
        <v>0</v>
      </c>
      <c r="F208" s="35">
        <f>'GF + UG Iteration 2'!F208</f>
        <v>24.250000000000004</v>
      </c>
      <c r="G208" s="36">
        <f>'GF + UG Iteration 2'!G208</f>
        <v>2.7943521582603679</v>
      </c>
      <c r="H208" s="38">
        <f>'GF + UG Iteration 2'!H208</f>
        <v>2016</v>
      </c>
      <c r="I208" s="35">
        <f t="shared" si="20"/>
        <v>55.7</v>
      </c>
      <c r="J208" s="36">
        <f t="shared" si="21"/>
        <v>20.867967301094314</v>
      </c>
      <c r="K208" s="38">
        <f t="shared" si="22"/>
        <v>2016</v>
      </c>
      <c r="M208" s="21">
        <f t="shared" si="23"/>
        <v>4.0199801469332384</v>
      </c>
      <c r="N208" s="21">
        <f t="shared" si="24"/>
        <v>3.0382153182188341</v>
      </c>
    </row>
    <row r="209" spans="1:14" x14ac:dyDescent="0.2">
      <c r="A209" s="33">
        <f>'GF + UG Iteration 2'!A209</f>
        <v>579</v>
      </c>
      <c r="B209" s="34" t="str">
        <f>'GF + UG Iteration 2'!B209</f>
        <v>UG</v>
      </c>
      <c r="C209" s="35">
        <f>'GF + UG Iteration 2'!C209</f>
        <v>17.100000000000001</v>
      </c>
      <c r="D209" s="36">
        <f>'GF + UG Iteration 2'!P$16*(C209^'GF + UG Iteration 2'!P$15)</f>
        <v>12.871287683139323</v>
      </c>
      <c r="E209" s="37" t="str">
        <f>'GF + UG Iteration 2'!E209</f>
        <v>unknown</v>
      </c>
      <c r="F209" s="35">
        <f>'GF + UG Iteration 2'!F209</f>
        <v>11</v>
      </c>
      <c r="G209" s="36">
        <f>'GF + UG Iteration 2'!G209</f>
        <v>3.6516230200538073</v>
      </c>
      <c r="H209" s="38">
        <f>'GF + UG Iteration 2'!H209</f>
        <v>2008</v>
      </c>
      <c r="I209" s="35">
        <f t="shared" si="20"/>
        <v>28.1</v>
      </c>
      <c r="J209" s="36">
        <f t="shared" si="21"/>
        <v>16.52291070319313</v>
      </c>
      <c r="K209" s="38">
        <f t="shared" si="22"/>
        <v>2008</v>
      </c>
      <c r="M209" s="21">
        <f t="shared" si="23"/>
        <v>3.3357695763396999</v>
      </c>
      <c r="N209" s="21">
        <f t="shared" si="24"/>
        <v>2.8047479452599591</v>
      </c>
    </row>
    <row r="210" spans="1:14" x14ac:dyDescent="0.2">
      <c r="A210" s="33">
        <f>'GF + UG Iteration 2'!A210</f>
        <v>1670</v>
      </c>
      <c r="B210" s="34" t="str">
        <f>'GF + UG Iteration 2'!B210</f>
        <v>UG</v>
      </c>
      <c r="C210" s="35">
        <f>'GF + UG Iteration 2'!C210</f>
        <v>18.79</v>
      </c>
      <c r="D210" s="36">
        <f>'GF + UG Iteration 2'!P$16*(C210^'GF + UG Iteration 2'!P$15)</f>
        <v>13.565149421573306</v>
      </c>
      <c r="E210" s="37">
        <f>'GF + UG Iteration 2'!E210</f>
        <v>0</v>
      </c>
      <c r="F210" s="35">
        <f>'GF + UG Iteration 2'!F210</f>
        <v>30.509999999999998</v>
      </c>
      <c r="G210" s="36">
        <f>'GF + UG Iteration 2'!G210</f>
        <v>18.363697996227653</v>
      </c>
      <c r="H210" s="38">
        <f>'GF + UG Iteration 2'!H210</f>
        <v>2016</v>
      </c>
      <c r="I210" s="35">
        <f t="shared" si="20"/>
        <v>49.3</v>
      </c>
      <c r="J210" s="36">
        <f t="shared" si="21"/>
        <v>31.928847417800959</v>
      </c>
      <c r="K210" s="38">
        <f t="shared" si="22"/>
        <v>2016</v>
      </c>
      <c r="M210" s="21">
        <f t="shared" si="23"/>
        <v>3.8979240810486444</v>
      </c>
      <c r="N210" s="21">
        <f t="shared" si="24"/>
        <v>3.4635099089189234</v>
      </c>
    </row>
    <row r="211" spans="1:14" x14ac:dyDescent="0.2">
      <c r="A211" s="33">
        <f>'GF + UG Iteration 2'!A211</f>
        <v>1083</v>
      </c>
      <c r="B211" s="34" t="str">
        <f>'GF + UG Iteration 2'!B211</f>
        <v>UG</v>
      </c>
      <c r="C211" s="35">
        <f>'GF + UG Iteration 2'!C211</f>
        <v>7.53</v>
      </c>
      <c r="D211" s="36">
        <f>'GF + UG Iteration 2'!P$16*(C211^'GF + UG Iteration 2'!P$15)</f>
        <v>8.150446486101</v>
      </c>
      <c r="E211" s="37">
        <f>'GF + UG Iteration 2'!E211</f>
        <v>1981</v>
      </c>
      <c r="F211" s="35">
        <f>'GF + UG Iteration 2'!F211</f>
        <v>5.87</v>
      </c>
      <c r="G211" s="36">
        <f>'GF + UG Iteration 2'!G211</f>
        <v>7.4125108979310461</v>
      </c>
      <c r="H211" s="38">
        <f>'GF + UG Iteration 2'!H211</f>
        <v>2011</v>
      </c>
      <c r="I211" s="35">
        <f t="shared" si="20"/>
        <v>13.4</v>
      </c>
      <c r="J211" s="36">
        <f t="shared" si="21"/>
        <v>15.562957384032046</v>
      </c>
      <c r="K211" s="38">
        <f t="shared" si="22"/>
        <v>2011</v>
      </c>
      <c r="M211" s="21">
        <f t="shared" si="23"/>
        <v>2.5952547069568657</v>
      </c>
      <c r="N211" s="21">
        <f t="shared" si="24"/>
        <v>2.7448935639316501</v>
      </c>
    </row>
    <row r="212" spans="1:14" x14ac:dyDescent="0.2">
      <c r="A212" s="33">
        <f>'GF + UG Iteration 2'!A212</f>
        <v>552</v>
      </c>
      <c r="B212" s="34" t="str">
        <f>'GF + UG Iteration 2'!B212</f>
        <v>UG</v>
      </c>
      <c r="C212" s="35">
        <f>'GF + UG Iteration 2'!C212</f>
        <v>20.229999999999997</v>
      </c>
      <c r="D212" s="36">
        <f>'GF + UG Iteration 2'!P$16*(C212^'GF + UG Iteration 2'!P$15)</f>
        <v>14.134822661496376</v>
      </c>
      <c r="E212" s="37">
        <f>'GF + UG Iteration 2'!E212</f>
        <v>1991</v>
      </c>
      <c r="F212" s="35">
        <f>'GF + UG Iteration 2'!F212</f>
        <v>10.470000000000002</v>
      </c>
      <c r="G212" s="36">
        <f>'GF + UG Iteration 2'!G212</f>
        <v>1.1457716756011658</v>
      </c>
      <c r="H212" s="38">
        <f>'GF + UG Iteration 2'!H212</f>
        <v>2006</v>
      </c>
      <c r="I212" s="35">
        <f t="shared" si="20"/>
        <v>30.7</v>
      </c>
      <c r="J212" s="36">
        <f t="shared" si="21"/>
        <v>15.280594337097542</v>
      </c>
      <c r="K212" s="38">
        <f t="shared" si="22"/>
        <v>2006</v>
      </c>
      <c r="M212" s="21">
        <f t="shared" si="23"/>
        <v>3.4242626545931514</v>
      </c>
      <c r="N212" s="21">
        <f t="shared" si="24"/>
        <v>2.7265836793888361</v>
      </c>
    </row>
    <row r="213" spans="1:14" x14ac:dyDescent="0.2">
      <c r="A213" s="33">
        <f>'GF + UG Iteration 2'!A213</f>
        <v>1311</v>
      </c>
      <c r="B213" s="34" t="str">
        <f>'GF + UG Iteration 2'!B213</f>
        <v>UG</v>
      </c>
      <c r="C213" s="35">
        <f>'GF + UG Iteration 2'!C213</f>
        <v>30.7</v>
      </c>
      <c r="D213" s="36">
        <f>'GF + UG Iteration 2'!P$16*(C213^'GF + UG Iteration 2'!P$15)</f>
        <v>17.832216465374263</v>
      </c>
      <c r="E213" s="37">
        <f>'GF + UG Iteration 2'!E213</f>
        <v>1991</v>
      </c>
      <c r="F213" s="35">
        <f>'GF + UG Iteration 2'!F213</f>
        <v>19.3</v>
      </c>
      <c r="G213" s="36">
        <f>'GF + UG Iteration 2'!G213</f>
        <v>5.9841430822776953</v>
      </c>
      <c r="H213" s="38">
        <f>'GF + UG Iteration 2'!H213</f>
        <v>2013</v>
      </c>
      <c r="I213" s="35">
        <f t="shared" si="20"/>
        <v>50</v>
      </c>
      <c r="J213" s="36">
        <f t="shared" si="21"/>
        <v>23.816359547651956</v>
      </c>
      <c r="K213" s="38">
        <f t="shared" si="22"/>
        <v>2013</v>
      </c>
      <c r="M213" s="21">
        <f t="shared" si="23"/>
        <v>3.912023005428146</v>
      </c>
      <c r="N213" s="21">
        <f t="shared" si="24"/>
        <v>3.1703727204945449</v>
      </c>
    </row>
    <row r="214" spans="1:14" x14ac:dyDescent="0.2">
      <c r="A214" s="33">
        <f>'GF + UG Iteration 2'!A214</f>
        <v>1078</v>
      </c>
      <c r="B214" s="34" t="str">
        <f>'GF + UG Iteration 2'!B214</f>
        <v>UG</v>
      </c>
      <c r="C214" s="35">
        <f>'GF + UG Iteration 2'!C214</f>
        <v>17.66</v>
      </c>
      <c r="D214" s="36">
        <f>'GF + UG Iteration 2'!P$16*(C214^'GF + UG Iteration 2'!P$15)</f>
        <v>13.104438584866459</v>
      </c>
      <c r="E214" s="37">
        <f>'GF + UG Iteration 2'!E214</f>
        <v>1957</v>
      </c>
      <c r="F214" s="35">
        <f>'GF + UG Iteration 2'!F214</f>
        <v>7.34</v>
      </c>
      <c r="G214" s="36">
        <f>'GF + UG Iteration 2'!G214</f>
        <v>1.0936387702296273</v>
      </c>
      <c r="H214" s="38">
        <f>'GF + UG Iteration 2'!H214</f>
        <v>2011</v>
      </c>
      <c r="I214" s="35">
        <f t="shared" si="20"/>
        <v>25</v>
      </c>
      <c r="J214" s="36">
        <f t="shared" si="21"/>
        <v>14.198077355096087</v>
      </c>
      <c r="K214" s="38">
        <f t="shared" si="22"/>
        <v>2011</v>
      </c>
      <c r="M214" s="21">
        <f t="shared" si="23"/>
        <v>3.2188758248682006</v>
      </c>
      <c r="N214" s="21">
        <f t="shared" si="24"/>
        <v>2.6531065579116975</v>
      </c>
    </row>
    <row r="215" spans="1:14" x14ac:dyDescent="0.2">
      <c r="A215" s="33">
        <f>'GF + UG Iteration 2'!A215</f>
        <v>495</v>
      </c>
      <c r="B215" s="34" t="str">
        <f>'GF + UG Iteration 2'!B215</f>
        <v>UG</v>
      </c>
      <c r="C215" s="35">
        <f>'GF + UG Iteration 2'!C215</f>
        <v>12.974</v>
      </c>
      <c r="D215" s="36">
        <f>'GF + UG Iteration 2'!P$16*(C215^'GF + UG Iteration 2'!P$15)</f>
        <v>11.036033549742674</v>
      </c>
      <c r="E215" s="37">
        <f>'GF + UG Iteration 2'!E215</f>
        <v>1982</v>
      </c>
      <c r="F215" s="35">
        <f>'GF + UG Iteration 2'!F215</f>
        <v>0</v>
      </c>
      <c r="G215" s="36">
        <f>'GF + UG Iteration 2'!G215</f>
        <v>3.5907902166068872</v>
      </c>
      <c r="H215" s="38">
        <f>'GF + UG Iteration 2'!H215</f>
        <v>2006</v>
      </c>
      <c r="I215" s="35">
        <f t="shared" si="20"/>
        <v>12.974</v>
      </c>
      <c r="J215" s="36">
        <f t="shared" si="21"/>
        <v>14.626823766349561</v>
      </c>
      <c r="K215" s="38">
        <f t="shared" si="22"/>
        <v>2006</v>
      </c>
      <c r="M215" s="21">
        <f t="shared" si="23"/>
        <v>2.5629473547908637</v>
      </c>
      <c r="N215" s="21">
        <f t="shared" si="24"/>
        <v>2.6828570873158952</v>
      </c>
    </row>
    <row r="216" spans="1:14" x14ac:dyDescent="0.2">
      <c r="A216" s="33">
        <f>'GF + UG Iteration 2'!A216</f>
        <v>383</v>
      </c>
      <c r="B216" s="34" t="str">
        <f>'GF + UG Iteration 2'!B216</f>
        <v>UG</v>
      </c>
      <c r="C216" s="35">
        <f>'GF + UG Iteration 2'!C216</f>
        <v>0.51</v>
      </c>
      <c r="D216" s="36">
        <f>'GF + UG Iteration 2'!P$16*(C216^'GF + UG Iteration 2'!P$15)</f>
        <v>1.8188762908287341</v>
      </c>
      <c r="E216" s="37">
        <f>'GF + UG Iteration 2'!E216</f>
        <v>1984</v>
      </c>
      <c r="F216" s="35">
        <f>'GF + UG Iteration 2'!F216</f>
        <v>8</v>
      </c>
      <c r="G216" s="36">
        <f>'GF + UG Iteration 2'!G216</f>
        <v>3.9501723720469593</v>
      </c>
      <c r="H216" s="38">
        <f>'GF + UG Iteration 2'!H216</f>
        <v>2005</v>
      </c>
      <c r="I216" s="35">
        <f t="shared" si="20"/>
        <v>8.51</v>
      </c>
      <c r="J216" s="36">
        <f t="shared" si="21"/>
        <v>5.7690486628756936</v>
      </c>
      <c r="K216" s="38">
        <f t="shared" si="22"/>
        <v>2005</v>
      </c>
      <c r="M216" s="21">
        <f t="shared" si="23"/>
        <v>2.1412419425852827</v>
      </c>
      <c r="N216" s="21">
        <f t="shared" si="24"/>
        <v>1.7525071904750389</v>
      </c>
    </row>
    <row r="217" spans="1:14" x14ac:dyDescent="0.2">
      <c r="A217" s="33">
        <f>'GF + UG Iteration 2'!A217</f>
        <v>1020</v>
      </c>
      <c r="B217" s="34" t="str">
        <f>'GF + UG Iteration 2'!B217</f>
        <v>UG</v>
      </c>
      <c r="C217" s="35">
        <f>'GF + UG Iteration 2'!C217</f>
        <v>13</v>
      </c>
      <c r="D217" s="36">
        <f>'GF + UG Iteration 2'!P$16*(C217^'GF + UG Iteration 2'!P$15)</f>
        <v>11.048349136352515</v>
      </c>
      <c r="E217" s="37">
        <f>'GF + UG Iteration 2'!E217</f>
        <v>1977</v>
      </c>
      <c r="F217" s="35">
        <f>'GF + UG Iteration 2'!F217</f>
        <v>9</v>
      </c>
      <c r="G217" s="36">
        <f>'GF + UG Iteration 2'!G217</f>
        <v>7.3449786888029998</v>
      </c>
      <c r="H217" s="38">
        <f>'GF + UG Iteration 2'!H217</f>
        <v>2010</v>
      </c>
      <c r="I217" s="35">
        <f t="shared" si="20"/>
        <v>22</v>
      </c>
      <c r="J217" s="36">
        <f t="shared" si="21"/>
        <v>18.393327825155517</v>
      </c>
      <c r="K217" s="38">
        <f t="shared" si="22"/>
        <v>2010</v>
      </c>
      <c r="M217" s="21">
        <f t="shared" si="23"/>
        <v>3.0910424533583161</v>
      </c>
      <c r="N217" s="21">
        <f t="shared" si="24"/>
        <v>2.9119879806549931</v>
      </c>
    </row>
    <row r="218" spans="1:14" x14ac:dyDescent="0.2">
      <c r="A218" s="33">
        <f>'GF + UG Iteration 2'!A218</f>
        <v>1364</v>
      </c>
      <c r="B218" s="34" t="str">
        <f>'GF + UG Iteration 2'!B218</f>
        <v>UG</v>
      </c>
      <c r="C218" s="35">
        <f>'GF + UG Iteration 2'!C218</f>
        <v>8.5</v>
      </c>
      <c r="D218" s="36">
        <f>'GF + UG Iteration 2'!P$16*(C218^'GF + UG Iteration 2'!P$15)</f>
        <v>8.7196357277506973</v>
      </c>
      <c r="E218" s="37">
        <f>'GF + UG Iteration 2'!E218</f>
        <v>0</v>
      </c>
      <c r="F218" s="35">
        <f>'GF + UG Iteration 2'!F218</f>
        <v>34</v>
      </c>
      <c r="G218" s="36">
        <f>'GF + UG Iteration 2'!G218</f>
        <v>8.7951197470845859</v>
      </c>
      <c r="H218" s="38">
        <f>'GF + UG Iteration 2'!H218</f>
        <v>2013</v>
      </c>
      <c r="I218" s="35">
        <f t="shared" si="20"/>
        <v>42.5</v>
      </c>
      <c r="J218" s="36">
        <f t="shared" si="21"/>
        <v>17.514755474835283</v>
      </c>
      <c r="K218" s="38">
        <f t="shared" si="22"/>
        <v>2013</v>
      </c>
      <c r="M218" s="21">
        <f t="shared" si="23"/>
        <v>3.7495040759303713</v>
      </c>
      <c r="N218" s="21">
        <f t="shared" si="24"/>
        <v>2.8630436956519265</v>
      </c>
    </row>
    <row r="219" spans="1:14" x14ac:dyDescent="0.2">
      <c r="A219" s="33">
        <f>'GF + UG Iteration 2'!A219</f>
        <v>503</v>
      </c>
      <c r="B219" s="34" t="str">
        <f>'GF + UG Iteration 2'!B219</f>
        <v>UG</v>
      </c>
      <c r="C219" s="35">
        <f>'GF + UG Iteration 2'!C219</f>
        <v>31</v>
      </c>
      <c r="D219" s="36">
        <f>'GF + UG Iteration 2'!P$16*(C219^'GF + UG Iteration 2'!P$15)</f>
        <v>17.929085953548807</v>
      </c>
      <c r="E219" s="37">
        <f>'GF + UG Iteration 2'!E219</f>
        <v>1972</v>
      </c>
      <c r="F219" s="35">
        <f>'GF + UG Iteration 2'!F219</f>
        <v>16</v>
      </c>
      <c r="G219" s="36">
        <f>'GF + UG Iteration 2'!G219</f>
        <v>3.8033222269089473</v>
      </c>
      <c r="H219" s="38">
        <f>'GF + UG Iteration 2'!H219</f>
        <v>2007</v>
      </c>
      <c r="I219" s="35">
        <f t="shared" si="20"/>
        <v>47</v>
      </c>
      <c r="J219" s="36">
        <f t="shared" si="21"/>
        <v>21.732408180457753</v>
      </c>
      <c r="K219" s="38">
        <f t="shared" si="22"/>
        <v>2007</v>
      </c>
      <c r="M219" s="21">
        <f t="shared" si="23"/>
        <v>3.8501476017100584</v>
      </c>
      <c r="N219" s="21">
        <f t="shared" si="24"/>
        <v>3.0788046109745926</v>
      </c>
    </row>
    <row r="220" spans="1:14" x14ac:dyDescent="0.2">
      <c r="A220" s="33">
        <f>'GF + UG Iteration 2'!A220</f>
        <v>925</v>
      </c>
      <c r="B220" s="34" t="str">
        <f>'GF + UG Iteration 2'!B220</f>
        <v>UG</v>
      </c>
      <c r="C220" s="35">
        <f>'GF + UG Iteration 2'!C220</f>
        <v>47</v>
      </c>
      <c r="D220" s="36">
        <f>'GF + UG Iteration 2'!P$16*(C220^'GF + UG Iteration 2'!P$15)</f>
        <v>22.60719840753012</v>
      </c>
      <c r="E220" s="37">
        <f>'GF + UG Iteration 2'!E220</f>
        <v>1972</v>
      </c>
      <c r="F220" s="35">
        <f>'GF + UG Iteration 2'!F220</f>
        <v>9</v>
      </c>
      <c r="G220" s="36">
        <f>'GF + UG Iteration 2'!G220</f>
        <v>3.3164697860941139</v>
      </c>
      <c r="H220" s="38">
        <f>'GF + UG Iteration 2'!H220</f>
        <v>2011</v>
      </c>
      <c r="I220" s="35">
        <f t="shared" si="20"/>
        <v>56</v>
      </c>
      <c r="J220" s="36">
        <f t="shared" si="21"/>
        <v>25.923668193624234</v>
      </c>
      <c r="K220" s="38">
        <f t="shared" si="22"/>
        <v>2011</v>
      </c>
      <c r="M220" s="21">
        <f t="shared" si="23"/>
        <v>4.0253516907351496</v>
      </c>
      <c r="N220" s="21">
        <f t="shared" si="24"/>
        <v>3.2551563812868394</v>
      </c>
    </row>
    <row r="221" spans="1:14" x14ac:dyDescent="0.2">
      <c r="A221" s="33">
        <f>'GF + UG Iteration 2'!A221</f>
        <v>821</v>
      </c>
      <c r="B221" s="34" t="str">
        <f>'GF + UG Iteration 2'!B221</f>
        <v>UG</v>
      </c>
      <c r="C221" s="35">
        <f>'GF + UG Iteration 2'!C221</f>
        <v>25</v>
      </c>
      <c r="D221" s="36">
        <f>'GF + UG Iteration 2'!P$16*(C221^'GF + UG Iteration 2'!P$15)</f>
        <v>15.904231205617577</v>
      </c>
      <c r="E221" s="37">
        <f>'GF + UG Iteration 2'!E221</f>
        <v>2006</v>
      </c>
      <c r="F221" s="35">
        <f>'GF + UG Iteration 2'!F221</f>
        <v>32</v>
      </c>
      <c r="G221" s="36">
        <f>'GF + UG Iteration 2'!G221</f>
        <v>9.4177371403666275</v>
      </c>
      <c r="H221" s="38">
        <f>'GF + UG Iteration 2'!H221</f>
        <v>2011</v>
      </c>
      <c r="I221" s="35">
        <f t="shared" si="20"/>
        <v>57</v>
      </c>
      <c r="J221" s="36">
        <f t="shared" si="21"/>
        <v>25.321968345984203</v>
      </c>
      <c r="K221" s="38">
        <f t="shared" si="22"/>
        <v>2011</v>
      </c>
      <c r="M221" s="21">
        <f t="shared" si="23"/>
        <v>4.0430512678345503</v>
      </c>
      <c r="N221" s="21">
        <f t="shared" si="24"/>
        <v>3.2316723330374191</v>
      </c>
    </row>
    <row r="222" spans="1:14" x14ac:dyDescent="0.2">
      <c r="A222" s="33">
        <f>'GF + UG Iteration 2'!A222</f>
        <v>486</v>
      </c>
      <c r="B222" s="34" t="str">
        <f>'GF + UG Iteration 2'!B222</f>
        <v>UG</v>
      </c>
      <c r="C222" s="35">
        <f>'GF + UG Iteration 2'!C222</f>
        <v>10.81</v>
      </c>
      <c r="D222" s="36">
        <f>'GF + UG Iteration 2'!P$16*(C222^'GF + UG Iteration 2'!P$15)</f>
        <v>9.9692762331193574</v>
      </c>
      <c r="E222" s="37">
        <f>'GF + UG Iteration 2'!E222</f>
        <v>1993</v>
      </c>
      <c r="F222" s="35">
        <f>'GF + UG Iteration 2'!F222</f>
        <v>3.1399999999999988</v>
      </c>
      <c r="G222" s="36">
        <f>'GF + UG Iteration 2'!G222</f>
        <v>0.34692120274319505</v>
      </c>
      <c r="H222" s="38">
        <f>'GF + UG Iteration 2'!H222</f>
        <v>2005</v>
      </c>
      <c r="I222" s="35">
        <f t="shared" si="20"/>
        <v>13.95</v>
      </c>
      <c r="J222" s="36">
        <f t="shared" si="21"/>
        <v>10.316197435862552</v>
      </c>
      <c r="K222" s="38">
        <f t="shared" si="22"/>
        <v>2005</v>
      </c>
      <c r="M222" s="21">
        <f t="shared" si="23"/>
        <v>2.6354795082673745</v>
      </c>
      <c r="N222" s="21">
        <f t="shared" si="24"/>
        <v>2.3337152266361239</v>
      </c>
    </row>
    <row r="223" spans="1:14" x14ac:dyDescent="0.2">
      <c r="A223" s="33">
        <f>'GF + UG Iteration 2'!A223</f>
        <v>779</v>
      </c>
      <c r="B223" s="34" t="str">
        <f>'GF + UG Iteration 2'!B223</f>
        <v>UG</v>
      </c>
      <c r="C223" s="35">
        <f>'GF + UG Iteration 2'!C223</f>
        <v>13.95</v>
      </c>
      <c r="D223" s="36">
        <f>'GF + UG Iteration 2'!P$16*(C223^'GF + UG Iteration 2'!P$15)</f>
        <v>11.491108374986258</v>
      </c>
      <c r="E223" s="37">
        <f>'GF + UG Iteration 2'!E223</f>
        <v>1993</v>
      </c>
      <c r="F223" s="35">
        <f>'GF + UG Iteration 2'!F223</f>
        <v>4.0500000000000007</v>
      </c>
      <c r="G223" s="36">
        <f>'GF + UG Iteration 2'!G223</f>
        <v>0.91575874480529229</v>
      </c>
      <c r="H223" s="38">
        <f>'GF + UG Iteration 2'!H223</f>
        <v>2008</v>
      </c>
      <c r="I223" s="35">
        <f t="shared" si="20"/>
        <v>18</v>
      </c>
      <c r="J223" s="36">
        <f t="shared" si="21"/>
        <v>12.406867119791549</v>
      </c>
      <c r="K223" s="38">
        <f t="shared" si="22"/>
        <v>2008</v>
      </c>
      <c r="M223" s="21">
        <f t="shared" si="23"/>
        <v>2.8903717578961645</v>
      </c>
      <c r="N223" s="21">
        <f t="shared" si="24"/>
        <v>2.5182501193035622</v>
      </c>
    </row>
    <row r="224" spans="1:14" x14ac:dyDescent="0.2">
      <c r="A224" s="33">
        <f>'GF + UG Iteration 2'!A224</f>
        <v>1416</v>
      </c>
      <c r="B224" s="34" t="str">
        <f>'GF + UG Iteration 2'!B224</f>
        <v>UG</v>
      </c>
      <c r="C224" s="35">
        <f>'GF + UG Iteration 2'!C224</f>
        <v>18</v>
      </c>
      <c r="D224" s="36">
        <f>'GF + UG Iteration 2'!P$16*(C224^'GF + UG Iteration 2'!P$15)</f>
        <v>13.244398390731305</v>
      </c>
      <c r="E224" s="37">
        <f>'GF + UG Iteration 2'!E224</f>
        <v>1993</v>
      </c>
      <c r="F224" s="35">
        <f>'GF + UG Iteration 2'!F224</f>
        <v>6</v>
      </c>
      <c r="G224" s="36">
        <f>'GF + UG Iteration 2'!G224</f>
        <v>1.4181567457767223</v>
      </c>
      <c r="H224" s="38">
        <f>'GF + UG Iteration 2'!H224</f>
        <v>2014</v>
      </c>
      <c r="I224" s="35">
        <f t="shared" si="20"/>
        <v>24</v>
      </c>
      <c r="J224" s="36">
        <f t="shared" si="21"/>
        <v>14.662555136508027</v>
      </c>
      <c r="K224" s="38">
        <f t="shared" si="22"/>
        <v>2014</v>
      </c>
      <c r="M224" s="21">
        <f t="shared" si="23"/>
        <v>3.1780538303479458</v>
      </c>
      <c r="N224" s="21">
        <f t="shared" si="24"/>
        <v>2.6852969743481778</v>
      </c>
    </row>
    <row r="225" spans="1:14" x14ac:dyDescent="0.2">
      <c r="A225" s="33">
        <f>'GF + UG Iteration 2'!A225</f>
        <v>554</v>
      </c>
      <c r="B225" s="34" t="str">
        <f>'GF + UG Iteration 2'!B225</f>
        <v>UG</v>
      </c>
      <c r="C225" s="35">
        <f>'GF + UG Iteration 2'!C225</f>
        <v>23</v>
      </c>
      <c r="D225" s="36">
        <f>'GF + UG Iteration 2'!P$16*(C225^'GF + UG Iteration 2'!P$15)</f>
        <v>15.182342452397922</v>
      </c>
      <c r="E225" s="37">
        <f>'GF + UG Iteration 2'!E225</f>
        <v>1968</v>
      </c>
      <c r="F225" s="35">
        <f>'GF + UG Iteration 2'!F225</f>
        <v>8.2600000000000016</v>
      </c>
      <c r="G225" s="36">
        <f>'GF + UG Iteration 2'!G225</f>
        <v>1.061095708813089</v>
      </c>
      <c r="H225" s="38">
        <f>'GF + UG Iteration 2'!H225</f>
        <v>2006</v>
      </c>
      <c r="I225" s="35">
        <f t="shared" si="20"/>
        <v>31.26</v>
      </c>
      <c r="J225" s="36">
        <f t="shared" si="21"/>
        <v>16.24343816121101</v>
      </c>
      <c r="K225" s="38">
        <f t="shared" si="22"/>
        <v>2006</v>
      </c>
      <c r="M225" s="21">
        <f t="shared" si="23"/>
        <v>3.4423393249933305</v>
      </c>
      <c r="N225" s="21">
        <f t="shared" si="24"/>
        <v>2.7876890217604275</v>
      </c>
    </row>
    <row r="226" spans="1:14" x14ac:dyDescent="0.2">
      <c r="A226" s="33">
        <f>'GF + UG Iteration 2'!A226</f>
        <v>1581</v>
      </c>
      <c r="B226" s="34" t="str">
        <f>'GF + UG Iteration 2'!B226</f>
        <v>UG</v>
      </c>
      <c r="C226" s="35">
        <f>'GF + UG Iteration 2'!C226</f>
        <v>7.44</v>
      </c>
      <c r="D226" s="36">
        <f>'GF + UG Iteration 2'!P$16*(C226^'GF + UG Iteration 2'!P$15)</f>
        <v>8.0960314689949886</v>
      </c>
      <c r="E226" s="37" t="str">
        <f>'GF + UG Iteration 2'!E226</f>
        <v>unknown</v>
      </c>
      <c r="F226" s="35">
        <f>'GF + UG Iteration 2'!F226</f>
        <v>9.36</v>
      </c>
      <c r="G226" s="36">
        <f>'GF + UG Iteration 2'!G226</f>
        <v>5.3848313505476417</v>
      </c>
      <c r="H226" s="38">
        <f>'GF + UG Iteration 2'!H226</f>
        <v>2015</v>
      </c>
      <c r="I226" s="35">
        <f t="shared" si="20"/>
        <v>16.8</v>
      </c>
      <c r="J226" s="36">
        <f t="shared" si="21"/>
        <v>13.480862819542629</v>
      </c>
      <c r="K226" s="38">
        <f t="shared" si="22"/>
        <v>2015</v>
      </c>
      <c r="M226" s="21">
        <f t="shared" si="23"/>
        <v>2.8213788864092133</v>
      </c>
      <c r="N226" s="21">
        <f t="shared" si="24"/>
        <v>2.6012711108202438</v>
      </c>
    </row>
    <row r="227" spans="1:14" x14ac:dyDescent="0.2">
      <c r="A227" s="33">
        <f>'GF + UG Iteration 2'!A227</f>
        <v>880</v>
      </c>
      <c r="B227" s="34" t="str">
        <f>'GF + UG Iteration 2'!B227</f>
        <v>UG</v>
      </c>
      <c r="C227" s="35">
        <f>'GF + UG Iteration 2'!C227</f>
        <v>8.9499999999999993</v>
      </c>
      <c r="D227" s="36">
        <f>'GF + UG Iteration 2'!P$16*(C227^'GF + UG Iteration 2'!P$15)</f>
        <v>8.9738691167815343</v>
      </c>
      <c r="E227" s="37">
        <f>'GF + UG Iteration 2'!E227</f>
        <v>1966</v>
      </c>
      <c r="F227" s="35">
        <f>'GF + UG Iteration 2'!F227</f>
        <v>2.0500000000000007</v>
      </c>
      <c r="G227" s="36">
        <f>'GF + UG Iteration 2'!G227</f>
        <v>4.5763928166345611</v>
      </c>
      <c r="H227" s="38">
        <f>'GF + UG Iteration 2'!H227</f>
        <v>2010</v>
      </c>
      <c r="I227" s="35">
        <f t="shared" si="20"/>
        <v>11</v>
      </c>
      <c r="J227" s="36">
        <f t="shared" si="21"/>
        <v>13.550261933416095</v>
      </c>
      <c r="K227" s="38">
        <f t="shared" si="22"/>
        <v>2010</v>
      </c>
      <c r="M227" s="21">
        <f t="shared" si="23"/>
        <v>2.3978952727983707</v>
      </c>
      <c r="N227" s="21">
        <f t="shared" si="24"/>
        <v>2.6064058780182875</v>
      </c>
    </row>
    <row r="228" spans="1:14" x14ac:dyDescent="0.2">
      <c r="A228" s="33">
        <f>'GF + UG Iteration 2'!A228</f>
        <v>1047</v>
      </c>
      <c r="B228" s="34" t="str">
        <f>'GF + UG Iteration 2'!B228</f>
        <v>UG</v>
      </c>
      <c r="C228" s="35">
        <f>'GF + UG Iteration 2'!C228</f>
        <v>10</v>
      </c>
      <c r="D228" s="36">
        <f>'GF + UG Iteration 2'!P$16*(C228^'GF + UG Iteration 2'!P$15)</f>
        <v>9.5459519927801075</v>
      </c>
      <c r="E228" s="37">
        <f>'GF + UG Iteration 2'!E228</f>
        <v>1965</v>
      </c>
      <c r="F228" s="35">
        <f>'GF + UG Iteration 2'!F228</f>
        <v>5</v>
      </c>
      <c r="G228" s="36">
        <f>'GF + UG Iteration 2'!G228</f>
        <v>6.2586429220605622</v>
      </c>
      <c r="H228" s="38">
        <f>'GF + UG Iteration 2'!H228</f>
        <v>2012</v>
      </c>
      <c r="I228" s="35">
        <f t="shared" si="20"/>
        <v>15</v>
      </c>
      <c r="J228" s="36">
        <f t="shared" si="21"/>
        <v>15.804594914840671</v>
      </c>
      <c r="K228" s="38">
        <f t="shared" si="22"/>
        <v>2012</v>
      </c>
      <c r="M228" s="21">
        <f t="shared" si="23"/>
        <v>2.7080502011022101</v>
      </c>
      <c r="N228" s="21">
        <f t="shared" si="24"/>
        <v>2.7603007151487184</v>
      </c>
    </row>
    <row r="229" spans="1:14" x14ac:dyDescent="0.2">
      <c r="A229" s="33">
        <f>'GF + UG Iteration 2'!A229</f>
        <v>1045</v>
      </c>
      <c r="B229" s="34" t="str">
        <f>'GF + UG Iteration 2'!B229</f>
        <v>UG</v>
      </c>
      <c r="C229" s="35">
        <f>'GF + UG Iteration 2'!C229</f>
        <v>24.065999999999999</v>
      </c>
      <c r="D229" s="36">
        <f>'GF + UG Iteration 2'!P$16*(C229^'GF + UG Iteration 2'!P$15)</f>
        <v>15.570421792154642</v>
      </c>
      <c r="E229" s="37">
        <f>'GF + UG Iteration 2'!E229</f>
        <v>1971</v>
      </c>
      <c r="F229" s="35">
        <f>'GF + UG Iteration 2'!F229</f>
        <v>7.9340000000000011</v>
      </c>
      <c r="G229" s="36">
        <f>'GF + UG Iteration 2'!G229</f>
        <v>3.8009199870921253</v>
      </c>
      <c r="H229" s="38">
        <f>'GF + UG Iteration 2'!H229</f>
        <v>2011</v>
      </c>
      <c r="I229" s="35">
        <f t="shared" si="20"/>
        <v>32</v>
      </c>
      <c r="J229" s="36">
        <f t="shared" si="21"/>
        <v>19.371341779246766</v>
      </c>
      <c r="K229" s="38">
        <f t="shared" si="22"/>
        <v>2011</v>
      </c>
      <c r="M229" s="21">
        <f t="shared" si="23"/>
        <v>3.4657359027997265</v>
      </c>
      <c r="N229" s="21">
        <f t="shared" si="24"/>
        <v>2.9637947460185803</v>
      </c>
    </row>
    <row r="230" spans="1:14" x14ac:dyDescent="0.2">
      <c r="A230" s="33">
        <f>'GF + UG Iteration 2'!A230</f>
        <v>1616</v>
      </c>
      <c r="B230" s="34" t="str">
        <f>'GF + UG Iteration 2'!B230</f>
        <v>UG</v>
      </c>
      <c r="C230" s="35">
        <f>'GF + UG Iteration 2'!C230</f>
        <v>21.68</v>
      </c>
      <c r="D230" s="36">
        <f>'GF + UG Iteration 2'!P$16*(C230^'GF + UG Iteration 2'!P$15)</f>
        <v>14.690573868514351</v>
      </c>
      <c r="E230" s="37" t="str">
        <f>'GF + UG Iteration 2'!E230</f>
        <v>unknown</v>
      </c>
      <c r="F230" s="35">
        <f>'GF + UG Iteration 2'!F230</f>
        <v>25.75</v>
      </c>
      <c r="G230" s="36">
        <f>'GF + UG Iteration 2'!G230</f>
        <v>0.84818580502502572</v>
      </c>
      <c r="H230" s="38">
        <f>'GF + UG Iteration 2'!H230</f>
        <v>2015</v>
      </c>
      <c r="I230" s="35">
        <f t="shared" si="20"/>
        <v>47.43</v>
      </c>
      <c r="J230" s="36">
        <f t="shared" si="21"/>
        <v>15.538759673539376</v>
      </c>
      <c r="K230" s="38">
        <f t="shared" si="22"/>
        <v>2015</v>
      </c>
      <c r="M230" s="21">
        <f t="shared" si="23"/>
        <v>3.8592549398894902</v>
      </c>
      <c r="N230" s="21">
        <f t="shared" si="24"/>
        <v>2.7433375266665516</v>
      </c>
    </row>
    <row r="231" spans="1:14" x14ac:dyDescent="0.2">
      <c r="A231" s="33">
        <f>'GF + UG Iteration 2'!A231</f>
        <v>362</v>
      </c>
      <c r="B231" s="34" t="str">
        <f>'GF + UG Iteration 2'!B231</f>
        <v>UG</v>
      </c>
      <c r="C231" s="35">
        <f>'GF + UG Iteration 2'!C231</f>
        <v>51.8</v>
      </c>
      <c r="D231" s="36">
        <f>'GF + UG Iteration 2'!P$16*(C231^'GF + UG Iteration 2'!P$15)</f>
        <v>23.865704026998444</v>
      </c>
      <c r="E231" s="37">
        <f>'GF + UG Iteration 2'!E231</f>
        <v>1971</v>
      </c>
      <c r="F231" s="35">
        <f>'GF + UG Iteration 2'!F231</f>
        <v>1</v>
      </c>
      <c r="G231" s="36">
        <f>'GF + UG Iteration 2'!G231</f>
        <v>0.78848028183233532</v>
      </c>
      <c r="H231" s="38">
        <f>'GF + UG Iteration 2'!H231</f>
        <v>2004</v>
      </c>
      <c r="I231" s="35">
        <f t="shared" si="20"/>
        <v>52.8</v>
      </c>
      <c r="J231" s="36">
        <f t="shared" si="21"/>
        <v>24.654184308830779</v>
      </c>
      <c r="K231" s="38">
        <f t="shared" si="22"/>
        <v>2004</v>
      </c>
      <c r="M231" s="21">
        <f t="shared" si="23"/>
        <v>3.9665111907122159</v>
      </c>
      <c r="N231" s="21">
        <f t="shared" si="24"/>
        <v>3.2049466349199438</v>
      </c>
    </row>
    <row r="232" spans="1:14" x14ac:dyDescent="0.2">
      <c r="A232" s="33">
        <f>'GF + UG Iteration 2'!A232</f>
        <v>924</v>
      </c>
      <c r="B232" s="34" t="str">
        <f>'GF + UG Iteration 2'!B232</f>
        <v>UG</v>
      </c>
      <c r="C232" s="35">
        <f>'GF + UG Iteration 2'!C232</f>
        <v>45.94</v>
      </c>
      <c r="D232" s="36">
        <f>'GF + UG Iteration 2'!P$16*(C232^'GF + UG Iteration 2'!P$15)</f>
        <v>22.321717315873052</v>
      </c>
      <c r="E232" s="37">
        <f>'GF + UG Iteration 2'!E232</f>
        <v>1982</v>
      </c>
      <c r="F232" s="35">
        <f>'GF + UG Iteration 2'!F232</f>
        <v>6.0600000000000023</v>
      </c>
      <c r="G232" s="36">
        <f>'GF + UG Iteration 2'!G232</f>
        <v>1.4264307906682692</v>
      </c>
      <c r="H232" s="38">
        <f>'GF + UG Iteration 2'!H232</f>
        <v>2010</v>
      </c>
      <c r="I232" s="35">
        <f t="shared" si="20"/>
        <v>52</v>
      </c>
      <c r="J232" s="36">
        <f t="shared" si="21"/>
        <v>23.748148106541322</v>
      </c>
      <c r="K232" s="38">
        <f t="shared" si="22"/>
        <v>2010</v>
      </c>
      <c r="M232" s="21">
        <f t="shared" si="23"/>
        <v>3.9512437185814275</v>
      </c>
      <c r="N232" s="21">
        <f t="shared" si="24"/>
        <v>3.1675045529790657</v>
      </c>
    </row>
    <row r="233" spans="1:14" x14ac:dyDescent="0.2">
      <c r="A233" s="33">
        <f>'GF + UG Iteration 2'!A233</f>
        <v>1241</v>
      </c>
      <c r="B233" s="34" t="str">
        <f>'GF + UG Iteration 2'!B233</f>
        <v>UG</v>
      </c>
      <c r="C233" s="35">
        <f>'GF + UG Iteration 2'!C233</f>
        <v>20.29</v>
      </c>
      <c r="D233" s="36">
        <f>'GF + UG Iteration 2'!P$16*(C233^'GF + UG Iteration 2'!P$15)</f>
        <v>14.158162402352463</v>
      </c>
      <c r="E233" s="37" t="str">
        <f>'GF + UG Iteration 2'!E233</f>
        <v>unknown</v>
      </c>
      <c r="F233" s="35">
        <f>'GF + UG Iteration 2'!F233</f>
        <v>6</v>
      </c>
      <c r="G233" s="36">
        <f>'GF + UG Iteration 2'!G233</f>
        <v>2.625007735639064</v>
      </c>
      <c r="H233" s="38">
        <f>'GF + UG Iteration 2'!H233</f>
        <v>2012</v>
      </c>
      <c r="I233" s="35">
        <f t="shared" si="20"/>
        <v>26.29</v>
      </c>
      <c r="J233" s="36">
        <f t="shared" si="21"/>
        <v>16.783170137991526</v>
      </c>
      <c r="K233" s="38">
        <f t="shared" si="22"/>
        <v>2012</v>
      </c>
      <c r="M233" s="21">
        <f t="shared" si="23"/>
        <v>3.2691886387417899</v>
      </c>
      <c r="N233" s="21">
        <f t="shared" si="24"/>
        <v>2.8203766067942624</v>
      </c>
    </row>
    <row r="234" spans="1:14" x14ac:dyDescent="0.2">
      <c r="A234" s="33">
        <f>'GF + UG Iteration 2'!A234</f>
        <v>438</v>
      </c>
      <c r="B234" s="34" t="str">
        <f>'GF + UG Iteration 2'!B234</f>
        <v>UG</v>
      </c>
      <c r="C234" s="35">
        <f>'GF + UG Iteration 2'!C234</f>
        <v>8.2460000000000004</v>
      </c>
      <c r="D234" s="36">
        <f>'GF + UG Iteration 2'!P$16*(C234^'GF + UG Iteration 2'!P$15)</f>
        <v>8.5735006105519993</v>
      </c>
      <c r="E234" s="37">
        <f>'GF + UG Iteration 2'!E234</f>
        <v>1978</v>
      </c>
      <c r="F234" s="35">
        <f>'GF + UG Iteration 2'!F234</f>
        <v>1</v>
      </c>
      <c r="G234" s="36">
        <f>'GF + UG Iteration 2'!G234</f>
        <v>0.18095315250984781</v>
      </c>
      <c r="H234" s="38">
        <f>'GF + UG Iteration 2'!H234</f>
        <v>2004</v>
      </c>
      <c r="I234" s="35">
        <f t="shared" si="20"/>
        <v>9.2460000000000004</v>
      </c>
      <c r="J234" s="36">
        <f t="shared" si="21"/>
        <v>8.7544537630618464</v>
      </c>
      <c r="K234" s="38">
        <f t="shared" si="22"/>
        <v>2004</v>
      </c>
      <c r="M234" s="21">
        <f t="shared" si="23"/>
        <v>2.2241910255660335</v>
      </c>
      <c r="N234" s="21">
        <f t="shared" si="24"/>
        <v>2.1695625723649865</v>
      </c>
    </row>
    <row r="235" spans="1:14" x14ac:dyDescent="0.2">
      <c r="A235" s="33">
        <f>'GF + UG Iteration 2'!A235</f>
        <v>748</v>
      </c>
      <c r="B235" s="34" t="str">
        <f>'GF + UG Iteration 2'!B235</f>
        <v>UG</v>
      </c>
      <c r="C235" s="35">
        <f>'GF + UG Iteration 2'!C235</f>
        <v>25.541</v>
      </c>
      <c r="D235" s="36">
        <f>'GF + UG Iteration 2'!P$16*(C235^'GF + UG Iteration 2'!P$15)</f>
        <v>16.095058476314737</v>
      </c>
      <c r="E235" s="37">
        <f>'GF + UG Iteration 2'!E235</f>
        <v>1995</v>
      </c>
      <c r="F235" s="35">
        <f>'GF + UG Iteration 2'!F235</f>
        <v>1</v>
      </c>
      <c r="G235" s="36">
        <f>'GF + UG Iteration 2'!G235</f>
        <v>0.38858476644316492</v>
      </c>
      <c r="H235" s="38">
        <f>'GF + UG Iteration 2'!H235</f>
        <v>2008</v>
      </c>
      <c r="I235" s="35">
        <f t="shared" si="20"/>
        <v>26.541</v>
      </c>
      <c r="J235" s="36">
        <f t="shared" si="21"/>
        <v>16.483643242757903</v>
      </c>
      <c r="K235" s="38">
        <f t="shared" si="22"/>
        <v>2008</v>
      </c>
      <c r="M235" s="21">
        <f t="shared" si="23"/>
        <v>3.2786907071693587</v>
      </c>
      <c r="N235" s="21">
        <f t="shared" si="24"/>
        <v>2.8023685706045294</v>
      </c>
    </row>
    <row r="236" spans="1:14" x14ac:dyDescent="0.2">
      <c r="A236" s="33">
        <f>'GF + UG Iteration 2'!A236</f>
        <v>1319</v>
      </c>
      <c r="B236" s="34" t="str">
        <f>'GF + UG Iteration 2'!B236</f>
        <v>UG</v>
      </c>
      <c r="C236" s="35">
        <f>'GF + UG Iteration 2'!C236</f>
        <v>15.71</v>
      </c>
      <c r="D236" s="36">
        <f>'GF + UG Iteration 2'!P$16*(C236^'GF + UG Iteration 2'!P$15)</f>
        <v>12.277488022642746</v>
      </c>
      <c r="E236" s="37">
        <f>'GF + UG Iteration 2'!E236</f>
        <v>0</v>
      </c>
      <c r="F236" s="35">
        <f>'GF + UG Iteration 2'!F236</f>
        <v>4.2899999999999991</v>
      </c>
      <c r="G236" s="36">
        <f>'GF + UG Iteration 2'!G236</f>
        <v>3.2376779482440865</v>
      </c>
      <c r="H236" s="38">
        <f>'GF + UG Iteration 2'!H236</f>
        <v>2014</v>
      </c>
      <c r="I236" s="35">
        <f t="shared" si="20"/>
        <v>20</v>
      </c>
      <c r="J236" s="36">
        <f t="shared" si="21"/>
        <v>15.515165970886834</v>
      </c>
      <c r="K236" s="38">
        <f t="shared" si="22"/>
        <v>2014</v>
      </c>
      <c r="M236" s="21">
        <f t="shared" si="23"/>
        <v>2.9957322735539909</v>
      </c>
      <c r="N236" s="21">
        <f t="shared" si="24"/>
        <v>2.7418179952899089</v>
      </c>
    </row>
    <row r="237" spans="1:14" x14ac:dyDescent="0.2">
      <c r="A237" s="33">
        <f>'GF + UG Iteration 2'!A237</f>
        <v>892</v>
      </c>
      <c r="B237" s="34" t="str">
        <f>'GF + UG Iteration 2'!B237</f>
        <v>UG</v>
      </c>
      <c r="C237" s="35">
        <f>'GF + UG Iteration 2'!C237</f>
        <v>13.05</v>
      </c>
      <c r="D237" s="36">
        <f>'GF + UG Iteration 2'!P$16*(C237^'GF + UG Iteration 2'!P$15)</f>
        <v>11.072002335837919</v>
      </c>
      <c r="E237" s="37">
        <f>'GF + UG Iteration 2'!E237</f>
        <v>1972</v>
      </c>
      <c r="F237" s="35">
        <f>'GF + UG Iteration 2'!F237</f>
        <v>0</v>
      </c>
      <c r="G237" s="36">
        <f>'GF + UG Iteration 2'!G237</f>
        <v>3.2490818561124843</v>
      </c>
      <c r="H237" s="38">
        <f>'GF + UG Iteration 2'!H237</f>
        <v>2011</v>
      </c>
      <c r="I237" s="35">
        <f t="shared" si="20"/>
        <v>13.05</v>
      </c>
      <c r="J237" s="36">
        <f t="shared" si="21"/>
        <v>14.321084191950403</v>
      </c>
      <c r="K237" s="38">
        <f t="shared" si="22"/>
        <v>2011</v>
      </c>
      <c r="M237" s="21">
        <f t="shared" si="23"/>
        <v>2.5687881337687024</v>
      </c>
      <c r="N237" s="21">
        <f t="shared" si="24"/>
        <v>2.6617328703948915</v>
      </c>
    </row>
    <row r="238" spans="1:14" x14ac:dyDescent="0.2">
      <c r="A238" s="33">
        <f>'GF + UG Iteration 2'!A238</f>
        <v>504</v>
      </c>
      <c r="B238" s="34" t="str">
        <f>'GF + UG Iteration 2'!B238</f>
        <v>UG</v>
      </c>
      <c r="C238" s="35">
        <f>'GF + UG Iteration 2'!C238</f>
        <v>10.496</v>
      </c>
      <c r="D238" s="36">
        <f>'GF + UG Iteration 2'!P$16*(C238^'GF + UG Iteration 2'!P$15)</f>
        <v>9.8068983314903253</v>
      </c>
      <c r="E238" s="37">
        <f>'GF + UG Iteration 2'!E238</f>
        <v>2007</v>
      </c>
      <c r="F238" s="35">
        <f>'GF + UG Iteration 2'!F238</f>
        <v>0</v>
      </c>
      <c r="G238" s="36">
        <f>'GF + UG Iteration 2'!G238</f>
        <v>2.1923137026225539</v>
      </c>
      <c r="H238" s="38">
        <f>'GF + UG Iteration 2'!H238</f>
        <v>2006</v>
      </c>
      <c r="I238" s="35">
        <f t="shared" si="20"/>
        <v>10.496</v>
      </c>
      <c r="J238" s="36">
        <f t="shared" si="21"/>
        <v>11.99921203411288</v>
      </c>
      <c r="K238" s="38">
        <f t="shared" si="22"/>
        <v>2007</v>
      </c>
      <c r="M238" s="21">
        <f t="shared" si="23"/>
        <v>2.3509942322017334</v>
      </c>
      <c r="N238" s="21">
        <f t="shared" si="24"/>
        <v>2.4848409838081102</v>
      </c>
    </row>
    <row r="239" spans="1:14" x14ac:dyDescent="0.2">
      <c r="A239" s="33">
        <f>'GF + UG Iteration 2'!A239</f>
        <v>618</v>
      </c>
      <c r="B239" s="34" t="str">
        <f>'GF + UG Iteration 2'!B239</f>
        <v>UG</v>
      </c>
      <c r="C239" s="35">
        <f>'GF + UG Iteration 2'!C239</f>
        <v>11</v>
      </c>
      <c r="D239" s="36">
        <f>'GF + UG Iteration 2'!P$16*(C239^'GF + UG Iteration 2'!P$15)</f>
        <v>10.066516753638624</v>
      </c>
      <c r="E239" s="37">
        <f>'GF + UG Iteration 2'!E239</f>
        <v>1995</v>
      </c>
      <c r="F239" s="35">
        <f>'GF + UG Iteration 2'!F239</f>
        <v>11.5</v>
      </c>
      <c r="G239" s="36">
        <f>'GF + UG Iteration 2'!G239</f>
        <v>2.3464649770982668</v>
      </c>
      <c r="H239" s="38">
        <f>'GF + UG Iteration 2'!H239</f>
        <v>2006</v>
      </c>
      <c r="I239" s="35">
        <f t="shared" si="20"/>
        <v>22.5</v>
      </c>
      <c r="J239" s="36">
        <f t="shared" si="21"/>
        <v>12.41298173073689</v>
      </c>
      <c r="K239" s="38">
        <f t="shared" si="22"/>
        <v>2006</v>
      </c>
      <c r="M239" s="21">
        <f t="shared" si="23"/>
        <v>3.1135153092103742</v>
      </c>
      <c r="N239" s="21">
        <f t="shared" si="24"/>
        <v>2.5187428387480577</v>
      </c>
    </row>
    <row r="240" spans="1:14" x14ac:dyDescent="0.2">
      <c r="A240" s="33">
        <f>'GF + UG Iteration 2'!A240</f>
        <v>712</v>
      </c>
      <c r="B240" s="34" t="str">
        <f>'GF + UG Iteration 2'!B240</f>
        <v>UG</v>
      </c>
      <c r="C240" s="35">
        <f>'GF + UG Iteration 2'!C240</f>
        <v>7.5</v>
      </c>
      <c r="D240" s="36">
        <f>'GF + UG Iteration 2'!P$16*(C240^'GF + UG Iteration 2'!P$15)</f>
        <v>8.1323403143718185</v>
      </c>
      <c r="E240" s="37">
        <f>'GF + UG Iteration 2'!E240</f>
        <v>1980</v>
      </c>
      <c r="F240" s="35">
        <f>'GF + UG Iteration 2'!F240</f>
        <v>1</v>
      </c>
      <c r="G240" s="36">
        <f>'GF + UG Iteration 2'!G240</f>
        <v>7.8904141673966368</v>
      </c>
      <c r="H240" s="38">
        <f>'GF + UG Iteration 2'!H240</f>
        <v>2011</v>
      </c>
      <c r="I240" s="35">
        <f t="shared" si="20"/>
        <v>8.5</v>
      </c>
      <c r="J240" s="36">
        <f t="shared" si="21"/>
        <v>16.022754481768455</v>
      </c>
      <c r="K240" s="38">
        <f t="shared" si="22"/>
        <v>2011</v>
      </c>
      <c r="M240" s="21">
        <f t="shared" si="23"/>
        <v>2.1400661634962708</v>
      </c>
      <c r="N240" s="21">
        <f t="shared" si="24"/>
        <v>2.7740098670454905</v>
      </c>
    </row>
    <row r="241" spans="1:14" x14ac:dyDescent="0.2">
      <c r="A241" s="33">
        <f>'GF + UG Iteration 2'!A241</f>
        <v>726</v>
      </c>
      <c r="B241" s="34" t="str">
        <f>'GF + UG Iteration 2'!B241</f>
        <v>UG</v>
      </c>
      <c r="C241" s="35">
        <f>'GF + UG Iteration 2'!C241</f>
        <v>25.635400000000001</v>
      </c>
      <c r="D241" s="36">
        <f>'GF + UG Iteration 2'!P$16*(C241^'GF + UG Iteration 2'!P$15)</f>
        <v>16.128172115153401</v>
      </c>
      <c r="E241" s="37">
        <f>'GF + UG Iteration 2'!E241</f>
        <v>1982</v>
      </c>
      <c r="F241" s="35">
        <f>'GF + UG Iteration 2'!F241</f>
        <v>5.3645999999999994</v>
      </c>
      <c r="G241" s="36">
        <f>'GF + UG Iteration 2'!G241</f>
        <v>1.031633192087684</v>
      </c>
      <c r="H241" s="38">
        <f>'GF + UG Iteration 2'!H241</f>
        <v>2008</v>
      </c>
      <c r="I241" s="35">
        <f t="shared" si="20"/>
        <v>31</v>
      </c>
      <c r="J241" s="36">
        <f t="shared" si="21"/>
        <v>17.159805307241086</v>
      </c>
      <c r="K241" s="38">
        <f t="shared" si="22"/>
        <v>2008</v>
      </c>
      <c r="M241" s="21">
        <f t="shared" si="23"/>
        <v>3.4339872044851463</v>
      </c>
      <c r="N241" s="21">
        <f t="shared" si="24"/>
        <v>2.8425697482635814</v>
      </c>
    </row>
    <row r="242" spans="1:14" x14ac:dyDescent="0.2">
      <c r="A242" s="33">
        <f>'GF + UG Iteration 2'!A242</f>
        <v>530</v>
      </c>
      <c r="B242" s="34" t="str">
        <f>'GF + UG Iteration 2'!B242</f>
        <v>UG</v>
      </c>
      <c r="C242" s="35">
        <f>'GF + UG Iteration 2'!C242</f>
        <v>25</v>
      </c>
      <c r="D242" s="36">
        <f>'GF + UG Iteration 2'!P$16*(C242^'GF + UG Iteration 2'!P$15)</f>
        <v>15.904231205617577</v>
      </c>
      <c r="E242" s="37">
        <f>'GF + UG Iteration 2'!E242</f>
        <v>1982</v>
      </c>
      <c r="F242" s="35">
        <f>'GF + UG Iteration 2'!F242</f>
        <v>20</v>
      </c>
      <c r="G242" s="36">
        <f>'GF + UG Iteration 2'!G242</f>
        <v>4.5022608459814819</v>
      </c>
      <c r="H242" s="38">
        <f>'GF + UG Iteration 2'!H242</f>
        <v>2006</v>
      </c>
      <c r="I242" s="35">
        <f t="shared" si="20"/>
        <v>45</v>
      </c>
      <c r="J242" s="36">
        <f t="shared" si="21"/>
        <v>20.406492051599059</v>
      </c>
      <c r="K242" s="38">
        <f t="shared" si="22"/>
        <v>2006</v>
      </c>
      <c r="M242" s="21">
        <f t="shared" si="23"/>
        <v>3.8066624897703196</v>
      </c>
      <c r="N242" s="21">
        <f t="shared" si="24"/>
        <v>3.0158530880467387</v>
      </c>
    </row>
    <row r="243" spans="1:14" x14ac:dyDescent="0.2">
      <c r="A243" s="33">
        <f>'GF + UG Iteration 2'!A243</f>
        <v>755</v>
      </c>
      <c r="B243" s="34" t="str">
        <f>'GF + UG Iteration 2'!B243</f>
        <v>UG</v>
      </c>
      <c r="C243" s="35">
        <f>'GF + UG Iteration 2'!C243</f>
        <v>8.6980000000000004</v>
      </c>
      <c r="D243" s="36">
        <f>'GF + UG Iteration 2'!P$16*(C243^'GF + UG Iteration 2'!P$15)</f>
        <v>8.8322150485007853</v>
      </c>
      <c r="E243" s="37">
        <f>'GF + UG Iteration 2'!E243</f>
        <v>1983</v>
      </c>
      <c r="F243" s="35">
        <f>'GF + UG Iteration 2'!F243</f>
        <v>3.3019999999999996</v>
      </c>
      <c r="G243" s="36">
        <f>'GF + UG Iteration 2'!G243</f>
        <v>0.74649134624932623</v>
      </c>
      <c r="H243" s="38">
        <f>'GF + UG Iteration 2'!H243</f>
        <v>2008</v>
      </c>
      <c r="I243" s="35">
        <f t="shared" si="20"/>
        <v>12</v>
      </c>
      <c r="J243" s="36">
        <f t="shared" si="21"/>
        <v>9.5787063947501121</v>
      </c>
      <c r="K243" s="38">
        <f t="shared" si="22"/>
        <v>2008</v>
      </c>
      <c r="M243" s="21">
        <f t="shared" si="23"/>
        <v>2.4849066497880004</v>
      </c>
      <c r="N243" s="21">
        <f t="shared" si="24"/>
        <v>2.2595425510019012</v>
      </c>
    </row>
    <row r="244" spans="1:14" x14ac:dyDescent="0.2">
      <c r="A244" s="33">
        <f>'GF + UG Iteration 2'!A244</f>
        <v>1081</v>
      </c>
      <c r="B244" s="34" t="str">
        <f>'GF + UG Iteration 2'!B244</f>
        <v>UG</v>
      </c>
      <c r="C244" s="35">
        <f>'GF + UG Iteration 2'!C244</f>
        <v>12</v>
      </c>
      <c r="D244" s="36">
        <f>'GF + UG Iteration 2'!P$16*(C244^'GF + UG Iteration 2'!P$15)</f>
        <v>10.566504156238159</v>
      </c>
      <c r="E244" s="37">
        <f>'GF + UG Iteration 2'!E244</f>
        <v>1983</v>
      </c>
      <c r="F244" s="35">
        <f>'GF + UG Iteration 2'!F244</f>
        <v>4</v>
      </c>
      <c r="G244" s="36">
        <f>'GF + UG Iteration 2'!G244</f>
        <v>0.74615854172219498</v>
      </c>
      <c r="H244" s="38">
        <f>'GF + UG Iteration 2'!H244</f>
        <v>2010</v>
      </c>
      <c r="I244" s="35">
        <f t="shared" si="20"/>
        <v>16</v>
      </c>
      <c r="J244" s="36">
        <f t="shared" si="21"/>
        <v>11.312662697960354</v>
      </c>
      <c r="K244" s="38">
        <f t="shared" si="22"/>
        <v>2010</v>
      </c>
      <c r="M244" s="21">
        <f t="shared" si="23"/>
        <v>2.7725887222397811</v>
      </c>
      <c r="N244" s="21">
        <f t="shared" si="24"/>
        <v>2.4259226910627643</v>
      </c>
    </row>
    <row r="245" spans="1:14" x14ac:dyDescent="0.2">
      <c r="A245" s="33">
        <f>'GF + UG Iteration 2'!A245</f>
        <v>307</v>
      </c>
      <c r="B245" s="34" t="str">
        <f>'GF + UG Iteration 2'!B245</f>
        <v>UG</v>
      </c>
      <c r="C245" s="35">
        <f>'GF + UG Iteration 2'!C245</f>
        <v>9.07</v>
      </c>
      <c r="D245" s="36">
        <f>'GF + UG Iteration 2'!P$16*(C245^'GF + UG Iteration 2'!P$15)</f>
        <v>9.040701975802282</v>
      </c>
      <c r="E245" s="37">
        <f>'GF + UG Iteration 2'!E245</f>
        <v>1985</v>
      </c>
      <c r="F245" s="35">
        <f>'GF + UG Iteration 2'!F245</f>
        <v>1.0019999999999989</v>
      </c>
      <c r="G245" s="36">
        <f>'GF + UG Iteration 2'!G245</f>
        <v>2.5230801807757093</v>
      </c>
      <c r="H245" s="38">
        <f>'GF + UG Iteration 2'!H245</f>
        <v>2003</v>
      </c>
      <c r="I245" s="35">
        <f t="shared" si="20"/>
        <v>10.071999999999999</v>
      </c>
      <c r="J245" s="36">
        <f t="shared" si="21"/>
        <v>11.563782156577991</v>
      </c>
      <c r="K245" s="38">
        <f t="shared" si="22"/>
        <v>2003</v>
      </c>
      <c r="M245" s="21">
        <f t="shared" si="23"/>
        <v>2.3097592967420462</v>
      </c>
      <c r="N245" s="21">
        <f t="shared" si="24"/>
        <v>2.4478779859083448</v>
      </c>
    </row>
    <row r="246" spans="1:14" x14ac:dyDescent="0.2">
      <c r="A246" s="33">
        <f>'GF + UG Iteration 2'!A246</f>
        <v>1466</v>
      </c>
      <c r="B246" s="34" t="str">
        <f>'GF + UG Iteration 2'!B246</f>
        <v>UG</v>
      </c>
      <c r="C246" s="35">
        <f>'GF + UG Iteration 2'!C246</f>
        <v>10.07</v>
      </c>
      <c r="D246" s="36">
        <f>'GF + UG Iteration 2'!P$16*(C246^'GF + UG Iteration 2'!P$15)</f>
        <v>9.583121006162262</v>
      </c>
      <c r="E246" s="37">
        <f>'GF + UG Iteration 2'!E246</f>
        <v>1985</v>
      </c>
      <c r="F246" s="35">
        <f>'GF + UG Iteration 2'!F246</f>
        <v>4.93</v>
      </c>
      <c r="G246" s="36">
        <f>'GF + UG Iteration 2'!G246</f>
        <v>4.634839878669343</v>
      </c>
      <c r="H246" s="38">
        <f>'GF + UG Iteration 2'!H246</f>
        <v>2015</v>
      </c>
      <c r="I246" s="35">
        <f t="shared" si="20"/>
        <v>15</v>
      </c>
      <c r="J246" s="36">
        <f t="shared" si="21"/>
        <v>14.217960884831605</v>
      </c>
      <c r="K246" s="38">
        <f t="shared" si="22"/>
        <v>2015</v>
      </c>
      <c r="M246" s="21">
        <f t="shared" si="23"/>
        <v>2.7080502011022101</v>
      </c>
      <c r="N246" s="21">
        <f t="shared" si="24"/>
        <v>2.6545060164014957</v>
      </c>
    </row>
    <row r="247" spans="1:14" x14ac:dyDescent="0.2">
      <c r="A247" s="33">
        <f>'GF + UG Iteration 2'!A247</f>
        <v>1091</v>
      </c>
      <c r="B247" s="34" t="str">
        <f>'GF + UG Iteration 2'!B247</f>
        <v>UG</v>
      </c>
      <c r="C247" s="35">
        <f>'GF + UG Iteration 2'!C247</f>
        <v>16.059999999999999</v>
      </c>
      <c r="D247" s="36">
        <f>'GF + UG Iteration 2'!P$16*(C247^'GF + UG Iteration 2'!P$15)</f>
        <v>12.429127201937163</v>
      </c>
      <c r="E247" s="37">
        <f>'GF + UG Iteration 2'!E247</f>
        <v>1982</v>
      </c>
      <c r="F247" s="35">
        <f>'GF + UG Iteration 2'!F247</f>
        <v>24.34</v>
      </c>
      <c r="G247" s="36">
        <f>'GF + UG Iteration 2'!G247</f>
        <v>7.6638380518522098</v>
      </c>
      <c r="H247" s="38">
        <f>'GF + UG Iteration 2'!H247</f>
        <v>2011</v>
      </c>
      <c r="I247" s="35">
        <f t="shared" ref="I247:I292" si="30">C247+F247</f>
        <v>40.4</v>
      </c>
      <c r="J247" s="36">
        <f t="shared" ref="J247:J292" si="31">D247+G247</f>
        <v>20.092965253789373</v>
      </c>
      <c r="K247" s="38">
        <f t="shared" ref="K247:K292" si="32">MAX(E247,H247)</f>
        <v>2011</v>
      </c>
      <c r="M247" s="21">
        <f t="shared" ref="M247:M292" si="33">LN(I247)</f>
        <v>3.6988297849671046</v>
      </c>
      <c r="N247" s="21">
        <f t="shared" ref="N247:N292" si="34">LN(J247)</f>
        <v>3.0003697664314921</v>
      </c>
    </row>
    <row r="248" spans="1:14" x14ac:dyDescent="0.2">
      <c r="A248" s="33">
        <f>'GF + UG Iteration 2'!A248</f>
        <v>666</v>
      </c>
      <c r="B248" s="34" t="str">
        <f>'GF + UG Iteration 2'!B248</f>
        <v>UG</v>
      </c>
      <c r="C248" s="35">
        <f>'GF + UG Iteration 2'!C248</f>
        <v>25.92</v>
      </c>
      <c r="D248" s="36">
        <f>'GF + UG Iteration 2'!P$16*(C248^'GF + UG Iteration 2'!P$15)</f>
        <v>16.227678701693453</v>
      </c>
      <c r="E248" s="37">
        <f>'GF + UG Iteration 2'!E248</f>
        <v>1987</v>
      </c>
      <c r="F248" s="35">
        <f>'GF + UG Iteration 2'!F248</f>
        <v>14.079999999999998</v>
      </c>
      <c r="G248" s="36">
        <f>'GF + UG Iteration 2'!G248</f>
        <v>3.6887760601263184</v>
      </c>
      <c r="H248" s="38">
        <f>'GF + UG Iteration 2'!H248</f>
        <v>2008</v>
      </c>
      <c r="I248" s="35">
        <f t="shared" si="30"/>
        <v>40</v>
      </c>
      <c r="J248" s="36">
        <f t="shared" si="31"/>
        <v>19.916454761819772</v>
      </c>
      <c r="K248" s="38">
        <f t="shared" si="32"/>
        <v>2008</v>
      </c>
      <c r="M248" s="21">
        <f t="shared" si="33"/>
        <v>3.6888794541139363</v>
      </c>
      <c r="N248" s="21">
        <f t="shared" si="34"/>
        <v>2.9915462625130069</v>
      </c>
    </row>
    <row r="249" spans="1:14" x14ac:dyDescent="0.2">
      <c r="A249" s="33">
        <f>'GF + UG Iteration 2'!A249</f>
        <v>556</v>
      </c>
      <c r="B249" s="34" t="str">
        <f>'GF + UG Iteration 2'!B249</f>
        <v>UG</v>
      </c>
      <c r="C249" s="35">
        <f>'GF + UG Iteration 2'!C249</f>
        <v>8.6560000000000006</v>
      </c>
      <c r="D249" s="36">
        <f>'GF + UG Iteration 2'!P$16*(C249^'GF + UG Iteration 2'!P$15)</f>
        <v>8.8084302226535538</v>
      </c>
      <c r="E249" s="37">
        <f>'GF + UG Iteration 2'!E249</f>
        <v>1985</v>
      </c>
      <c r="F249" s="35">
        <f>'GF + UG Iteration 2'!F249</f>
        <v>4.3439999999999994</v>
      </c>
      <c r="G249" s="36">
        <f>'GF + UG Iteration 2'!G249</f>
        <v>3.2483692675760008</v>
      </c>
      <c r="H249" s="38">
        <f>'GF + UG Iteration 2'!H249</f>
        <v>2007</v>
      </c>
      <c r="I249" s="35">
        <f t="shared" si="30"/>
        <v>13</v>
      </c>
      <c r="J249" s="36">
        <f t="shared" si="31"/>
        <v>12.056799490229555</v>
      </c>
      <c r="K249" s="38">
        <f t="shared" si="32"/>
        <v>2007</v>
      </c>
      <c r="M249" s="21">
        <f t="shared" si="33"/>
        <v>2.5649493574615367</v>
      </c>
      <c r="N249" s="21">
        <f t="shared" si="34"/>
        <v>2.4896287738425871</v>
      </c>
    </row>
    <row r="250" spans="1:14" x14ac:dyDescent="0.2">
      <c r="A250" s="33">
        <f>'GF + UG Iteration 2'!A250</f>
        <v>452</v>
      </c>
      <c r="B250" s="34" t="str">
        <f>'GF + UG Iteration 2'!B250</f>
        <v>UG</v>
      </c>
      <c r="C250" s="35">
        <f>'GF + UG Iteration 2'!C250</f>
        <v>10.781000000000001</v>
      </c>
      <c r="D250" s="36">
        <f>'GF + UG Iteration 2'!P$16*(C250^'GF + UG Iteration 2'!P$15)</f>
        <v>9.9543678885057609</v>
      </c>
      <c r="E250" s="37">
        <f>'GF + UG Iteration 2'!E250</f>
        <v>1986</v>
      </c>
      <c r="F250" s="35">
        <f>'GF + UG Iteration 2'!F250</f>
        <v>3.6189999999999998</v>
      </c>
      <c r="G250" s="36">
        <f>'GF + UG Iteration 2'!G250</f>
        <v>3.4437072461958511</v>
      </c>
      <c r="H250" s="38">
        <f>'GF + UG Iteration 2'!H250</f>
        <v>2005</v>
      </c>
      <c r="I250" s="35">
        <f t="shared" si="30"/>
        <v>14.4</v>
      </c>
      <c r="J250" s="36">
        <f t="shared" si="31"/>
        <v>13.398075134701612</v>
      </c>
      <c r="K250" s="38">
        <f t="shared" si="32"/>
        <v>2005</v>
      </c>
      <c r="M250" s="21">
        <f t="shared" si="33"/>
        <v>2.6672282065819548</v>
      </c>
      <c r="N250" s="21">
        <f t="shared" si="34"/>
        <v>2.5951110499746366</v>
      </c>
    </row>
    <row r="251" spans="1:14" x14ac:dyDescent="0.2">
      <c r="A251" s="33">
        <f>'GF + UG Iteration 2'!A251</f>
        <v>613</v>
      </c>
      <c r="B251" s="34" t="str">
        <f>'GF + UG Iteration 2'!B251</f>
        <v>UG</v>
      </c>
      <c r="C251" s="35">
        <f>'GF + UG Iteration 2'!C251</f>
        <v>6.2</v>
      </c>
      <c r="D251" s="36">
        <f>'GF + UG Iteration 2'!P$16*(C251^'GF + UG Iteration 2'!P$15)</f>
        <v>7.3140867208609146</v>
      </c>
      <c r="E251" s="37">
        <f>'GF + UG Iteration 2'!E251</f>
        <v>1999</v>
      </c>
      <c r="F251" s="35">
        <f>'GF + UG Iteration 2'!F251</f>
        <v>2.2000000000000002</v>
      </c>
      <c r="G251" s="36">
        <f>'GF + UG Iteration 2'!G251</f>
        <v>0.43131820582676678</v>
      </c>
      <c r="H251" s="38">
        <f>'GF + UG Iteration 2'!H251</f>
        <v>2006</v>
      </c>
      <c r="I251" s="35">
        <f t="shared" si="30"/>
        <v>8.4</v>
      </c>
      <c r="J251" s="36">
        <f t="shared" si="31"/>
        <v>7.745404926687681</v>
      </c>
      <c r="K251" s="38">
        <f t="shared" si="32"/>
        <v>2006</v>
      </c>
      <c r="M251" s="21">
        <f t="shared" si="33"/>
        <v>2.1282317058492679</v>
      </c>
      <c r="N251" s="21">
        <f t="shared" si="34"/>
        <v>2.0470997548375593</v>
      </c>
    </row>
    <row r="252" spans="1:14" x14ac:dyDescent="0.2">
      <c r="A252" s="33">
        <f>'GF + UG Iteration 2'!A252</f>
        <v>778</v>
      </c>
      <c r="B252" s="34" t="str">
        <f>'GF + UG Iteration 2'!B252</f>
        <v>UG</v>
      </c>
      <c r="C252" s="35">
        <f>'GF + UG Iteration 2'!C252</f>
        <v>0.1</v>
      </c>
      <c r="D252" s="36">
        <f>'GF + UG Iteration 2'!P$16*(C252^'GF + UG Iteration 2'!P$15)</f>
        <v>0.73386122159115807</v>
      </c>
      <c r="E252" s="37">
        <f>'GF + UG Iteration 2'!E252</f>
        <v>1988</v>
      </c>
      <c r="F252" s="35">
        <f>'GF + UG Iteration 2'!F252</f>
        <v>1.9</v>
      </c>
      <c r="G252" s="36">
        <f>'GF + UG Iteration 2'!G252</f>
        <v>0.48701021540648831</v>
      </c>
      <c r="H252" s="38">
        <f>'GF + UG Iteration 2'!H252</f>
        <v>2008</v>
      </c>
      <c r="I252" s="35">
        <f t="shared" si="30"/>
        <v>2</v>
      </c>
      <c r="J252" s="36">
        <f t="shared" si="31"/>
        <v>1.2208714369976463</v>
      </c>
      <c r="K252" s="38">
        <f t="shared" si="32"/>
        <v>2008</v>
      </c>
      <c r="M252" s="21">
        <f t="shared" si="33"/>
        <v>0.69314718055994529</v>
      </c>
      <c r="N252" s="21">
        <f t="shared" si="34"/>
        <v>0.19956489638062819</v>
      </c>
    </row>
    <row r="253" spans="1:14" x14ac:dyDescent="0.2">
      <c r="A253" s="33">
        <f>'GF + UG Iteration 2'!A253</f>
        <v>1571</v>
      </c>
      <c r="B253" s="34" t="str">
        <f>'GF + UG Iteration 2'!B253</f>
        <v>UG</v>
      </c>
      <c r="C253" s="35">
        <f>'GF + UG Iteration 2'!C253</f>
        <v>2</v>
      </c>
      <c r="D253" s="36">
        <f>'GF + UG Iteration 2'!P$16*(C253^'GF + UG Iteration 2'!P$15)</f>
        <v>3.8942264479773376</v>
      </c>
      <c r="E253" s="37">
        <f>'GF + UG Iteration 2'!E253</f>
        <v>1988</v>
      </c>
      <c r="F253" s="35">
        <f>'GF + UG Iteration 2'!F253</f>
        <v>11</v>
      </c>
      <c r="G253" s="36">
        <f>'GF + UG Iteration 2'!G253</f>
        <v>1.5920457896917759</v>
      </c>
      <c r="H253" s="38">
        <f>'GF + UG Iteration 2'!H253</f>
        <v>2016</v>
      </c>
      <c r="I253" s="35">
        <f t="shared" si="30"/>
        <v>13</v>
      </c>
      <c r="J253" s="36">
        <f t="shared" si="31"/>
        <v>5.4862722376691133</v>
      </c>
      <c r="K253" s="38">
        <f t="shared" si="32"/>
        <v>2016</v>
      </c>
      <c r="M253" s="21">
        <f t="shared" si="33"/>
        <v>2.5649493574615367</v>
      </c>
      <c r="N253" s="21">
        <f t="shared" si="34"/>
        <v>1.7022490153580228</v>
      </c>
    </row>
    <row r="254" spans="1:14" x14ac:dyDescent="0.2">
      <c r="A254" s="33">
        <f>'GF + UG Iteration 2'!A254</f>
        <v>525</v>
      </c>
      <c r="B254" s="34" t="str">
        <f>'GF + UG Iteration 2'!B254</f>
        <v>UG</v>
      </c>
      <c r="C254" s="35">
        <f>'GF + UG Iteration 2'!C254</f>
        <v>11.55</v>
      </c>
      <c r="D254" s="36">
        <f>'GF + UG Iteration 2'!P$16*(C254^'GF + UG Iteration 2'!P$15)</f>
        <v>10.343888616612425</v>
      </c>
      <c r="E254" s="37">
        <f>'GF + UG Iteration 2'!E254</f>
        <v>1995</v>
      </c>
      <c r="F254" s="35">
        <f>'GF + UG Iteration 2'!F254</f>
        <v>14</v>
      </c>
      <c r="G254" s="36">
        <f>'GF + UG Iteration 2'!G254</f>
        <v>2.107818995325883</v>
      </c>
      <c r="H254" s="38">
        <f>'GF + UG Iteration 2'!H254</f>
        <v>2006</v>
      </c>
      <c r="I254" s="35">
        <f t="shared" si="30"/>
        <v>25.55</v>
      </c>
      <c r="J254" s="36">
        <f t="shared" si="31"/>
        <v>12.451707611938307</v>
      </c>
      <c r="K254" s="38">
        <f t="shared" si="32"/>
        <v>2006</v>
      </c>
      <c r="M254" s="21">
        <f t="shared" si="33"/>
        <v>3.2406373166497136</v>
      </c>
      <c r="N254" s="21">
        <f t="shared" si="34"/>
        <v>2.5218577710908812</v>
      </c>
    </row>
    <row r="255" spans="1:14" x14ac:dyDescent="0.2">
      <c r="A255" s="33">
        <f>'GF + UG Iteration 2'!A255</f>
        <v>1324</v>
      </c>
      <c r="B255" s="34" t="str">
        <f>'GF + UG Iteration 2'!B255</f>
        <v>UG</v>
      </c>
      <c r="C255" s="35">
        <f>'GF + UG Iteration 2'!C255</f>
        <v>15.8</v>
      </c>
      <c r="D255" s="36">
        <f>'GF + UG Iteration 2'!P$16*(C255^'GF + UG Iteration 2'!P$15)</f>
        <v>12.316622656116129</v>
      </c>
      <c r="E255" s="37">
        <f>'GF + UG Iteration 2'!E255</f>
        <v>2012</v>
      </c>
      <c r="F255" s="35">
        <f>'GF + UG Iteration 2'!F255</f>
        <v>12.3</v>
      </c>
      <c r="G255" s="36">
        <f>'GF + UG Iteration 2'!G255</f>
        <v>2.2692987542218521</v>
      </c>
      <c r="H255" s="38">
        <f>'GF + UG Iteration 2'!H255</f>
        <v>2014</v>
      </c>
      <c r="I255" s="35">
        <f t="shared" si="30"/>
        <v>28.1</v>
      </c>
      <c r="J255" s="36">
        <f t="shared" si="31"/>
        <v>14.585921410337981</v>
      </c>
      <c r="K255" s="38">
        <f t="shared" si="32"/>
        <v>2014</v>
      </c>
      <c r="M255" s="21">
        <f t="shared" si="33"/>
        <v>3.3357695763396999</v>
      </c>
      <c r="N255" s="21">
        <f t="shared" si="34"/>
        <v>2.6800567765273682</v>
      </c>
    </row>
    <row r="256" spans="1:14" x14ac:dyDescent="0.2">
      <c r="A256" s="33">
        <f>'GF + UG Iteration 2'!A256</f>
        <v>511</v>
      </c>
      <c r="B256" s="34" t="str">
        <f>'GF + UG Iteration 2'!B256</f>
        <v>UG</v>
      </c>
      <c r="C256" s="35">
        <f>'GF + UG Iteration 2'!C256</f>
        <v>13.95</v>
      </c>
      <c r="D256" s="36">
        <f>'GF + UG Iteration 2'!P$16*(C256^'GF + UG Iteration 2'!P$15)</f>
        <v>11.491108374986258</v>
      </c>
      <c r="E256" s="37">
        <f>'GF + UG Iteration 2'!E256</f>
        <v>2004</v>
      </c>
      <c r="F256" s="35">
        <f>'GF + UG Iteration 2'!F256</f>
        <v>4.0500000000000007</v>
      </c>
      <c r="G256" s="36">
        <f>'GF + UG Iteration 2'!G256</f>
        <v>0.42903557118440139</v>
      </c>
      <c r="H256" s="38">
        <f>'GF + UG Iteration 2'!H256</f>
        <v>2004</v>
      </c>
      <c r="I256" s="35">
        <f t="shared" si="30"/>
        <v>18</v>
      </c>
      <c r="J256" s="36">
        <f t="shared" si="31"/>
        <v>11.92014394617066</v>
      </c>
      <c r="K256" s="38">
        <f t="shared" si="32"/>
        <v>2004</v>
      </c>
      <c r="M256" s="21">
        <f t="shared" si="33"/>
        <v>2.8903717578961645</v>
      </c>
      <c r="N256" s="21">
        <f t="shared" si="34"/>
        <v>2.4782297375853175</v>
      </c>
    </row>
    <row r="257" spans="1:14" x14ac:dyDescent="0.2">
      <c r="A257" s="33">
        <f>'GF + UG Iteration 2'!A257</f>
        <v>1094</v>
      </c>
      <c r="B257" s="34" t="str">
        <f>'GF + UG Iteration 2'!B257</f>
        <v>UG</v>
      </c>
      <c r="C257" s="35">
        <f>'GF + UG Iteration 2'!C257</f>
        <v>18</v>
      </c>
      <c r="D257" s="36">
        <f>'GF + UG Iteration 2'!P$16*(C257^'GF + UG Iteration 2'!P$15)</f>
        <v>13.244398390731305</v>
      </c>
      <c r="E257" s="37">
        <f>'GF + UG Iteration 2'!E257</f>
        <v>2004</v>
      </c>
      <c r="F257" s="35">
        <f>'GF + UG Iteration 2'!F257</f>
        <v>6</v>
      </c>
      <c r="G257" s="36">
        <f>'GF + UG Iteration 2'!G257</f>
        <v>1.0646458657975095</v>
      </c>
      <c r="H257" s="38">
        <f>'GF + UG Iteration 2'!H257</f>
        <v>2011</v>
      </c>
      <c r="I257" s="35">
        <f t="shared" si="30"/>
        <v>24</v>
      </c>
      <c r="J257" s="36">
        <f t="shared" si="31"/>
        <v>14.309044256528814</v>
      </c>
      <c r="K257" s="38">
        <f t="shared" si="32"/>
        <v>2011</v>
      </c>
      <c r="M257" s="21">
        <f t="shared" si="33"/>
        <v>3.1780538303479458</v>
      </c>
      <c r="N257" s="21">
        <f t="shared" si="34"/>
        <v>2.6608918028353794</v>
      </c>
    </row>
    <row r="258" spans="1:14" x14ac:dyDescent="0.2">
      <c r="A258" s="33">
        <f>'GF + UG Iteration 2'!A258</f>
        <v>775</v>
      </c>
      <c r="B258" s="34" t="str">
        <f>'GF + UG Iteration 2'!B258</f>
        <v>UG</v>
      </c>
      <c r="C258" s="35">
        <f>'GF + UG Iteration 2'!C258</f>
        <v>8</v>
      </c>
      <c r="D258" s="36">
        <f>'GF + UG Iteration 2'!P$16*(C258^'GF + UG Iteration 2'!P$15)</f>
        <v>8.4300552422172554</v>
      </c>
      <c r="E258" s="37">
        <f>'GF + UG Iteration 2'!E258</f>
        <v>2002</v>
      </c>
      <c r="F258" s="35">
        <f>'GF + UG Iteration 2'!F258</f>
        <v>7</v>
      </c>
      <c r="G258" s="36">
        <f>'GF + UG Iteration 2'!G258</f>
        <v>1.4058744428987999</v>
      </c>
      <c r="H258" s="38">
        <f>'GF + UG Iteration 2'!H258</f>
        <v>2008</v>
      </c>
      <c r="I258" s="35">
        <f t="shared" si="30"/>
        <v>15</v>
      </c>
      <c r="J258" s="36">
        <f t="shared" si="31"/>
        <v>9.8359296851160547</v>
      </c>
      <c r="K258" s="38">
        <f t="shared" si="32"/>
        <v>2008</v>
      </c>
      <c r="M258" s="21">
        <f t="shared" si="33"/>
        <v>2.7080502011022101</v>
      </c>
      <c r="N258" s="21">
        <f t="shared" si="34"/>
        <v>2.2860419756008681</v>
      </c>
    </row>
    <row r="259" spans="1:14" x14ac:dyDescent="0.2">
      <c r="A259" s="33">
        <f>'GF + UG Iteration 2'!A259</f>
        <v>1646</v>
      </c>
      <c r="B259" s="34" t="str">
        <f>'GF + UG Iteration 2'!B259</f>
        <v>UG</v>
      </c>
      <c r="C259" s="35">
        <f>'GF + UG Iteration 2'!C259</f>
        <v>2.88</v>
      </c>
      <c r="D259" s="36">
        <f>'GF + UG Iteration 2'!P$16*(C259^'GF + UG Iteration 2'!P$15)</f>
        <v>4.7713949494027439</v>
      </c>
      <c r="E259" s="37" t="str">
        <f>'GF + UG Iteration 2'!E259</f>
        <v>unknown</v>
      </c>
      <c r="F259" s="35">
        <f>'GF + UG Iteration 2'!F259</f>
        <v>3.5200000000000005</v>
      </c>
      <c r="G259" s="36">
        <f>'GF + UG Iteration 2'!G259</f>
        <v>6.6895680450065891</v>
      </c>
      <c r="H259" s="38">
        <f>'GF + UG Iteration 2'!H259</f>
        <v>2016</v>
      </c>
      <c r="I259" s="35">
        <f t="shared" si="30"/>
        <v>6.4</v>
      </c>
      <c r="J259" s="36">
        <f t="shared" si="31"/>
        <v>11.460962994409332</v>
      </c>
      <c r="K259" s="38">
        <f t="shared" si="32"/>
        <v>2016</v>
      </c>
      <c r="M259" s="21">
        <f t="shared" si="33"/>
        <v>1.8562979903656263</v>
      </c>
      <c r="N259" s="21">
        <f t="shared" si="34"/>
        <v>2.4389467386819637</v>
      </c>
    </row>
    <row r="260" spans="1:14" x14ac:dyDescent="0.2">
      <c r="A260" s="33">
        <f>'GF + UG Iteration 2'!A260</f>
        <v>467</v>
      </c>
      <c r="B260" s="34" t="str">
        <f>'GF + UG Iteration 2'!B260</f>
        <v>UG</v>
      </c>
      <c r="C260" s="35">
        <f>'GF + UG Iteration 2'!C260</f>
        <v>5.7</v>
      </c>
      <c r="D260" s="36">
        <f>'GF + UG Iteration 2'!P$16*(C260^'GF + UG Iteration 2'!P$15)</f>
        <v>6.97937414558666</v>
      </c>
      <c r="E260" s="37">
        <f>'GF + UG Iteration 2'!E260</f>
        <v>1996</v>
      </c>
      <c r="F260" s="35">
        <f>'GF + UG Iteration 2'!F260</f>
        <v>7.8999999999999995</v>
      </c>
      <c r="G260" s="36">
        <f>'GF + UG Iteration 2'!G260</f>
        <v>3.4855022233326953</v>
      </c>
      <c r="H260" s="38">
        <f>'GF + UG Iteration 2'!H260</f>
        <v>2005</v>
      </c>
      <c r="I260" s="35">
        <f t="shared" si="30"/>
        <v>13.6</v>
      </c>
      <c r="J260" s="36">
        <f t="shared" si="31"/>
        <v>10.464876368919356</v>
      </c>
      <c r="K260" s="38">
        <f t="shared" si="32"/>
        <v>2005</v>
      </c>
      <c r="M260" s="21">
        <f t="shared" si="33"/>
        <v>2.6100697927420065</v>
      </c>
      <c r="N260" s="21">
        <f t="shared" si="34"/>
        <v>2.3480245420603212</v>
      </c>
    </row>
    <row r="261" spans="1:14" x14ac:dyDescent="0.2">
      <c r="A261" s="33">
        <f>'GF + UG Iteration 2'!A261</f>
        <v>437</v>
      </c>
      <c r="B261" s="34" t="str">
        <f>'GF + UG Iteration 2'!B261</f>
        <v>UG</v>
      </c>
      <c r="C261" s="35">
        <f>'GF + UG Iteration 2'!C261</f>
        <v>23</v>
      </c>
      <c r="D261" s="36">
        <f>'GF + UG Iteration 2'!P$16*(C261^'GF + UG Iteration 2'!P$15)</f>
        <v>15.182342452397922</v>
      </c>
      <c r="E261" s="37">
        <f>'GF + UG Iteration 2'!E261</f>
        <v>2001</v>
      </c>
      <c r="F261" s="35">
        <f>'GF + UG Iteration 2'!F261</f>
        <v>17</v>
      </c>
      <c r="G261" s="36">
        <f>'GF + UG Iteration 2'!G261</f>
        <v>3.6313804067567292</v>
      </c>
      <c r="H261" s="38">
        <f>'GF + UG Iteration 2'!H261</f>
        <v>2008</v>
      </c>
      <c r="I261" s="35">
        <f t="shared" si="30"/>
        <v>40</v>
      </c>
      <c r="J261" s="36">
        <f t="shared" si="31"/>
        <v>18.813722859154652</v>
      </c>
      <c r="K261" s="38">
        <f t="shared" si="32"/>
        <v>2008</v>
      </c>
      <c r="M261" s="21">
        <f t="shared" si="33"/>
        <v>3.6888794541139363</v>
      </c>
      <c r="N261" s="21">
        <f t="shared" si="34"/>
        <v>2.9345865428765063</v>
      </c>
    </row>
    <row r="262" spans="1:14" x14ac:dyDescent="0.2">
      <c r="A262" s="33">
        <f>'GF + UG Iteration 2'!A262</f>
        <v>1233</v>
      </c>
      <c r="B262" s="34" t="str">
        <f>'GF + UG Iteration 2'!B262</f>
        <v>UG</v>
      </c>
      <c r="C262" s="35">
        <f>'GF + UG Iteration 2'!C262</f>
        <v>40</v>
      </c>
      <c r="D262" s="36">
        <f>'GF + UG Iteration 2'!P$16*(C262^'GF + UG Iteration 2'!P$15)</f>
        <v>20.664669534173559</v>
      </c>
      <c r="E262" s="37">
        <f>'GF + UG Iteration 2'!E262</f>
        <v>2001</v>
      </c>
      <c r="F262" s="35">
        <f>'GF + UG Iteration 2'!F262</f>
        <v>10</v>
      </c>
      <c r="G262" s="36">
        <f>'GF + UG Iteration 2'!G262</f>
        <v>3.8904117673360803</v>
      </c>
      <c r="H262" s="38">
        <f>'GF + UG Iteration 2'!H262</f>
        <v>2011</v>
      </c>
      <c r="I262" s="35">
        <f t="shared" si="30"/>
        <v>50</v>
      </c>
      <c r="J262" s="36">
        <f t="shared" si="31"/>
        <v>24.555081301509638</v>
      </c>
      <c r="K262" s="38">
        <f t="shared" si="32"/>
        <v>2011</v>
      </c>
      <c r="M262" s="21">
        <f t="shared" si="33"/>
        <v>3.912023005428146</v>
      </c>
      <c r="N262" s="21">
        <f t="shared" si="34"/>
        <v>3.2009188104818431</v>
      </c>
    </row>
    <row r="263" spans="1:14" x14ac:dyDescent="0.2">
      <c r="A263" s="33">
        <f>'GF + UG Iteration 2'!A263</f>
        <v>361</v>
      </c>
      <c r="B263" s="34" t="str">
        <f>'GF + UG Iteration 2'!B263</f>
        <v>UG</v>
      </c>
      <c r="C263" s="35">
        <f>'GF + UG Iteration 2'!C263</f>
        <v>12.22</v>
      </c>
      <c r="D263" s="36">
        <f>'GF + UG Iteration 2'!P$16*(C263^'GF + UG Iteration 2'!P$15)</f>
        <v>10.673991331486389</v>
      </c>
      <c r="E263" s="37">
        <f>'GF + UG Iteration 2'!E263</f>
        <v>1986</v>
      </c>
      <c r="F263" s="35">
        <f>'GF + UG Iteration 2'!F263</f>
        <v>12.999999999999998</v>
      </c>
      <c r="G263" s="36">
        <f>'GF + UG Iteration 2'!G263</f>
        <v>1.1719780512644304</v>
      </c>
      <c r="H263" s="38">
        <f>'GF + UG Iteration 2'!H263</f>
        <v>2002</v>
      </c>
      <c r="I263" s="35">
        <f t="shared" si="30"/>
        <v>25.22</v>
      </c>
      <c r="J263" s="36">
        <f t="shared" si="31"/>
        <v>11.84596938275082</v>
      </c>
      <c r="K263" s="38">
        <f t="shared" si="32"/>
        <v>2002</v>
      </c>
      <c r="M263" s="21">
        <f t="shared" si="33"/>
        <v>3.2276373305367736</v>
      </c>
      <c r="N263" s="21">
        <f t="shared" si="34"/>
        <v>2.4719876732448842</v>
      </c>
    </row>
    <row r="264" spans="1:14" x14ac:dyDescent="0.2">
      <c r="A264" s="33">
        <f>'GF + UG Iteration 2'!A264</f>
        <v>645</v>
      </c>
      <c r="B264" s="34" t="str">
        <f>'GF + UG Iteration 2'!B264</f>
        <v>UG</v>
      </c>
      <c r="C264" s="35">
        <f>'GF + UG Iteration 2'!C264</f>
        <v>25.22</v>
      </c>
      <c r="D264" s="36">
        <f>'GF + UG Iteration 2'!P$16*(C264^'GF + UG Iteration 2'!P$15)</f>
        <v>15.982050447055839</v>
      </c>
      <c r="E264" s="37">
        <f>'GF + UG Iteration 2'!E264</f>
        <v>1986</v>
      </c>
      <c r="F264" s="35">
        <f>'GF + UG Iteration 2'!F264</f>
        <v>1</v>
      </c>
      <c r="G264" s="36">
        <f>'GF + UG Iteration 2'!G264</f>
        <v>0.22667756309168191</v>
      </c>
      <c r="H264" s="38">
        <f>'GF + UG Iteration 2'!H264</f>
        <v>2006</v>
      </c>
      <c r="I264" s="35">
        <f t="shared" si="30"/>
        <v>26.22</v>
      </c>
      <c r="J264" s="36">
        <f t="shared" si="31"/>
        <v>16.208728010147521</v>
      </c>
      <c r="K264" s="38">
        <f t="shared" si="32"/>
        <v>2006</v>
      </c>
      <c r="M264" s="21">
        <f t="shared" si="33"/>
        <v>3.2665224783355535</v>
      </c>
      <c r="N264" s="21">
        <f t="shared" si="34"/>
        <v>2.7855498632145026</v>
      </c>
    </row>
    <row r="265" spans="1:14" x14ac:dyDescent="0.2">
      <c r="A265" s="33">
        <f>'GF + UG Iteration 2'!A265</f>
        <v>720</v>
      </c>
      <c r="B265" s="34" t="str">
        <f>'GF + UG Iteration 2'!B265</f>
        <v>UG</v>
      </c>
      <c r="C265" s="35">
        <f>'GF + UG Iteration 2'!C265</f>
        <v>5.29</v>
      </c>
      <c r="D265" s="36">
        <f>'GF + UG Iteration 2'!P$16*(C265^'GF + UG Iteration 2'!P$15)</f>
        <v>6.6950784013712594</v>
      </c>
      <c r="E265" s="37">
        <f>'GF + UG Iteration 2'!E265</f>
        <v>1974</v>
      </c>
      <c r="F265" s="35">
        <f>'GF + UG Iteration 2'!F265</f>
        <v>3.9099999999999993</v>
      </c>
      <c r="G265" s="36">
        <f>'GF + UG Iteration 2'!G265</f>
        <v>3.214674226156069</v>
      </c>
      <c r="H265" s="38">
        <f>'GF + UG Iteration 2'!H265</f>
        <v>2009</v>
      </c>
      <c r="I265" s="35">
        <f t="shared" si="30"/>
        <v>9.1999999999999993</v>
      </c>
      <c r="J265" s="36">
        <f t="shared" si="31"/>
        <v>9.9097526275273289</v>
      </c>
      <c r="K265" s="38">
        <f t="shared" si="32"/>
        <v>2009</v>
      </c>
      <c r="M265" s="21">
        <f t="shared" si="33"/>
        <v>2.2192034840549946</v>
      </c>
      <c r="N265" s="21">
        <f t="shared" si="34"/>
        <v>2.2935193861259364</v>
      </c>
    </row>
    <row r="266" spans="1:14" x14ac:dyDescent="0.2">
      <c r="A266" s="33">
        <f>'GF + UG Iteration 2'!A266</f>
        <v>1554</v>
      </c>
      <c r="B266" s="34" t="str">
        <f>'GF + UG Iteration 2'!B266</f>
        <v>UG</v>
      </c>
      <c r="C266" s="35">
        <f>'GF + UG Iteration 2'!C266</f>
        <v>18</v>
      </c>
      <c r="D266" s="36">
        <f>'GF + UG Iteration 2'!P$16*(C266^'GF + UG Iteration 2'!P$15)</f>
        <v>13.244398390731305</v>
      </c>
      <c r="E266" s="37">
        <f>'GF + UG Iteration 2'!E266</f>
        <v>2013</v>
      </c>
      <c r="F266" s="35">
        <f>'GF + UG Iteration 2'!F266</f>
        <v>13</v>
      </c>
      <c r="G266" s="36">
        <f>'GF + UG Iteration 2'!G266</f>
        <v>4.0040929633677633</v>
      </c>
      <c r="H266" s="38">
        <f>'GF + UG Iteration 2'!H266</f>
        <v>2015</v>
      </c>
      <c r="I266" s="35">
        <f t="shared" si="30"/>
        <v>31</v>
      </c>
      <c r="J266" s="36">
        <f t="shared" si="31"/>
        <v>17.24849135409907</v>
      </c>
      <c r="K266" s="38">
        <f t="shared" si="32"/>
        <v>2015</v>
      </c>
      <c r="M266" s="21">
        <f t="shared" si="33"/>
        <v>3.4339872044851463</v>
      </c>
      <c r="N266" s="21">
        <f t="shared" si="34"/>
        <v>2.8477246819193311</v>
      </c>
    </row>
    <row r="267" spans="1:14" x14ac:dyDescent="0.2">
      <c r="A267" s="33">
        <f>'GF + UG Iteration 2'!A267</f>
        <v>1570</v>
      </c>
      <c r="B267" s="34" t="str">
        <f>'GF + UG Iteration 2'!B267</f>
        <v>UG</v>
      </c>
      <c r="C267" s="35">
        <f>'GF + UG Iteration 2'!C267</f>
        <v>12</v>
      </c>
      <c r="D267" s="36">
        <f>'GF + UG Iteration 2'!P$16*(C267^'GF + UG Iteration 2'!P$15)</f>
        <v>10.566504156238159</v>
      </c>
      <c r="E267" s="37">
        <f>'GF + UG Iteration 2'!E267</f>
        <v>0</v>
      </c>
      <c r="F267" s="35">
        <f>'GF + UG Iteration 2'!F267</f>
        <v>7</v>
      </c>
      <c r="G267" s="36">
        <f>'GF + UG Iteration 2'!G267</f>
        <v>5.7128729653456798</v>
      </c>
      <c r="H267" s="38">
        <f>'GF + UG Iteration 2'!H267</f>
        <v>2016</v>
      </c>
      <c r="I267" s="35">
        <f t="shared" si="30"/>
        <v>19</v>
      </c>
      <c r="J267" s="36">
        <f t="shared" si="31"/>
        <v>16.279377121583838</v>
      </c>
      <c r="K267" s="38">
        <f t="shared" si="32"/>
        <v>2016</v>
      </c>
      <c r="M267" s="21">
        <f t="shared" si="33"/>
        <v>2.9444389791664403</v>
      </c>
      <c r="N267" s="21">
        <f t="shared" si="34"/>
        <v>2.7898990994974753</v>
      </c>
    </row>
    <row r="268" spans="1:14" x14ac:dyDescent="0.2">
      <c r="A268" s="33">
        <f>'GF + UG Iteration 2'!A268</f>
        <v>1280</v>
      </c>
      <c r="B268" s="34" t="str">
        <f>'GF + UG Iteration 2'!B268</f>
        <v>UG</v>
      </c>
      <c r="C268" s="35">
        <f>'GF + UG Iteration 2'!C268</f>
        <v>10</v>
      </c>
      <c r="D268" s="36">
        <f>'GF + UG Iteration 2'!P$16*(C268^'GF + UG Iteration 2'!P$15)</f>
        <v>9.5459519927801075</v>
      </c>
      <c r="E268" s="37">
        <f>'GF + UG Iteration 2'!E268</f>
        <v>0</v>
      </c>
      <c r="F268" s="35">
        <f>'GF + UG Iteration 2'!F268</f>
        <v>10</v>
      </c>
      <c r="G268" s="36">
        <f>'GF + UG Iteration 2'!G268</f>
        <v>3.9567117678399111</v>
      </c>
      <c r="H268" s="38">
        <f>'GF + UG Iteration 2'!H268</f>
        <v>2013</v>
      </c>
      <c r="I268" s="35">
        <f t="shared" si="30"/>
        <v>20</v>
      </c>
      <c r="J268" s="36">
        <f t="shared" si="31"/>
        <v>13.502663760620019</v>
      </c>
      <c r="K268" s="38">
        <f t="shared" si="32"/>
        <v>2013</v>
      </c>
      <c r="M268" s="21">
        <f t="shared" si="33"/>
        <v>2.9957322735539909</v>
      </c>
      <c r="N268" s="21">
        <f t="shared" si="34"/>
        <v>2.6028869815817037</v>
      </c>
    </row>
    <row r="269" spans="1:14" x14ac:dyDescent="0.2">
      <c r="A269" s="33">
        <f>'GF + UG Iteration 2'!A269</f>
        <v>659</v>
      </c>
      <c r="B269" s="34" t="str">
        <f>'GF + UG Iteration 2'!B269</f>
        <v>UG</v>
      </c>
      <c r="C269" s="35">
        <f>'GF + UG Iteration 2'!C269</f>
        <v>51</v>
      </c>
      <c r="D269" s="36">
        <f>'GF + UG Iteration 2'!P$16*(C269^'GF + UG Iteration 2'!P$15)</f>
        <v>23.659658314430065</v>
      </c>
      <c r="E269" s="37">
        <f>'GF + UG Iteration 2'!E269</f>
        <v>1974</v>
      </c>
      <c r="F269" s="35">
        <f>'GF + UG Iteration 2'!F269</f>
        <v>7</v>
      </c>
      <c r="G269" s="36">
        <f>'GF + UG Iteration 2'!G269</f>
        <v>0.19038861907506671</v>
      </c>
      <c r="H269" s="38">
        <f>'GF + UG Iteration 2'!H269</f>
        <v>2006</v>
      </c>
      <c r="I269" s="35">
        <f t="shared" si="30"/>
        <v>58</v>
      </c>
      <c r="J269" s="36">
        <f t="shared" si="31"/>
        <v>23.85004693350513</v>
      </c>
      <c r="K269" s="38">
        <f t="shared" si="32"/>
        <v>2006</v>
      </c>
      <c r="M269" s="21">
        <f t="shared" si="33"/>
        <v>4.0604430105464191</v>
      </c>
      <c r="N269" s="21">
        <f t="shared" si="34"/>
        <v>3.1717861851942644</v>
      </c>
    </row>
    <row r="270" spans="1:14" x14ac:dyDescent="0.2">
      <c r="A270" s="33">
        <f>'GF + UG Iteration 2'!A270</f>
        <v>1240</v>
      </c>
      <c r="B270" s="34" t="str">
        <f>'GF + UG Iteration 2'!B270</f>
        <v>UG</v>
      </c>
      <c r="C270" s="35">
        <f>'GF + UG Iteration 2'!C270</f>
        <v>9</v>
      </c>
      <c r="D270" s="36">
        <f>'GF + UG Iteration 2'!P$16*(C270^'GF + UG Iteration 2'!P$15)</f>
        <v>9.0017640772491578</v>
      </c>
      <c r="E270" s="37">
        <f>'GF + UG Iteration 2'!E270</f>
        <v>0</v>
      </c>
      <c r="F270" s="35">
        <f>'GF + UG Iteration 2'!F270</f>
        <v>12</v>
      </c>
      <c r="G270" s="36">
        <f>'GF + UG Iteration 2'!G270</f>
        <v>2.4762389627807444</v>
      </c>
      <c r="H270" s="38">
        <f>'GF + UG Iteration 2'!H270</f>
        <v>2013</v>
      </c>
      <c r="I270" s="35">
        <f t="shared" si="30"/>
        <v>21</v>
      </c>
      <c r="J270" s="36">
        <f t="shared" si="31"/>
        <v>11.478003040029902</v>
      </c>
      <c r="K270" s="38">
        <f t="shared" si="32"/>
        <v>2013</v>
      </c>
      <c r="M270" s="21">
        <f t="shared" si="33"/>
        <v>3.044522437723423</v>
      </c>
      <c r="N270" s="21">
        <f t="shared" si="34"/>
        <v>2.4404324245432454</v>
      </c>
    </row>
    <row r="271" spans="1:14" x14ac:dyDescent="0.2">
      <c r="A271" s="33">
        <f>'GF + UG Iteration 2'!A271</f>
        <v>317</v>
      </c>
      <c r="B271" s="34" t="str">
        <f>'GF + UG Iteration 2'!B271</f>
        <v>UG</v>
      </c>
      <c r="C271" s="35">
        <f>'GF + UG Iteration 2'!C271</f>
        <v>26.67</v>
      </c>
      <c r="D271" s="36">
        <f>'GF + UG Iteration 2'!P$16*(C271^'GF + UG Iteration 2'!P$15)</f>
        <v>16.487613503348307</v>
      </c>
      <c r="E271" s="37">
        <f>'GF + UG Iteration 2'!E271</f>
        <v>1978</v>
      </c>
      <c r="F271" s="35">
        <f>'GF + UG Iteration 2'!F271</f>
        <v>8.4600000000000009</v>
      </c>
      <c r="G271" s="36">
        <f>'GF + UG Iteration 2'!G271</f>
        <v>3.7336154837609361</v>
      </c>
      <c r="H271" s="38">
        <f>'GF + UG Iteration 2'!H271</f>
        <v>2002</v>
      </c>
      <c r="I271" s="35">
        <f t="shared" si="30"/>
        <v>35.130000000000003</v>
      </c>
      <c r="J271" s="36">
        <f t="shared" si="31"/>
        <v>20.221228987109242</v>
      </c>
      <c r="K271" s="38">
        <f t="shared" si="32"/>
        <v>2002</v>
      </c>
      <c r="M271" s="21">
        <f t="shared" si="33"/>
        <v>3.5590554662777358</v>
      </c>
      <c r="N271" s="21">
        <f t="shared" si="34"/>
        <v>3.0067329925122741</v>
      </c>
    </row>
    <row r="272" spans="1:14" x14ac:dyDescent="0.2">
      <c r="A272" s="33">
        <f>'GF + UG Iteration 2'!A272</f>
        <v>1510</v>
      </c>
      <c r="B272" s="34" t="str">
        <f>'GF + UG Iteration 2'!B272</f>
        <v>UG</v>
      </c>
      <c r="C272" s="35">
        <f>'GF + UG Iteration 2'!C272</f>
        <v>35.130000000000003</v>
      </c>
      <c r="D272" s="36">
        <f>'GF + UG Iteration 2'!P$16*(C272^'GF + UG Iteration 2'!P$15)</f>
        <v>19.222859469185732</v>
      </c>
      <c r="E272" s="37">
        <f>'GF + UG Iteration 2'!E272</f>
        <v>1978</v>
      </c>
      <c r="F272" s="35">
        <f>'GF + UG Iteration 2'!F272</f>
        <v>0</v>
      </c>
      <c r="G272" s="36">
        <f>'GF + UG Iteration 2'!G272</f>
        <v>1.0378442790997116</v>
      </c>
      <c r="H272" s="38">
        <f>'GF + UG Iteration 2'!H272</f>
        <v>2014</v>
      </c>
      <c r="I272" s="35">
        <f t="shared" si="30"/>
        <v>35.130000000000003</v>
      </c>
      <c r="J272" s="36">
        <f t="shared" si="31"/>
        <v>20.260703748285444</v>
      </c>
      <c r="K272" s="38">
        <f t="shared" si="32"/>
        <v>2014</v>
      </c>
      <c r="M272" s="21">
        <f t="shared" si="33"/>
        <v>3.5590554662777358</v>
      </c>
      <c r="N272" s="21">
        <f t="shared" si="34"/>
        <v>3.0086832340655065</v>
      </c>
    </row>
    <row r="273" spans="1:14" x14ac:dyDescent="0.2">
      <c r="A273" s="33">
        <f>'GF + UG Iteration 2'!A273</f>
        <v>1678</v>
      </c>
      <c r="B273" s="34" t="str">
        <f>'GF + UG Iteration 2'!B273</f>
        <v>UG</v>
      </c>
      <c r="C273" s="35">
        <f>'GF + UG Iteration 2'!C273</f>
        <v>71.19</v>
      </c>
      <c r="D273" s="36">
        <f>'GF + UG Iteration 2'!P$16*(C273^'GF + UG Iteration 2'!P$15)</f>
        <v>28.490766181743901</v>
      </c>
      <c r="E273" s="37">
        <f>'GF + UG Iteration 2'!E273</f>
        <v>0</v>
      </c>
      <c r="F273" s="35">
        <f>'GF + UG Iteration 2'!F273</f>
        <v>3.8100000000000023</v>
      </c>
      <c r="G273" s="36">
        <f>'GF + UG Iteration 2'!G273</f>
        <v>0.1876880715541229</v>
      </c>
      <c r="H273" s="38">
        <f>'GF + UG Iteration 2'!H273</f>
        <v>2015</v>
      </c>
      <c r="I273" s="35">
        <f t="shared" si="30"/>
        <v>75</v>
      </c>
      <c r="J273" s="36">
        <f t="shared" si="31"/>
        <v>28.678454253298025</v>
      </c>
      <c r="K273" s="38">
        <f t="shared" si="32"/>
        <v>2015</v>
      </c>
      <c r="M273" s="21">
        <f t="shared" si="33"/>
        <v>4.3174881135363101</v>
      </c>
      <c r="N273" s="21">
        <f t="shared" si="34"/>
        <v>3.3561461179504395</v>
      </c>
    </row>
    <row r="274" spans="1:14" x14ac:dyDescent="0.2">
      <c r="A274" s="33">
        <f>'GF + UG Iteration 2'!A274</f>
        <v>409</v>
      </c>
      <c r="B274" s="34" t="str">
        <f>'GF + UG Iteration 2'!B274</f>
        <v>UG</v>
      </c>
      <c r="C274" s="35">
        <f>'GF + UG Iteration 2'!C274</f>
        <v>50.9</v>
      </c>
      <c r="D274" s="36">
        <f>'GF + UG Iteration 2'!P$16*(C274^'GF + UG Iteration 2'!P$15)</f>
        <v>23.633802261240731</v>
      </c>
      <c r="E274" s="37" t="str">
        <f>'GF + UG Iteration 2'!E274</f>
        <v>unknown</v>
      </c>
      <c r="F274" s="35">
        <f>'GF + UG Iteration 2'!F274</f>
        <v>0</v>
      </c>
      <c r="G274" s="36">
        <f>'GF + UG Iteration 2'!G274</f>
        <v>6.9500275644125207</v>
      </c>
      <c r="H274" s="38">
        <f>'GF + UG Iteration 2'!H274</f>
        <v>2004</v>
      </c>
      <c r="I274" s="35">
        <f t="shared" si="30"/>
        <v>50.9</v>
      </c>
      <c r="J274" s="36">
        <f t="shared" si="31"/>
        <v>30.583829825653254</v>
      </c>
      <c r="K274" s="38">
        <f t="shared" si="32"/>
        <v>2004</v>
      </c>
      <c r="M274" s="21">
        <f t="shared" si="33"/>
        <v>3.929862923556477</v>
      </c>
      <c r="N274" s="21">
        <f t="shared" si="34"/>
        <v>3.4204714322161038</v>
      </c>
    </row>
    <row r="275" spans="1:14" x14ac:dyDescent="0.2">
      <c r="A275" s="33">
        <f>'GF + UG Iteration 2'!A275</f>
        <v>620</v>
      </c>
      <c r="B275" s="34" t="str">
        <f>'GF + UG Iteration 2'!B275</f>
        <v>UG</v>
      </c>
      <c r="C275" s="35">
        <f>'GF + UG Iteration 2'!C275</f>
        <v>66.040000000000006</v>
      </c>
      <c r="D275" s="36">
        <f>'GF + UG Iteration 2'!P$16*(C275^'GF + UG Iteration 2'!P$15)</f>
        <v>27.323475292967618</v>
      </c>
      <c r="E275" s="37" t="str">
        <f>'GF + UG Iteration 2'!E275</f>
        <v>unknown</v>
      </c>
      <c r="F275" s="35">
        <f>'GF + UG Iteration 2'!F275</f>
        <v>1</v>
      </c>
      <c r="G275" s="36">
        <f>'GF + UG Iteration 2'!G275</f>
        <v>5.2327101351069411E-2</v>
      </c>
      <c r="H275" s="38">
        <f>'GF + UG Iteration 2'!H275</f>
        <v>2006</v>
      </c>
      <c r="I275" s="35">
        <f t="shared" si="30"/>
        <v>67.040000000000006</v>
      </c>
      <c r="J275" s="36">
        <f t="shared" si="31"/>
        <v>27.375802394318686</v>
      </c>
      <c r="K275" s="38">
        <f t="shared" si="32"/>
        <v>2006</v>
      </c>
      <c r="M275" s="21">
        <f t="shared" si="33"/>
        <v>4.2052894561738281</v>
      </c>
      <c r="N275" s="21">
        <f t="shared" si="34"/>
        <v>3.3096594989150883</v>
      </c>
    </row>
    <row r="276" spans="1:14" x14ac:dyDescent="0.2">
      <c r="A276" s="33">
        <f>'GF + UG Iteration 2'!A276</f>
        <v>1085</v>
      </c>
      <c r="B276" s="34" t="str">
        <f>'GF + UG Iteration 2'!B276</f>
        <v>UG</v>
      </c>
      <c r="C276" s="35">
        <f>'GF + UG Iteration 2'!C276</f>
        <v>67.040000000000006</v>
      </c>
      <c r="D276" s="36">
        <f>'GF + UG Iteration 2'!P$16*(C276^'GF + UG Iteration 2'!P$15)</f>
        <v>27.553204333043773</v>
      </c>
      <c r="E276" s="37" t="str">
        <f>'GF + UG Iteration 2'!E276</f>
        <v>unknown</v>
      </c>
      <c r="F276" s="35">
        <f>'GF + UG Iteration 2'!F276</f>
        <v>2</v>
      </c>
      <c r="G276" s="36">
        <f>'GF + UG Iteration 2'!G276</f>
        <v>7.9312358901564406E-2</v>
      </c>
      <c r="H276" s="38">
        <f>'GF + UG Iteration 2'!H276</f>
        <v>2010</v>
      </c>
      <c r="I276" s="35">
        <f t="shared" si="30"/>
        <v>69.040000000000006</v>
      </c>
      <c r="J276" s="36">
        <f t="shared" si="31"/>
        <v>27.632516691945337</v>
      </c>
      <c r="K276" s="38">
        <f t="shared" si="32"/>
        <v>2010</v>
      </c>
      <c r="M276" s="21">
        <f t="shared" si="33"/>
        <v>4.234686046775173</v>
      </c>
      <c r="N276" s="21">
        <f t="shared" si="34"/>
        <v>3.3189932202721057</v>
      </c>
    </row>
    <row r="277" spans="1:14" x14ac:dyDescent="0.2">
      <c r="A277" s="33">
        <f>'GF + UG Iteration 2'!A277</f>
        <v>589</v>
      </c>
      <c r="B277" s="34" t="str">
        <f>'GF + UG Iteration 2'!B277</f>
        <v>UG</v>
      </c>
      <c r="C277" s="35">
        <f>'GF + UG Iteration 2'!C277</f>
        <v>36.963000000000001</v>
      </c>
      <c r="D277" s="36">
        <f>'GF + UG Iteration 2'!P$16*(C277^'GF + UG Iteration 2'!P$15)</f>
        <v>19.775335774790694</v>
      </c>
      <c r="E277" s="37">
        <f>'GF + UG Iteration 2'!E277</f>
        <v>1974</v>
      </c>
      <c r="F277" s="35">
        <f>'GF + UG Iteration 2'!F277</f>
        <v>0</v>
      </c>
      <c r="G277" s="36">
        <f>'GF + UG Iteration 2'!G277</f>
        <v>3.2007376892660457E-2</v>
      </c>
      <c r="H277" s="38">
        <f>'GF + UG Iteration 2'!H277</f>
        <v>2005</v>
      </c>
      <c r="I277" s="35">
        <f t="shared" si="30"/>
        <v>36.963000000000001</v>
      </c>
      <c r="J277" s="36">
        <f t="shared" si="31"/>
        <v>19.807343151683355</v>
      </c>
      <c r="K277" s="38">
        <f t="shared" si="32"/>
        <v>2005</v>
      </c>
      <c r="M277" s="21">
        <f t="shared" si="33"/>
        <v>3.609917412310641</v>
      </c>
      <c r="N277" s="21">
        <f t="shared" si="34"/>
        <v>2.9860527351932356</v>
      </c>
    </row>
    <row r="278" spans="1:14" x14ac:dyDescent="0.2">
      <c r="A278" s="33">
        <f>'GF + UG Iteration 2'!A278</f>
        <v>836</v>
      </c>
      <c r="B278" s="34" t="str">
        <f>'GF + UG Iteration 2'!B278</f>
        <v>UG</v>
      </c>
      <c r="C278" s="35">
        <f>'GF + UG Iteration 2'!C278</f>
        <v>33.963000000000001</v>
      </c>
      <c r="D278" s="36">
        <f>'GF + UG Iteration 2'!P$16*(C278^'GF + UG Iteration 2'!P$15)</f>
        <v>18.864448907442842</v>
      </c>
      <c r="E278" s="37">
        <f>'GF + UG Iteration 2'!E278</f>
        <v>1974</v>
      </c>
      <c r="F278" s="35">
        <f>'GF + UG Iteration 2'!F278</f>
        <v>10.036999999999999</v>
      </c>
      <c r="G278" s="36">
        <f>'GF + UG Iteration 2'!G278</f>
        <v>0.20824846319974696</v>
      </c>
      <c r="H278" s="38">
        <f>'GF + UG Iteration 2'!H278</f>
        <v>2008</v>
      </c>
      <c r="I278" s="35">
        <f t="shared" si="30"/>
        <v>44</v>
      </c>
      <c r="J278" s="36">
        <f t="shared" si="31"/>
        <v>19.07269737064259</v>
      </c>
      <c r="K278" s="38">
        <f t="shared" si="32"/>
        <v>2008</v>
      </c>
      <c r="M278" s="21">
        <f t="shared" si="33"/>
        <v>3.784189633918261</v>
      </c>
      <c r="N278" s="21">
        <f t="shared" si="34"/>
        <v>2.9482578553697874</v>
      </c>
    </row>
    <row r="279" spans="1:14" x14ac:dyDescent="0.2">
      <c r="A279" s="33">
        <f>'GF + UG Iteration 2'!A279</f>
        <v>1417</v>
      </c>
      <c r="B279" s="34" t="str">
        <f>'GF + UG Iteration 2'!B279</f>
        <v>UG</v>
      </c>
      <c r="C279" s="35">
        <f>'GF + UG Iteration 2'!C279</f>
        <v>53.176000000000002</v>
      </c>
      <c r="D279" s="36">
        <f>'GF + UG Iteration 2'!P$16*(C279^'GF + UG Iteration 2'!P$15)</f>
        <v>24.216834223983955</v>
      </c>
      <c r="E279" s="37">
        <f>'GF + UG Iteration 2'!E279</f>
        <v>0</v>
      </c>
      <c r="F279" s="35">
        <f>'GF + UG Iteration 2'!F279</f>
        <v>2.8239999999999981</v>
      </c>
      <c r="G279" s="36">
        <f>'GF + UG Iteration 2'!G279</f>
        <v>0.36631755287404399</v>
      </c>
      <c r="H279" s="38">
        <f>'GF + UG Iteration 2'!H279</f>
        <v>2013</v>
      </c>
      <c r="I279" s="35">
        <f t="shared" si="30"/>
        <v>56</v>
      </c>
      <c r="J279" s="36">
        <f t="shared" si="31"/>
        <v>24.583151776857999</v>
      </c>
      <c r="K279" s="38">
        <f t="shared" si="32"/>
        <v>2013</v>
      </c>
      <c r="M279" s="21">
        <f t="shared" si="33"/>
        <v>4.0253516907351496</v>
      </c>
      <c r="N279" s="21">
        <f t="shared" si="34"/>
        <v>3.2020613211763984</v>
      </c>
    </row>
    <row r="280" spans="1:14" x14ac:dyDescent="0.2">
      <c r="A280" s="33">
        <f>'GF + UG Iteration 2'!A280</f>
        <v>1575</v>
      </c>
      <c r="B280" s="34" t="str">
        <f>'GF + UG Iteration 2'!B280</f>
        <v>UG</v>
      </c>
      <c r="C280" s="35">
        <f>'GF + UG Iteration 2'!C280</f>
        <v>107.8</v>
      </c>
      <c r="D280" s="36">
        <f>'GF + UG Iteration 2'!P$16*(C280^'GF + UG Iteration 2'!P$15)</f>
        <v>35.899954436613378</v>
      </c>
      <c r="E280" s="37">
        <f>'GF + UG Iteration 2'!E280</f>
        <v>0</v>
      </c>
      <c r="F280" s="35">
        <f>'GF + UG Iteration 2'!F280</f>
        <v>2.2000000000000028</v>
      </c>
      <c r="G280" s="36">
        <f>'GF + UG Iteration 2'!G280</f>
        <v>8.4606138058298655E-2</v>
      </c>
      <c r="H280" s="38">
        <f>'GF + UG Iteration 2'!H280</f>
        <v>2014</v>
      </c>
      <c r="I280" s="35">
        <f t="shared" si="30"/>
        <v>110</v>
      </c>
      <c r="J280" s="36">
        <f t="shared" si="31"/>
        <v>35.984560574671676</v>
      </c>
      <c r="K280" s="38">
        <f t="shared" si="32"/>
        <v>2014</v>
      </c>
      <c r="M280" s="21">
        <f t="shared" si="33"/>
        <v>4.7004803657924166</v>
      </c>
      <c r="N280" s="21">
        <f t="shared" si="34"/>
        <v>3.5830899735380268</v>
      </c>
    </row>
    <row r="281" spans="1:14" x14ac:dyDescent="0.2">
      <c r="A281" s="33">
        <f>'GF + UG Iteration 2'!A281</f>
        <v>1480</v>
      </c>
      <c r="B281" s="34" t="str">
        <f>'GF + UG Iteration 2'!B281</f>
        <v>UG</v>
      </c>
      <c r="C281" s="35">
        <f>'GF + UG Iteration 2'!C281</f>
        <v>92</v>
      </c>
      <c r="D281" s="36">
        <f>'GF + UG Iteration 2'!P$16*(C281^'GF + UG Iteration 2'!P$15)</f>
        <v>32.866087088092087</v>
      </c>
      <c r="E281" s="37">
        <f>'GF + UG Iteration 2'!E281</f>
        <v>0</v>
      </c>
      <c r="F281" s="35">
        <f>'GF + UG Iteration 2'!F281</f>
        <v>9</v>
      </c>
      <c r="G281" s="36">
        <f>'GF + UG Iteration 2'!G281</f>
        <v>1.4186292000498641</v>
      </c>
      <c r="H281" s="38">
        <f>'GF + UG Iteration 2'!H281</f>
        <v>2015</v>
      </c>
      <c r="I281" s="35">
        <f t="shared" si="30"/>
        <v>101</v>
      </c>
      <c r="J281" s="36">
        <f t="shared" si="31"/>
        <v>34.284716288141951</v>
      </c>
      <c r="K281" s="38">
        <f t="shared" si="32"/>
        <v>2015</v>
      </c>
      <c r="M281" s="21">
        <f t="shared" si="33"/>
        <v>4.6151205168412597</v>
      </c>
      <c r="N281" s="21">
        <f t="shared" si="34"/>
        <v>3.5346996656004981</v>
      </c>
    </row>
    <row r="282" spans="1:14" x14ac:dyDescent="0.2">
      <c r="A282" s="33">
        <f>'GF + UG Iteration 2'!A282</f>
        <v>1644</v>
      </c>
      <c r="B282" s="34" t="str">
        <f>'GF + UG Iteration 2'!B282</f>
        <v>UG</v>
      </c>
      <c r="C282" s="35">
        <f>'GF + UG Iteration 2'!C282</f>
        <v>25</v>
      </c>
      <c r="D282" s="36">
        <f>'GF + UG Iteration 2'!P$16*(C282^'GF + UG Iteration 2'!P$15)</f>
        <v>15.904231205617577</v>
      </c>
      <c r="E282" s="37">
        <f>'GF + UG Iteration 2'!E282</f>
        <v>0</v>
      </c>
      <c r="F282" s="35">
        <f>'GF + UG Iteration 2'!F282</f>
        <v>14</v>
      </c>
      <c r="G282" s="36">
        <f>'GF + UG Iteration 2'!G282</f>
        <v>6.4881768587089867</v>
      </c>
      <c r="H282" s="38">
        <f>'GF + UG Iteration 2'!H282</f>
        <v>2016</v>
      </c>
      <c r="I282" s="35">
        <f t="shared" si="30"/>
        <v>39</v>
      </c>
      <c r="J282" s="36">
        <f t="shared" si="31"/>
        <v>22.392408064326563</v>
      </c>
      <c r="K282" s="38">
        <f t="shared" si="32"/>
        <v>2016</v>
      </c>
      <c r="M282" s="21">
        <f t="shared" si="33"/>
        <v>3.6635616461296463</v>
      </c>
      <c r="N282" s="21">
        <f t="shared" si="34"/>
        <v>3.1087219757129914</v>
      </c>
    </row>
    <row r="283" spans="1:14" x14ac:dyDescent="0.2">
      <c r="A283" s="33">
        <f>'GF + UG Iteration 2'!A283</f>
        <v>1276</v>
      </c>
      <c r="B283" s="34" t="str">
        <f>'GF + UG Iteration 2'!B283</f>
        <v>UG</v>
      </c>
      <c r="C283" s="35">
        <f>'GF + UG Iteration 2'!C283</f>
        <v>34</v>
      </c>
      <c r="D283" s="36">
        <f>'GF + UG Iteration 2'!P$16*(C283^'GF + UG Iteration 2'!P$15)</f>
        <v>18.875895343766977</v>
      </c>
      <c r="E283" s="37" t="str">
        <f>'GF + UG Iteration 2'!E283</f>
        <v>unknown</v>
      </c>
      <c r="F283" s="35">
        <f>'GF + UG Iteration 2'!F283</f>
        <v>4</v>
      </c>
      <c r="G283" s="36">
        <f>'GF + UG Iteration 2'!G283</f>
        <v>0.69755192087391271</v>
      </c>
      <c r="H283" s="38">
        <f>'GF + UG Iteration 2'!H283</f>
        <v>2012</v>
      </c>
      <c r="I283" s="35">
        <f t="shared" si="30"/>
        <v>38</v>
      </c>
      <c r="J283" s="36">
        <f t="shared" si="31"/>
        <v>19.57344726464089</v>
      </c>
      <c r="K283" s="38">
        <f t="shared" si="32"/>
        <v>2012</v>
      </c>
      <c r="M283" s="21">
        <f t="shared" si="33"/>
        <v>3.6375861597263857</v>
      </c>
      <c r="N283" s="21">
        <f t="shared" si="34"/>
        <v>2.9741739163623997</v>
      </c>
    </row>
    <row r="284" spans="1:14" x14ac:dyDescent="0.2">
      <c r="A284" s="33">
        <f>'GF + UG Iteration 2'!A284</f>
        <v>823</v>
      </c>
      <c r="B284" s="34" t="str">
        <f>'GF + UG Iteration 2'!B284</f>
        <v>UG</v>
      </c>
      <c r="C284" s="35">
        <f>'GF + UG Iteration 2'!C284</f>
        <v>10</v>
      </c>
      <c r="D284" s="36">
        <f>'GF + UG Iteration 2'!P$16*(C284^'GF + UG Iteration 2'!P$15)</f>
        <v>9.5459519927801075</v>
      </c>
      <c r="E284" s="37" t="str">
        <f>'GF + UG Iteration 2'!E284</f>
        <v>unknown</v>
      </c>
      <c r="F284" s="35">
        <f>'GF + UG Iteration 2'!F284</f>
        <v>25</v>
      </c>
      <c r="G284" s="36">
        <f>'GF + UG Iteration 2'!G284</f>
        <v>8.3156614233786232</v>
      </c>
      <c r="H284" s="38">
        <f>'GF + UG Iteration 2'!H284</f>
        <v>2009</v>
      </c>
      <c r="I284" s="35">
        <f t="shared" si="30"/>
        <v>35</v>
      </c>
      <c r="J284" s="36">
        <f t="shared" si="31"/>
        <v>17.861613416158733</v>
      </c>
      <c r="K284" s="38">
        <f t="shared" si="32"/>
        <v>2009</v>
      </c>
      <c r="M284" s="21">
        <f t="shared" si="33"/>
        <v>3.5553480614894135</v>
      </c>
      <c r="N284" s="21">
        <f t="shared" si="34"/>
        <v>2.8826539082192184</v>
      </c>
    </row>
    <row r="285" spans="1:14" x14ac:dyDescent="0.2">
      <c r="A285" s="33">
        <f>'GF + UG Iteration 2'!A285</f>
        <v>1601</v>
      </c>
      <c r="B285" s="34" t="str">
        <f>'GF + UG Iteration 2'!B285</f>
        <v>UG</v>
      </c>
      <c r="C285" s="35">
        <f>'GF + UG Iteration 2'!C285</f>
        <v>77</v>
      </c>
      <c r="D285" s="36">
        <f>'GF + UG Iteration 2'!P$16*(C285^'GF + UG Iteration 2'!P$15)</f>
        <v>29.763608338826327</v>
      </c>
      <c r="E285" s="37">
        <f>'GF + UG Iteration 2'!E285</f>
        <v>0</v>
      </c>
      <c r="F285" s="35">
        <f>'GF + UG Iteration 2'!F285</f>
        <v>0</v>
      </c>
      <c r="G285" s="36">
        <f>'GF + UG Iteration 2'!G285</f>
        <v>4.0094648670350015</v>
      </c>
      <c r="H285" s="38">
        <f>'GF + UG Iteration 2'!H285</f>
        <v>2015</v>
      </c>
      <c r="I285" s="35">
        <f t="shared" si="30"/>
        <v>77</v>
      </c>
      <c r="J285" s="36">
        <f t="shared" si="31"/>
        <v>33.77307320586133</v>
      </c>
      <c r="K285" s="38">
        <f t="shared" si="32"/>
        <v>2015</v>
      </c>
      <c r="M285" s="21">
        <f t="shared" si="33"/>
        <v>4.3438054218536841</v>
      </c>
      <c r="N285" s="21">
        <f t="shared" si="34"/>
        <v>3.5196638342799984</v>
      </c>
    </row>
    <row r="286" spans="1:14" x14ac:dyDescent="0.2">
      <c r="A286" s="33">
        <f>'GF + UG Iteration 2'!A286</f>
        <v>1046</v>
      </c>
      <c r="B286" s="34" t="str">
        <f>'GF + UG Iteration 2'!B286</f>
        <v>UG</v>
      </c>
      <c r="C286" s="35">
        <f>'GF + UG Iteration 2'!C286</f>
        <v>33</v>
      </c>
      <c r="D286" s="36">
        <f>'GF + UG Iteration 2'!P$16*(C286^'GF + UG Iteration 2'!P$15)</f>
        <v>18.564563297578218</v>
      </c>
      <c r="E286" s="37" t="str">
        <f>'GF + UG Iteration 2'!E286</f>
        <v>unknown</v>
      </c>
      <c r="F286" s="35">
        <f>'GF + UG Iteration 2'!F286</f>
        <v>17</v>
      </c>
      <c r="G286" s="36">
        <f>'GF + UG Iteration 2'!G286</f>
        <v>13.838101419471103</v>
      </c>
      <c r="H286" s="38">
        <f>'GF + UG Iteration 2'!H286</f>
        <v>2011</v>
      </c>
      <c r="I286" s="35">
        <f t="shared" si="30"/>
        <v>50</v>
      </c>
      <c r="J286" s="36">
        <f t="shared" si="31"/>
        <v>32.402664717049319</v>
      </c>
      <c r="K286" s="38">
        <f t="shared" si="32"/>
        <v>2011</v>
      </c>
      <c r="M286" s="21">
        <f t="shared" si="33"/>
        <v>3.912023005428146</v>
      </c>
      <c r="N286" s="21">
        <f t="shared" si="34"/>
        <v>3.4782406637697765</v>
      </c>
    </row>
    <row r="287" spans="1:14" x14ac:dyDescent="0.2">
      <c r="A287" s="33">
        <f>'GF + UG Iteration 2'!A287</f>
        <v>873</v>
      </c>
      <c r="B287" s="34" t="str">
        <f>'GF + UG Iteration 2'!B287</f>
        <v>UG</v>
      </c>
      <c r="C287" s="35">
        <f>'GF + UG Iteration 2'!C287</f>
        <v>38</v>
      </c>
      <c r="D287" s="36">
        <f>'GF + UG Iteration 2'!P$16*(C287^'GF + UG Iteration 2'!P$15)</f>
        <v>20.082520821594368</v>
      </c>
      <c r="E287" s="37" t="str">
        <f>'GF + UG Iteration 2'!E287</f>
        <v>unknown</v>
      </c>
      <c r="F287" s="35">
        <f>'GF + UG Iteration 2'!F287</f>
        <v>10</v>
      </c>
      <c r="G287" s="36">
        <f>'GF + UG Iteration 2'!G287</f>
        <v>10.835025062169574</v>
      </c>
      <c r="H287" s="38">
        <f>'GF + UG Iteration 2'!H287</f>
        <v>2011</v>
      </c>
      <c r="I287" s="35">
        <f t="shared" si="30"/>
        <v>48</v>
      </c>
      <c r="J287" s="36">
        <f t="shared" si="31"/>
        <v>30.917545883763943</v>
      </c>
      <c r="K287" s="38">
        <f t="shared" si="32"/>
        <v>2011</v>
      </c>
      <c r="M287" s="21">
        <f t="shared" si="33"/>
        <v>3.8712010109078911</v>
      </c>
      <c r="N287" s="21">
        <f t="shared" si="34"/>
        <v>3.4313238507039352</v>
      </c>
    </row>
    <row r="288" spans="1:14" x14ac:dyDescent="0.2">
      <c r="A288" s="33">
        <f>'GF + UG Iteration 2'!A288</f>
        <v>630</v>
      </c>
      <c r="B288" s="34" t="str">
        <f>'GF + UG Iteration 2'!B288</f>
        <v>UG</v>
      </c>
      <c r="C288" s="35">
        <f>'GF + UG Iteration 2'!C288</f>
        <v>36.4</v>
      </c>
      <c r="D288" s="36">
        <f>'GF + UG Iteration 2'!P$16*(C288^'GF + UG Iteration 2'!P$15)</f>
        <v>19.606962377534323</v>
      </c>
      <c r="E288" s="37" t="str">
        <f>'GF + UG Iteration 2'!E288</f>
        <v>unknown</v>
      </c>
      <c r="F288" s="35">
        <f>'GF + UG Iteration 2'!F288</f>
        <v>3.6000000000000014</v>
      </c>
      <c r="G288" s="36">
        <f>'GF + UG Iteration 2'!G288</f>
        <v>0.76181860016629799</v>
      </c>
      <c r="H288" s="38">
        <f>'GF + UG Iteration 2'!H288</f>
        <v>2007</v>
      </c>
      <c r="I288" s="35">
        <f t="shared" si="30"/>
        <v>40</v>
      </c>
      <c r="J288" s="36">
        <f t="shared" si="31"/>
        <v>20.36878097770062</v>
      </c>
      <c r="K288" s="38">
        <f t="shared" si="32"/>
        <v>2007</v>
      </c>
      <c r="M288" s="21">
        <f t="shared" si="33"/>
        <v>3.6888794541139363</v>
      </c>
      <c r="N288" s="21">
        <f t="shared" si="34"/>
        <v>3.0140033844470393</v>
      </c>
    </row>
    <row r="289" spans="1:20" x14ac:dyDescent="0.2">
      <c r="A289" s="33">
        <f>'GF + UG Iteration 2'!A289</f>
        <v>1107</v>
      </c>
      <c r="B289" s="34" t="str">
        <f>'GF + UG Iteration 2'!B289</f>
        <v>UG</v>
      </c>
      <c r="C289" s="35">
        <f>'GF + UG Iteration 2'!C289</f>
        <v>16</v>
      </c>
      <c r="D289" s="36">
        <f>'GF + UG Iteration 2'!P$16*(C289^'GF + UG Iteration 2'!P$15)</f>
        <v>12.403236646246079</v>
      </c>
      <c r="E289" s="37">
        <f>'GF + UG Iteration 2'!E289</f>
        <v>2010</v>
      </c>
      <c r="F289" s="35">
        <f>'GF + UG Iteration 2'!F289</f>
        <v>24</v>
      </c>
      <c r="G289" s="36">
        <f>'GF + UG Iteration 2'!G289</f>
        <v>7.7000094501504579</v>
      </c>
      <c r="H289" s="38">
        <f>'GF + UG Iteration 2'!H289</f>
        <v>2014</v>
      </c>
      <c r="I289" s="35">
        <f t="shared" si="30"/>
        <v>40</v>
      </c>
      <c r="J289" s="36">
        <f t="shared" si="31"/>
        <v>20.103246096396536</v>
      </c>
      <c r="K289" s="38">
        <f t="shared" si="32"/>
        <v>2014</v>
      </c>
      <c r="M289" s="21">
        <f t="shared" si="33"/>
        <v>3.6888794541139363</v>
      </c>
      <c r="N289" s="21">
        <f t="shared" si="34"/>
        <v>3.0008812993589005</v>
      </c>
    </row>
    <row r="290" spans="1:20" x14ac:dyDescent="0.2">
      <c r="A290" s="33">
        <f>'GF + UG Iteration 2'!A290</f>
        <v>682</v>
      </c>
      <c r="B290" s="34" t="str">
        <f>'GF + UG Iteration 2'!B290</f>
        <v>UG</v>
      </c>
      <c r="C290" s="35">
        <f>'GF + UG Iteration 2'!C290</f>
        <v>12</v>
      </c>
      <c r="D290" s="36">
        <f>'GF + UG Iteration 2'!P$16*(C290^'GF + UG Iteration 2'!P$15)</f>
        <v>10.566504156238159</v>
      </c>
      <c r="E290" s="37">
        <f>'GF + UG Iteration 2'!E290</f>
        <v>2005</v>
      </c>
      <c r="F290" s="35">
        <f>'GF + UG Iteration 2'!F290</f>
        <v>18</v>
      </c>
      <c r="G290" s="36">
        <f>'GF + UG Iteration 2'!G290</f>
        <v>4.2252233548626927</v>
      </c>
      <c r="H290" s="38">
        <f>'GF + UG Iteration 2'!H290</f>
        <v>2009</v>
      </c>
      <c r="I290" s="35">
        <f t="shared" ref="I290:I291" si="35">C290+F290</f>
        <v>30</v>
      </c>
      <c r="J290" s="36">
        <f t="shared" ref="J290:J291" si="36">D290+G290</f>
        <v>14.791727511100852</v>
      </c>
      <c r="K290" s="38">
        <f t="shared" ref="K290:K291" si="37">MAX(E290,H290)</f>
        <v>2009</v>
      </c>
      <c r="M290" s="21">
        <f t="shared" ref="M290:M291" si="38">LN(I290)</f>
        <v>3.4011973816621555</v>
      </c>
      <c r="N290" s="21">
        <f t="shared" ref="N290:N291" si="39">LN(J290)</f>
        <v>2.6940680725455466</v>
      </c>
    </row>
    <row r="291" spans="1:20" x14ac:dyDescent="0.2">
      <c r="A291" s="33">
        <f>'GF + UG Iteration 2'!A291</f>
        <v>677</v>
      </c>
      <c r="B291" s="34" t="str">
        <f>'GF + UG Iteration 2'!B291</f>
        <v>UG</v>
      </c>
      <c r="C291" s="35">
        <f>'GF + UG Iteration 2'!C291</f>
        <v>117</v>
      </c>
      <c r="D291" s="36">
        <f>'GF + UG Iteration 2'!P$16*(C291^'GF + UG Iteration 2'!P$15)</f>
        <v>37.575816269685113</v>
      </c>
      <c r="E291" s="37" t="str">
        <f>'GF + UG Iteration 2'!E291</f>
        <v>unknown</v>
      </c>
      <c r="F291" s="35">
        <f>'GF + UG Iteration 2'!F291</f>
        <v>0</v>
      </c>
      <c r="G291" s="36">
        <f>'GF + UG Iteration 2'!G291</f>
        <v>5.9672660834890454</v>
      </c>
      <c r="H291" s="38">
        <f>'GF + UG Iteration 2'!H291</f>
        <v>2009</v>
      </c>
      <c r="I291" s="35">
        <f t="shared" si="35"/>
        <v>117</v>
      </c>
      <c r="J291" s="36">
        <f t="shared" si="36"/>
        <v>43.543082353174157</v>
      </c>
      <c r="K291" s="38">
        <f t="shared" si="37"/>
        <v>2009</v>
      </c>
      <c r="M291" s="21">
        <f t="shared" si="38"/>
        <v>4.7621739347977563</v>
      </c>
      <c r="N291" s="21">
        <f t="shared" si="39"/>
        <v>3.773750846896752</v>
      </c>
    </row>
    <row r="292" spans="1:20" x14ac:dyDescent="0.2">
      <c r="A292" s="33">
        <f>'GF + UG Iteration 2'!A292</f>
        <v>643</v>
      </c>
      <c r="B292" s="34" t="str">
        <f>'GF + UG Iteration 2'!B292</f>
        <v>UG</v>
      </c>
      <c r="C292" s="35">
        <f>'GF + UG Iteration 2'!C292</f>
        <v>53.37</v>
      </c>
      <c r="D292" s="36">
        <f>'GF + UG Iteration 2'!P$16*(C292^'GF + UG Iteration 2'!P$15)</f>
        <v>24.266014194612275</v>
      </c>
      <c r="E292" s="37" t="str">
        <f>'GF + UG Iteration 2'!E292</f>
        <v>unknown</v>
      </c>
      <c r="F292" s="35">
        <f>'GF + UG Iteration 2'!F292</f>
        <v>0.5</v>
      </c>
      <c r="G292" s="36">
        <f>'GF + UG Iteration 2'!G292</f>
        <v>4.4086715648995529</v>
      </c>
      <c r="H292" s="38">
        <f>'GF + UG Iteration 2'!H292</f>
        <v>2009</v>
      </c>
      <c r="I292" s="35">
        <f t="shared" si="30"/>
        <v>53.87</v>
      </c>
      <c r="J292" s="36">
        <f t="shared" si="31"/>
        <v>28.674685759511828</v>
      </c>
      <c r="K292" s="38">
        <f t="shared" si="32"/>
        <v>2009</v>
      </c>
      <c r="M292" s="21">
        <f t="shared" si="33"/>
        <v>3.9865737366924425</v>
      </c>
      <c r="N292" s="21">
        <f t="shared" si="34"/>
        <v>3.3560147042635595</v>
      </c>
    </row>
    <row r="294" spans="1:20" s="9" customFormat="1" x14ac:dyDescent="0.2">
      <c r="A294" s="26" t="s">
        <v>29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38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8" activePane="bottomLeft" state="frozen"/>
      <selection activeCell="A4" sqref="A4"/>
      <selection pane="bottomLeft" activeCell="A8" sqref="A8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54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G - Point of Delivery Cost Function Workbook</v>
      </c>
    </row>
    <row r="4" spans="1:20" s="1" customFormat="1" x14ac:dyDescent="0.2">
      <c r="A4" s="1" t="s">
        <v>972</v>
      </c>
      <c r="B4" s="42"/>
    </row>
    <row r="5" spans="1:20" s="1" customFormat="1" x14ac:dyDescent="0.2">
      <c r="A5" s="43" t="str">
        <f>TableDate</f>
        <v>August 17, 2018</v>
      </c>
      <c r="B5" s="44"/>
    </row>
    <row r="6" spans="1:20" x14ac:dyDescent="0.2">
      <c r="E6" s="28"/>
    </row>
    <row r="7" spans="1:20" ht="25.5" x14ac:dyDescent="0.2">
      <c r="A7" s="10" t="s">
        <v>0</v>
      </c>
      <c r="B7" s="11" t="s">
        <v>7</v>
      </c>
      <c r="C7" s="12" t="s">
        <v>8</v>
      </c>
      <c r="D7" s="13" t="s">
        <v>30</v>
      </c>
      <c r="E7" s="14" t="s">
        <v>10</v>
      </c>
      <c r="F7" s="12" t="s">
        <v>11</v>
      </c>
      <c r="G7" s="13" t="s">
        <v>12</v>
      </c>
      <c r="H7" s="14" t="s">
        <v>13</v>
      </c>
      <c r="I7" s="12" t="s">
        <v>2</v>
      </c>
      <c r="J7" s="13" t="s">
        <v>14</v>
      </c>
      <c r="K7" s="14" t="s">
        <v>15</v>
      </c>
      <c r="M7" s="11" t="s">
        <v>16</v>
      </c>
      <c r="N7" s="11" t="s">
        <v>17</v>
      </c>
      <c r="P7" s="41" t="s">
        <v>53</v>
      </c>
      <c r="Q7" s="15"/>
      <c r="T7" s="3"/>
    </row>
    <row r="8" spans="1:20" x14ac:dyDescent="0.2">
      <c r="A8" s="25">
        <f>'GF + UG Iteration 3'!A8</f>
        <v>476</v>
      </c>
      <c r="B8" s="25" t="str">
        <f>'GF + UG Iteration 3'!B8</f>
        <v>GF</v>
      </c>
      <c r="C8" s="18">
        <f>'GF + UG Iteration 3'!C8</f>
        <v>14</v>
      </c>
      <c r="D8" s="19">
        <f>'GF + UG Iteration 3'!D8</f>
        <v>16.861812370959647</v>
      </c>
      <c r="E8" s="30">
        <f>'GF + UG Iteration 3'!E8</f>
        <v>2003</v>
      </c>
      <c r="F8" s="18"/>
      <c r="G8" s="19"/>
      <c r="H8" s="20"/>
      <c r="I8" s="18">
        <f>C8+F8</f>
        <v>14</v>
      </c>
      <c r="J8" s="19">
        <f>D8+G8</f>
        <v>16.861812370959647</v>
      </c>
      <c r="K8" s="20">
        <f>MAX(E8,H8)</f>
        <v>2003</v>
      </c>
      <c r="M8" s="21">
        <f>LN(I8)</f>
        <v>2.6390573296152584</v>
      </c>
      <c r="N8" s="21">
        <f>LN(J8)</f>
        <v>2.8250514421084625</v>
      </c>
      <c r="O8" s="3" t="s">
        <v>19</v>
      </c>
      <c r="P8" s="22">
        <f t="array" ref="P8:Q12">LINEST(N8:N292,M8:M292,TRUE,TRUE)</f>
        <v>0.56820474595756132</v>
      </c>
      <c r="Q8" s="22">
        <v>0.94946132427883168</v>
      </c>
      <c r="R8" s="5" t="s">
        <v>20</v>
      </c>
    </row>
    <row r="9" spans="1:20" x14ac:dyDescent="0.2">
      <c r="A9" s="25">
        <f>'GF + UG Iteration 3'!A9</f>
        <v>478</v>
      </c>
      <c r="B9" s="25" t="str">
        <f>'GF + UG Iteration 3'!B9</f>
        <v>GF</v>
      </c>
      <c r="C9" s="18">
        <f>'GF + UG Iteration 3'!C9</f>
        <v>8.5</v>
      </c>
      <c r="D9" s="19">
        <f>'GF + UG Iteration 3'!D9</f>
        <v>6.0182252638842719</v>
      </c>
      <c r="E9" s="30">
        <f>'GF + UG Iteration 3'!E9</f>
        <v>2003</v>
      </c>
      <c r="F9" s="18"/>
      <c r="G9" s="19"/>
      <c r="H9" s="20"/>
      <c r="I9" s="18">
        <f t="shared" ref="I9:I71" si="0">C9+F9</f>
        <v>8.5</v>
      </c>
      <c r="J9" s="19">
        <f t="shared" ref="J9:J71" si="1">D9+G9</f>
        <v>6.0182252638842719</v>
      </c>
      <c r="K9" s="20">
        <f t="shared" ref="K9:K71" si="2">MAX(E9,H9)</f>
        <v>2003</v>
      </c>
      <c r="M9" s="21">
        <f t="shared" ref="M9:M71" si="3">LN(I9)</f>
        <v>2.1400661634962708</v>
      </c>
      <c r="N9" s="21">
        <f t="shared" ref="N9:N71" si="4">LN(J9)</f>
        <v>1.7947924091929603</v>
      </c>
      <c r="O9" s="3" t="s">
        <v>21</v>
      </c>
      <c r="P9" s="22">
        <v>3.2051094055774131E-2</v>
      </c>
      <c r="Q9" s="22">
        <v>0.10220193453749953</v>
      </c>
      <c r="R9" s="5" t="s">
        <v>22</v>
      </c>
    </row>
    <row r="10" spans="1:20" x14ac:dyDescent="0.2">
      <c r="A10" s="25">
        <f>'GF + UG Iteration 3'!A10</f>
        <v>473</v>
      </c>
      <c r="B10" s="25" t="str">
        <f>'GF + UG Iteration 3'!B10</f>
        <v>GF</v>
      </c>
      <c r="C10" s="18">
        <f>'GF + UG Iteration 3'!C10</f>
        <v>30</v>
      </c>
      <c r="D10" s="19">
        <f>'GF + UG Iteration 3'!D10</f>
        <v>14.998991377977235</v>
      </c>
      <c r="E10" s="30">
        <f>'GF + UG Iteration 3'!E10</f>
        <v>2003</v>
      </c>
      <c r="F10" s="18"/>
      <c r="G10" s="19"/>
      <c r="H10" s="20"/>
      <c r="I10" s="18">
        <f t="shared" si="0"/>
        <v>30</v>
      </c>
      <c r="J10" s="19">
        <f t="shared" si="1"/>
        <v>14.998991377977235</v>
      </c>
      <c r="K10" s="20">
        <f t="shared" si="2"/>
        <v>2003</v>
      </c>
      <c r="M10" s="21">
        <f t="shared" si="3"/>
        <v>3.4011973816621555</v>
      </c>
      <c r="N10" s="21">
        <f t="shared" si="4"/>
        <v>2.707982957373217</v>
      </c>
      <c r="O10" s="3" t="s">
        <v>1</v>
      </c>
      <c r="P10" s="22">
        <v>0.52618953682254244</v>
      </c>
      <c r="Q10" s="22">
        <v>0.39263146969545659</v>
      </c>
      <c r="R10" s="5" t="s">
        <v>23</v>
      </c>
    </row>
    <row r="11" spans="1:20" x14ac:dyDescent="0.2">
      <c r="A11" s="25">
        <f>'GF + UG Iteration 3'!A11</f>
        <v>1042</v>
      </c>
      <c r="B11" s="25" t="str">
        <f>'GF + UG Iteration 3'!B11</f>
        <v>GF</v>
      </c>
      <c r="C11" s="18">
        <f>'GF + UG Iteration 3'!C11</f>
        <v>13</v>
      </c>
      <c r="D11" s="19">
        <f>'GF + UG Iteration 3'!D11</f>
        <v>11.164764224012115</v>
      </c>
      <c r="E11" s="30">
        <f>'GF + UG Iteration 3'!E11</f>
        <v>2011</v>
      </c>
      <c r="F11" s="18"/>
      <c r="G11" s="19"/>
      <c r="H11" s="20"/>
      <c r="I11" s="18">
        <f t="shared" si="0"/>
        <v>13</v>
      </c>
      <c r="J11" s="19">
        <f t="shared" si="1"/>
        <v>11.164764224012115</v>
      </c>
      <c r="K11" s="20">
        <f t="shared" si="2"/>
        <v>2011</v>
      </c>
      <c r="M11" s="21">
        <f t="shared" si="3"/>
        <v>2.5649493574615367</v>
      </c>
      <c r="N11" s="21">
        <f t="shared" si="4"/>
        <v>2.4127627676497201</v>
      </c>
      <c r="O11" s="3" t="s">
        <v>24</v>
      </c>
      <c r="P11" s="22">
        <v>314.28524799167889</v>
      </c>
      <c r="Q11" s="22">
        <v>283</v>
      </c>
      <c r="R11" s="5" t="s">
        <v>25</v>
      </c>
    </row>
    <row r="12" spans="1:20" x14ac:dyDescent="0.2">
      <c r="A12" s="25">
        <f>'GF + UG Iteration 3'!A12</f>
        <v>443</v>
      </c>
      <c r="B12" s="25" t="str">
        <f>'GF + UG Iteration 3'!B12</f>
        <v>GF</v>
      </c>
      <c r="C12" s="18">
        <f>'GF + UG Iteration 3'!C12</f>
        <v>24.3</v>
      </c>
      <c r="D12" s="19">
        <f>'GF + UG Iteration 3'!D12</f>
        <v>11.705577131494863</v>
      </c>
      <c r="E12" s="30">
        <f>'GF + UG Iteration 3'!E12</f>
        <v>2006</v>
      </c>
      <c r="F12" s="18"/>
      <c r="G12" s="19"/>
      <c r="H12" s="20"/>
      <c r="I12" s="18">
        <f t="shared" si="0"/>
        <v>24.3</v>
      </c>
      <c r="J12" s="19">
        <f t="shared" si="1"/>
        <v>11.705577131494863</v>
      </c>
      <c r="K12" s="20">
        <f t="shared" si="2"/>
        <v>2006</v>
      </c>
      <c r="M12" s="21">
        <f t="shared" si="3"/>
        <v>3.1904763503465028</v>
      </c>
      <c r="N12" s="21">
        <f t="shared" si="4"/>
        <v>2.4600654061344325</v>
      </c>
      <c r="O12" s="3" t="s">
        <v>26</v>
      </c>
      <c r="P12" s="22">
        <v>48.45004757199694</v>
      </c>
      <c r="Q12" s="22">
        <v>43.627130291645635</v>
      </c>
      <c r="R12" s="5" t="s">
        <v>27</v>
      </c>
    </row>
    <row r="13" spans="1:20" x14ac:dyDescent="0.2">
      <c r="A13" s="25">
        <f>'GF + UG Iteration 3'!A13</f>
        <v>1195</v>
      </c>
      <c r="B13" s="25" t="str">
        <f>'GF + UG Iteration 3'!B13</f>
        <v>GF</v>
      </c>
      <c r="C13" s="18">
        <f>'GF + UG Iteration 3'!C13</f>
        <v>18</v>
      </c>
      <c r="D13" s="19">
        <f>'GF + UG Iteration 3'!D13</f>
        <v>31.659927445331629</v>
      </c>
      <c r="E13" s="30">
        <f>'GF + UG Iteration 3'!E13</f>
        <v>2011</v>
      </c>
      <c r="F13" s="18"/>
      <c r="G13" s="19"/>
      <c r="H13" s="20"/>
      <c r="I13" s="18">
        <f t="shared" si="0"/>
        <v>18</v>
      </c>
      <c r="J13" s="19">
        <f t="shared" si="1"/>
        <v>31.659927445331629</v>
      </c>
      <c r="K13" s="20">
        <f t="shared" si="2"/>
        <v>2011</v>
      </c>
      <c r="M13" s="21">
        <f t="shared" si="3"/>
        <v>2.8903717578961645</v>
      </c>
      <c r="N13" s="21">
        <f t="shared" si="4"/>
        <v>3.4550517627677269</v>
      </c>
    </row>
    <row r="14" spans="1:20" x14ac:dyDescent="0.2">
      <c r="A14" s="25">
        <f>'GF + UG Iteration 3'!A14</f>
        <v>420</v>
      </c>
      <c r="B14" s="25" t="str">
        <f>'GF + UG Iteration 3'!B14</f>
        <v>GF</v>
      </c>
      <c r="C14" s="18">
        <f>'GF + UG Iteration 3'!C14</f>
        <v>6</v>
      </c>
      <c r="D14" s="19">
        <f>'GF + UG Iteration 3'!D14</f>
        <v>9.6396451057157435</v>
      </c>
      <c r="E14" s="30">
        <f>'GF + UG Iteration 3'!E14</f>
        <v>2007</v>
      </c>
      <c r="F14" s="18"/>
      <c r="G14" s="19"/>
      <c r="H14" s="20"/>
      <c r="I14" s="18">
        <f t="shared" si="0"/>
        <v>6</v>
      </c>
      <c r="J14" s="19">
        <f t="shared" si="1"/>
        <v>9.6396451057157435</v>
      </c>
      <c r="K14" s="20">
        <f t="shared" si="2"/>
        <v>2007</v>
      </c>
      <c r="M14" s="21">
        <f t="shared" si="3"/>
        <v>1.791759469228055</v>
      </c>
      <c r="N14" s="21">
        <f t="shared" si="4"/>
        <v>2.2658842931849965</v>
      </c>
      <c r="P14" s="15" t="s">
        <v>6</v>
      </c>
      <c r="Q14" s="15"/>
    </row>
    <row r="15" spans="1:20" x14ac:dyDescent="0.2">
      <c r="A15" s="25">
        <f>'GF + UG Iteration 3'!A15</f>
        <v>440</v>
      </c>
      <c r="B15" s="25" t="str">
        <f>'GF + UG Iteration 3'!B15</f>
        <v>GF</v>
      </c>
      <c r="C15" s="18">
        <f>'GF + UG Iteration 3'!C15</f>
        <v>10</v>
      </c>
      <c r="D15" s="19">
        <f>'GF + UG Iteration 3'!D15</f>
        <v>16.009559216092757</v>
      </c>
      <c r="E15" s="30">
        <f>'GF + UG Iteration 3'!E15</f>
        <v>2006</v>
      </c>
      <c r="F15" s="18"/>
      <c r="G15" s="19"/>
      <c r="H15" s="20"/>
      <c r="I15" s="18">
        <f t="shared" si="0"/>
        <v>10</v>
      </c>
      <c r="J15" s="19">
        <f t="shared" si="1"/>
        <v>16.009559216092757</v>
      </c>
      <c r="K15" s="20">
        <f t="shared" si="2"/>
        <v>2006</v>
      </c>
      <c r="M15" s="21">
        <f t="shared" si="3"/>
        <v>2.3025850929940459</v>
      </c>
      <c r="N15" s="21">
        <f t="shared" si="4"/>
        <v>2.7731859948427808</v>
      </c>
      <c r="O15" s="3" t="s">
        <v>19</v>
      </c>
      <c r="P15" s="23">
        <f>P8</f>
        <v>0.56820474595756132</v>
      </c>
      <c r="Q15" s="31">
        <f>(P15-'GF + UG Iteration 3'!P15)/'GF + UG Iteration 3'!P15</f>
        <v>7.4561755579553197E-3</v>
      </c>
      <c r="R15" s="32" t="s">
        <v>31</v>
      </c>
    </row>
    <row r="16" spans="1:20" x14ac:dyDescent="0.2">
      <c r="A16" s="25">
        <f>'GF + UG Iteration 3'!A16</f>
        <v>1102</v>
      </c>
      <c r="B16" s="25" t="str">
        <f>'GF + UG Iteration 3'!B16</f>
        <v>GF</v>
      </c>
      <c r="C16" s="18">
        <f>'GF + UG Iteration 3'!C16</f>
        <v>20</v>
      </c>
      <c r="D16" s="19">
        <f>'GF + UG Iteration 3'!D16</f>
        <v>16.293644713264708</v>
      </c>
      <c r="E16" s="30">
        <f>'GF + UG Iteration 3'!E16</f>
        <v>2011</v>
      </c>
      <c r="F16" s="18"/>
      <c r="G16" s="19"/>
      <c r="H16" s="20"/>
      <c r="I16" s="18">
        <f t="shared" si="0"/>
        <v>20</v>
      </c>
      <c r="J16" s="19">
        <f t="shared" si="1"/>
        <v>16.293644713264708</v>
      </c>
      <c r="K16" s="20">
        <f t="shared" si="2"/>
        <v>2011</v>
      </c>
      <c r="M16" s="21">
        <f t="shared" si="3"/>
        <v>2.9957322735539909</v>
      </c>
      <c r="N16" s="21">
        <f t="shared" si="4"/>
        <v>2.7907751368922047</v>
      </c>
      <c r="O16" s="3" t="s">
        <v>28</v>
      </c>
      <c r="P16" s="23">
        <f>EXP(Q8)</f>
        <v>2.5843171753826972</v>
      </c>
      <c r="Q16" s="31">
        <f>(P16-'GF + UG Iteration 3'!P16)/'GF + UG Iteration 3'!P16</f>
        <v>-9.8415440755862185E-3</v>
      </c>
      <c r="R16" s="32" t="s">
        <v>32</v>
      </c>
    </row>
    <row r="17" spans="1:18" x14ac:dyDescent="0.2">
      <c r="A17" s="25">
        <f>'GF + UG Iteration 3'!A17</f>
        <v>324</v>
      </c>
      <c r="B17" s="25" t="str">
        <f>'GF + UG Iteration 3'!B17</f>
        <v>GF</v>
      </c>
      <c r="C17" s="18">
        <f>'GF + UG Iteration 3'!C17</f>
        <v>17.2</v>
      </c>
      <c r="D17" s="19">
        <f>'GF + UG Iteration 3'!D17</f>
        <v>8.9094125785416409</v>
      </c>
      <c r="E17" s="30">
        <f>'GF + UG Iteration 3'!E17</f>
        <v>2003</v>
      </c>
      <c r="F17" s="18"/>
      <c r="G17" s="19"/>
      <c r="H17" s="20"/>
      <c r="I17" s="18">
        <f t="shared" si="0"/>
        <v>17.2</v>
      </c>
      <c r="J17" s="19">
        <f t="shared" si="1"/>
        <v>8.9094125785416409</v>
      </c>
      <c r="K17" s="20">
        <f t="shared" si="2"/>
        <v>2003</v>
      </c>
      <c r="M17" s="21">
        <f t="shared" si="3"/>
        <v>2.8449093838194073</v>
      </c>
      <c r="N17" s="21">
        <f t="shared" si="4"/>
        <v>2.1871083109750784</v>
      </c>
      <c r="O17" s="3"/>
      <c r="P17" s="24"/>
      <c r="R17" s="32" t="s">
        <v>33</v>
      </c>
    </row>
    <row r="18" spans="1:18" x14ac:dyDescent="0.2">
      <c r="A18" s="25">
        <f>'GF + UG Iteration 3'!A18</f>
        <v>1103</v>
      </c>
      <c r="B18" s="25" t="str">
        <f>'GF + UG Iteration 3'!B18</f>
        <v>GF</v>
      </c>
      <c r="C18" s="18">
        <f>'GF + UG Iteration 3'!C18</f>
        <v>20</v>
      </c>
      <c r="D18" s="19">
        <f>'GF + UG Iteration 3'!D18</f>
        <v>17.299482978955592</v>
      </c>
      <c r="E18" s="30">
        <f>'GF + UG Iteration 3'!E18</f>
        <v>2011</v>
      </c>
      <c r="F18" s="18"/>
      <c r="G18" s="19"/>
      <c r="H18" s="20"/>
      <c r="I18" s="18">
        <f t="shared" si="0"/>
        <v>20</v>
      </c>
      <c r="J18" s="19">
        <f t="shared" si="1"/>
        <v>17.299482978955592</v>
      </c>
      <c r="K18" s="20">
        <f t="shared" si="2"/>
        <v>2011</v>
      </c>
      <c r="M18" s="21">
        <f t="shared" si="3"/>
        <v>2.9957322735539909</v>
      </c>
      <c r="N18" s="21">
        <f t="shared" si="4"/>
        <v>2.8506766154476462</v>
      </c>
      <c r="P18"/>
      <c r="Q18"/>
      <c r="R18" s="32" t="s">
        <v>34</v>
      </c>
    </row>
    <row r="19" spans="1:18" x14ac:dyDescent="0.2">
      <c r="A19" s="25">
        <f>'GF + UG Iteration 3'!A19</f>
        <v>386</v>
      </c>
      <c r="B19" s="25" t="str">
        <f>'GF + UG Iteration 3'!B19</f>
        <v>GF</v>
      </c>
      <c r="C19" s="18">
        <f>'GF + UG Iteration 3'!C19</f>
        <v>9</v>
      </c>
      <c r="D19" s="19">
        <f>'GF + UG Iteration 3'!D19</f>
        <v>9.9511250787738224</v>
      </c>
      <c r="E19" s="30">
        <f>'GF + UG Iteration 3'!E19</f>
        <v>2003</v>
      </c>
      <c r="F19" s="18"/>
      <c r="G19" s="19"/>
      <c r="H19" s="20"/>
      <c r="I19" s="18">
        <f t="shared" si="0"/>
        <v>9</v>
      </c>
      <c r="J19" s="19">
        <f t="shared" si="1"/>
        <v>9.9511250787738224</v>
      </c>
      <c r="K19" s="20">
        <f t="shared" si="2"/>
        <v>2003</v>
      </c>
      <c r="M19" s="21">
        <f t="shared" si="3"/>
        <v>2.1972245773362196</v>
      </c>
      <c r="N19" s="21">
        <f t="shared" si="4"/>
        <v>2.2976856180218044</v>
      </c>
      <c r="P19"/>
      <c r="Q19"/>
    </row>
    <row r="20" spans="1:18" x14ac:dyDescent="0.2">
      <c r="A20" s="25">
        <f>'GF + UG Iteration 3'!A20</f>
        <v>80</v>
      </c>
      <c r="B20" s="25" t="str">
        <f>'GF + UG Iteration 3'!B20</f>
        <v>GF</v>
      </c>
      <c r="C20" s="18">
        <f>'GF + UG Iteration 3'!C20</f>
        <v>8</v>
      </c>
      <c r="D20" s="19">
        <f>'GF + UG Iteration 3'!D20</f>
        <v>6.0754029342110369</v>
      </c>
      <c r="E20" s="30">
        <f>'GF + UG Iteration 3'!E20</f>
        <v>2001</v>
      </c>
      <c r="F20" s="18"/>
      <c r="G20" s="19"/>
      <c r="H20" s="20"/>
      <c r="I20" s="18">
        <f t="shared" si="0"/>
        <v>8</v>
      </c>
      <c r="J20" s="19">
        <f t="shared" si="1"/>
        <v>6.0754029342110369</v>
      </c>
      <c r="K20" s="20">
        <f t="shared" si="2"/>
        <v>2001</v>
      </c>
      <c r="M20" s="21">
        <f t="shared" si="3"/>
        <v>2.0794415416798357</v>
      </c>
      <c r="N20" s="21">
        <f t="shared" si="4"/>
        <v>1.8042483136462</v>
      </c>
      <c r="P20"/>
      <c r="Q20"/>
    </row>
    <row r="21" spans="1:18" x14ac:dyDescent="0.2">
      <c r="A21" s="25">
        <f>'GF + UG Iteration 3'!A21</f>
        <v>1052</v>
      </c>
      <c r="B21" s="25" t="str">
        <f>'GF + UG Iteration 3'!B21</f>
        <v>GF</v>
      </c>
      <c r="C21" s="18">
        <f>'GF + UG Iteration 3'!C21</f>
        <v>13.6</v>
      </c>
      <c r="D21" s="19">
        <f>'GF + UG Iteration 3'!D21</f>
        <v>10.90270245998838</v>
      </c>
      <c r="E21" s="30">
        <f>'GF + UG Iteration 3'!E21</f>
        <v>2011</v>
      </c>
      <c r="F21" s="18"/>
      <c r="G21" s="19"/>
      <c r="H21" s="20"/>
      <c r="I21" s="18">
        <f t="shared" si="0"/>
        <v>13.6</v>
      </c>
      <c r="J21" s="19">
        <f t="shared" si="1"/>
        <v>10.90270245998838</v>
      </c>
      <c r="K21" s="20">
        <f t="shared" si="2"/>
        <v>2011</v>
      </c>
      <c r="M21" s="21">
        <f t="shared" si="3"/>
        <v>2.6100697927420065</v>
      </c>
      <c r="N21" s="21">
        <f t="shared" si="4"/>
        <v>2.3890106906140374</v>
      </c>
      <c r="P21"/>
      <c r="Q21"/>
    </row>
    <row r="22" spans="1:18" x14ac:dyDescent="0.2">
      <c r="A22" s="25">
        <f>'GF + UG Iteration 3'!A22</f>
        <v>347</v>
      </c>
      <c r="B22" s="25" t="str">
        <f>'GF + UG Iteration 3'!B22</f>
        <v>GF</v>
      </c>
      <c r="C22" s="18">
        <f>'GF + UG Iteration 3'!C22</f>
        <v>10.548</v>
      </c>
      <c r="D22" s="19">
        <f>'GF + UG Iteration 3'!D22</f>
        <v>9.3004925979781259</v>
      </c>
      <c r="E22" s="30">
        <f>'GF + UG Iteration 3'!E22</f>
        <v>2003</v>
      </c>
      <c r="F22" s="18"/>
      <c r="G22" s="19"/>
      <c r="H22" s="20"/>
      <c r="I22" s="18">
        <f t="shared" si="0"/>
        <v>10.548</v>
      </c>
      <c r="J22" s="19">
        <f t="shared" si="1"/>
        <v>9.3004925979781259</v>
      </c>
      <c r="K22" s="20">
        <f t="shared" si="2"/>
        <v>2003</v>
      </c>
      <c r="M22" s="21">
        <f t="shared" si="3"/>
        <v>2.3559362684910403</v>
      </c>
      <c r="N22" s="21">
        <f t="shared" si="4"/>
        <v>2.23006736628101</v>
      </c>
    </row>
    <row r="23" spans="1:18" x14ac:dyDescent="0.2">
      <c r="A23" s="25">
        <f>'GF + UG Iteration 3'!A23</f>
        <v>1358</v>
      </c>
      <c r="B23" s="25" t="str">
        <f>'GF + UG Iteration 3'!B23</f>
        <v>GF</v>
      </c>
      <c r="C23" s="18">
        <f>'GF + UG Iteration 3'!C23</f>
        <v>27</v>
      </c>
      <c r="D23" s="19">
        <f>'GF + UG Iteration 3'!D23</f>
        <v>13.07265503282744</v>
      </c>
      <c r="E23" s="30">
        <f>'GF + UG Iteration 3'!E23</f>
        <v>2011</v>
      </c>
      <c r="F23" s="18"/>
      <c r="G23" s="19"/>
      <c r="H23" s="20"/>
      <c r="I23" s="18">
        <f t="shared" si="0"/>
        <v>27</v>
      </c>
      <c r="J23" s="19">
        <f t="shared" si="1"/>
        <v>13.07265503282744</v>
      </c>
      <c r="K23" s="20">
        <f t="shared" si="2"/>
        <v>2011</v>
      </c>
      <c r="M23" s="21">
        <f t="shared" si="3"/>
        <v>3.2958368660043291</v>
      </c>
      <c r="N23" s="21">
        <f t="shared" si="4"/>
        <v>2.5705226464726247</v>
      </c>
    </row>
    <row r="24" spans="1:18" x14ac:dyDescent="0.2">
      <c r="A24" s="25">
        <f>'GF + UG Iteration 3'!A24</f>
        <v>584</v>
      </c>
      <c r="B24" s="25" t="str">
        <f>'GF + UG Iteration 3'!B24</f>
        <v>GF</v>
      </c>
      <c r="C24" s="18">
        <f>'GF + UG Iteration 3'!C24</f>
        <v>28</v>
      </c>
      <c r="D24" s="19">
        <f>'GF + UG Iteration 3'!D24</f>
        <v>34.903749706800433</v>
      </c>
      <c r="E24" s="30">
        <f>'GF + UG Iteration 3'!E24</f>
        <v>2011</v>
      </c>
      <c r="F24" s="18"/>
      <c r="G24" s="19"/>
      <c r="H24" s="20"/>
      <c r="I24" s="18">
        <f t="shared" si="0"/>
        <v>28</v>
      </c>
      <c r="J24" s="19">
        <f t="shared" si="1"/>
        <v>34.903749706800433</v>
      </c>
      <c r="K24" s="20">
        <f t="shared" si="2"/>
        <v>2011</v>
      </c>
      <c r="M24" s="21">
        <f t="shared" si="3"/>
        <v>3.3322045101752038</v>
      </c>
      <c r="N24" s="21">
        <f t="shared" si="4"/>
        <v>3.5525942648925612</v>
      </c>
    </row>
    <row r="25" spans="1:18" x14ac:dyDescent="0.2">
      <c r="A25" s="25">
        <f>'GF + UG Iteration 3'!A25</f>
        <v>422</v>
      </c>
      <c r="B25" s="25" t="str">
        <f>'GF + UG Iteration 3'!B25</f>
        <v>GF</v>
      </c>
      <c r="C25" s="18">
        <f>'GF + UG Iteration 3'!C25</f>
        <v>24</v>
      </c>
      <c r="D25" s="19">
        <f>'GF + UG Iteration 3'!D25</f>
        <v>13.650794587226329</v>
      </c>
      <c r="E25" s="30">
        <f>'GF + UG Iteration 3'!E25</f>
        <v>2003</v>
      </c>
      <c r="F25" s="18"/>
      <c r="G25" s="19"/>
      <c r="H25" s="20"/>
      <c r="I25" s="18">
        <f t="shared" si="0"/>
        <v>24</v>
      </c>
      <c r="J25" s="19">
        <f t="shared" si="1"/>
        <v>13.650794587226329</v>
      </c>
      <c r="K25" s="20">
        <f t="shared" si="2"/>
        <v>2003</v>
      </c>
      <c r="M25" s="21">
        <f t="shared" si="3"/>
        <v>3.1780538303479458</v>
      </c>
      <c r="N25" s="21">
        <f t="shared" si="4"/>
        <v>2.6137977314551564</v>
      </c>
    </row>
    <row r="26" spans="1:18" x14ac:dyDescent="0.2">
      <c r="A26" s="25">
        <f>'GF + UG Iteration 3'!A26</f>
        <v>944</v>
      </c>
      <c r="B26" s="25" t="str">
        <f>'GF + UG Iteration 3'!B26</f>
        <v>GF</v>
      </c>
      <c r="C26" s="18">
        <f>'GF + UG Iteration 3'!C26</f>
        <v>43</v>
      </c>
      <c r="D26" s="19">
        <f>'GF + UG Iteration 3'!D26</f>
        <v>26.816090615909914</v>
      </c>
      <c r="E26" s="30">
        <f>'GF + UG Iteration 3'!E26</f>
        <v>2010</v>
      </c>
      <c r="F26" s="18"/>
      <c r="G26" s="19"/>
      <c r="H26" s="20"/>
      <c r="I26" s="18">
        <f t="shared" si="0"/>
        <v>43</v>
      </c>
      <c r="J26" s="19">
        <f t="shared" si="1"/>
        <v>26.816090615909914</v>
      </c>
      <c r="K26" s="20">
        <f t="shared" si="2"/>
        <v>2010</v>
      </c>
      <c r="M26" s="21">
        <f t="shared" si="3"/>
        <v>3.7612001156935624</v>
      </c>
      <c r="N26" s="21">
        <f t="shared" si="4"/>
        <v>3.2890021034672148</v>
      </c>
    </row>
    <row r="27" spans="1:18" x14ac:dyDescent="0.2">
      <c r="A27" s="25">
        <f>'GF + UG Iteration 3'!A27</f>
        <v>387</v>
      </c>
      <c r="B27" s="25" t="str">
        <f>'GF + UG Iteration 3'!B27</f>
        <v>GF</v>
      </c>
      <c r="C27" s="18">
        <f>'GF + UG Iteration 3'!C27</f>
        <v>7.5</v>
      </c>
      <c r="D27" s="19">
        <f>'GF + UG Iteration 3'!D27</f>
        <v>9.5130592102135658</v>
      </c>
      <c r="E27" s="30">
        <f>'GF + UG Iteration 3'!E27</f>
        <v>2003</v>
      </c>
      <c r="F27" s="18"/>
      <c r="G27" s="19"/>
      <c r="H27" s="20"/>
      <c r="I27" s="18">
        <f t="shared" si="0"/>
        <v>7.5</v>
      </c>
      <c r="J27" s="19">
        <f t="shared" si="1"/>
        <v>9.5130592102135658</v>
      </c>
      <c r="K27" s="20">
        <f t="shared" si="2"/>
        <v>2003</v>
      </c>
      <c r="M27" s="21">
        <f t="shared" si="3"/>
        <v>2.0149030205422647</v>
      </c>
      <c r="N27" s="21">
        <f t="shared" si="4"/>
        <v>2.2526655083417699</v>
      </c>
    </row>
    <row r="28" spans="1:18" x14ac:dyDescent="0.2">
      <c r="A28" s="25">
        <f>'GF + UG Iteration 3'!A28</f>
        <v>587</v>
      </c>
      <c r="B28" s="25" t="str">
        <f>'GF + UG Iteration 3'!B28</f>
        <v>GF</v>
      </c>
      <c r="C28" s="18">
        <f>'GF + UG Iteration 3'!C28</f>
        <v>17.8</v>
      </c>
      <c r="D28" s="19">
        <f>'GF + UG Iteration 3'!D28</f>
        <v>13.152201549137706</v>
      </c>
      <c r="E28" s="30">
        <f>'GF + UG Iteration 3'!E28</f>
        <v>2006</v>
      </c>
      <c r="F28" s="18"/>
      <c r="G28" s="19"/>
      <c r="H28" s="20"/>
      <c r="I28" s="18">
        <f t="shared" si="0"/>
        <v>17.8</v>
      </c>
      <c r="J28" s="19">
        <f t="shared" si="1"/>
        <v>13.152201549137706</v>
      </c>
      <c r="K28" s="20">
        <f t="shared" si="2"/>
        <v>2006</v>
      </c>
      <c r="M28" s="21">
        <f t="shared" si="3"/>
        <v>2.8791984572980396</v>
      </c>
      <c r="N28" s="21">
        <f t="shared" si="4"/>
        <v>2.57658916279629</v>
      </c>
    </row>
    <row r="29" spans="1:18" x14ac:dyDescent="0.2">
      <c r="A29" s="25">
        <f>'GF + UG Iteration 3'!A29</f>
        <v>585</v>
      </c>
      <c r="B29" s="25" t="str">
        <f>'GF + UG Iteration 3'!B29</f>
        <v>GF</v>
      </c>
      <c r="C29" s="18">
        <f>'GF + UG Iteration 3'!C29</f>
        <v>20.6</v>
      </c>
      <c r="D29" s="19">
        <f>'GF + UG Iteration 3'!D29</f>
        <v>11.291169205189183</v>
      </c>
      <c r="E29" s="30">
        <f>'GF + UG Iteration 3'!E29</f>
        <v>2007</v>
      </c>
      <c r="F29" s="18"/>
      <c r="G29" s="19"/>
      <c r="H29" s="20"/>
      <c r="I29" s="18">
        <f t="shared" si="0"/>
        <v>20.6</v>
      </c>
      <c r="J29" s="19">
        <f t="shared" si="1"/>
        <v>11.291169205189183</v>
      </c>
      <c r="K29" s="20">
        <f t="shared" si="2"/>
        <v>2007</v>
      </c>
      <c r="M29" s="21">
        <f t="shared" si="3"/>
        <v>3.0252910757955354</v>
      </c>
      <c r="N29" s="21">
        <f t="shared" si="4"/>
        <v>2.4240209339322751</v>
      </c>
    </row>
    <row r="30" spans="1:18" x14ac:dyDescent="0.2">
      <c r="A30" s="25">
        <f>'GF + UG Iteration 3'!A30</f>
        <v>831</v>
      </c>
      <c r="B30" s="25" t="str">
        <f>'GF + UG Iteration 3'!B30</f>
        <v>GF</v>
      </c>
      <c r="C30" s="18">
        <f>'GF + UG Iteration 3'!C30</f>
        <v>19.600000000000001</v>
      </c>
      <c r="D30" s="19">
        <f>'GF + UG Iteration 3'!D30</f>
        <v>20.965601428070691</v>
      </c>
      <c r="E30" s="30">
        <f>'GF + UG Iteration 3'!E30</f>
        <v>2011</v>
      </c>
      <c r="F30" s="18"/>
      <c r="G30" s="19"/>
      <c r="H30" s="20"/>
      <c r="I30" s="18">
        <f t="shared" si="0"/>
        <v>19.600000000000001</v>
      </c>
      <c r="J30" s="19">
        <f t="shared" si="1"/>
        <v>20.965601428070691</v>
      </c>
      <c r="K30" s="20">
        <f t="shared" si="2"/>
        <v>2011</v>
      </c>
      <c r="M30" s="21">
        <f t="shared" si="3"/>
        <v>2.9755295662364718</v>
      </c>
      <c r="N30" s="21">
        <f t="shared" si="4"/>
        <v>3.042883067455266</v>
      </c>
    </row>
    <row r="31" spans="1:18" x14ac:dyDescent="0.2">
      <c r="A31" s="25">
        <f>'GF + UG Iteration 3'!A31</f>
        <v>340</v>
      </c>
      <c r="B31" s="25" t="str">
        <f>'GF + UG Iteration 3'!B31</f>
        <v>GF</v>
      </c>
      <c r="C31" s="18">
        <f>'GF + UG Iteration 3'!C31</f>
        <v>22</v>
      </c>
      <c r="D31" s="19">
        <f>'GF + UG Iteration 3'!D31</f>
        <v>13.309615571039751</v>
      </c>
      <c r="E31" s="30">
        <f>'GF + UG Iteration 3'!E31</f>
        <v>2003</v>
      </c>
      <c r="F31" s="18"/>
      <c r="G31" s="19"/>
      <c r="H31" s="20"/>
      <c r="I31" s="18">
        <f t="shared" si="0"/>
        <v>22</v>
      </c>
      <c r="J31" s="19">
        <f t="shared" si="1"/>
        <v>13.309615571039751</v>
      </c>
      <c r="K31" s="20">
        <f t="shared" si="2"/>
        <v>2003</v>
      </c>
      <c r="M31" s="21">
        <f t="shared" si="3"/>
        <v>3.0910424533583161</v>
      </c>
      <c r="N31" s="21">
        <f t="shared" si="4"/>
        <v>2.5884867492731334</v>
      </c>
    </row>
    <row r="32" spans="1:18" x14ac:dyDescent="0.2">
      <c r="A32" s="25">
        <f>'GF + UG Iteration 3'!A32</f>
        <v>334</v>
      </c>
      <c r="B32" s="25" t="str">
        <f>'GF + UG Iteration 3'!B32</f>
        <v>GF</v>
      </c>
      <c r="C32" s="18">
        <f>'GF + UG Iteration 3'!C32</f>
        <v>18.8</v>
      </c>
      <c r="D32" s="19">
        <f>'GF + UG Iteration 3'!D32</f>
        <v>7.9463711126733889</v>
      </c>
      <c r="E32" s="30">
        <f>'GF + UG Iteration 3'!E32</f>
        <v>2003</v>
      </c>
      <c r="F32" s="18"/>
      <c r="G32" s="19"/>
      <c r="H32" s="20"/>
      <c r="I32" s="18">
        <f t="shared" si="0"/>
        <v>18.8</v>
      </c>
      <c r="J32" s="19">
        <f t="shared" si="1"/>
        <v>7.9463711126733889</v>
      </c>
      <c r="K32" s="20">
        <f t="shared" si="2"/>
        <v>2003</v>
      </c>
      <c r="M32" s="21">
        <f t="shared" si="3"/>
        <v>2.9338568698359038</v>
      </c>
      <c r="N32" s="21">
        <f t="shared" si="4"/>
        <v>2.072715360640252</v>
      </c>
    </row>
    <row r="33" spans="1:14" x14ac:dyDescent="0.2">
      <c r="A33" s="25">
        <f>'GF + UG Iteration 3'!A33</f>
        <v>343</v>
      </c>
      <c r="B33" s="25" t="str">
        <f>'GF + UG Iteration 3'!B33</f>
        <v>GF</v>
      </c>
      <c r="C33" s="18">
        <f>'GF + UG Iteration 3'!C33</f>
        <v>15.6</v>
      </c>
      <c r="D33" s="19">
        <f>'GF + UG Iteration 3'!D33</f>
        <v>13.99971574022935</v>
      </c>
      <c r="E33" s="30">
        <f>'GF + UG Iteration 3'!E33</f>
        <v>2003</v>
      </c>
      <c r="F33" s="18"/>
      <c r="G33" s="19"/>
      <c r="H33" s="20"/>
      <c r="I33" s="18">
        <f t="shared" si="0"/>
        <v>15.6</v>
      </c>
      <c r="J33" s="19">
        <f t="shared" si="1"/>
        <v>13.99971574022935</v>
      </c>
      <c r="K33" s="20">
        <f t="shared" si="2"/>
        <v>2003</v>
      </c>
      <c r="M33" s="21">
        <f t="shared" si="3"/>
        <v>2.7472709142554912</v>
      </c>
      <c r="N33" s="21">
        <f t="shared" si="4"/>
        <v>2.6390370251397921</v>
      </c>
    </row>
    <row r="34" spans="1:14" x14ac:dyDescent="0.2">
      <c r="A34" s="25">
        <f>'GF + UG Iteration 3'!A34</f>
        <v>358</v>
      </c>
      <c r="B34" s="25" t="str">
        <f>'GF + UG Iteration 3'!B34</f>
        <v>GF</v>
      </c>
      <c r="C34" s="18">
        <f>'GF + UG Iteration 3'!C34</f>
        <v>19.8</v>
      </c>
      <c r="D34" s="19">
        <f>'GF + UG Iteration 3'!D34</f>
        <v>7.2248521864398549</v>
      </c>
      <c r="E34" s="30">
        <f>'GF + UG Iteration 3'!E34</f>
        <v>2003</v>
      </c>
      <c r="F34" s="18"/>
      <c r="G34" s="19"/>
      <c r="H34" s="20"/>
      <c r="I34" s="18">
        <f t="shared" si="0"/>
        <v>19.8</v>
      </c>
      <c r="J34" s="19">
        <f t="shared" si="1"/>
        <v>7.2248521864398549</v>
      </c>
      <c r="K34" s="20">
        <f t="shared" si="2"/>
        <v>2003</v>
      </c>
      <c r="M34" s="21">
        <f t="shared" si="3"/>
        <v>2.9856819377004897</v>
      </c>
      <c r="N34" s="21">
        <f t="shared" si="4"/>
        <v>1.9775267751649739</v>
      </c>
    </row>
    <row r="35" spans="1:14" x14ac:dyDescent="0.2">
      <c r="A35" s="25">
        <f>'GF + UG Iteration 3'!A35</f>
        <v>702</v>
      </c>
      <c r="B35" s="25" t="str">
        <f>'GF + UG Iteration 3'!B35</f>
        <v>GF</v>
      </c>
      <c r="C35" s="18">
        <f>'GF + UG Iteration 3'!C35</f>
        <v>28.4</v>
      </c>
      <c r="D35" s="19">
        <f>'GF + UG Iteration 3'!D35</f>
        <v>5.2101531080390755</v>
      </c>
      <c r="E35" s="30">
        <f>'GF + UG Iteration 3'!E35</f>
        <v>2007</v>
      </c>
      <c r="F35" s="18"/>
      <c r="G35" s="19"/>
      <c r="H35" s="20"/>
      <c r="I35" s="18">
        <f t="shared" si="0"/>
        <v>28.4</v>
      </c>
      <c r="J35" s="19">
        <f t="shared" si="1"/>
        <v>5.2101531080390755</v>
      </c>
      <c r="K35" s="20">
        <f t="shared" si="2"/>
        <v>2007</v>
      </c>
      <c r="M35" s="21">
        <f t="shared" si="3"/>
        <v>3.3463891451671604</v>
      </c>
      <c r="N35" s="21">
        <f t="shared" si="4"/>
        <v>1.6506092426730299</v>
      </c>
    </row>
    <row r="36" spans="1:14" x14ac:dyDescent="0.2">
      <c r="A36" s="25">
        <f>'GF + UG Iteration 3'!A36</f>
        <v>526</v>
      </c>
      <c r="B36" s="25" t="str">
        <f>'GF + UG Iteration 3'!B36</f>
        <v>GF</v>
      </c>
      <c r="C36" s="18">
        <f>'GF + UG Iteration 3'!C36</f>
        <v>19</v>
      </c>
      <c r="D36" s="19">
        <f>'GF + UG Iteration 3'!D36</f>
        <v>13.758834109767626</v>
      </c>
      <c r="E36" s="30">
        <f>'GF + UG Iteration 3'!E36</f>
        <v>2007</v>
      </c>
      <c r="F36" s="18"/>
      <c r="G36" s="19"/>
      <c r="H36" s="20"/>
      <c r="I36" s="18">
        <f t="shared" si="0"/>
        <v>19</v>
      </c>
      <c r="J36" s="19">
        <f t="shared" si="1"/>
        <v>13.758834109767626</v>
      </c>
      <c r="K36" s="20">
        <f t="shared" si="2"/>
        <v>2007</v>
      </c>
      <c r="M36" s="21">
        <f t="shared" si="3"/>
        <v>2.9444389791664403</v>
      </c>
      <c r="N36" s="21">
        <f t="shared" si="4"/>
        <v>2.6216810985205803</v>
      </c>
    </row>
    <row r="37" spans="1:14" x14ac:dyDescent="0.2">
      <c r="A37" s="25">
        <f>'GF + UG Iteration 3'!A37</f>
        <v>288</v>
      </c>
      <c r="B37" s="25" t="str">
        <f>'GF + UG Iteration 3'!B37</f>
        <v>GF</v>
      </c>
      <c r="C37" s="18">
        <f>'GF + UG Iteration 3'!C37</f>
        <v>12</v>
      </c>
      <c r="D37" s="19">
        <f>'GF + UG Iteration 3'!D37</f>
        <v>4.4533584840568787</v>
      </c>
      <c r="E37" s="30">
        <f>'GF + UG Iteration 3'!E37</f>
        <v>2001</v>
      </c>
      <c r="F37" s="18"/>
      <c r="G37" s="19"/>
      <c r="H37" s="20"/>
      <c r="I37" s="18">
        <f t="shared" si="0"/>
        <v>12</v>
      </c>
      <c r="J37" s="19">
        <f t="shared" si="1"/>
        <v>4.4533584840568787</v>
      </c>
      <c r="K37" s="20">
        <f t="shared" si="2"/>
        <v>2001</v>
      </c>
      <c r="M37" s="21">
        <f t="shared" si="3"/>
        <v>2.4849066497880004</v>
      </c>
      <c r="N37" s="21">
        <f t="shared" si="4"/>
        <v>1.4936585270420049</v>
      </c>
    </row>
    <row r="38" spans="1:14" x14ac:dyDescent="0.2">
      <c r="A38" s="25">
        <f>'GF + UG Iteration 3'!A38</f>
        <v>851</v>
      </c>
      <c r="B38" s="25" t="str">
        <f>'GF + UG Iteration 3'!B38</f>
        <v>GF</v>
      </c>
      <c r="C38" s="18">
        <f>'GF + UG Iteration 3'!C38</f>
        <v>25</v>
      </c>
      <c r="D38" s="19">
        <f>'GF + UG Iteration 3'!D38</f>
        <v>12.931754132918639</v>
      </c>
      <c r="E38" s="30">
        <f>'GF + UG Iteration 3'!E38</f>
        <v>2007</v>
      </c>
      <c r="F38" s="18"/>
      <c r="G38" s="19"/>
      <c r="H38" s="20"/>
      <c r="I38" s="18">
        <f t="shared" si="0"/>
        <v>25</v>
      </c>
      <c r="J38" s="19">
        <f t="shared" si="1"/>
        <v>12.931754132918639</v>
      </c>
      <c r="K38" s="20">
        <f t="shared" si="2"/>
        <v>2007</v>
      </c>
      <c r="M38" s="21">
        <f t="shared" si="3"/>
        <v>3.2188758248682006</v>
      </c>
      <c r="N38" s="21">
        <f t="shared" si="4"/>
        <v>2.5596858473810773</v>
      </c>
    </row>
    <row r="39" spans="1:14" x14ac:dyDescent="0.2">
      <c r="A39" s="25">
        <f>'GF + UG Iteration 3'!A39</f>
        <v>648</v>
      </c>
      <c r="B39" s="25" t="str">
        <f>'GF + UG Iteration 3'!B39</f>
        <v>GF</v>
      </c>
      <c r="C39" s="18">
        <f>'GF + UG Iteration 3'!C39</f>
        <v>15</v>
      </c>
      <c r="D39" s="19">
        <f>'GF + UG Iteration 3'!D39</f>
        <v>14.973718181093032</v>
      </c>
      <c r="E39" s="30">
        <f>'GF + UG Iteration 3'!E39</f>
        <v>2007</v>
      </c>
      <c r="F39" s="18"/>
      <c r="G39" s="19"/>
      <c r="H39" s="20"/>
      <c r="I39" s="18">
        <f t="shared" si="0"/>
        <v>15</v>
      </c>
      <c r="J39" s="19">
        <f t="shared" si="1"/>
        <v>14.973718181093032</v>
      </c>
      <c r="K39" s="20">
        <f t="shared" si="2"/>
        <v>2007</v>
      </c>
      <c r="M39" s="21">
        <f t="shared" si="3"/>
        <v>2.7080502011022101</v>
      </c>
      <c r="N39" s="21">
        <f t="shared" si="4"/>
        <v>2.7062965430819679</v>
      </c>
    </row>
    <row r="40" spans="1:14" x14ac:dyDescent="0.2">
      <c r="A40" s="25">
        <f>'GF + UG Iteration 3'!A40</f>
        <v>855</v>
      </c>
      <c r="B40" s="25" t="str">
        <f>'GF + UG Iteration 3'!B40</f>
        <v>GF</v>
      </c>
      <c r="C40" s="18">
        <f>'GF + UG Iteration 3'!C40</f>
        <v>23</v>
      </c>
      <c r="D40" s="19">
        <f>'GF + UG Iteration 3'!D40</f>
        <v>28.66706963950903</v>
      </c>
      <c r="E40" s="30">
        <f>'GF + UG Iteration 3'!E40</f>
        <v>2011</v>
      </c>
      <c r="F40" s="18"/>
      <c r="G40" s="19"/>
      <c r="H40" s="20"/>
      <c r="I40" s="18">
        <f t="shared" si="0"/>
        <v>23</v>
      </c>
      <c r="J40" s="19">
        <f t="shared" si="1"/>
        <v>28.66706963950903</v>
      </c>
      <c r="K40" s="20">
        <f t="shared" si="2"/>
        <v>2011</v>
      </c>
      <c r="M40" s="21">
        <f t="shared" si="3"/>
        <v>3.1354942159291497</v>
      </c>
      <c r="N40" s="21">
        <f t="shared" si="4"/>
        <v>3.355749064678772</v>
      </c>
    </row>
    <row r="41" spans="1:14" x14ac:dyDescent="0.2">
      <c r="A41" s="25">
        <f>'GF + UG Iteration 3'!A41</f>
        <v>700</v>
      </c>
      <c r="B41" s="25" t="str">
        <f>'GF + UG Iteration 3'!B41</f>
        <v>GF</v>
      </c>
      <c r="C41" s="18">
        <f>'GF + UG Iteration 3'!C41</f>
        <v>9.8000000000000007</v>
      </c>
      <c r="D41" s="19">
        <f>'GF + UG Iteration 3'!D41</f>
        <v>7.0657947644327148</v>
      </c>
      <c r="E41" s="30">
        <f>'GF + UG Iteration 3'!E41</f>
        <v>2007</v>
      </c>
      <c r="F41" s="18"/>
      <c r="G41" s="19"/>
      <c r="H41" s="20"/>
      <c r="I41" s="18">
        <f t="shared" si="0"/>
        <v>9.8000000000000007</v>
      </c>
      <c r="J41" s="19">
        <f t="shared" si="1"/>
        <v>7.0657947644327148</v>
      </c>
      <c r="K41" s="20">
        <f t="shared" si="2"/>
        <v>2007</v>
      </c>
      <c r="M41" s="21">
        <f t="shared" si="3"/>
        <v>2.2823823856765264</v>
      </c>
      <c r="N41" s="21">
        <f t="shared" si="4"/>
        <v>1.9552655030060266</v>
      </c>
    </row>
    <row r="42" spans="1:14" x14ac:dyDescent="0.2">
      <c r="A42" s="25">
        <f>'GF + UG Iteration 3'!A42</f>
        <v>683</v>
      </c>
      <c r="B42" s="25" t="str">
        <f>'GF + UG Iteration 3'!B42</f>
        <v>GF</v>
      </c>
      <c r="C42" s="18">
        <f>'GF + UG Iteration 3'!C42</f>
        <v>30</v>
      </c>
      <c r="D42" s="19">
        <f>'GF + UG Iteration 3'!D42</f>
        <v>16.03232257186292</v>
      </c>
      <c r="E42" s="30">
        <f>'GF + UG Iteration 3'!E42</f>
        <v>2011</v>
      </c>
      <c r="F42" s="18"/>
      <c r="G42" s="19"/>
      <c r="H42" s="20"/>
      <c r="I42" s="18">
        <f t="shared" si="0"/>
        <v>30</v>
      </c>
      <c r="J42" s="19">
        <f t="shared" si="1"/>
        <v>16.03232257186292</v>
      </c>
      <c r="K42" s="20">
        <f t="shared" si="2"/>
        <v>2011</v>
      </c>
      <c r="M42" s="21">
        <f t="shared" si="3"/>
        <v>3.4011973816621555</v>
      </c>
      <c r="N42" s="21">
        <f t="shared" si="4"/>
        <v>2.7746068452004713</v>
      </c>
    </row>
    <row r="43" spans="1:14" x14ac:dyDescent="0.2">
      <c r="A43" s="25">
        <f>'GF + UG Iteration 3'!A43</f>
        <v>559</v>
      </c>
      <c r="B43" s="25" t="str">
        <f>'GF + UG Iteration 3'!B43</f>
        <v>GF</v>
      </c>
      <c r="C43" s="18">
        <f>'GF + UG Iteration 3'!C43</f>
        <v>115</v>
      </c>
      <c r="D43" s="19">
        <f>'GF + UG Iteration 3'!D43</f>
        <v>56.859498956472109</v>
      </c>
      <c r="E43" s="30">
        <f>'GF + UG Iteration 3'!E43</f>
        <v>2011</v>
      </c>
      <c r="F43" s="18"/>
      <c r="G43" s="19"/>
      <c r="H43" s="20"/>
      <c r="I43" s="18">
        <f t="shared" si="0"/>
        <v>115</v>
      </c>
      <c r="J43" s="19">
        <f t="shared" si="1"/>
        <v>56.859498956472109</v>
      </c>
      <c r="K43" s="20">
        <f t="shared" si="2"/>
        <v>2011</v>
      </c>
      <c r="M43" s="21">
        <f t="shared" si="3"/>
        <v>4.7449321283632502</v>
      </c>
      <c r="N43" s="21">
        <f t="shared" si="4"/>
        <v>4.0405832943034818</v>
      </c>
    </row>
    <row r="44" spans="1:14" x14ac:dyDescent="0.2">
      <c r="A44" s="25">
        <f>'GF + UG Iteration 3'!A44</f>
        <v>1074</v>
      </c>
      <c r="B44" s="25" t="str">
        <f>'GF + UG Iteration 3'!B44</f>
        <v>GF</v>
      </c>
      <c r="C44" s="18">
        <f>'GF + UG Iteration 3'!C44</f>
        <v>67</v>
      </c>
      <c r="D44" s="19">
        <f>'GF + UG Iteration 3'!D44</f>
        <v>43.13883453102715</v>
      </c>
      <c r="E44" s="30">
        <f>'GF + UG Iteration 3'!E44</f>
        <v>2011</v>
      </c>
      <c r="F44" s="18"/>
      <c r="G44" s="19"/>
      <c r="H44" s="20"/>
      <c r="I44" s="18">
        <f t="shared" si="0"/>
        <v>67</v>
      </c>
      <c r="J44" s="19">
        <f t="shared" si="1"/>
        <v>43.13883453102715</v>
      </c>
      <c r="K44" s="20">
        <f t="shared" si="2"/>
        <v>2011</v>
      </c>
      <c r="M44" s="21">
        <f t="shared" si="3"/>
        <v>4.2046926193909657</v>
      </c>
      <c r="N44" s="21">
        <f t="shared" si="4"/>
        <v>3.7644236246254454</v>
      </c>
    </row>
    <row r="45" spans="1:14" x14ac:dyDescent="0.2">
      <c r="A45" s="25">
        <f>'GF + UG Iteration 3'!A45</f>
        <v>34</v>
      </c>
      <c r="B45" s="25" t="str">
        <f>'GF + UG Iteration 3'!B45</f>
        <v>GF</v>
      </c>
      <c r="C45" s="18">
        <f>'GF + UG Iteration 3'!C45</f>
        <v>16</v>
      </c>
      <c r="D45" s="19">
        <f>'GF + UG Iteration 3'!D45</f>
        <v>7.5134124542159286</v>
      </c>
      <c r="E45" s="30">
        <f>'GF + UG Iteration 3'!E45</f>
        <v>2000</v>
      </c>
      <c r="F45" s="18"/>
      <c r="G45" s="19"/>
      <c r="H45" s="20"/>
      <c r="I45" s="18">
        <f t="shared" si="0"/>
        <v>16</v>
      </c>
      <c r="J45" s="19">
        <f t="shared" si="1"/>
        <v>7.5134124542159286</v>
      </c>
      <c r="K45" s="20">
        <f t="shared" si="2"/>
        <v>2000</v>
      </c>
      <c r="M45" s="21">
        <f t="shared" si="3"/>
        <v>2.7725887222397811</v>
      </c>
      <c r="N45" s="21">
        <f t="shared" si="4"/>
        <v>2.0166897506177883</v>
      </c>
    </row>
    <row r="46" spans="1:14" x14ac:dyDescent="0.2">
      <c r="A46" s="25">
        <f>'GF + UG Iteration 3'!A46</f>
        <v>433</v>
      </c>
      <c r="B46" s="25" t="str">
        <f>'GF + UG Iteration 3'!B46</f>
        <v>GF</v>
      </c>
      <c r="C46" s="18">
        <f>'GF + UG Iteration 3'!C46</f>
        <v>25</v>
      </c>
      <c r="D46" s="19">
        <f>'GF + UG Iteration 3'!D46</f>
        <v>22.308265318441425</v>
      </c>
      <c r="E46" s="30">
        <f>'GF + UG Iteration 3'!E46</f>
        <v>2003</v>
      </c>
      <c r="F46" s="18"/>
      <c r="G46" s="19"/>
      <c r="H46" s="20"/>
      <c r="I46" s="18">
        <f t="shared" si="0"/>
        <v>25</v>
      </c>
      <c r="J46" s="19">
        <f t="shared" si="1"/>
        <v>22.308265318441425</v>
      </c>
      <c r="K46" s="20">
        <f t="shared" si="2"/>
        <v>2003</v>
      </c>
      <c r="M46" s="21">
        <f t="shared" si="3"/>
        <v>3.2188758248682006</v>
      </c>
      <c r="N46" s="21">
        <f t="shared" si="4"/>
        <v>3.1049572518778392</v>
      </c>
    </row>
    <row r="47" spans="1:14" x14ac:dyDescent="0.2">
      <c r="A47" s="25" t="str">
        <f>'GF + UG Iteration 3'!A47</f>
        <v>79A</v>
      </c>
      <c r="B47" s="25" t="str">
        <f>'GF + UG Iteration 3'!B47</f>
        <v>GF</v>
      </c>
      <c r="C47" s="18">
        <f>'GF + UG Iteration 3'!C47</f>
        <v>8</v>
      </c>
      <c r="D47" s="19">
        <f>'GF + UG Iteration 3'!D47</f>
        <v>5.0823375539699818</v>
      </c>
      <c r="E47" s="30">
        <f>'GF + UG Iteration 3'!E47</f>
        <v>2000</v>
      </c>
      <c r="F47" s="18"/>
      <c r="G47" s="19"/>
      <c r="H47" s="20"/>
      <c r="I47" s="18">
        <f t="shared" si="0"/>
        <v>8</v>
      </c>
      <c r="J47" s="19">
        <f t="shared" si="1"/>
        <v>5.0823375539699818</v>
      </c>
      <c r="K47" s="20">
        <f t="shared" si="2"/>
        <v>2000</v>
      </c>
      <c r="M47" s="21">
        <f t="shared" si="3"/>
        <v>2.0794415416798357</v>
      </c>
      <c r="N47" s="21">
        <f t="shared" si="4"/>
        <v>1.62577130417386</v>
      </c>
    </row>
    <row r="48" spans="1:14" x14ac:dyDescent="0.2">
      <c r="A48" s="25" t="str">
        <f>'GF + UG Iteration 3'!A48</f>
        <v>10A</v>
      </c>
      <c r="B48" s="25" t="str">
        <f>'GF + UG Iteration 3'!B48</f>
        <v>GF</v>
      </c>
      <c r="C48" s="18">
        <f>'GF + UG Iteration 3'!C48</f>
        <v>6.2</v>
      </c>
      <c r="D48" s="19">
        <f>'GF + UG Iteration 3'!D48</f>
        <v>8.9160103759227685</v>
      </c>
      <c r="E48" s="30">
        <f>'GF + UG Iteration 3'!E48</f>
        <v>2001</v>
      </c>
      <c r="F48" s="18"/>
      <c r="G48" s="19"/>
      <c r="H48" s="20"/>
      <c r="I48" s="18">
        <f t="shared" si="0"/>
        <v>6.2</v>
      </c>
      <c r="J48" s="19">
        <f t="shared" si="1"/>
        <v>8.9160103759227685</v>
      </c>
      <c r="K48" s="20">
        <f t="shared" si="2"/>
        <v>2001</v>
      </c>
      <c r="M48" s="21">
        <f t="shared" si="3"/>
        <v>1.824549292051046</v>
      </c>
      <c r="N48" s="21">
        <f t="shared" si="4"/>
        <v>2.1878485792648439</v>
      </c>
    </row>
    <row r="49" spans="1:14" x14ac:dyDescent="0.2">
      <c r="A49" s="25">
        <f>'GF + UG Iteration 3'!A49</f>
        <v>345</v>
      </c>
      <c r="B49" s="25" t="str">
        <f>'GF + UG Iteration 3'!B49</f>
        <v>GF</v>
      </c>
      <c r="C49" s="18">
        <f>'GF + UG Iteration 3'!C49</f>
        <v>35</v>
      </c>
      <c r="D49" s="19">
        <f>'GF + UG Iteration 3'!D49</f>
        <v>8.3689831482940882</v>
      </c>
      <c r="E49" s="30">
        <f>'GF + UG Iteration 3'!E49</f>
        <v>2003</v>
      </c>
      <c r="F49" s="18"/>
      <c r="G49" s="19"/>
      <c r="H49" s="20"/>
      <c r="I49" s="18">
        <f t="shared" si="0"/>
        <v>35</v>
      </c>
      <c r="J49" s="19">
        <f t="shared" si="1"/>
        <v>8.3689831482940882</v>
      </c>
      <c r="K49" s="20">
        <f t="shared" si="2"/>
        <v>2003</v>
      </c>
      <c r="M49" s="21">
        <f t="shared" si="3"/>
        <v>3.5553480614894135</v>
      </c>
      <c r="N49" s="21">
        <f t="shared" si="4"/>
        <v>2.1245323894621508</v>
      </c>
    </row>
    <row r="50" spans="1:14" x14ac:dyDescent="0.2">
      <c r="A50" s="25">
        <f>'GF + UG Iteration 3'!A50</f>
        <v>1049</v>
      </c>
      <c r="B50" s="25" t="str">
        <f>'GF + UG Iteration 3'!B50</f>
        <v>GF</v>
      </c>
      <c r="C50" s="18">
        <f>'GF + UG Iteration 3'!C50</f>
        <v>15.2</v>
      </c>
      <c r="D50" s="19">
        <f>'GF + UG Iteration 3'!D50</f>
        <v>54.551770509232071</v>
      </c>
      <c r="E50" s="30">
        <f>'GF + UG Iteration 3'!E50</f>
        <v>2011</v>
      </c>
      <c r="F50" s="18"/>
      <c r="G50" s="19"/>
      <c r="H50" s="20"/>
      <c r="I50" s="18">
        <f t="shared" si="0"/>
        <v>15.2</v>
      </c>
      <c r="J50" s="19">
        <f t="shared" si="1"/>
        <v>54.551770509232071</v>
      </c>
      <c r="K50" s="20">
        <f t="shared" si="2"/>
        <v>2011</v>
      </c>
      <c r="M50" s="21">
        <f t="shared" si="3"/>
        <v>2.7212954278522306</v>
      </c>
      <c r="N50" s="21">
        <f t="shared" si="4"/>
        <v>3.9991501683835766</v>
      </c>
    </row>
    <row r="51" spans="1:14" x14ac:dyDescent="0.2">
      <c r="A51" s="25">
        <f>'GF + UG Iteration 3'!A51</f>
        <v>230</v>
      </c>
      <c r="B51" s="25" t="str">
        <f>'GF + UG Iteration 3'!B51</f>
        <v>GF</v>
      </c>
      <c r="C51" s="18">
        <f>'GF + UG Iteration 3'!C51</f>
        <v>17</v>
      </c>
      <c r="D51" s="19">
        <f>'GF + UG Iteration 3'!D51</f>
        <v>10.739901169983137</v>
      </c>
      <c r="E51" s="30">
        <f>'GF + UG Iteration 3'!E51</f>
        <v>2003</v>
      </c>
      <c r="F51" s="18"/>
      <c r="G51" s="19"/>
      <c r="H51" s="20"/>
      <c r="I51" s="18">
        <f t="shared" si="0"/>
        <v>17</v>
      </c>
      <c r="J51" s="19">
        <f t="shared" si="1"/>
        <v>10.739901169983137</v>
      </c>
      <c r="K51" s="20">
        <f t="shared" si="2"/>
        <v>2003</v>
      </c>
      <c r="M51" s="21">
        <f t="shared" si="3"/>
        <v>2.8332133440562162</v>
      </c>
      <c r="N51" s="21">
        <f t="shared" si="4"/>
        <v>2.3739658869883922</v>
      </c>
    </row>
    <row r="52" spans="1:14" x14ac:dyDescent="0.2">
      <c r="A52" s="25" t="str">
        <f>'GF + UG Iteration 3'!A52</f>
        <v>79B</v>
      </c>
      <c r="B52" s="25" t="str">
        <f>'GF + UG Iteration 3'!B52</f>
        <v>GF</v>
      </c>
      <c r="C52" s="18">
        <f>'GF + UG Iteration 3'!C52</f>
        <v>8</v>
      </c>
      <c r="D52" s="19">
        <f>'GF + UG Iteration 3'!D52</f>
        <v>3.3788339951362953</v>
      </c>
      <c r="E52" s="30">
        <f>'GF + UG Iteration 3'!E52</f>
        <v>2000</v>
      </c>
      <c r="F52" s="18"/>
      <c r="G52" s="19"/>
      <c r="H52" s="20"/>
      <c r="I52" s="18">
        <f t="shared" si="0"/>
        <v>8</v>
      </c>
      <c r="J52" s="19">
        <f t="shared" si="1"/>
        <v>3.3788339951362953</v>
      </c>
      <c r="K52" s="20">
        <f t="shared" si="2"/>
        <v>2000</v>
      </c>
      <c r="M52" s="21">
        <f t="shared" si="3"/>
        <v>2.0794415416798357</v>
      </c>
      <c r="N52" s="21">
        <f t="shared" si="4"/>
        <v>1.2175306781252826</v>
      </c>
    </row>
    <row r="53" spans="1:14" x14ac:dyDescent="0.2">
      <c r="A53" s="25" t="str">
        <f>'GF + UG Iteration 3'!A53</f>
        <v>10B</v>
      </c>
      <c r="B53" s="25" t="str">
        <f>'GF + UG Iteration 3'!B53</f>
        <v>GF</v>
      </c>
      <c r="C53" s="18">
        <f>'GF + UG Iteration 3'!C53</f>
        <v>9.4060000000000006</v>
      </c>
      <c r="D53" s="19">
        <f>'GF + UG Iteration 3'!D53</f>
        <v>9.7991326901064184</v>
      </c>
      <c r="E53" s="30">
        <f>'GF + UG Iteration 3'!E53</f>
        <v>2001</v>
      </c>
      <c r="F53" s="18"/>
      <c r="G53" s="19"/>
      <c r="H53" s="20"/>
      <c r="I53" s="18">
        <f t="shared" si="0"/>
        <v>9.4060000000000006</v>
      </c>
      <c r="J53" s="19">
        <f t="shared" si="1"/>
        <v>9.7991326901064184</v>
      </c>
      <c r="K53" s="20">
        <f t="shared" si="2"/>
        <v>2001</v>
      </c>
      <c r="M53" s="21">
        <f t="shared" si="3"/>
        <v>2.2413477835228561</v>
      </c>
      <c r="N53" s="21">
        <f t="shared" si="4"/>
        <v>2.2822938807505317</v>
      </c>
    </row>
    <row r="54" spans="1:14" x14ac:dyDescent="0.2">
      <c r="A54" s="25">
        <f>'GF + UG Iteration 3'!A54</f>
        <v>8</v>
      </c>
      <c r="B54" s="25" t="str">
        <f>'GF + UG Iteration 3'!B54</f>
        <v>GF</v>
      </c>
      <c r="C54" s="18">
        <f>'GF + UG Iteration 3'!C54</f>
        <v>18</v>
      </c>
      <c r="D54" s="19">
        <f>'GF + UG Iteration 3'!D54</f>
        <v>11.984110505191126</v>
      </c>
      <c r="E54" s="30">
        <f>'GF + UG Iteration 3'!E54</f>
        <v>2000</v>
      </c>
      <c r="F54" s="18"/>
      <c r="G54" s="19"/>
      <c r="H54" s="20"/>
      <c r="I54" s="18">
        <f t="shared" si="0"/>
        <v>18</v>
      </c>
      <c r="J54" s="19">
        <f t="shared" si="1"/>
        <v>11.984110505191126</v>
      </c>
      <c r="K54" s="20">
        <f t="shared" si="2"/>
        <v>2000</v>
      </c>
      <c r="M54" s="21">
        <f t="shared" si="3"/>
        <v>2.8903717578961645</v>
      </c>
      <c r="N54" s="21">
        <f t="shared" si="4"/>
        <v>2.4835816477930246</v>
      </c>
    </row>
    <row r="55" spans="1:14" x14ac:dyDescent="0.2">
      <c r="A55" s="25">
        <f>'GF + UG Iteration 3'!A55</f>
        <v>487</v>
      </c>
      <c r="B55" s="25" t="str">
        <f>'GF + UG Iteration 3'!B55</f>
        <v>GF</v>
      </c>
      <c r="C55" s="18">
        <f>'GF + UG Iteration 3'!C55</f>
        <v>22</v>
      </c>
      <c r="D55" s="19">
        <f>'GF + UG Iteration 3'!D55</f>
        <v>16.606728766354362</v>
      </c>
      <c r="E55" s="30">
        <f>'GF + UG Iteration 3'!E55</f>
        <v>2007</v>
      </c>
      <c r="F55" s="18"/>
      <c r="G55" s="19"/>
      <c r="H55" s="20"/>
      <c r="I55" s="18">
        <f t="shared" si="0"/>
        <v>22</v>
      </c>
      <c r="J55" s="19">
        <f t="shared" si="1"/>
        <v>16.606728766354362</v>
      </c>
      <c r="K55" s="20">
        <f t="shared" si="2"/>
        <v>2007</v>
      </c>
      <c r="M55" s="21">
        <f t="shared" si="3"/>
        <v>3.0910424533583161</v>
      </c>
      <c r="N55" s="21">
        <f t="shared" si="4"/>
        <v>2.8098079606021904</v>
      </c>
    </row>
    <row r="56" spans="1:14" x14ac:dyDescent="0.2">
      <c r="A56" s="25">
        <f>'GF + UG Iteration 3'!A56</f>
        <v>385</v>
      </c>
      <c r="B56" s="25" t="str">
        <f>'GF + UG Iteration 3'!B56</f>
        <v>GF</v>
      </c>
      <c r="C56" s="18">
        <f>'GF + UG Iteration 3'!C56</f>
        <v>7.5</v>
      </c>
      <c r="D56" s="19">
        <f>'GF + UG Iteration 3'!D56</f>
        <v>8.5880709825089685</v>
      </c>
      <c r="E56" s="30">
        <f>'GF + UG Iteration 3'!E56</f>
        <v>2003</v>
      </c>
      <c r="F56" s="18"/>
      <c r="G56" s="19"/>
      <c r="H56" s="20"/>
      <c r="I56" s="18">
        <f t="shared" si="0"/>
        <v>7.5</v>
      </c>
      <c r="J56" s="19">
        <f t="shared" si="1"/>
        <v>8.5880709825089685</v>
      </c>
      <c r="K56" s="20">
        <f t="shared" si="2"/>
        <v>2003</v>
      </c>
      <c r="M56" s="21">
        <f t="shared" si="3"/>
        <v>2.0149030205422647</v>
      </c>
      <c r="N56" s="21">
        <f t="shared" si="4"/>
        <v>2.1503741452954848</v>
      </c>
    </row>
    <row r="57" spans="1:14" x14ac:dyDescent="0.2">
      <c r="A57" s="25">
        <f>'GF + UG Iteration 3'!A57</f>
        <v>865</v>
      </c>
      <c r="B57" s="25" t="str">
        <f>'GF + UG Iteration 3'!B57</f>
        <v>GF</v>
      </c>
      <c r="C57" s="18">
        <f>'GF + UG Iteration 3'!C57</f>
        <v>25</v>
      </c>
      <c r="D57" s="19">
        <f>'GF + UG Iteration 3'!D57</f>
        <v>8.6091983279462436</v>
      </c>
      <c r="E57" s="30">
        <f>'GF + UG Iteration 3'!E57</f>
        <v>2007</v>
      </c>
      <c r="F57" s="18"/>
      <c r="G57" s="19"/>
      <c r="H57" s="20"/>
      <c r="I57" s="18">
        <f t="shared" si="0"/>
        <v>25</v>
      </c>
      <c r="J57" s="19">
        <f t="shared" si="1"/>
        <v>8.6091983279462436</v>
      </c>
      <c r="K57" s="20">
        <f t="shared" si="2"/>
        <v>2007</v>
      </c>
      <c r="M57" s="21">
        <f t="shared" si="3"/>
        <v>3.2188758248682006</v>
      </c>
      <c r="N57" s="21">
        <f t="shared" si="4"/>
        <v>2.1528312046907798</v>
      </c>
    </row>
    <row r="58" spans="1:14" x14ac:dyDescent="0.2">
      <c r="A58" s="25">
        <f>'GF + UG Iteration 3'!A58</f>
        <v>863</v>
      </c>
      <c r="B58" s="25" t="str">
        <f>'GF + UG Iteration 3'!B58</f>
        <v>GF</v>
      </c>
      <c r="C58" s="18">
        <f>'GF + UG Iteration 3'!C58</f>
        <v>25</v>
      </c>
      <c r="D58" s="19">
        <f>'GF + UG Iteration 3'!D58</f>
        <v>8.2434360504581008</v>
      </c>
      <c r="E58" s="30">
        <f>'GF + UG Iteration 3'!E58</f>
        <v>2007</v>
      </c>
      <c r="F58" s="18"/>
      <c r="G58" s="19"/>
      <c r="H58" s="20"/>
      <c r="I58" s="18">
        <f t="shared" si="0"/>
        <v>25</v>
      </c>
      <c r="J58" s="19">
        <f t="shared" si="1"/>
        <v>8.2434360504581008</v>
      </c>
      <c r="K58" s="20">
        <f t="shared" si="2"/>
        <v>2007</v>
      </c>
      <c r="M58" s="21">
        <f t="shared" si="3"/>
        <v>3.2188758248682006</v>
      </c>
      <c r="N58" s="21">
        <f t="shared" si="4"/>
        <v>2.1094172534173556</v>
      </c>
    </row>
    <row r="59" spans="1:14" x14ac:dyDescent="0.2">
      <c r="A59" s="25">
        <f>'GF + UG Iteration 3'!A59</f>
        <v>527</v>
      </c>
      <c r="B59" s="25" t="str">
        <f>'GF + UG Iteration 3'!B59</f>
        <v>GF</v>
      </c>
      <c r="C59" s="18">
        <f>'GF + UG Iteration 3'!C59</f>
        <v>17</v>
      </c>
      <c r="D59" s="19">
        <f>'GF + UG Iteration 3'!D59</f>
        <v>6.9318595783251213</v>
      </c>
      <c r="E59" s="30">
        <f>'GF + UG Iteration 3'!E59</f>
        <v>2007</v>
      </c>
      <c r="F59" s="18"/>
      <c r="G59" s="19"/>
      <c r="H59" s="20"/>
      <c r="I59" s="18">
        <f t="shared" si="0"/>
        <v>17</v>
      </c>
      <c r="J59" s="19">
        <f t="shared" si="1"/>
        <v>6.9318595783251213</v>
      </c>
      <c r="K59" s="20">
        <f t="shared" si="2"/>
        <v>2007</v>
      </c>
      <c r="M59" s="21">
        <f t="shared" si="3"/>
        <v>2.8332133440562162</v>
      </c>
      <c r="N59" s="21">
        <f t="shared" si="4"/>
        <v>1.936128114626418</v>
      </c>
    </row>
    <row r="60" spans="1:14" x14ac:dyDescent="0.2">
      <c r="A60" s="25">
        <f>'GF + UG Iteration 3'!A60</f>
        <v>595</v>
      </c>
      <c r="B60" s="25" t="str">
        <f>'GF + UG Iteration 3'!B60</f>
        <v>GF</v>
      </c>
      <c r="C60" s="18">
        <f>'GF + UG Iteration 3'!C60</f>
        <v>11</v>
      </c>
      <c r="D60" s="19">
        <f>'GF + UG Iteration 3'!D60</f>
        <v>19.087371326529755</v>
      </c>
      <c r="E60" s="30">
        <f>'GF + UG Iteration 3'!E60</f>
        <v>2007</v>
      </c>
      <c r="F60" s="18"/>
      <c r="G60" s="19"/>
      <c r="H60" s="20"/>
      <c r="I60" s="18">
        <f t="shared" si="0"/>
        <v>11</v>
      </c>
      <c r="J60" s="19">
        <f t="shared" si="1"/>
        <v>19.087371326529755</v>
      </c>
      <c r="K60" s="20">
        <f t="shared" si="2"/>
        <v>2007</v>
      </c>
      <c r="M60" s="21">
        <f t="shared" si="3"/>
        <v>2.3978952727983707</v>
      </c>
      <c r="N60" s="21">
        <f t="shared" si="4"/>
        <v>2.9490269292793174</v>
      </c>
    </row>
    <row r="61" spans="1:14" x14ac:dyDescent="0.2">
      <c r="A61" s="25">
        <f>'GF + UG Iteration 3'!A61</f>
        <v>528</v>
      </c>
      <c r="B61" s="25" t="str">
        <f>'GF + UG Iteration 3'!B61</f>
        <v>GF</v>
      </c>
      <c r="C61" s="18">
        <f>'GF + UG Iteration 3'!C61</f>
        <v>17</v>
      </c>
      <c r="D61" s="19">
        <f>'GF + UG Iteration 3'!D61</f>
        <v>5.2657663175025586</v>
      </c>
      <c r="E61" s="30">
        <f>'GF + UG Iteration 3'!E61</f>
        <v>2007</v>
      </c>
      <c r="F61" s="18"/>
      <c r="G61" s="19"/>
      <c r="H61" s="20"/>
      <c r="I61" s="18">
        <f t="shared" si="0"/>
        <v>17</v>
      </c>
      <c r="J61" s="19">
        <f t="shared" si="1"/>
        <v>5.2657663175025586</v>
      </c>
      <c r="K61" s="20">
        <f t="shared" si="2"/>
        <v>2007</v>
      </c>
      <c r="M61" s="21">
        <f t="shared" si="3"/>
        <v>2.8332133440562162</v>
      </c>
      <c r="N61" s="21">
        <f t="shared" si="4"/>
        <v>1.6612266843778571</v>
      </c>
    </row>
    <row r="62" spans="1:14" x14ac:dyDescent="0.2">
      <c r="A62" s="25">
        <f>'GF + UG Iteration 3'!A62</f>
        <v>529</v>
      </c>
      <c r="B62" s="25" t="str">
        <f>'GF + UG Iteration 3'!B62</f>
        <v>GF</v>
      </c>
      <c r="C62" s="18">
        <f>'GF + UG Iteration 3'!C62</f>
        <v>17</v>
      </c>
      <c r="D62" s="19">
        <f>'GF + UG Iteration 3'!D62</f>
        <v>7.7921694439597555</v>
      </c>
      <c r="E62" s="30">
        <f>'GF + UG Iteration 3'!E62</f>
        <v>2007</v>
      </c>
      <c r="F62" s="18"/>
      <c r="G62" s="19"/>
      <c r="H62" s="20"/>
      <c r="I62" s="18">
        <f t="shared" si="0"/>
        <v>17</v>
      </c>
      <c r="J62" s="19">
        <f t="shared" si="1"/>
        <v>7.7921694439597555</v>
      </c>
      <c r="K62" s="20">
        <f t="shared" si="2"/>
        <v>2007</v>
      </c>
      <c r="M62" s="21">
        <f t="shared" si="3"/>
        <v>2.8332133440562162</v>
      </c>
      <c r="N62" s="21">
        <f t="shared" si="4"/>
        <v>2.0531193119918547</v>
      </c>
    </row>
    <row r="63" spans="1:14" x14ac:dyDescent="0.2">
      <c r="A63" s="25">
        <f>'GF + UG Iteration 3'!A63</f>
        <v>1095</v>
      </c>
      <c r="B63" s="25" t="str">
        <f>'GF + UG Iteration 3'!B63</f>
        <v>GF</v>
      </c>
      <c r="C63" s="18">
        <f>'GF + UG Iteration 3'!C63</f>
        <v>18</v>
      </c>
      <c r="D63" s="19">
        <f>'GF + UG Iteration 3'!D63</f>
        <v>11.923356574074873</v>
      </c>
      <c r="E63" s="30">
        <f>'GF + UG Iteration 3'!E63</f>
        <v>2011</v>
      </c>
      <c r="F63" s="18"/>
      <c r="G63" s="19"/>
      <c r="H63" s="20"/>
      <c r="I63" s="18">
        <f t="shared" si="0"/>
        <v>18</v>
      </c>
      <c r="J63" s="19">
        <f t="shared" si="1"/>
        <v>11.923356574074873</v>
      </c>
      <c r="K63" s="20">
        <f t="shared" si="2"/>
        <v>2011</v>
      </c>
      <c r="M63" s="21">
        <f t="shared" si="3"/>
        <v>2.8903717578961645</v>
      </c>
      <c r="N63" s="21">
        <f t="shared" si="4"/>
        <v>2.4784992137824831</v>
      </c>
    </row>
    <row r="64" spans="1:14" x14ac:dyDescent="0.2">
      <c r="A64" s="25">
        <f>'GF + UG Iteration 3'!A64</f>
        <v>561</v>
      </c>
      <c r="B64" s="25" t="str">
        <f>'GF + UG Iteration 3'!B64</f>
        <v>GF</v>
      </c>
      <c r="C64" s="18">
        <f>'GF + UG Iteration 3'!C64</f>
        <v>46</v>
      </c>
      <c r="D64" s="19">
        <f>'GF + UG Iteration 3'!D64</f>
        <v>58.100097147658744</v>
      </c>
      <c r="E64" s="30">
        <f>'GF + UG Iteration 3'!E64</f>
        <v>2011</v>
      </c>
      <c r="F64" s="18"/>
      <c r="G64" s="19"/>
      <c r="H64" s="20"/>
      <c r="I64" s="18">
        <f t="shared" si="0"/>
        <v>46</v>
      </c>
      <c r="J64" s="19">
        <f t="shared" si="1"/>
        <v>58.100097147658744</v>
      </c>
      <c r="K64" s="20">
        <f t="shared" si="2"/>
        <v>2011</v>
      </c>
      <c r="M64" s="21">
        <f t="shared" si="3"/>
        <v>3.8286413964890951</v>
      </c>
      <c r="N64" s="21">
        <f t="shared" si="4"/>
        <v>4.0621673359332098</v>
      </c>
    </row>
    <row r="65" spans="1:14" x14ac:dyDescent="0.2">
      <c r="A65" s="25">
        <f>'GF + UG Iteration 3'!A65</f>
        <v>1018</v>
      </c>
      <c r="B65" s="25" t="str">
        <f>'GF + UG Iteration 3'!B65</f>
        <v>GF</v>
      </c>
      <c r="C65" s="18">
        <f>'GF + UG Iteration 3'!C65</f>
        <v>3</v>
      </c>
      <c r="D65" s="19">
        <f>'GF + UG Iteration 3'!D65</f>
        <v>10.634643135603309</v>
      </c>
      <c r="E65" s="30">
        <f>'GF + UG Iteration 3'!E65</f>
        <v>2011</v>
      </c>
      <c r="F65" s="18"/>
      <c r="G65" s="19"/>
      <c r="H65" s="20"/>
      <c r="I65" s="18">
        <f t="shared" si="0"/>
        <v>3</v>
      </c>
      <c r="J65" s="19">
        <f t="shared" si="1"/>
        <v>10.634643135603309</v>
      </c>
      <c r="K65" s="20">
        <f t="shared" si="2"/>
        <v>2011</v>
      </c>
      <c r="M65" s="21">
        <f t="shared" si="3"/>
        <v>1.0986122886681098</v>
      </c>
      <c r="N65" s="21">
        <f t="shared" si="4"/>
        <v>2.3641168924336546</v>
      </c>
    </row>
    <row r="66" spans="1:14" x14ac:dyDescent="0.2">
      <c r="A66" s="25">
        <f>'GF + UG Iteration 3'!A66</f>
        <v>360</v>
      </c>
      <c r="B66" s="25" t="str">
        <f>'GF + UG Iteration 3'!B66</f>
        <v>GF</v>
      </c>
      <c r="C66" s="18">
        <f>'GF + UG Iteration 3'!C66</f>
        <v>22</v>
      </c>
      <c r="D66" s="19">
        <f>'GF + UG Iteration 3'!D66</f>
        <v>7.1174715515965792</v>
      </c>
      <c r="E66" s="30">
        <f>'GF + UG Iteration 3'!E66</f>
        <v>2003</v>
      </c>
      <c r="F66" s="18"/>
      <c r="G66" s="19"/>
      <c r="H66" s="20"/>
      <c r="I66" s="18">
        <f t="shared" si="0"/>
        <v>22</v>
      </c>
      <c r="J66" s="19">
        <f t="shared" si="1"/>
        <v>7.1174715515965792</v>
      </c>
      <c r="K66" s="20">
        <f t="shared" si="2"/>
        <v>2003</v>
      </c>
      <c r="M66" s="21">
        <f t="shared" si="3"/>
        <v>3.0910424533583161</v>
      </c>
      <c r="N66" s="21">
        <f t="shared" si="4"/>
        <v>1.9625525431963604</v>
      </c>
    </row>
    <row r="67" spans="1:14" x14ac:dyDescent="0.2">
      <c r="A67" s="25">
        <f>'GF + UG Iteration 3'!A67</f>
        <v>1106</v>
      </c>
      <c r="B67" s="25" t="str">
        <f>'GF + UG Iteration 3'!B67</f>
        <v>GF</v>
      </c>
      <c r="C67" s="18">
        <f>'GF + UG Iteration 3'!C67</f>
        <v>12</v>
      </c>
      <c r="D67" s="19">
        <f>'GF + UG Iteration 3'!D67</f>
        <v>20.217898457447252</v>
      </c>
      <c r="E67" s="30">
        <f>'GF + UG Iteration 3'!E67</f>
        <v>2011</v>
      </c>
      <c r="F67" s="18"/>
      <c r="G67" s="19"/>
      <c r="H67" s="20"/>
      <c r="I67" s="18">
        <f t="shared" si="0"/>
        <v>12</v>
      </c>
      <c r="J67" s="19">
        <f t="shared" si="1"/>
        <v>20.217898457447252</v>
      </c>
      <c r="K67" s="20">
        <f t="shared" si="2"/>
        <v>2011</v>
      </c>
      <c r="M67" s="21">
        <f t="shared" si="3"/>
        <v>2.4849066497880004</v>
      </c>
      <c r="N67" s="21">
        <f t="shared" si="4"/>
        <v>3.0065682743355979</v>
      </c>
    </row>
    <row r="68" spans="1:14" x14ac:dyDescent="0.2">
      <c r="A68" s="25">
        <f>'GF + UG Iteration 3'!A68</f>
        <v>899</v>
      </c>
      <c r="B68" s="25" t="str">
        <f>'GF + UG Iteration 3'!B68</f>
        <v>GF</v>
      </c>
      <c r="C68" s="18">
        <f>'GF + UG Iteration 3'!C68</f>
        <v>25</v>
      </c>
      <c r="D68" s="19">
        <f>'GF + UG Iteration 3'!D68</f>
        <v>15.17251837286627</v>
      </c>
      <c r="E68" s="30">
        <f>'GF + UG Iteration 3'!E68</f>
        <v>2010</v>
      </c>
      <c r="F68" s="18"/>
      <c r="G68" s="19"/>
      <c r="H68" s="20"/>
      <c r="I68" s="18">
        <f t="shared" si="0"/>
        <v>25</v>
      </c>
      <c r="J68" s="19">
        <f t="shared" si="1"/>
        <v>15.17251837286627</v>
      </c>
      <c r="K68" s="20">
        <f t="shared" si="2"/>
        <v>2010</v>
      </c>
      <c r="M68" s="21">
        <f t="shared" si="3"/>
        <v>3.2188758248682006</v>
      </c>
      <c r="N68" s="21">
        <f t="shared" si="4"/>
        <v>2.7194857896591729</v>
      </c>
    </row>
    <row r="69" spans="1:14" x14ac:dyDescent="0.2">
      <c r="A69" s="25">
        <f>'GF + UG Iteration 3'!A69</f>
        <v>1191</v>
      </c>
      <c r="B69" s="25" t="str">
        <f>'GF + UG Iteration 3'!B69</f>
        <v>GF</v>
      </c>
      <c r="C69" s="18">
        <f>'GF + UG Iteration 3'!C69</f>
        <v>11</v>
      </c>
      <c r="D69" s="19">
        <f>'GF + UG Iteration 3'!D69</f>
        <v>12.628076471206382</v>
      </c>
      <c r="E69" s="30">
        <f>'GF + UG Iteration 3'!E69</f>
        <v>2011</v>
      </c>
      <c r="F69" s="18"/>
      <c r="G69" s="19"/>
      <c r="H69" s="20"/>
      <c r="I69" s="18">
        <f t="shared" si="0"/>
        <v>11</v>
      </c>
      <c r="J69" s="19">
        <f t="shared" si="1"/>
        <v>12.628076471206382</v>
      </c>
      <c r="K69" s="20">
        <f t="shared" si="2"/>
        <v>2011</v>
      </c>
      <c r="M69" s="21">
        <f t="shared" si="3"/>
        <v>2.3978952727983707</v>
      </c>
      <c r="N69" s="21">
        <f t="shared" si="4"/>
        <v>2.5359226263636927</v>
      </c>
    </row>
    <row r="70" spans="1:14" x14ac:dyDescent="0.2">
      <c r="A70" s="25">
        <f>'GF + UG Iteration 3'!A70</f>
        <v>1115</v>
      </c>
      <c r="B70" s="25" t="str">
        <f>'GF + UG Iteration 3'!B70</f>
        <v>GF</v>
      </c>
      <c r="C70" s="18">
        <f>'GF + UG Iteration 3'!C70</f>
        <v>10</v>
      </c>
      <c r="D70" s="19">
        <f>'GF + UG Iteration 3'!D70</f>
        <v>24.362790290493837</v>
      </c>
      <c r="E70" s="30">
        <f>'GF + UG Iteration 3'!E70</f>
        <v>2011</v>
      </c>
      <c r="F70" s="18"/>
      <c r="G70" s="19"/>
      <c r="H70" s="20"/>
      <c r="I70" s="18">
        <f t="shared" si="0"/>
        <v>10</v>
      </c>
      <c r="J70" s="19">
        <f t="shared" si="1"/>
        <v>24.362790290493837</v>
      </c>
      <c r="K70" s="20">
        <f t="shared" si="2"/>
        <v>2011</v>
      </c>
      <c r="M70" s="21">
        <f t="shared" si="3"/>
        <v>2.3025850929940459</v>
      </c>
      <c r="N70" s="21">
        <f t="shared" si="4"/>
        <v>3.1930569802267783</v>
      </c>
    </row>
    <row r="71" spans="1:14" x14ac:dyDescent="0.2">
      <c r="A71" s="25">
        <f>'GF + UG Iteration 3'!A71</f>
        <v>1053</v>
      </c>
      <c r="B71" s="25" t="str">
        <f>'GF + UG Iteration 3'!B71</f>
        <v>GF</v>
      </c>
      <c r="C71" s="18">
        <f>'GF + UG Iteration 3'!C71</f>
        <v>9</v>
      </c>
      <c r="D71" s="19">
        <f>'GF + UG Iteration 3'!D71</f>
        <v>14.71443826778331</v>
      </c>
      <c r="E71" s="30">
        <f>'GF + UG Iteration 3'!E71</f>
        <v>2011</v>
      </c>
      <c r="F71" s="18"/>
      <c r="G71" s="19"/>
      <c r="H71" s="20"/>
      <c r="I71" s="18">
        <f t="shared" si="0"/>
        <v>9</v>
      </c>
      <c r="J71" s="19">
        <f t="shared" si="1"/>
        <v>14.71443826778331</v>
      </c>
      <c r="K71" s="20">
        <f t="shared" si="2"/>
        <v>2011</v>
      </c>
      <c r="M71" s="21">
        <f t="shared" si="3"/>
        <v>2.1972245773362196</v>
      </c>
      <c r="N71" s="21">
        <f t="shared" si="4"/>
        <v>2.6888292068340069</v>
      </c>
    </row>
    <row r="72" spans="1:14" x14ac:dyDescent="0.2">
      <c r="A72" s="25">
        <f>'GF + UG Iteration 3'!A72</f>
        <v>864</v>
      </c>
      <c r="B72" s="25" t="str">
        <f>'GF + UG Iteration 3'!B72</f>
        <v>GF</v>
      </c>
      <c r="C72" s="18">
        <f>'GF + UG Iteration 3'!C72</f>
        <v>25</v>
      </c>
      <c r="D72" s="19">
        <f>'GF + UG Iteration 3'!D72</f>
        <v>9.825778201045452</v>
      </c>
      <c r="E72" s="30">
        <f>'GF + UG Iteration 3'!E72</f>
        <v>2007</v>
      </c>
      <c r="F72" s="18"/>
      <c r="G72" s="19"/>
      <c r="H72" s="20"/>
      <c r="I72" s="18">
        <f t="shared" ref="I72:I117" si="5">C72+F72</f>
        <v>25</v>
      </c>
      <c r="J72" s="19">
        <f t="shared" ref="J72:J117" si="6">D72+G72</f>
        <v>9.825778201045452</v>
      </c>
      <c r="K72" s="20">
        <f t="shared" ref="K72:K117" si="7">MAX(E72,H72)</f>
        <v>2007</v>
      </c>
      <c r="M72" s="21">
        <f t="shared" ref="M72:M135" si="8">LN(I72)</f>
        <v>3.2188758248682006</v>
      </c>
      <c r="N72" s="21">
        <f t="shared" ref="N72:N135" si="9">LN(J72)</f>
        <v>2.2850093608319559</v>
      </c>
    </row>
    <row r="73" spans="1:14" x14ac:dyDescent="0.2">
      <c r="A73" s="25">
        <f>'GF + UG Iteration 3'!A73</f>
        <v>834</v>
      </c>
      <c r="B73" s="25" t="str">
        <f>'GF + UG Iteration 3'!B73</f>
        <v>GF</v>
      </c>
      <c r="C73" s="18">
        <f>'GF + UG Iteration 3'!C73</f>
        <v>45</v>
      </c>
      <c r="D73" s="19">
        <f>'GF + UG Iteration 3'!D73</f>
        <v>25.798393978216257</v>
      </c>
      <c r="E73" s="30">
        <f>'GF + UG Iteration 3'!E73</f>
        <v>2010</v>
      </c>
      <c r="F73" s="18"/>
      <c r="G73" s="19"/>
      <c r="H73" s="20"/>
      <c r="I73" s="18">
        <f t="shared" si="5"/>
        <v>45</v>
      </c>
      <c r="J73" s="19">
        <f t="shared" si="6"/>
        <v>25.798393978216257</v>
      </c>
      <c r="K73" s="20">
        <f t="shared" si="7"/>
        <v>2010</v>
      </c>
      <c r="M73" s="21">
        <f t="shared" si="8"/>
        <v>3.8066624897703196</v>
      </c>
      <c r="N73" s="21">
        <f t="shared" si="9"/>
        <v>3.2503122410836816</v>
      </c>
    </row>
    <row r="74" spans="1:14" x14ac:dyDescent="0.2">
      <c r="A74" s="25">
        <f>'GF + UG Iteration 3'!A74</f>
        <v>722</v>
      </c>
      <c r="B74" s="25" t="str">
        <f>'GF + UG Iteration 3'!B74</f>
        <v>GF</v>
      </c>
      <c r="C74" s="18">
        <f>'GF + UG Iteration 3'!C74</f>
        <v>10.5</v>
      </c>
      <c r="D74" s="19">
        <f>'GF + UG Iteration 3'!D74</f>
        <v>13.501544643115857</v>
      </c>
      <c r="E74" s="30">
        <f>'GF + UG Iteration 3'!E74</f>
        <v>2010</v>
      </c>
      <c r="F74" s="18"/>
      <c r="G74" s="19"/>
      <c r="H74" s="20"/>
      <c r="I74" s="18">
        <f t="shared" si="5"/>
        <v>10.5</v>
      </c>
      <c r="J74" s="19">
        <f t="shared" si="6"/>
        <v>13.501544643115857</v>
      </c>
      <c r="K74" s="20">
        <f t="shared" si="7"/>
        <v>2010</v>
      </c>
      <c r="M74" s="21">
        <f t="shared" si="8"/>
        <v>2.3513752571634776</v>
      </c>
      <c r="N74" s="21">
        <f t="shared" si="9"/>
        <v>2.6028040969077249</v>
      </c>
    </row>
    <row r="75" spans="1:14" x14ac:dyDescent="0.2">
      <c r="A75" s="25">
        <f>'GF + UG Iteration 3'!A75</f>
        <v>927</v>
      </c>
      <c r="B75" s="25" t="str">
        <f>'GF + UG Iteration 3'!B75</f>
        <v>GF</v>
      </c>
      <c r="C75" s="18">
        <f>'GF + UG Iteration 3'!C75</f>
        <v>60</v>
      </c>
      <c r="D75" s="19">
        <f>'GF + UG Iteration 3'!D75</f>
        <v>25.887106037100622</v>
      </c>
      <c r="E75" s="30">
        <f>'GF + UG Iteration 3'!E75</f>
        <v>2011</v>
      </c>
      <c r="F75" s="18"/>
      <c r="G75" s="19"/>
      <c r="H75" s="20"/>
      <c r="I75" s="18">
        <f t="shared" si="5"/>
        <v>60</v>
      </c>
      <c r="J75" s="19">
        <f t="shared" si="6"/>
        <v>25.887106037100622</v>
      </c>
      <c r="K75" s="20">
        <f t="shared" si="7"/>
        <v>2011</v>
      </c>
      <c r="M75" s="21">
        <f t="shared" si="8"/>
        <v>4.0943445622221004</v>
      </c>
      <c r="N75" s="21">
        <f t="shared" si="9"/>
        <v>3.2537450083384241</v>
      </c>
    </row>
    <row r="76" spans="1:14" x14ac:dyDescent="0.2">
      <c r="A76" s="25">
        <f>'GF + UG Iteration 3'!A76</f>
        <v>1068</v>
      </c>
      <c r="B76" s="25" t="str">
        <f>'GF + UG Iteration 3'!B76</f>
        <v>GF</v>
      </c>
      <c r="C76" s="18">
        <f>'GF + UG Iteration 3'!C76</f>
        <v>11.2</v>
      </c>
      <c r="D76" s="19">
        <f>'GF + UG Iteration 3'!D76</f>
        <v>26.918199168374588</v>
      </c>
      <c r="E76" s="30">
        <f>'GF + UG Iteration 3'!E76</f>
        <v>2011</v>
      </c>
      <c r="F76" s="18"/>
      <c r="G76" s="19"/>
      <c r="H76" s="20"/>
      <c r="I76" s="18">
        <f t="shared" si="5"/>
        <v>11.2</v>
      </c>
      <c r="J76" s="19">
        <f t="shared" si="6"/>
        <v>26.918199168374588</v>
      </c>
      <c r="K76" s="20">
        <f t="shared" si="7"/>
        <v>2011</v>
      </c>
      <c r="M76" s="21">
        <f t="shared" si="8"/>
        <v>2.4159137783010487</v>
      </c>
      <c r="N76" s="21">
        <f t="shared" si="9"/>
        <v>3.2928026068618901</v>
      </c>
    </row>
    <row r="77" spans="1:14" x14ac:dyDescent="0.2">
      <c r="A77" s="25">
        <f>'GF + UG Iteration 3'!A77</f>
        <v>506</v>
      </c>
      <c r="B77" s="25" t="str">
        <f>'GF + UG Iteration 3'!B77</f>
        <v>GF</v>
      </c>
      <c r="C77" s="18">
        <f>'GF + UG Iteration 3'!C77</f>
        <v>20</v>
      </c>
      <c r="D77" s="19">
        <f>'GF + UG Iteration 3'!D77</f>
        <v>13.969254162639503</v>
      </c>
      <c r="E77" s="30">
        <f>'GF + UG Iteration 3'!E77</f>
        <v>2003</v>
      </c>
      <c r="F77" s="18"/>
      <c r="G77" s="19"/>
      <c r="H77" s="20"/>
      <c r="I77" s="18">
        <f t="shared" si="5"/>
        <v>20</v>
      </c>
      <c r="J77" s="19">
        <f t="shared" si="6"/>
        <v>13.969254162639503</v>
      </c>
      <c r="K77" s="20">
        <f t="shared" si="7"/>
        <v>2003</v>
      </c>
      <c r="M77" s="21">
        <f t="shared" si="8"/>
        <v>2.9957322735539909</v>
      </c>
      <c r="N77" s="21">
        <f t="shared" si="9"/>
        <v>2.6368587833425443</v>
      </c>
    </row>
    <row r="78" spans="1:14" x14ac:dyDescent="0.2">
      <c r="A78" s="25">
        <f>'GF + UG Iteration 3'!A78</f>
        <v>456</v>
      </c>
      <c r="B78" s="25" t="str">
        <f>'GF + UG Iteration 3'!B78</f>
        <v>GF</v>
      </c>
      <c r="C78" s="18">
        <f>'GF + UG Iteration 3'!C78</f>
        <v>16</v>
      </c>
      <c r="D78" s="19">
        <f>'GF + UG Iteration 3'!D78</f>
        <v>17.647037003819346</v>
      </c>
      <c r="E78" s="30">
        <f>'GF + UG Iteration 3'!E78</f>
        <v>2007</v>
      </c>
      <c r="F78" s="18"/>
      <c r="G78" s="19"/>
      <c r="H78" s="20"/>
      <c r="I78" s="18">
        <f t="shared" si="5"/>
        <v>16</v>
      </c>
      <c r="J78" s="19">
        <f t="shared" si="6"/>
        <v>17.647037003819346</v>
      </c>
      <c r="K78" s="20">
        <f t="shared" si="7"/>
        <v>2007</v>
      </c>
      <c r="M78" s="21">
        <f t="shared" si="8"/>
        <v>2.7725887222397811</v>
      </c>
      <c r="N78" s="21">
        <f t="shared" si="9"/>
        <v>2.8705678941489836</v>
      </c>
    </row>
    <row r="79" spans="1:14" x14ac:dyDescent="0.2">
      <c r="A79" s="25">
        <f>'GF + UG Iteration 3'!A79</f>
        <v>130</v>
      </c>
      <c r="B79" s="25" t="str">
        <f>'GF + UG Iteration 3'!B79</f>
        <v>GF</v>
      </c>
      <c r="C79" s="18">
        <f>'GF + UG Iteration 3'!C79</f>
        <v>18</v>
      </c>
      <c r="D79" s="19">
        <f>'GF + UG Iteration 3'!D79</f>
        <v>8.4369732753123952</v>
      </c>
      <c r="E79" s="30">
        <f>'GF + UG Iteration 3'!E79</f>
        <v>2001</v>
      </c>
      <c r="F79" s="18"/>
      <c r="G79" s="19"/>
      <c r="H79" s="20"/>
      <c r="I79" s="18">
        <f t="shared" si="5"/>
        <v>18</v>
      </c>
      <c r="J79" s="19">
        <f t="shared" si="6"/>
        <v>8.4369732753123952</v>
      </c>
      <c r="K79" s="20">
        <f t="shared" si="7"/>
        <v>2001</v>
      </c>
      <c r="M79" s="21">
        <f t="shared" si="8"/>
        <v>2.8903717578961645</v>
      </c>
      <c r="N79" s="21">
        <f t="shared" si="9"/>
        <v>2.1326236276203829</v>
      </c>
    </row>
    <row r="80" spans="1:14" x14ac:dyDescent="0.2">
      <c r="A80" s="25">
        <f>'GF + UG Iteration 3'!A80</f>
        <v>308</v>
      </c>
      <c r="B80" s="25" t="str">
        <f>'GF + UG Iteration 3'!B80</f>
        <v>GF</v>
      </c>
      <c r="C80" s="18">
        <f>'GF + UG Iteration 3'!C80</f>
        <v>10</v>
      </c>
      <c r="D80" s="19">
        <f>'GF + UG Iteration 3'!D80</f>
        <v>8.8753762889293544</v>
      </c>
      <c r="E80" s="30">
        <f>'GF + UG Iteration 3'!E80</f>
        <v>2003</v>
      </c>
      <c r="F80" s="18"/>
      <c r="G80" s="19"/>
      <c r="H80" s="20"/>
      <c r="I80" s="18">
        <f t="shared" si="5"/>
        <v>10</v>
      </c>
      <c r="J80" s="19">
        <f t="shared" si="6"/>
        <v>8.8753762889293544</v>
      </c>
      <c r="K80" s="20">
        <f t="shared" si="7"/>
        <v>2003</v>
      </c>
      <c r="M80" s="21">
        <f t="shared" si="8"/>
        <v>2.3025850929940459</v>
      </c>
      <c r="N80" s="21">
        <f t="shared" si="9"/>
        <v>2.1832807332152813</v>
      </c>
    </row>
    <row r="81" spans="1:14" x14ac:dyDescent="0.2">
      <c r="A81" s="25">
        <f>'GF + UG Iteration 3'!A81</f>
        <v>829</v>
      </c>
      <c r="B81" s="25" t="str">
        <f>'GF + UG Iteration 3'!B81</f>
        <v>GF</v>
      </c>
      <c r="C81" s="18">
        <f>'GF + UG Iteration 3'!C81</f>
        <v>20</v>
      </c>
      <c r="D81" s="19">
        <f>'GF + UG Iteration 3'!D81</f>
        <v>27.761077137379147</v>
      </c>
      <c r="E81" s="30">
        <f>'GF + UG Iteration 3'!E81</f>
        <v>2011</v>
      </c>
      <c r="F81" s="18"/>
      <c r="G81" s="19"/>
      <c r="H81" s="20"/>
      <c r="I81" s="18">
        <f t="shared" si="5"/>
        <v>20</v>
      </c>
      <c r="J81" s="19">
        <f t="shared" si="6"/>
        <v>27.761077137379147</v>
      </c>
      <c r="K81" s="20">
        <f t="shared" si="7"/>
        <v>2011</v>
      </c>
      <c r="M81" s="21">
        <f t="shared" si="8"/>
        <v>2.9957322735539909</v>
      </c>
      <c r="N81" s="21">
        <f t="shared" si="9"/>
        <v>3.3236349366646221</v>
      </c>
    </row>
    <row r="82" spans="1:14" x14ac:dyDescent="0.2">
      <c r="A82" s="25">
        <f>'GF + UG Iteration 3'!A82</f>
        <v>425</v>
      </c>
      <c r="B82" s="25" t="str">
        <f>'GF + UG Iteration 3'!B82</f>
        <v>GF</v>
      </c>
      <c r="C82" s="18">
        <f>'GF + UG Iteration 3'!C82</f>
        <v>17</v>
      </c>
      <c r="D82" s="19">
        <f>'GF + UG Iteration 3'!D82</f>
        <v>11.725448588458148</v>
      </c>
      <c r="E82" s="30">
        <f>'GF + UG Iteration 3'!E82</f>
        <v>2006</v>
      </c>
      <c r="F82" s="18"/>
      <c r="G82" s="19"/>
      <c r="H82" s="20"/>
      <c r="I82" s="18">
        <f t="shared" si="5"/>
        <v>17</v>
      </c>
      <c r="J82" s="19">
        <f t="shared" si="6"/>
        <v>11.725448588458148</v>
      </c>
      <c r="K82" s="20">
        <f t="shared" si="7"/>
        <v>2006</v>
      </c>
      <c r="M82" s="21">
        <f t="shared" si="8"/>
        <v>2.8332133440562162</v>
      </c>
      <c r="N82" s="21">
        <f t="shared" si="9"/>
        <v>2.4617615727440327</v>
      </c>
    </row>
    <row r="83" spans="1:14" x14ac:dyDescent="0.2">
      <c r="A83" s="25">
        <f>'GF + UG Iteration 3'!A83</f>
        <v>333</v>
      </c>
      <c r="B83" s="25" t="str">
        <f>'GF + UG Iteration 3'!B83</f>
        <v>GF</v>
      </c>
      <c r="C83" s="18">
        <f>'GF + UG Iteration 3'!C83</f>
        <v>12</v>
      </c>
      <c r="D83" s="19">
        <f>'GF + UG Iteration 3'!D83</f>
        <v>7.5607136656563343</v>
      </c>
      <c r="E83" s="30">
        <f>'GF + UG Iteration 3'!E83</f>
        <v>2003</v>
      </c>
      <c r="F83" s="18"/>
      <c r="G83" s="19"/>
      <c r="H83" s="20"/>
      <c r="I83" s="18">
        <f t="shared" si="5"/>
        <v>12</v>
      </c>
      <c r="J83" s="19">
        <f t="shared" si="6"/>
        <v>7.5607136656563343</v>
      </c>
      <c r="K83" s="20">
        <f t="shared" si="7"/>
        <v>2003</v>
      </c>
      <c r="M83" s="21">
        <f t="shared" si="8"/>
        <v>2.4849066497880004</v>
      </c>
      <c r="N83" s="21">
        <f t="shared" si="9"/>
        <v>2.022965585955113</v>
      </c>
    </row>
    <row r="84" spans="1:14" x14ac:dyDescent="0.2">
      <c r="A84" s="25">
        <f>'GF + UG Iteration 3'!A84</f>
        <v>769</v>
      </c>
      <c r="B84" s="25" t="str">
        <f>'GF + UG Iteration 3'!B84</f>
        <v>GF</v>
      </c>
      <c r="C84" s="18">
        <f>'GF + UG Iteration 3'!C84</f>
        <v>40</v>
      </c>
      <c r="D84" s="19">
        <f>'GF + UG Iteration 3'!D84</f>
        <v>26.381292343151443</v>
      </c>
      <c r="E84" s="30">
        <f>'GF + UG Iteration 3'!E84</f>
        <v>2007</v>
      </c>
      <c r="F84" s="18"/>
      <c r="G84" s="19"/>
      <c r="H84" s="20"/>
      <c r="I84" s="18">
        <f t="shared" si="5"/>
        <v>40</v>
      </c>
      <c r="J84" s="19">
        <f t="shared" si="6"/>
        <v>26.381292343151443</v>
      </c>
      <c r="K84" s="20">
        <f t="shared" si="7"/>
        <v>2007</v>
      </c>
      <c r="M84" s="21">
        <f t="shared" si="8"/>
        <v>3.6888794541139363</v>
      </c>
      <c r="N84" s="21">
        <f t="shared" si="9"/>
        <v>3.2726551355945839</v>
      </c>
    </row>
    <row r="85" spans="1:14" x14ac:dyDescent="0.2">
      <c r="A85" s="25">
        <f>'GF + UG Iteration 3'!A85</f>
        <v>948</v>
      </c>
      <c r="B85" s="25" t="str">
        <f>'GF + UG Iteration 3'!B85</f>
        <v>GF</v>
      </c>
      <c r="C85" s="18">
        <f>'GF + UG Iteration 3'!C85</f>
        <v>57</v>
      </c>
      <c r="D85" s="19">
        <f>'GF + UG Iteration 3'!D85</f>
        <v>12.653662771089085</v>
      </c>
      <c r="E85" s="30">
        <f>'GF + UG Iteration 3'!E85</f>
        <v>2014</v>
      </c>
      <c r="F85" s="18"/>
      <c r="G85" s="19"/>
      <c r="H85" s="20"/>
      <c r="I85" s="18">
        <f t="shared" si="5"/>
        <v>57</v>
      </c>
      <c r="J85" s="19">
        <f t="shared" si="6"/>
        <v>12.653662771089085</v>
      </c>
      <c r="K85" s="20">
        <f t="shared" si="7"/>
        <v>2014</v>
      </c>
      <c r="M85" s="21">
        <f t="shared" si="8"/>
        <v>4.0430512678345503</v>
      </c>
      <c r="N85" s="21">
        <f t="shared" si="9"/>
        <v>2.5379467203845181</v>
      </c>
    </row>
    <row r="86" spans="1:14" x14ac:dyDescent="0.2">
      <c r="A86" s="25">
        <f>'GF + UG Iteration 3'!A86</f>
        <v>1128</v>
      </c>
      <c r="B86" s="25" t="str">
        <f>'GF + UG Iteration 3'!B86</f>
        <v>GF</v>
      </c>
      <c r="C86" s="18">
        <f>'GF + UG Iteration 3'!C86</f>
        <v>45</v>
      </c>
      <c r="D86" s="19">
        <f>'GF + UG Iteration 3'!D86</f>
        <v>63.556235718349399</v>
      </c>
      <c r="E86" s="30">
        <f>'GF + UG Iteration 3'!E86</f>
        <v>2013</v>
      </c>
      <c r="F86" s="18"/>
      <c r="G86" s="19"/>
      <c r="H86" s="20"/>
      <c r="I86" s="18">
        <f t="shared" si="5"/>
        <v>45</v>
      </c>
      <c r="J86" s="19">
        <f t="shared" si="6"/>
        <v>63.556235718349399</v>
      </c>
      <c r="K86" s="20">
        <f t="shared" si="7"/>
        <v>2013</v>
      </c>
      <c r="M86" s="21">
        <f t="shared" si="8"/>
        <v>3.8066624897703196</v>
      </c>
      <c r="N86" s="21">
        <f t="shared" si="9"/>
        <v>4.1519251158484547</v>
      </c>
    </row>
    <row r="87" spans="1:14" x14ac:dyDescent="0.2">
      <c r="A87" s="25">
        <f>'GF + UG Iteration 3'!A87</f>
        <v>1214</v>
      </c>
      <c r="B87" s="25" t="str">
        <f>'GF + UG Iteration 3'!B87</f>
        <v>GF</v>
      </c>
      <c r="C87" s="18">
        <f>'GF + UG Iteration 3'!C87</f>
        <v>52</v>
      </c>
      <c r="D87" s="19">
        <f>'GF + UG Iteration 3'!D87</f>
        <v>22.631695273294461</v>
      </c>
      <c r="E87" s="30">
        <f>'GF + UG Iteration 3'!E87</f>
        <v>2013</v>
      </c>
      <c r="F87" s="18"/>
      <c r="G87" s="19"/>
      <c r="H87" s="20"/>
      <c r="I87" s="18">
        <f t="shared" si="5"/>
        <v>52</v>
      </c>
      <c r="J87" s="19">
        <f t="shared" si="6"/>
        <v>22.631695273294461</v>
      </c>
      <c r="K87" s="20">
        <f t="shared" si="7"/>
        <v>2013</v>
      </c>
      <c r="M87" s="21">
        <f t="shared" si="8"/>
        <v>3.9512437185814275</v>
      </c>
      <c r="N87" s="21">
        <f t="shared" si="9"/>
        <v>3.1193513694907367</v>
      </c>
    </row>
    <row r="88" spans="1:14" x14ac:dyDescent="0.2">
      <c r="A88" s="25">
        <f>'GF + UG Iteration 3'!A88</f>
        <v>1225</v>
      </c>
      <c r="B88" s="25" t="str">
        <f>'GF + UG Iteration 3'!B88</f>
        <v>GF</v>
      </c>
      <c r="C88" s="18">
        <f>'GF + UG Iteration 3'!C88</f>
        <v>20</v>
      </c>
      <c r="D88" s="19">
        <f>'GF + UG Iteration 3'!D88</f>
        <v>18.636695744675041</v>
      </c>
      <c r="E88" s="30">
        <f>'GF + UG Iteration 3'!E88</f>
        <v>2013</v>
      </c>
      <c r="F88" s="18"/>
      <c r="G88" s="19"/>
      <c r="H88" s="20"/>
      <c r="I88" s="18">
        <f t="shared" si="5"/>
        <v>20</v>
      </c>
      <c r="J88" s="19">
        <f t="shared" si="6"/>
        <v>18.636695744675041</v>
      </c>
      <c r="K88" s="20">
        <f t="shared" si="7"/>
        <v>2013</v>
      </c>
      <c r="M88" s="21">
        <f t="shared" si="8"/>
        <v>2.9957322735539909</v>
      </c>
      <c r="N88" s="21">
        <f t="shared" si="9"/>
        <v>2.925132526627233</v>
      </c>
    </row>
    <row r="89" spans="1:14" x14ac:dyDescent="0.2">
      <c r="A89" s="25">
        <f>'GF + UG Iteration 3'!A89</f>
        <v>1263</v>
      </c>
      <c r="B89" s="25" t="str">
        <f>'GF + UG Iteration 3'!B89</f>
        <v>GF</v>
      </c>
      <c r="C89" s="18">
        <f>'GF + UG Iteration 3'!C89</f>
        <v>8</v>
      </c>
      <c r="D89" s="19">
        <f>'GF + UG Iteration 3'!D89</f>
        <v>19.611656992669992</v>
      </c>
      <c r="E89" s="30">
        <f>'GF + UG Iteration 3'!E89</f>
        <v>2013</v>
      </c>
      <c r="F89" s="18"/>
      <c r="G89" s="19"/>
      <c r="H89" s="20"/>
      <c r="I89" s="18">
        <f t="shared" si="5"/>
        <v>8</v>
      </c>
      <c r="J89" s="19">
        <f t="shared" si="6"/>
        <v>19.611656992669992</v>
      </c>
      <c r="K89" s="20">
        <f t="shared" si="7"/>
        <v>2013</v>
      </c>
      <c r="M89" s="21">
        <f t="shared" si="8"/>
        <v>2.0794415416798357</v>
      </c>
      <c r="N89" s="21">
        <f t="shared" si="9"/>
        <v>2.9761241339700195</v>
      </c>
    </row>
    <row r="90" spans="1:14" x14ac:dyDescent="0.2">
      <c r="A90" s="25">
        <f>'GF + UG Iteration 3'!A90</f>
        <v>1309</v>
      </c>
      <c r="B90" s="25" t="str">
        <f>'GF + UG Iteration 3'!B90</f>
        <v>GF</v>
      </c>
      <c r="C90" s="18">
        <f>'GF + UG Iteration 3'!C90</f>
        <v>15</v>
      </c>
      <c r="D90" s="19">
        <f>'GF + UG Iteration 3'!D90</f>
        <v>16.109333942693336</v>
      </c>
      <c r="E90" s="30">
        <f>'GF + UG Iteration 3'!E90</f>
        <v>2013</v>
      </c>
      <c r="F90" s="18"/>
      <c r="G90" s="19"/>
      <c r="H90" s="20"/>
      <c r="I90" s="18">
        <f t="shared" si="5"/>
        <v>15</v>
      </c>
      <c r="J90" s="19">
        <f t="shared" si="6"/>
        <v>16.109333942693336</v>
      </c>
      <c r="K90" s="20">
        <f t="shared" si="7"/>
        <v>2013</v>
      </c>
      <c r="M90" s="21">
        <f t="shared" si="8"/>
        <v>2.7080502011022101</v>
      </c>
      <c r="N90" s="21">
        <f t="shared" si="9"/>
        <v>2.7793988519948485</v>
      </c>
    </row>
    <row r="91" spans="1:14" x14ac:dyDescent="0.2">
      <c r="A91" s="25">
        <f>'GF + UG Iteration 3'!A91</f>
        <v>1349</v>
      </c>
      <c r="B91" s="25" t="str">
        <f>'GF + UG Iteration 3'!B91</f>
        <v>GF</v>
      </c>
      <c r="C91" s="18">
        <f>'GF + UG Iteration 3'!C91</f>
        <v>34</v>
      </c>
      <c r="D91" s="19">
        <f>'GF + UG Iteration 3'!D91</f>
        <v>8.9679522578977586</v>
      </c>
      <c r="E91" s="30">
        <f>'GF + UG Iteration 3'!E91</f>
        <v>2013</v>
      </c>
      <c r="F91" s="18"/>
      <c r="G91" s="19"/>
      <c r="H91" s="20"/>
      <c r="I91" s="18">
        <f t="shared" si="5"/>
        <v>34</v>
      </c>
      <c r="J91" s="19">
        <f t="shared" si="6"/>
        <v>8.9679522578977586</v>
      </c>
      <c r="K91" s="20">
        <f t="shared" si="7"/>
        <v>2013</v>
      </c>
      <c r="M91" s="21">
        <f t="shared" si="8"/>
        <v>3.5263605246161616</v>
      </c>
      <c r="N91" s="21">
        <f t="shared" si="9"/>
        <v>2.193657362149283</v>
      </c>
    </row>
    <row r="92" spans="1:14" x14ac:dyDescent="0.2">
      <c r="A92" s="25">
        <f>'GF + UG Iteration 3'!A92</f>
        <v>1358</v>
      </c>
      <c r="B92" s="25" t="str">
        <f>'GF + UG Iteration 3'!B92</f>
        <v>GF</v>
      </c>
      <c r="C92" s="18">
        <f>'GF + UG Iteration 3'!C92</f>
        <v>27</v>
      </c>
      <c r="D92" s="19">
        <f>'GF + UG Iteration 3'!D92</f>
        <v>13.07265503282744</v>
      </c>
      <c r="E92" s="30">
        <f>'GF + UG Iteration 3'!E92</f>
        <v>2013</v>
      </c>
      <c r="F92" s="18"/>
      <c r="G92" s="19"/>
      <c r="H92" s="20"/>
      <c r="I92" s="18">
        <f t="shared" si="5"/>
        <v>27</v>
      </c>
      <c r="J92" s="19">
        <f t="shared" si="6"/>
        <v>13.07265503282744</v>
      </c>
      <c r="K92" s="20">
        <f t="shared" si="7"/>
        <v>2013</v>
      </c>
      <c r="M92" s="21">
        <f t="shared" si="8"/>
        <v>3.2958368660043291</v>
      </c>
      <c r="N92" s="21">
        <f t="shared" si="9"/>
        <v>2.5705226464726247</v>
      </c>
    </row>
    <row r="93" spans="1:14" x14ac:dyDescent="0.2">
      <c r="A93" s="25">
        <f>'GF + UG Iteration 3'!A93</f>
        <v>1404</v>
      </c>
      <c r="B93" s="25" t="str">
        <f>'GF + UG Iteration 3'!B93</f>
        <v>GF</v>
      </c>
      <c r="C93" s="18">
        <f>'GF + UG Iteration 3'!C93</f>
        <v>35</v>
      </c>
      <c r="D93" s="19">
        <f>'GF + UG Iteration 3'!D93</f>
        <v>35.276341164894447</v>
      </c>
      <c r="E93" s="30">
        <f>'GF + UG Iteration 3'!E93</f>
        <v>2013</v>
      </c>
      <c r="F93" s="18"/>
      <c r="G93" s="19"/>
      <c r="H93" s="20"/>
      <c r="I93" s="18">
        <f t="shared" si="5"/>
        <v>35</v>
      </c>
      <c r="J93" s="19">
        <f t="shared" si="6"/>
        <v>35.276341164894447</v>
      </c>
      <c r="K93" s="20">
        <f t="shared" si="7"/>
        <v>2013</v>
      </c>
      <c r="M93" s="21">
        <f t="shared" si="8"/>
        <v>3.5553480614894135</v>
      </c>
      <c r="N93" s="21">
        <f t="shared" si="9"/>
        <v>3.5632125172824458</v>
      </c>
    </row>
    <row r="94" spans="1:14" x14ac:dyDescent="0.2">
      <c r="A94" s="25">
        <f>'GF + UG Iteration 3'!A94</f>
        <v>1482</v>
      </c>
      <c r="B94" s="25" t="str">
        <f>'GF + UG Iteration 3'!B94</f>
        <v>GF</v>
      </c>
      <c r="C94" s="18">
        <f>'GF + UG Iteration 3'!C94</f>
        <v>18.399999999999999</v>
      </c>
      <c r="D94" s="19">
        <f>'GF + UG Iteration 3'!D94</f>
        <v>18.765793673519447</v>
      </c>
      <c r="E94" s="30">
        <f>'GF + UG Iteration 3'!E94</f>
        <v>2013</v>
      </c>
      <c r="F94" s="18"/>
      <c r="G94" s="19"/>
      <c r="H94" s="20"/>
      <c r="I94" s="18">
        <f t="shared" si="5"/>
        <v>18.399999999999999</v>
      </c>
      <c r="J94" s="19">
        <f t="shared" si="6"/>
        <v>18.765793673519447</v>
      </c>
      <c r="K94" s="20">
        <f t="shared" si="7"/>
        <v>2013</v>
      </c>
      <c r="M94" s="21">
        <f t="shared" si="8"/>
        <v>2.91235066461494</v>
      </c>
      <c r="N94" s="21">
        <f t="shared" si="9"/>
        <v>2.9320357271105943</v>
      </c>
    </row>
    <row r="95" spans="1:14" x14ac:dyDescent="0.2">
      <c r="A95" s="25">
        <f>'GF + UG Iteration 3'!A95</f>
        <v>1515</v>
      </c>
      <c r="B95" s="25" t="str">
        <f>'GF + UG Iteration 3'!B95</f>
        <v>GF</v>
      </c>
      <c r="C95" s="18">
        <f>'GF + UG Iteration 3'!C95</f>
        <v>7.2</v>
      </c>
      <c r="D95" s="19">
        <f>'GF + UG Iteration 3'!D95</f>
        <v>12.99271394051414</v>
      </c>
      <c r="E95" s="30">
        <f>'GF + UG Iteration 3'!E95</f>
        <v>2013</v>
      </c>
      <c r="F95" s="18"/>
      <c r="G95" s="19"/>
      <c r="H95" s="20"/>
      <c r="I95" s="18">
        <f t="shared" si="5"/>
        <v>7.2</v>
      </c>
      <c r="J95" s="19">
        <f t="shared" si="6"/>
        <v>12.99271394051414</v>
      </c>
      <c r="K95" s="20">
        <f t="shared" si="7"/>
        <v>2013</v>
      </c>
      <c r="M95" s="21">
        <f t="shared" si="8"/>
        <v>1.9740810260220096</v>
      </c>
      <c r="N95" s="21">
        <f t="shared" si="9"/>
        <v>2.5643887342273977</v>
      </c>
    </row>
    <row r="96" spans="1:14" x14ac:dyDescent="0.2">
      <c r="A96" s="25">
        <f>'GF + UG Iteration 3'!A96</f>
        <v>1618</v>
      </c>
      <c r="B96" s="25" t="str">
        <f>'GF + UG Iteration 3'!B96</f>
        <v>GF</v>
      </c>
      <c r="C96" s="18">
        <f>'GF + UG Iteration 3'!C96</f>
        <v>21</v>
      </c>
      <c r="D96" s="19">
        <f>'GF + UG Iteration 3'!D96</f>
        <v>15.965955598995766</v>
      </c>
      <c r="E96" s="30">
        <f>'GF + UG Iteration 3'!E96</f>
        <v>2016</v>
      </c>
      <c r="F96" s="18"/>
      <c r="G96" s="19"/>
      <c r="H96" s="20"/>
      <c r="I96" s="18">
        <f t="shared" si="5"/>
        <v>21</v>
      </c>
      <c r="J96" s="19">
        <f t="shared" si="6"/>
        <v>15.965955598995766</v>
      </c>
      <c r="K96" s="20">
        <f t="shared" si="7"/>
        <v>2016</v>
      </c>
      <c r="M96" s="21">
        <f t="shared" si="8"/>
        <v>3.044522437723423</v>
      </c>
      <c r="N96" s="21">
        <f t="shared" si="9"/>
        <v>2.7704586802474096</v>
      </c>
    </row>
    <row r="97" spans="1:17" x14ac:dyDescent="0.2">
      <c r="A97" s="25">
        <f>'GF + UG Iteration 3'!A97</f>
        <v>1634</v>
      </c>
      <c r="B97" s="25" t="str">
        <f>'GF + UG Iteration 3'!B97</f>
        <v>GF</v>
      </c>
      <c r="C97" s="18">
        <f>'GF + UG Iteration 3'!C97</f>
        <v>17.899999999999999</v>
      </c>
      <c r="D97" s="19">
        <f>'GF + UG Iteration 3'!D97</f>
        <v>17.172783979023848</v>
      </c>
      <c r="E97" s="30">
        <f>'GF + UG Iteration 3'!E97</f>
        <v>2015</v>
      </c>
      <c r="F97" s="18"/>
      <c r="G97" s="19"/>
      <c r="H97" s="20"/>
      <c r="I97" s="18">
        <f t="shared" si="5"/>
        <v>17.899999999999999</v>
      </c>
      <c r="J97" s="19">
        <f t="shared" si="6"/>
        <v>17.172783979023848</v>
      </c>
      <c r="K97" s="20">
        <f t="shared" si="7"/>
        <v>2015</v>
      </c>
      <c r="M97" s="21">
        <f t="shared" si="8"/>
        <v>2.884800712846709</v>
      </c>
      <c r="N97" s="21">
        <f t="shared" si="9"/>
        <v>2.8433258038172586</v>
      </c>
    </row>
    <row r="98" spans="1:17" x14ac:dyDescent="0.2">
      <c r="A98" s="25">
        <f>'GF + UG Iteration 3'!A98</f>
        <v>1258</v>
      </c>
      <c r="B98" s="25" t="str">
        <f>'GF + UG Iteration 3'!B98</f>
        <v>GF</v>
      </c>
      <c r="C98" s="18">
        <f>'GF + UG Iteration 3'!C98</f>
        <v>46</v>
      </c>
      <c r="D98" s="19">
        <f>'GF + UG Iteration 3'!D98</f>
        <v>53.518330212347877</v>
      </c>
      <c r="E98" s="30">
        <f>'GF + UG Iteration 3'!E98</f>
        <v>2017</v>
      </c>
      <c r="F98" s="18"/>
      <c r="G98" s="19"/>
      <c r="H98" s="20"/>
      <c r="I98" s="18">
        <f t="shared" si="5"/>
        <v>46</v>
      </c>
      <c r="J98" s="19">
        <f t="shared" si="6"/>
        <v>53.518330212347877</v>
      </c>
      <c r="K98" s="20">
        <f t="shared" si="7"/>
        <v>2017</v>
      </c>
      <c r="M98" s="21">
        <f t="shared" si="8"/>
        <v>3.8286413964890951</v>
      </c>
      <c r="N98" s="21">
        <f t="shared" si="9"/>
        <v>3.98002421601241</v>
      </c>
    </row>
    <row r="99" spans="1:17" x14ac:dyDescent="0.2">
      <c r="A99" s="25">
        <f>'GF + UG Iteration 3'!A99</f>
        <v>1284</v>
      </c>
      <c r="B99" s="25" t="str">
        <f>'GF + UG Iteration 3'!B99</f>
        <v>GF</v>
      </c>
      <c r="C99" s="18">
        <f>'GF + UG Iteration 3'!C99</f>
        <v>24.1</v>
      </c>
      <c r="D99" s="19">
        <f>'GF + UG Iteration 3'!D99</f>
        <v>7.0843108002972475</v>
      </c>
      <c r="E99" s="30">
        <f>'GF + UG Iteration 3'!E99</f>
        <v>2013</v>
      </c>
      <c r="F99" s="18"/>
      <c r="G99" s="19"/>
      <c r="H99" s="20"/>
      <c r="I99" s="18">
        <f t="shared" si="5"/>
        <v>24.1</v>
      </c>
      <c r="J99" s="19">
        <f t="shared" si="6"/>
        <v>7.0843108002972475</v>
      </c>
      <c r="K99" s="20">
        <f t="shared" si="7"/>
        <v>2013</v>
      </c>
      <c r="M99" s="21">
        <f t="shared" si="8"/>
        <v>3.1822118404966093</v>
      </c>
      <c r="N99" s="21">
        <f t="shared" si="9"/>
        <v>1.9578825925179175</v>
      </c>
    </row>
    <row r="100" spans="1:17" x14ac:dyDescent="0.2">
      <c r="A100" s="25" t="str">
        <f>'GF + UG Iteration 3'!A100</f>
        <v>Pre-01</v>
      </c>
      <c r="B100" s="25" t="str">
        <f>'GF + UG Iteration 3'!B100</f>
        <v>GF</v>
      </c>
      <c r="C100" s="18">
        <f>'GF + UG Iteration 3'!C100</f>
        <v>2.2000000000000002</v>
      </c>
      <c r="D100" s="19">
        <f>'GF + UG Iteration 3'!D100</f>
        <v>2.4933711786255444</v>
      </c>
      <c r="E100" s="30">
        <f>'GF + UG Iteration 3'!E100</f>
        <v>1990</v>
      </c>
      <c r="F100" s="18"/>
      <c r="G100" s="19"/>
      <c r="H100" s="20"/>
      <c r="I100" s="18">
        <f t="shared" si="5"/>
        <v>2.2000000000000002</v>
      </c>
      <c r="J100" s="19">
        <f t="shared" si="6"/>
        <v>2.4933711786255444</v>
      </c>
      <c r="K100" s="20">
        <f t="shared" si="7"/>
        <v>1990</v>
      </c>
      <c r="M100" s="21">
        <f t="shared" si="8"/>
        <v>0.78845736036427028</v>
      </c>
      <c r="N100" s="21">
        <f t="shared" si="9"/>
        <v>0.91363568179621524</v>
      </c>
    </row>
    <row r="101" spans="1:17" x14ac:dyDescent="0.2">
      <c r="A101" s="25" t="str">
        <f>'GF + UG Iteration 3'!A101</f>
        <v>Pre-02</v>
      </c>
      <c r="B101" s="25" t="str">
        <f>'GF + UG Iteration 3'!B101</f>
        <v>GF</v>
      </c>
      <c r="C101" s="18">
        <f>'GF + UG Iteration 3'!C101</f>
        <v>1.464</v>
      </c>
      <c r="D101" s="19">
        <f>'GF + UG Iteration 3'!D101</f>
        <v>1.4940223849019025</v>
      </c>
      <c r="E101" s="30">
        <f>'GF + UG Iteration 3'!E101</f>
        <v>1987</v>
      </c>
      <c r="F101" s="18"/>
      <c r="G101" s="19"/>
      <c r="H101" s="20"/>
      <c r="I101" s="18">
        <f t="shared" si="5"/>
        <v>1.464</v>
      </c>
      <c r="J101" s="19">
        <f t="shared" si="6"/>
        <v>1.4940223849019025</v>
      </c>
      <c r="K101" s="20">
        <f t="shared" si="7"/>
        <v>1987</v>
      </c>
      <c r="M101" s="21">
        <f t="shared" si="8"/>
        <v>0.38117241553911979</v>
      </c>
      <c r="N101" s="21">
        <f t="shared" si="9"/>
        <v>0.40147206979911648</v>
      </c>
    </row>
    <row r="102" spans="1:17" x14ac:dyDescent="0.2">
      <c r="A102" s="25" t="str">
        <f>'GF + UG Iteration 3'!A102</f>
        <v>Pre-03</v>
      </c>
      <c r="B102" s="25" t="str">
        <f>'GF + UG Iteration 3'!B102</f>
        <v>GF</v>
      </c>
      <c r="C102" s="18">
        <f>'GF + UG Iteration 3'!C102</f>
        <v>4.0750000000000002</v>
      </c>
      <c r="D102" s="19">
        <f>'GF + UG Iteration 3'!D102</f>
        <v>1.9369408873503524</v>
      </c>
      <c r="E102" s="30">
        <f>'GF + UG Iteration 3'!E102</f>
        <v>1990</v>
      </c>
      <c r="F102" s="18"/>
      <c r="G102" s="19"/>
      <c r="H102" s="20"/>
      <c r="I102" s="18">
        <f t="shared" si="5"/>
        <v>4.0750000000000002</v>
      </c>
      <c r="J102" s="19">
        <f t="shared" si="6"/>
        <v>1.9369408873503524</v>
      </c>
      <c r="K102" s="20">
        <f t="shared" si="7"/>
        <v>1990</v>
      </c>
      <c r="M102" s="21">
        <f t="shared" si="8"/>
        <v>1.4048707466928261</v>
      </c>
      <c r="N102" s="21">
        <f t="shared" si="9"/>
        <v>0.66110986632901214</v>
      </c>
    </row>
    <row r="103" spans="1:17" x14ac:dyDescent="0.2">
      <c r="A103" s="25" t="str">
        <f>'GF + UG Iteration 3'!A103</f>
        <v>Pre-04</v>
      </c>
      <c r="B103" s="25" t="str">
        <f>'GF + UG Iteration 3'!B103</f>
        <v>GF</v>
      </c>
      <c r="C103" s="18">
        <f>'GF + UG Iteration 3'!C103</f>
        <v>10</v>
      </c>
      <c r="D103" s="19">
        <f>'GF + UG Iteration 3'!D103</f>
        <v>8.526519330793306</v>
      </c>
      <c r="E103" s="30">
        <f>'GF + UG Iteration 3'!E103</f>
        <v>1991</v>
      </c>
      <c r="F103" s="18"/>
      <c r="G103" s="19"/>
      <c r="H103" s="20"/>
      <c r="I103" s="18">
        <f t="shared" si="5"/>
        <v>10</v>
      </c>
      <c r="J103" s="19">
        <f t="shared" si="6"/>
        <v>8.526519330793306</v>
      </c>
      <c r="K103" s="20">
        <f t="shared" si="7"/>
        <v>1991</v>
      </c>
      <c r="M103" s="21">
        <f t="shared" si="8"/>
        <v>2.3025850929940459</v>
      </c>
      <c r="N103" s="21">
        <f t="shared" si="9"/>
        <v>2.143181227911088</v>
      </c>
    </row>
    <row r="104" spans="1:17" x14ac:dyDescent="0.2">
      <c r="A104" s="25" t="str">
        <f>'GF + UG Iteration 3'!A104</f>
        <v>Pre-05</v>
      </c>
      <c r="B104" s="25" t="str">
        <f>'GF + UG Iteration 3'!B104</f>
        <v>GF</v>
      </c>
      <c r="C104" s="18">
        <f>'GF + UG Iteration 3'!C104</f>
        <v>4.8</v>
      </c>
      <c r="D104" s="19">
        <f>'GF + UG Iteration 3'!D104</f>
        <v>4.0521826998299986</v>
      </c>
      <c r="E104" s="30">
        <f>'GF + UG Iteration 3'!E104</f>
        <v>1988</v>
      </c>
      <c r="F104" s="18"/>
      <c r="G104" s="19"/>
      <c r="H104" s="20"/>
      <c r="I104" s="18">
        <f t="shared" si="5"/>
        <v>4.8</v>
      </c>
      <c r="J104" s="19">
        <f t="shared" si="6"/>
        <v>4.0521826998299986</v>
      </c>
      <c r="K104" s="20">
        <f t="shared" si="7"/>
        <v>1988</v>
      </c>
      <c r="M104" s="21">
        <f t="shared" si="8"/>
        <v>1.5686159179138452</v>
      </c>
      <c r="N104" s="21">
        <f t="shared" si="9"/>
        <v>1.3992556741730273</v>
      </c>
    </row>
    <row r="105" spans="1:17" x14ac:dyDescent="0.2">
      <c r="A105" s="25" t="str">
        <f>'GF + UG Iteration 3'!A105</f>
        <v>Pre-06</v>
      </c>
      <c r="B105" s="25" t="str">
        <f>'GF + UG Iteration 3'!B105</f>
        <v>GF</v>
      </c>
      <c r="C105" s="18">
        <f>'GF + UG Iteration 3'!C105</f>
        <v>5.0999999999999996</v>
      </c>
      <c r="D105" s="19">
        <f>'GF + UG Iteration 3'!D105</f>
        <v>9.6482174286466869</v>
      </c>
      <c r="E105" s="30">
        <f>'GF + UG Iteration 3'!E105</f>
        <v>1989</v>
      </c>
      <c r="F105" s="18"/>
      <c r="G105" s="19"/>
      <c r="H105" s="20"/>
      <c r="I105" s="18">
        <f t="shared" si="5"/>
        <v>5.0999999999999996</v>
      </c>
      <c r="J105" s="19">
        <f t="shared" si="6"/>
        <v>9.6482174286466869</v>
      </c>
      <c r="K105" s="20">
        <f t="shared" si="7"/>
        <v>1989</v>
      </c>
      <c r="M105" s="21">
        <f t="shared" si="8"/>
        <v>1.62924053973028</v>
      </c>
      <c r="N105" s="21">
        <f t="shared" si="9"/>
        <v>2.2667731758675744</v>
      </c>
    </row>
    <row r="106" spans="1:17" x14ac:dyDescent="0.2">
      <c r="A106" s="25" t="str">
        <f>'GF + UG Iteration 3'!A106</f>
        <v>Pre-07</v>
      </c>
      <c r="B106" s="25" t="str">
        <f>'GF + UG Iteration 3'!B106</f>
        <v>GF</v>
      </c>
      <c r="C106" s="18">
        <f>'GF + UG Iteration 3'!C106</f>
        <v>6.9</v>
      </c>
      <c r="D106" s="19">
        <f>'GF + UG Iteration 3'!D106</f>
        <v>5.029432718717521</v>
      </c>
      <c r="E106" s="30">
        <f>'GF + UG Iteration 3'!E106</f>
        <v>1997</v>
      </c>
      <c r="F106" s="18"/>
      <c r="G106" s="19"/>
      <c r="H106" s="20"/>
      <c r="I106" s="18">
        <f t="shared" si="5"/>
        <v>6.9</v>
      </c>
      <c r="J106" s="19">
        <f t="shared" si="6"/>
        <v>5.029432718717521</v>
      </c>
      <c r="K106" s="20">
        <f t="shared" si="7"/>
        <v>1997</v>
      </c>
      <c r="M106" s="21">
        <f t="shared" si="8"/>
        <v>1.9315214116032138</v>
      </c>
      <c r="N106" s="21">
        <f t="shared" si="9"/>
        <v>1.6153071981725313</v>
      </c>
      <c r="P106"/>
      <c r="Q106"/>
    </row>
    <row r="107" spans="1:17" x14ac:dyDescent="0.2">
      <c r="A107" s="25" t="str">
        <f>'GF + UG Iteration 3'!A107</f>
        <v>Pre-08</v>
      </c>
      <c r="B107" s="25" t="str">
        <f>'GF + UG Iteration 3'!B107</f>
        <v>GF</v>
      </c>
      <c r="C107" s="18">
        <f>'GF + UG Iteration 3'!C107</f>
        <v>11.8</v>
      </c>
      <c r="D107" s="19">
        <f>'GF + UG Iteration 3'!D107</f>
        <v>6.372939235597177</v>
      </c>
      <c r="E107" s="30">
        <f>'GF + UG Iteration 3'!E107</f>
        <v>1987</v>
      </c>
      <c r="F107" s="18"/>
      <c r="G107" s="19"/>
      <c r="H107" s="20"/>
      <c r="I107" s="18">
        <f t="shared" si="5"/>
        <v>11.8</v>
      </c>
      <c r="J107" s="19">
        <f t="shared" si="6"/>
        <v>6.372939235597177</v>
      </c>
      <c r="K107" s="20">
        <f t="shared" si="7"/>
        <v>1987</v>
      </c>
      <c r="M107" s="21">
        <f t="shared" si="8"/>
        <v>2.4680995314716192</v>
      </c>
      <c r="N107" s="21">
        <f t="shared" si="9"/>
        <v>1.8520607816244041</v>
      </c>
      <c r="P107"/>
      <c r="Q107"/>
    </row>
    <row r="108" spans="1:17" x14ac:dyDescent="0.2">
      <c r="A108" s="25" t="str">
        <f>'GF + UG Iteration 3'!A108</f>
        <v>Pre-09</v>
      </c>
      <c r="B108" s="25" t="str">
        <f>'GF + UG Iteration 3'!B108</f>
        <v>GF</v>
      </c>
      <c r="C108" s="18">
        <f>'GF + UG Iteration 3'!C108</f>
        <v>9.6999999999999993</v>
      </c>
      <c r="D108" s="19">
        <f>'GF + UG Iteration 3'!D108</f>
        <v>2.9443376052628771</v>
      </c>
      <c r="E108" s="30">
        <f>'GF + UG Iteration 3'!E108</f>
        <v>1997</v>
      </c>
      <c r="F108" s="18"/>
      <c r="G108" s="19"/>
      <c r="H108" s="20"/>
      <c r="I108" s="18">
        <f t="shared" si="5"/>
        <v>9.6999999999999993</v>
      </c>
      <c r="J108" s="19">
        <f t="shared" si="6"/>
        <v>2.9443376052628771</v>
      </c>
      <c r="K108" s="20">
        <f t="shared" si="7"/>
        <v>1997</v>
      </c>
      <c r="M108" s="21">
        <f t="shared" si="8"/>
        <v>2.2721258855093369</v>
      </c>
      <c r="N108" s="21">
        <f t="shared" si="9"/>
        <v>1.0798838699925799</v>
      </c>
      <c r="P108"/>
      <c r="Q108"/>
    </row>
    <row r="109" spans="1:17" x14ac:dyDescent="0.2">
      <c r="A109" s="25" t="str">
        <f>'GF + UG Iteration 3'!A109</f>
        <v>Pre-10</v>
      </c>
      <c r="B109" s="25" t="str">
        <f>'GF + UG Iteration 3'!B109</f>
        <v>GF</v>
      </c>
      <c r="C109" s="18">
        <f>'GF + UG Iteration 3'!C109</f>
        <v>6.12</v>
      </c>
      <c r="D109" s="19">
        <f>'GF + UG Iteration 3'!D109</f>
        <v>13.481108575958453</v>
      </c>
      <c r="E109" s="30">
        <f>'GF + UG Iteration 3'!E109</f>
        <v>1990</v>
      </c>
      <c r="F109" s="18"/>
      <c r="G109" s="19"/>
      <c r="H109" s="20"/>
      <c r="I109" s="18">
        <f t="shared" si="5"/>
        <v>6.12</v>
      </c>
      <c r="J109" s="19">
        <f t="shared" si="6"/>
        <v>13.481108575958453</v>
      </c>
      <c r="K109" s="20">
        <f t="shared" si="7"/>
        <v>1990</v>
      </c>
      <c r="M109" s="21">
        <f t="shared" si="8"/>
        <v>1.8115620965242347</v>
      </c>
      <c r="N109" s="21">
        <f t="shared" si="9"/>
        <v>2.6012893406753403</v>
      </c>
    </row>
    <row r="110" spans="1:17" x14ac:dyDescent="0.2">
      <c r="A110" s="25" t="str">
        <f>'GF + UG Iteration 3'!A110</f>
        <v>Pre-11</v>
      </c>
      <c r="B110" s="25" t="str">
        <f>'GF + UG Iteration 3'!B110</f>
        <v>GF</v>
      </c>
      <c r="C110" s="18">
        <f>'GF + UG Iteration 3'!C110</f>
        <v>6.2671999999999999</v>
      </c>
      <c r="D110" s="19">
        <f>'GF + UG Iteration 3'!D110</f>
        <v>2.9102311039234974</v>
      </c>
      <c r="E110" s="30">
        <f>'GF + UG Iteration 3'!E110</f>
        <v>1987</v>
      </c>
      <c r="F110" s="18"/>
      <c r="G110" s="19"/>
      <c r="H110" s="20"/>
      <c r="I110" s="18">
        <f t="shared" si="5"/>
        <v>6.2671999999999999</v>
      </c>
      <c r="J110" s="19">
        <f t="shared" si="6"/>
        <v>2.9102311039234974</v>
      </c>
      <c r="K110" s="20">
        <f t="shared" si="7"/>
        <v>1987</v>
      </c>
      <c r="M110" s="21">
        <f t="shared" si="8"/>
        <v>1.8353296839294297</v>
      </c>
      <c r="N110" s="21">
        <f t="shared" si="9"/>
        <v>1.0682324951858668</v>
      </c>
    </row>
    <row r="111" spans="1:17" x14ac:dyDescent="0.2">
      <c r="A111" s="25" t="str">
        <f>'GF + UG Iteration 3'!A111</f>
        <v>Pre-12</v>
      </c>
      <c r="B111" s="25" t="str">
        <f>'GF + UG Iteration 3'!B111</f>
        <v>GF</v>
      </c>
      <c r="C111" s="18">
        <f>'GF + UG Iteration 3'!C111</f>
        <v>6.3659999999999997</v>
      </c>
      <c r="D111" s="19">
        <f>'GF + UG Iteration 3'!D111</f>
        <v>9.8906921245327926</v>
      </c>
      <c r="E111" s="30">
        <f>'GF + UG Iteration 3'!E111</f>
        <v>1993</v>
      </c>
      <c r="F111" s="18"/>
      <c r="G111" s="19"/>
      <c r="H111" s="20"/>
      <c r="I111" s="18">
        <f t="shared" si="5"/>
        <v>6.3659999999999997</v>
      </c>
      <c r="J111" s="19">
        <f t="shared" si="6"/>
        <v>9.8906921245327926</v>
      </c>
      <c r="K111" s="20">
        <f t="shared" si="7"/>
        <v>1993</v>
      </c>
      <c r="M111" s="21">
        <f t="shared" si="8"/>
        <v>1.850971328859901</v>
      </c>
      <c r="N111" s="21">
        <f t="shared" si="9"/>
        <v>2.2915941254440955</v>
      </c>
    </row>
    <row r="112" spans="1:17" x14ac:dyDescent="0.2">
      <c r="A112" s="25" t="str">
        <f>'GF + UG Iteration 3'!A112</f>
        <v>Pre-13</v>
      </c>
      <c r="B112" s="25" t="str">
        <f>'GF + UG Iteration 3'!B112</f>
        <v>GF</v>
      </c>
      <c r="C112" s="18">
        <f>'GF + UG Iteration 3'!C112</f>
        <v>8.5</v>
      </c>
      <c r="D112" s="19">
        <f>'GF + UG Iteration 3'!D112</f>
        <v>5.9446476688134462</v>
      </c>
      <c r="E112" s="30">
        <f>'GF + UG Iteration 3'!E112</f>
        <v>1990</v>
      </c>
      <c r="F112" s="18"/>
      <c r="G112" s="19"/>
      <c r="H112" s="20"/>
      <c r="I112" s="18">
        <f t="shared" si="5"/>
        <v>8.5</v>
      </c>
      <c r="J112" s="19">
        <f t="shared" si="6"/>
        <v>5.9446476688134462</v>
      </c>
      <c r="K112" s="20">
        <f t="shared" si="7"/>
        <v>1990</v>
      </c>
      <c r="M112" s="21">
        <f t="shared" si="8"/>
        <v>2.1400661634962708</v>
      </c>
      <c r="N112" s="21">
        <f t="shared" si="9"/>
        <v>1.7824912632583982</v>
      </c>
    </row>
    <row r="113" spans="1:14" x14ac:dyDescent="0.2">
      <c r="A113" s="25" t="str">
        <f>'GF + UG Iteration 3'!A113</f>
        <v>Pre-14</v>
      </c>
      <c r="B113" s="25" t="str">
        <f>'GF + UG Iteration 3'!B113</f>
        <v>GF</v>
      </c>
      <c r="C113" s="18">
        <f>'GF + UG Iteration 3'!C113</f>
        <v>46.55</v>
      </c>
      <c r="D113" s="19">
        <f>'GF + UG Iteration 3'!D113</f>
        <v>7.1936227504100643</v>
      </c>
      <c r="E113" s="30">
        <f>'GF + UG Iteration 3'!E113</f>
        <v>1991</v>
      </c>
      <c r="F113" s="18"/>
      <c r="G113" s="19"/>
      <c r="H113" s="20"/>
      <c r="I113" s="18">
        <f t="shared" si="5"/>
        <v>46.55</v>
      </c>
      <c r="J113" s="19">
        <f t="shared" si="6"/>
        <v>7.1936227504100643</v>
      </c>
      <c r="K113" s="20">
        <f t="shared" si="7"/>
        <v>1991</v>
      </c>
      <c r="M113" s="21">
        <f t="shared" si="8"/>
        <v>3.8405270037230759</v>
      </c>
      <c r="N113" s="21">
        <f t="shared" si="9"/>
        <v>1.9731949044224915</v>
      </c>
    </row>
    <row r="114" spans="1:14" x14ac:dyDescent="0.2">
      <c r="A114" s="25" t="str">
        <f>'GF + UG Iteration 3'!A114</f>
        <v>Pre-15</v>
      </c>
      <c r="B114" s="25" t="str">
        <f>'GF + UG Iteration 3'!B114</f>
        <v>GF</v>
      </c>
      <c r="C114" s="18">
        <f>'GF + UG Iteration 3'!C114</f>
        <v>56.8</v>
      </c>
      <c r="D114" s="19">
        <f>'GF + UG Iteration 3'!D114</f>
        <v>17.594466678549747</v>
      </c>
      <c r="E114" s="30">
        <f>'GF + UG Iteration 3'!E114</f>
        <v>1990</v>
      </c>
      <c r="F114" s="18"/>
      <c r="G114" s="19"/>
      <c r="H114" s="20"/>
      <c r="I114" s="18">
        <f t="shared" si="5"/>
        <v>56.8</v>
      </c>
      <c r="J114" s="19">
        <f t="shared" si="6"/>
        <v>17.594466678549747</v>
      </c>
      <c r="K114" s="20">
        <f t="shared" si="7"/>
        <v>1990</v>
      </c>
      <c r="M114" s="21">
        <f t="shared" si="8"/>
        <v>4.0395363257271057</v>
      </c>
      <c r="N114" s="21">
        <f t="shared" si="9"/>
        <v>2.867584459347964</v>
      </c>
    </row>
    <row r="115" spans="1:14" x14ac:dyDescent="0.2">
      <c r="A115" s="25" t="str">
        <f>'GF + UG Iteration 3'!A115</f>
        <v>Pre-16</v>
      </c>
      <c r="B115" s="25" t="str">
        <f>'GF + UG Iteration 3'!B115</f>
        <v>GF</v>
      </c>
      <c r="C115" s="18">
        <f>'GF + UG Iteration 3'!C115</f>
        <v>81.575999999999993</v>
      </c>
      <c r="D115" s="19">
        <f>'GF + UG Iteration 3'!D115</f>
        <v>14.026199251012313</v>
      </c>
      <c r="E115" s="30">
        <f>'GF + UG Iteration 3'!E115</f>
        <v>1988</v>
      </c>
      <c r="F115" s="18"/>
      <c r="G115" s="19"/>
      <c r="H115" s="20"/>
      <c r="I115" s="18">
        <f t="shared" si="5"/>
        <v>81.575999999999993</v>
      </c>
      <c r="J115" s="19">
        <f t="shared" si="6"/>
        <v>14.026199251012313</v>
      </c>
      <c r="K115" s="20">
        <f t="shared" si="7"/>
        <v>1988</v>
      </c>
      <c r="M115" s="21">
        <f t="shared" si="8"/>
        <v>4.4015351010619241</v>
      </c>
      <c r="N115" s="21">
        <f t="shared" si="9"/>
        <v>2.6409269558467208</v>
      </c>
    </row>
    <row r="116" spans="1:14" x14ac:dyDescent="0.2">
      <c r="A116" s="25" t="str">
        <f>'GF + UG Iteration 3'!A116</f>
        <v>Pre-17</v>
      </c>
      <c r="B116" s="25" t="str">
        <f>'GF + UG Iteration 3'!B116</f>
        <v>GF</v>
      </c>
      <c r="C116" s="18">
        <f>'GF + UG Iteration 3'!C116</f>
        <v>95.2</v>
      </c>
      <c r="D116" s="19">
        <f>'GF + UG Iteration 3'!D116</f>
        <v>14.219904176944949</v>
      </c>
      <c r="E116" s="30">
        <f>'GF + UG Iteration 3'!E116</f>
        <v>1999</v>
      </c>
      <c r="F116" s="18"/>
      <c r="G116" s="19"/>
      <c r="H116" s="20"/>
      <c r="I116" s="18">
        <f t="shared" si="5"/>
        <v>95.2</v>
      </c>
      <c r="J116" s="19">
        <f t="shared" si="6"/>
        <v>14.219904176944949</v>
      </c>
      <c r="K116" s="20">
        <f t="shared" si="7"/>
        <v>1999</v>
      </c>
      <c r="M116" s="21">
        <f t="shared" si="8"/>
        <v>4.5559799417973199</v>
      </c>
      <c r="N116" s="21">
        <f t="shared" si="9"/>
        <v>2.654642685740924</v>
      </c>
    </row>
    <row r="117" spans="1:14" x14ac:dyDescent="0.2">
      <c r="A117" s="25" t="str">
        <f>'GF + UG Iteration 3'!A117</f>
        <v>Pre-18</v>
      </c>
      <c r="B117" s="25" t="str">
        <f>'GF + UG Iteration 3'!B117</f>
        <v>GF</v>
      </c>
      <c r="C117" s="18">
        <f>'GF + UG Iteration 3'!C117</f>
        <v>122.77200000000001</v>
      </c>
      <c r="D117" s="19">
        <f>'GF + UG Iteration 3'!D117</f>
        <v>23.447549869052086</v>
      </c>
      <c r="E117" s="30">
        <f>'GF + UG Iteration 3'!E117</f>
        <v>1990</v>
      </c>
      <c r="F117" s="18"/>
      <c r="G117" s="19"/>
      <c r="H117" s="20"/>
      <c r="I117" s="18">
        <f t="shared" si="5"/>
        <v>122.77200000000001</v>
      </c>
      <c r="J117" s="19">
        <f t="shared" si="6"/>
        <v>23.447549869052086</v>
      </c>
      <c r="K117" s="20">
        <f t="shared" si="7"/>
        <v>1990</v>
      </c>
      <c r="M117" s="21">
        <f t="shared" si="8"/>
        <v>4.8103289766848034</v>
      </c>
      <c r="N117" s="21">
        <f t="shared" si="9"/>
        <v>3.1547660062374661</v>
      </c>
    </row>
    <row r="118" spans="1:14" x14ac:dyDescent="0.2">
      <c r="A118" s="33">
        <f>'GF + UG Iteration 3'!A118</f>
        <v>1184</v>
      </c>
      <c r="B118" s="34" t="str">
        <f>'GF + UG Iteration 3'!B118</f>
        <v>UG</v>
      </c>
      <c r="C118" s="35">
        <f>'GF + UG Iteration 3'!C118</f>
        <v>30</v>
      </c>
      <c r="D118" s="36">
        <f>'GF + UG Iteration 3'!P$16*(C118^'GF + UG Iteration 3'!P$15)</f>
        <v>17.772016732632594</v>
      </c>
      <c r="E118" s="37">
        <f>'GF + UG Iteration 3'!E118</f>
        <v>2013</v>
      </c>
      <c r="F118" s="35">
        <f>'GF + UG Iteration 3'!F118</f>
        <v>18.200000000000003</v>
      </c>
      <c r="G118" s="36">
        <f>'GF + UG Iteration 3'!G118</f>
        <v>18.869341885211266</v>
      </c>
      <c r="H118" s="38">
        <f>'GF + UG Iteration 3'!H118</f>
        <v>2012</v>
      </c>
      <c r="I118" s="35">
        <f>C118+F118</f>
        <v>48.2</v>
      </c>
      <c r="J118" s="36">
        <f>D118+G118</f>
        <v>36.641358617843863</v>
      </c>
      <c r="K118" s="38">
        <f>MAX(E118,H118)</f>
        <v>2013</v>
      </c>
      <c r="M118" s="21">
        <f t="shared" si="8"/>
        <v>3.8753590210565547</v>
      </c>
      <c r="N118" s="21">
        <f t="shared" si="9"/>
        <v>3.6011776192998046</v>
      </c>
    </row>
    <row r="119" spans="1:14" x14ac:dyDescent="0.2">
      <c r="A119" s="33">
        <f>'GF + UG Iteration 3'!A119</f>
        <v>1481</v>
      </c>
      <c r="B119" s="34" t="str">
        <f>'GF + UG Iteration 3'!B119</f>
        <v>UG</v>
      </c>
      <c r="C119" s="35">
        <f>'GF + UG Iteration 3'!C119</f>
        <v>48.2</v>
      </c>
      <c r="D119" s="36">
        <f>'GF + UG Iteration 3'!P$16*(C119^'GF + UG Iteration 3'!P$15)</f>
        <v>23.220883820437091</v>
      </c>
      <c r="E119" s="37">
        <f>'GF + UG Iteration 3'!E119</f>
        <v>2013</v>
      </c>
      <c r="F119" s="35">
        <f>'GF + UG Iteration 3'!F119</f>
        <v>0</v>
      </c>
      <c r="G119" s="36">
        <f>'GF + UG Iteration 3'!G119</f>
        <v>1.1114331301697908</v>
      </c>
      <c r="H119" s="38">
        <f>'GF + UG Iteration 3'!H119</f>
        <v>2014</v>
      </c>
      <c r="I119" s="35">
        <f t="shared" ref="I119:I183" si="10">C119+F119</f>
        <v>48.2</v>
      </c>
      <c r="J119" s="36">
        <f t="shared" ref="J119:J183" si="11">D119+G119</f>
        <v>24.332316950606881</v>
      </c>
      <c r="K119" s="38">
        <f t="shared" ref="K119:K183" si="12">MAX(E119,H119)</f>
        <v>2014</v>
      </c>
      <c r="M119" s="21">
        <f t="shared" si="8"/>
        <v>3.8753590210565547</v>
      </c>
      <c r="N119" s="21">
        <f t="shared" si="9"/>
        <v>3.1918053824547843</v>
      </c>
    </row>
    <row r="120" spans="1:14" x14ac:dyDescent="0.2">
      <c r="A120" s="33">
        <f>'GF + UG Iteration 3'!A120</f>
        <v>457</v>
      </c>
      <c r="B120" s="34" t="str">
        <f>'GF + UG Iteration 3'!B120</f>
        <v>UG</v>
      </c>
      <c r="C120" s="35">
        <f>'GF + UG Iteration 3'!C120</f>
        <v>10.77</v>
      </c>
      <c r="D120" s="36">
        <f>'GF + UG Iteration 3'!P$16*(C120^'GF + UG Iteration 3'!P$15)</f>
        <v>9.9726417866317316</v>
      </c>
      <c r="E120" s="37">
        <f>'GF + UG Iteration 3'!E120</f>
        <v>1990</v>
      </c>
      <c r="F120" s="35">
        <f>'GF + UG Iteration 3'!F120</f>
        <v>10</v>
      </c>
      <c r="G120" s="36">
        <f>'GF + UG Iteration 3'!G120</f>
        <v>3.289132084924363</v>
      </c>
      <c r="H120" s="38">
        <f>'GF + UG Iteration 3'!H120</f>
        <v>2006</v>
      </c>
      <c r="I120" s="35">
        <f t="shared" si="10"/>
        <v>20.77</v>
      </c>
      <c r="J120" s="36">
        <f t="shared" si="11"/>
        <v>13.261773871556095</v>
      </c>
      <c r="K120" s="38">
        <f t="shared" si="12"/>
        <v>2006</v>
      </c>
      <c r="M120" s="21">
        <f t="shared" si="8"/>
        <v>3.0335096378880211</v>
      </c>
      <c r="N120" s="21">
        <f t="shared" si="9"/>
        <v>2.5848857519459392</v>
      </c>
    </row>
    <row r="121" spans="1:14" x14ac:dyDescent="0.2">
      <c r="A121" s="33">
        <f>'GF + UG Iteration 3'!A121</f>
        <v>407</v>
      </c>
      <c r="B121" s="34" t="str">
        <f>'GF + UG Iteration 3'!B121</f>
        <v>UG</v>
      </c>
      <c r="C121" s="35">
        <f>'GF + UG Iteration 3'!C121</f>
        <v>25.4</v>
      </c>
      <c r="D121" s="36">
        <f>'GF + UG Iteration 3'!P$16*(C121^'GF + UG Iteration 3'!P$15)</f>
        <v>16.179555292054935</v>
      </c>
      <c r="E121" s="37">
        <f>'GF + UG Iteration 3'!E121</f>
        <v>1982</v>
      </c>
      <c r="F121" s="35">
        <f>'GF + UG Iteration 3'!F121</f>
        <v>2</v>
      </c>
      <c r="G121" s="36">
        <f>'GF + UG Iteration 3'!G121</f>
        <v>0.60106525862386018</v>
      </c>
      <c r="H121" s="38">
        <f>'GF + UG Iteration 3'!H121</f>
        <v>2004</v>
      </c>
      <c r="I121" s="35">
        <f t="shared" si="10"/>
        <v>27.4</v>
      </c>
      <c r="J121" s="36">
        <f t="shared" si="11"/>
        <v>16.780620550678794</v>
      </c>
      <c r="K121" s="38">
        <f t="shared" si="12"/>
        <v>2004</v>
      </c>
      <c r="M121" s="21">
        <f t="shared" si="8"/>
        <v>3.3105430133940246</v>
      </c>
      <c r="N121" s="21">
        <f t="shared" si="9"/>
        <v>2.8202246819213372</v>
      </c>
    </row>
    <row r="122" spans="1:14" x14ac:dyDescent="0.2">
      <c r="A122" s="33">
        <f>'GF + UG Iteration 3'!A122</f>
        <v>706</v>
      </c>
      <c r="B122" s="34" t="str">
        <f>'GF + UG Iteration 3'!B122</f>
        <v>UG</v>
      </c>
      <c r="C122" s="35">
        <f>'GF + UG Iteration 3'!C122</f>
        <v>14.85</v>
      </c>
      <c r="D122" s="36">
        <f>'GF + UG Iteration 3'!P$16*(C122^'GF + UG Iteration 3'!P$15)</f>
        <v>11.9534758500221</v>
      </c>
      <c r="E122" s="37">
        <f>'GF + UG Iteration 3'!E122</f>
        <v>1984</v>
      </c>
      <c r="F122" s="35">
        <f>'GF + UG Iteration 3'!F122</f>
        <v>14.250000000000002</v>
      </c>
      <c r="G122" s="36">
        <f>'GF + UG Iteration 3'!G122</f>
        <v>5.8346214151737739</v>
      </c>
      <c r="H122" s="38">
        <f>'GF + UG Iteration 3'!H122</f>
        <v>2008</v>
      </c>
      <c r="I122" s="35">
        <f t="shared" si="10"/>
        <v>29.1</v>
      </c>
      <c r="J122" s="36">
        <f t="shared" si="11"/>
        <v>17.788097265195873</v>
      </c>
      <c r="K122" s="38">
        <f t="shared" si="12"/>
        <v>2008</v>
      </c>
      <c r="M122" s="21">
        <f t="shared" si="8"/>
        <v>3.3707381741774469</v>
      </c>
      <c r="N122" s="21">
        <f t="shared" si="9"/>
        <v>2.8785295406566549</v>
      </c>
    </row>
    <row r="123" spans="1:14" x14ac:dyDescent="0.2">
      <c r="A123" s="33">
        <f>'GF + UG Iteration 3'!A123</f>
        <v>1070</v>
      </c>
      <c r="B123" s="34" t="str">
        <f>'GF + UG Iteration 3'!B123</f>
        <v>UG</v>
      </c>
      <c r="C123" s="35">
        <f>'GF + UG Iteration 3'!C123</f>
        <v>34</v>
      </c>
      <c r="D123" s="36">
        <f>'GF + UG Iteration 3'!P$16*(C123^'GF + UG Iteration 3'!P$15)</f>
        <v>19.071919547048012</v>
      </c>
      <c r="E123" s="37">
        <f>'GF + UG Iteration 3'!E123</f>
        <v>1984</v>
      </c>
      <c r="F123" s="35">
        <f>'GF + UG Iteration 3'!F123</f>
        <v>4.8999999999999986</v>
      </c>
      <c r="G123" s="36">
        <f>'GF + UG Iteration 3'!G123</f>
        <v>0.83607952853202894</v>
      </c>
      <c r="H123" s="38">
        <f>'GF + UG Iteration 3'!H123</f>
        <v>2011</v>
      </c>
      <c r="I123" s="35">
        <f t="shared" si="10"/>
        <v>38.9</v>
      </c>
      <c r="J123" s="36">
        <f t="shared" si="11"/>
        <v>19.90799907558004</v>
      </c>
      <c r="K123" s="38">
        <f t="shared" si="12"/>
        <v>2011</v>
      </c>
      <c r="M123" s="21">
        <f t="shared" si="8"/>
        <v>3.6609942506244004</v>
      </c>
      <c r="N123" s="21">
        <f t="shared" si="9"/>
        <v>2.9911216145617097</v>
      </c>
    </row>
    <row r="124" spans="1:14" x14ac:dyDescent="0.2">
      <c r="A124" s="33">
        <f>'GF + UG Iteration 3'!A124</f>
        <v>1264</v>
      </c>
      <c r="B124" s="34" t="str">
        <f>'GF + UG Iteration 3'!B124</f>
        <v>UG</v>
      </c>
      <c r="C124" s="35">
        <f>'GF + UG Iteration 3'!C124</f>
        <v>38.9</v>
      </c>
      <c r="D124" s="36">
        <f>'GF + UG Iteration 3'!P$16*(C124^'GF + UG Iteration 3'!P$15)</f>
        <v>20.576515931893912</v>
      </c>
      <c r="E124" s="37">
        <f>'GF + UG Iteration 3'!E124</f>
        <v>1984</v>
      </c>
      <c r="F124" s="35">
        <f>'GF + UG Iteration 3'!F124</f>
        <v>7.2000000000000028</v>
      </c>
      <c r="G124" s="36">
        <f>'GF + UG Iteration 3'!G124</f>
        <v>8.0578720930203094</v>
      </c>
      <c r="H124" s="38">
        <f>'GF + UG Iteration 3'!H124</f>
        <v>2013</v>
      </c>
      <c r="I124" s="35">
        <f t="shared" si="10"/>
        <v>46.1</v>
      </c>
      <c r="J124" s="36">
        <f t="shared" si="11"/>
        <v>28.634388024914223</v>
      </c>
      <c r="K124" s="38">
        <f t="shared" si="12"/>
        <v>2013</v>
      </c>
      <c r="M124" s="21">
        <f t="shared" si="8"/>
        <v>3.8308129500026027</v>
      </c>
      <c r="N124" s="21">
        <f t="shared" si="9"/>
        <v>3.3546083740412</v>
      </c>
    </row>
    <row r="125" spans="1:14" x14ac:dyDescent="0.2">
      <c r="A125" s="33">
        <f>'GF + UG Iteration 3'!A125</f>
        <v>1208</v>
      </c>
      <c r="B125" s="34" t="str">
        <f>'GF + UG Iteration 3'!B125</f>
        <v>UG</v>
      </c>
      <c r="C125" s="35">
        <f>'GF + UG Iteration 3'!C125</f>
        <v>14.1</v>
      </c>
      <c r="D125" s="36">
        <f>'GF + UG Iteration 3'!P$16*(C125^'GF + UG Iteration 3'!P$15)</f>
        <v>11.609140843451723</v>
      </c>
      <c r="E125" s="37">
        <f>'GF + UG Iteration 3'!E125</f>
        <v>1961</v>
      </c>
      <c r="F125" s="35">
        <f>'GF + UG Iteration 3'!F125</f>
        <v>11.500000000000002</v>
      </c>
      <c r="G125" s="36">
        <f>'GF + UG Iteration 3'!G125</f>
        <v>2.7992110812000917</v>
      </c>
      <c r="H125" s="38">
        <f>'GF + UG Iteration 3'!H125</f>
        <v>2012</v>
      </c>
      <c r="I125" s="35">
        <f t="shared" si="10"/>
        <v>25.6</v>
      </c>
      <c r="J125" s="36">
        <f t="shared" si="11"/>
        <v>14.408351924651814</v>
      </c>
      <c r="K125" s="38">
        <f t="shared" si="12"/>
        <v>2012</v>
      </c>
      <c r="M125" s="21">
        <f t="shared" si="8"/>
        <v>3.2425923514855168</v>
      </c>
      <c r="N125" s="21">
        <f t="shared" si="9"/>
        <v>2.6678080332174843</v>
      </c>
    </row>
    <row r="126" spans="1:14" x14ac:dyDescent="0.2">
      <c r="A126" s="33">
        <f>'GF + UG Iteration 3'!A126</f>
        <v>655</v>
      </c>
      <c r="B126" s="34" t="str">
        <f>'GF + UG Iteration 3'!B126</f>
        <v>UG</v>
      </c>
      <c r="C126" s="35">
        <f>'GF + UG Iteration 3'!C126</f>
        <v>12.052999999999999</v>
      </c>
      <c r="D126" s="36">
        <f>'GF + UG Iteration 3'!P$16*(C126^'GF + UG Iteration 3'!P$15)</f>
        <v>10.626205371522449</v>
      </c>
      <c r="E126" s="37">
        <f>'GF + UG Iteration 3'!E126</f>
        <v>1974</v>
      </c>
      <c r="F126" s="35">
        <f>'GF + UG Iteration 3'!F126</f>
        <v>2.3390000000000004</v>
      </c>
      <c r="G126" s="36">
        <f>'GF + UG Iteration 3'!G126</f>
        <v>0.59464786373478107</v>
      </c>
      <c r="H126" s="38">
        <f>'GF + UG Iteration 3'!H126</f>
        <v>2007</v>
      </c>
      <c r="I126" s="35">
        <f t="shared" si="10"/>
        <v>14.391999999999999</v>
      </c>
      <c r="J126" s="36">
        <f t="shared" si="11"/>
        <v>11.220853235257231</v>
      </c>
      <c r="K126" s="38">
        <f t="shared" si="12"/>
        <v>2007</v>
      </c>
      <c r="M126" s="21">
        <f t="shared" si="8"/>
        <v>2.666672496648232</v>
      </c>
      <c r="N126" s="21">
        <f t="shared" si="9"/>
        <v>2.4177739431263099</v>
      </c>
    </row>
    <row r="127" spans="1:14" x14ac:dyDescent="0.2">
      <c r="A127" s="33">
        <f>'GF + UG Iteration 3'!A127</f>
        <v>733</v>
      </c>
      <c r="B127" s="34" t="str">
        <f>'GF + UG Iteration 3'!B127</f>
        <v>UG</v>
      </c>
      <c r="C127" s="35">
        <f>'GF + UG Iteration 3'!C127</f>
        <v>24.3</v>
      </c>
      <c r="D127" s="36">
        <f>'GF + UG Iteration 3'!P$16*(C127^'GF + UG Iteration 3'!P$15)</f>
        <v>15.780556441672633</v>
      </c>
      <c r="E127" s="37">
        <f>'GF + UG Iteration 3'!E127</f>
        <v>2007</v>
      </c>
      <c r="F127" s="35">
        <f>'GF + UG Iteration 3'!F127</f>
        <v>17.099999999999998</v>
      </c>
      <c r="G127" s="36">
        <f>'GF + UG Iteration 3'!G127</f>
        <v>6.7726080218724345</v>
      </c>
      <c r="H127" s="38">
        <f>'GF + UG Iteration 3'!H127</f>
        <v>2009</v>
      </c>
      <c r="I127" s="35">
        <f t="shared" si="10"/>
        <v>41.4</v>
      </c>
      <c r="J127" s="36">
        <f t="shared" si="11"/>
        <v>22.553164463545066</v>
      </c>
      <c r="K127" s="38">
        <f t="shared" si="12"/>
        <v>2009</v>
      </c>
      <c r="M127" s="21">
        <f t="shared" si="8"/>
        <v>3.7232808808312687</v>
      </c>
      <c r="N127" s="21">
        <f t="shared" si="9"/>
        <v>3.1158753870808251</v>
      </c>
    </row>
    <row r="128" spans="1:14" x14ac:dyDescent="0.2">
      <c r="A128" s="33">
        <f>'GF + UG Iteration 3'!A128</f>
        <v>1700</v>
      </c>
      <c r="B128" s="34" t="str">
        <f>'GF + UG Iteration 3'!B128</f>
        <v>UG</v>
      </c>
      <c r="C128" s="35">
        <f>'GF + UG Iteration 3'!C128</f>
        <v>13.4</v>
      </c>
      <c r="D128" s="36">
        <f>'GF + UG Iteration 3'!P$16*(C128^'GF + UG Iteration 3'!P$15)</f>
        <v>11.280481007728207</v>
      </c>
      <c r="E128" s="37">
        <f>'GF + UG Iteration 3'!E128</f>
        <v>0</v>
      </c>
      <c r="F128" s="35">
        <f>'GF + UG Iteration 3'!F128</f>
        <v>0</v>
      </c>
      <c r="G128" s="36">
        <f>'GF + UG Iteration 3'!G128</f>
        <v>4.0238803148956235</v>
      </c>
      <c r="H128" s="38">
        <f>'GF + UG Iteration 3'!H128</f>
        <v>2016</v>
      </c>
      <c r="I128" s="35">
        <f t="shared" ref="I128" si="13">C128+F128</f>
        <v>13.4</v>
      </c>
      <c r="J128" s="36">
        <f t="shared" ref="J128" si="14">D128+G128</f>
        <v>15.30436132262383</v>
      </c>
      <c r="K128" s="38">
        <f t="shared" ref="K128" si="15">MAX(E128,H128)</f>
        <v>2016</v>
      </c>
      <c r="M128" s="21">
        <f t="shared" ref="M128" si="16">LN(I128)</f>
        <v>2.5952547069568657</v>
      </c>
      <c r="N128" s="21">
        <f t="shared" ref="N128" si="17">LN(J128)</f>
        <v>2.7281378415445476</v>
      </c>
    </row>
    <row r="129" spans="1:14" x14ac:dyDescent="0.2">
      <c r="A129" s="33">
        <f>'GF + UG Iteration 3'!A129</f>
        <v>1569</v>
      </c>
      <c r="B129" s="34" t="str">
        <f>'GF + UG Iteration 3'!B129</f>
        <v>UG</v>
      </c>
      <c r="C129" s="35">
        <f>'GF + UG Iteration 3'!C129</f>
        <v>17.7</v>
      </c>
      <c r="D129" s="36">
        <f>'GF + UG Iteration 3'!P$16*(C129^'GF + UG Iteration 3'!P$15)</f>
        <v>13.197673199998155</v>
      </c>
      <c r="E129" s="37">
        <f>'GF + UG Iteration 3'!E129</f>
        <v>1997</v>
      </c>
      <c r="F129" s="35">
        <f>'GF + UG Iteration 3'!F129</f>
        <v>0</v>
      </c>
      <c r="G129" s="36">
        <f>'GF + UG Iteration 3'!G129</f>
        <v>3.7372730134616279</v>
      </c>
      <c r="H129" s="38">
        <f>'GF + UG Iteration 3'!H129</f>
        <v>2015</v>
      </c>
      <c r="I129" s="35">
        <f t="shared" si="10"/>
        <v>17.7</v>
      </c>
      <c r="J129" s="36">
        <f t="shared" si="11"/>
        <v>16.934946213459781</v>
      </c>
      <c r="K129" s="38">
        <f t="shared" si="12"/>
        <v>2015</v>
      </c>
      <c r="M129" s="21">
        <f t="shared" si="8"/>
        <v>2.8735646395797834</v>
      </c>
      <c r="N129" s="21">
        <f t="shared" si="9"/>
        <v>2.8293793102068103</v>
      </c>
    </row>
    <row r="130" spans="1:14" x14ac:dyDescent="0.2">
      <c r="A130" s="33">
        <f>'GF + UG Iteration 3'!A130</f>
        <v>401</v>
      </c>
      <c r="B130" s="34" t="str">
        <f>'GF + UG Iteration 3'!B130</f>
        <v>UG</v>
      </c>
      <c r="C130" s="35">
        <f>'GF + UG Iteration 3'!C130</f>
        <v>2</v>
      </c>
      <c r="D130" s="36">
        <f>'GF + UG Iteration 3'!P$16*(C130^'GF + UG Iteration 3'!P$15)</f>
        <v>3.8585299029755551</v>
      </c>
      <c r="E130" s="37">
        <f>'GF + UG Iteration 3'!E130</f>
        <v>1986</v>
      </c>
      <c r="F130" s="35">
        <f>'GF + UG Iteration 3'!F130</f>
        <v>1.5</v>
      </c>
      <c r="G130" s="36">
        <f>'GF + UG Iteration 3'!G130</f>
        <v>0.36204281296556784</v>
      </c>
      <c r="H130" s="38">
        <f>'GF + UG Iteration 3'!H130</f>
        <v>2004</v>
      </c>
      <c r="I130" s="35">
        <f t="shared" si="10"/>
        <v>3.5</v>
      </c>
      <c r="J130" s="36">
        <f t="shared" si="11"/>
        <v>4.220572715941123</v>
      </c>
      <c r="K130" s="38">
        <f t="shared" si="12"/>
        <v>2004</v>
      </c>
      <c r="M130" s="21">
        <f t="shared" si="8"/>
        <v>1.2527629684953681</v>
      </c>
      <c r="N130" s="21">
        <f t="shared" si="9"/>
        <v>1.4399708335175079</v>
      </c>
    </row>
    <row r="131" spans="1:14" x14ac:dyDescent="0.2">
      <c r="A131" s="33">
        <f>'GF + UG Iteration 3'!A131</f>
        <v>1412</v>
      </c>
      <c r="B131" s="34" t="str">
        <f>'GF + UG Iteration 3'!B131</f>
        <v>UG</v>
      </c>
      <c r="C131" s="35">
        <f>'GF + UG Iteration 3'!C131</f>
        <v>3.5</v>
      </c>
      <c r="D131" s="36">
        <f>'GF + UG Iteration 3'!P$16*(C131^'GF + UG Iteration 3'!P$15)</f>
        <v>5.2904815017681708</v>
      </c>
      <c r="E131" s="37">
        <f>'GF + UG Iteration 3'!E131</f>
        <v>1986</v>
      </c>
      <c r="F131" s="35">
        <f>'GF + UG Iteration 3'!F131</f>
        <v>11</v>
      </c>
      <c r="G131" s="36">
        <f>'GF + UG Iteration 3'!G131</f>
        <v>4.3574845496482366</v>
      </c>
      <c r="H131" s="38">
        <f>'GF + UG Iteration 3'!H131</f>
        <v>2015</v>
      </c>
      <c r="I131" s="35">
        <f t="shared" si="10"/>
        <v>14.5</v>
      </c>
      <c r="J131" s="36">
        <f t="shared" si="11"/>
        <v>9.6479660514164074</v>
      </c>
      <c r="K131" s="38">
        <f t="shared" si="12"/>
        <v>2015</v>
      </c>
      <c r="M131" s="21">
        <f t="shared" si="8"/>
        <v>2.6741486494265287</v>
      </c>
      <c r="N131" s="21">
        <f t="shared" si="9"/>
        <v>2.2667471212614339</v>
      </c>
    </row>
    <row r="132" spans="1:14" x14ac:dyDescent="0.2">
      <c r="A132" s="33">
        <f>'GF + UG Iteration 3'!A132</f>
        <v>1318</v>
      </c>
      <c r="B132" s="34" t="str">
        <f>'GF + UG Iteration 3'!B132</f>
        <v>UG</v>
      </c>
      <c r="C132" s="35">
        <f>'GF + UG Iteration 3'!C132</f>
        <v>22.3</v>
      </c>
      <c r="D132" s="36">
        <f>'GF + UG Iteration 3'!P$16*(C132^'GF + UG Iteration 3'!P$15)</f>
        <v>15.034338950610717</v>
      </c>
      <c r="E132" s="37">
        <f>'GF + UG Iteration 3'!E132</f>
        <v>1997</v>
      </c>
      <c r="F132" s="35">
        <f>'GF + UG Iteration 3'!F132</f>
        <v>28.900000000000002</v>
      </c>
      <c r="G132" s="36">
        <f>'GF + UG Iteration 3'!G132</f>
        <v>1.6878206182928517</v>
      </c>
      <c r="H132" s="38">
        <f>'GF + UG Iteration 3'!H132</f>
        <v>2013</v>
      </c>
      <c r="I132" s="35">
        <f t="shared" si="10"/>
        <v>51.2</v>
      </c>
      <c r="J132" s="36">
        <f t="shared" si="11"/>
        <v>16.722159568903567</v>
      </c>
      <c r="K132" s="38">
        <f t="shared" si="12"/>
        <v>2013</v>
      </c>
      <c r="M132" s="21">
        <f t="shared" si="8"/>
        <v>3.9357395320454622</v>
      </c>
      <c r="N132" s="21">
        <f t="shared" si="9"/>
        <v>2.8167347601356063</v>
      </c>
    </row>
    <row r="133" spans="1:14" x14ac:dyDescent="0.2">
      <c r="A133" s="33">
        <f>'GF + UG Iteration 3'!A133</f>
        <v>1194</v>
      </c>
      <c r="B133" s="34" t="str">
        <f>'GF + UG Iteration 3'!B133</f>
        <v>UG</v>
      </c>
      <c r="C133" s="35">
        <f>'GF + UG Iteration 3'!C133</f>
        <v>5.8</v>
      </c>
      <c r="D133" s="36">
        <f>'GF + UG Iteration 3'!P$16*(C133^'GF + UG Iteration 3'!P$15)</f>
        <v>7.0341899966413761</v>
      </c>
      <c r="E133" s="37">
        <f>'GF + UG Iteration 3'!E133</f>
        <v>1980</v>
      </c>
      <c r="F133" s="35">
        <f>'GF + UG Iteration 3'!F133</f>
        <v>9.6000000000000014</v>
      </c>
      <c r="G133" s="36">
        <f>'GF + UG Iteration 3'!G133</f>
        <v>1.6086060831571487</v>
      </c>
      <c r="H133" s="38">
        <f>'GF + UG Iteration 3'!H133</f>
        <v>2011</v>
      </c>
      <c r="I133" s="35">
        <f t="shared" si="10"/>
        <v>15.400000000000002</v>
      </c>
      <c r="J133" s="36">
        <f t="shared" si="11"/>
        <v>8.6427960797985257</v>
      </c>
      <c r="K133" s="38">
        <f t="shared" si="12"/>
        <v>2011</v>
      </c>
      <c r="M133" s="21">
        <f t="shared" si="8"/>
        <v>2.7343675094195836</v>
      </c>
      <c r="N133" s="21">
        <f t="shared" si="9"/>
        <v>2.1567261508092463</v>
      </c>
    </row>
    <row r="134" spans="1:14" x14ac:dyDescent="0.2">
      <c r="A134" s="33">
        <f>'GF + UG Iteration 3'!A134</f>
        <v>801</v>
      </c>
      <c r="B134" s="34" t="str">
        <f>'GF + UG Iteration 3'!B134</f>
        <v>UG</v>
      </c>
      <c r="C134" s="35">
        <f>'GF + UG Iteration 3'!C134</f>
        <v>10</v>
      </c>
      <c r="D134" s="36">
        <f>'GF + UG Iteration 3'!P$16*(C134^'GF + UG Iteration 3'!P$15)</f>
        <v>9.5640223017030692</v>
      </c>
      <c r="E134" s="37">
        <f>'GF + UG Iteration 3'!E134</f>
        <v>2008</v>
      </c>
      <c r="F134" s="35">
        <f>'GF + UG Iteration 3'!F134</f>
        <v>0</v>
      </c>
      <c r="G134" s="36">
        <f>'GF + UG Iteration 3'!G134</f>
        <v>6.3106495854024782</v>
      </c>
      <c r="H134" s="38">
        <f>'GF + UG Iteration 3'!H134</f>
        <v>2009</v>
      </c>
      <c r="I134" s="35">
        <f t="shared" si="10"/>
        <v>10</v>
      </c>
      <c r="J134" s="36">
        <f t="shared" si="11"/>
        <v>15.874671887105547</v>
      </c>
      <c r="K134" s="38">
        <f t="shared" si="12"/>
        <v>2009</v>
      </c>
      <c r="M134" s="21">
        <f t="shared" si="8"/>
        <v>2.3025850929940459</v>
      </c>
      <c r="N134" s="21">
        <f t="shared" si="9"/>
        <v>2.7647248760363738</v>
      </c>
    </row>
    <row r="135" spans="1:14" x14ac:dyDescent="0.2">
      <c r="A135" s="33">
        <f>'GF + UG Iteration 3'!A135</f>
        <v>804</v>
      </c>
      <c r="B135" s="34" t="str">
        <f>'GF + UG Iteration 3'!B135</f>
        <v>UG</v>
      </c>
      <c r="C135" s="35">
        <f>'GF + UG Iteration 3'!C135</f>
        <v>14.429</v>
      </c>
      <c r="D135" s="36">
        <f>'GF + UG Iteration 3'!P$16*(C135^'GF + UG Iteration 3'!P$15)</f>
        <v>11.761148428457851</v>
      </c>
      <c r="E135" s="37">
        <f>'GF + UG Iteration 3'!E135</f>
        <v>1982</v>
      </c>
      <c r="F135" s="35">
        <f>'GF + UG Iteration 3'!F135</f>
        <v>9.8710000000000004</v>
      </c>
      <c r="G135" s="36">
        <f>'GF + UG Iteration 3'!G135</f>
        <v>9.1566982400815444</v>
      </c>
      <c r="H135" s="38">
        <f>'GF + UG Iteration 3'!H135</f>
        <v>2009</v>
      </c>
      <c r="I135" s="35">
        <f t="shared" si="10"/>
        <v>24.3</v>
      </c>
      <c r="J135" s="36">
        <f t="shared" si="11"/>
        <v>20.917846668539397</v>
      </c>
      <c r="K135" s="38">
        <f t="shared" si="12"/>
        <v>2009</v>
      </c>
      <c r="M135" s="21">
        <f t="shared" si="8"/>
        <v>3.1904763503465028</v>
      </c>
      <c r="N135" s="21">
        <f t="shared" si="9"/>
        <v>3.040602702184712</v>
      </c>
    </row>
    <row r="136" spans="1:14" x14ac:dyDescent="0.2">
      <c r="A136" s="33">
        <f>'GF + UG Iteration 3'!A136</f>
        <v>365</v>
      </c>
      <c r="B136" s="34" t="str">
        <f>'GF + UG Iteration 3'!B136</f>
        <v>UG</v>
      </c>
      <c r="C136" s="35">
        <f>'GF + UG Iteration 3'!C136</f>
        <v>15.9</v>
      </c>
      <c r="D136" s="36">
        <f>'GF + UG Iteration 3'!P$16*(C136^'GF + UG Iteration 3'!P$15)</f>
        <v>12.423056228448727</v>
      </c>
      <c r="E136" s="37">
        <f>'GF + UG Iteration 3'!E136</f>
        <v>1982</v>
      </c>
      <c r="F136" s="35">
        <f>'GF + UG Iteration 3'!F136</f>
        <v>0.26900000000000013</v>
      </c>
      <c r="G136" s="36">
        <f>'GF + UG Iteration 3'!G136</f>
        <v>0.59607313292480213</v>
      </c>
      <c r="H136" s="38">
        <f>'GF + UG Iteration 3'!H136</f>
        <v>2003</v>
      </c>
      <c r="I136" s="35">
        <f t="shared" si="10"/>
        <v>16.169</v>
      </c>
      <c r="J136" s="36">
        <f t="shared" si="11"/>
        <v>13.01912936137353</v>
      </c>
      <c r="K136" s="38">
        <f t="shared" si="12"/>
        <v>2003</v>
      </c>
      <c r="M136" s="21">
        <f t="shared" ref="M136:M183" si="18">LN(I136)</f>
        <v>2.7830958287576775</v>
      </c>
      <c r="N136" s="21">
        <f t="shared" ref="N136:N183" si="19">LN(J136)</f>
        <v>2.5664197652184204</v>
      </c>
    </row>
    <row r="137" spans="1:14" x14ac:dyDescent="0.2">
      <c r="A137" s="33">
        <f>'GF + UG Iteration 3'!A137</f>
        <v>708</v>
      </c>
      <c r="B137" s="34" t="str">
        <f>'GF + UG Iteration 3'!B137</f>
        <v>UG</v>
      </c>
      <c r="C137" s="35">
        <f>'GF + UG Iteration 3'!C137</f>
        <v>16.2</v>
      </c>
      <c r="D137" s="36">
        <f>'GF + UG Iteration 3'!P$16*(C137^'GF + UG Iteration 3'!P$15)</f>
        <v>12.554717262363702</v>
      </c>
      <c r="E137" s="37">
        <f>'GF + UG Iteration 3'!E137</f>
        <v>1982</v>
      </c>
      <c r="F137" s="35">
        <f>'GF + UG Iteration 3'!F137</f>
        <v>11.5</v>
      </c>
      <c r="G137" s="36">
        <f>'GF + UG Iteration 3'!G137</f>
        <v>6.8374623210633541</v>
      </c>
      <c r="H137" s="38">
        <f>'GF + UG Iteration 3'!H137</f>
        <v>2007</v>
      </c>
      <c r="I137" s="35">
        <f t="shared" si="10"/>
        <v>27.7</v>
      </c>
      <c r="J137" s="36">
        <f t="shared" si="11"/>
        <v>19.392179583427058</v>
      </c>
      <c r="K137" s="38">
        <f t="shared" si="12"/>
        <v>2007</v>
      </c>
      <c r="M137" s="21">
        <f t="shared" si="18"/>
        <v>3.3214324131932926</v>
      </c>
      <c r="N137" s="21">
        <f t="shared" si="19"/>
        <v>2.9648698705405514</v>
      </c>
    </row>
    <row r="138" spans="1:14" x14ac:dyDescent="0.2">
      <c r="A138" s="33">
        <f>'GF + UG Iteration 3'!A138</f>
        <v>1568</v>
      </c>
      <c r="B138" s="34" t="str">
        <f>'GF + UG Iteration 3'!B138</f>
        <v>UG</v>
      </c>
      <c r="C138" s="35">
        <f>'GF + UG Iteration 3'!C138</f>
        <v>27.7</v>
      </c>
      <c r="D138" s="36">
        <f>'GF + UG Iteration 3'!P$16*(C138^'GF + UG Iteration 3'!P$15)</f>
        <v>16.99021732406165</v>
      </c>
      <c r="E138" s="37">
        <f>'GF + UG Iteration 3'!E138</f>
        <v>1997</v>
      </c>
      <c r="F138" s="35">
        <f>'GF + UG Iteration 3'!F138</f>
        <v>8.0999999999999979</v>
      </c>
      <c r="G138" s="36">
        <f>'GF + UG Iteration 3'!G138</f>
        <v>3.5848996641236104</v>
      </c>
      <c r="H138" s="38">
        <f>'GF + UG Iteration 3'!H138</f>
        <v>2015</v>
      </c>
      <c r="I138" s="35">
        <f t="shared" si="10"/>
        <v>35.799999999999997</v>
      </c>
      <c r="J138" s="36">
        <f t="shared" si="11"/>
        <v>20.575116988185261</v>
      </c>
      <c r="K138" s="38">
        <f t="shared" si="12"/>
        <v>2015</v>
      </c>
      <c r="M138" s="21">
        <f t="shared" si="18"/>
        <v>3.5779478934066544</v>
      </c>
      <c r="N138" s="21">
        <f t="shared" si="19"/>
        <v>3.0240824324854989</v>
      </c>
    </row>
    <row r="139" spans="1:14" x14ac:dyDescent="0.2">
      <c r="A139" s="33">
        <f>'GF + UG Iteration 3'!A139</f>
        <v>398</v>
      </c>
      <c r="B139" s="34" t="str">
        <f>'GF + UG Iteration 3'!B139</f>
        <v>UG</v>
      </c>
      <c r="C139" s="35">
        <f>'GF + UG Iteration 3'!C139</f>
        <v>27.329000000000001</v>
      </c>
      <c r="D139" s="36">
        <f>'GF + UG Iteration 3'!P$16*(C139^'GF + UG Iteration 3'!P$15)</f>
        <v>16.861497291697354</v>
      </c>
      <c r="E139" s="37">
        <f>'GF + UG Iteration 3'!E139</f>
        <v>1981</v>
      </c>
      <c r="F139" s="35">
        <f>'GF + UG Iteration 3'!F139</f>
        <v>2</v>
      </c>
      <c r="G139" s="36">
        <f>'GF + UG Iteration 3'!G139</f>
        <v>1.454685054931611</v>
      </c>
      <c r="H139" s="38">
        <f>'GF + UG Iteration 3'!H139</f>
        <v>2004</v>
      </c>
      <c r="I139" s="35">
        <f t="shared" si="10"/>
        <v>29.329000000000001</v>
      </c>
      <c r="J139" s="36">
        <f t="shared" si="11"/>
        <v>18.316182346628967</v>
      </c>
      <c r="K139" s="38">
        <f t="shared" si="12"/>
        <v>2004</v>
      </c>
      <c r="M139" s="21">
        <f t="shared" si="18"/>
        <v>3.3785767876246213</v>
      </c>
      <c r="N139" s="21">
        <f t="shared" si="19"/>
        <v>2.9077849503376143</v>
      </c>
    </row>
    <row r="140" spans="1:14" x14ac:dyDescent="0.2">
      <c r="A140" s="33">
        <f>'GF + UG Iteration 3'!A140</f>
        <v>1642</v>
      </c>
      <c r="B140" s="34" t="str">
        <f>'GF + UG Iteration 3'!B140</f>
        <v>UG</v>
      </c>
      <c r="C140" s="35">
        <f>'GF + UG Iteration 3'!C140</f>
        <v>16.12</v>
      </c>
      <c r="D140" s="36">
        <f>'GF + UG Iteration 3'!P$16*(C140^'GF + UG Iteration 3'!P$15)</f>
        <v>12.519712349914824</v>
      </c>
      <c r="E140" s="37" t="str">
        <f>'GF + UG Iteration 3'!E140</f>
        <v>unknown</v>
      </c>
      <c r="F140" s="35">
        <f>'GF + UG Iteration 3'!F140</f>
        <v>2.7799999999999976</v>
      </c>
      <c r="G140" s="36">
        <f>'GF + UG Iteration 3'!G140</f>
        <v>10.134123990225088</v>
      </c>
      <c r="H140" s="38">
        <f>'GF + UG Iteration 3'!H140</f>
        <v>2015</v>
      </c>
      <c r="I140" s="35">
        <f t="shared" si="10"/>
        <v>18.899999999999999</v>
      </c>
      <c r="J140" s="36">
        <f t="shared" si="11"/>
        <v>22.653836340139911</v>
      </c>
      <c r="K140" s="38">
        <f t="shared" si="12"/>
        <v>2015</v>
      </c>
      <c r="M140" s="21">
        <f t="shared" si="18"/>
        <v>2.9391619220655967</v>
      </c>
      <c r="N140" s="21">
        <f t="shared" si="19"/>
        <v>3.1203292124273583</v>
      </c>
    </row>
    <row r="141" spans="1:14" x14ac:dyDescent="0.2">
      <c r="A141" s="33">
        <f>'GF + UG Iteration 3'!A141</f>
        <v>522</v>
      </c>
      <c r="B141" s="34" t="str">
        <f>'GF + UG Iteration 3'!B141</f>
        <v>UG</v>
      </c>
      <c r="C141" s="35">
        <f>'GF + UG Iteration 3'!C141</f>
        <v>38.700000000000003</v>
      </c>
      <c r="D141" s="36">
        <f>'GF + UG Iteration 3'!P$16*(C141^'GF + UG Iteration 3'!P$15)</f>
        <v>20.516782340879889</v>
      </c>
      <c r="E141" s="37">
        <f>'GF + UG Iteration 3'!E141</f>
        <v>1981</v>
      </c>
      <c r="F141" s="35">
        <f>'GF + UG Iteration 3'!F141</f>
        <v>2.2999999999999972</v>
      </c>
      <c r="G141" s="36">
        <f>'GF + UG Iteration 3'!G141</f>
        <v>0.49326793696611254</v>
      </c>
      <c r="H141" s="38">
        <f>'GF + UG Iteration 3'!H141</f>
        <v>2006</v>
      </c>
      <c r="I141" s="35">
        <f t="shared" si="10"/>
        <v>41</v>
      </c>
      <c r="J141" s="36">
        <f t="shared" si="11"/>
        <v>21.010050277846002</v>
      </c>
      <c r="K141" s="38">
        <f t="shared" si="12"/>
        <v>2006</v>
      </c>
      <c r="M141" s="21">
        <f t="shared" si="18"/>
        <v>3.713572066704308</v>
      </c>
      <c r="N141" s="21">
        <f t="shared" si="19"/>
        <v>3.0450009078976441</v>
      </c>
    </row>
    <row r="142" spans="1:14" x14ac:dyDescent="0.2">
      <c r="A142" s="33">
        <f>'GF + UG Iteration 3'!A142</f>
        <v>170</v>
      </c>
      <c r="B142" s="34" t="str">
        <f>'GF + UG Iteration 3'!B142</f>
        <v>UG</v>
      </c>
      <c r="C142" s="35">
        <f>'GF + UG Iteration 3'!C142</f>
        <v>20.399999999999999</v>
      </c>
      <c r="D142" s="36">
        <f>'GF + UG Iteration 3'!P$16*(C142^'GF + UG Iteration 3'!P$15)</f>
        <v>14.297885983299029</v>
      </c>
      <c r="E142" s="37" t="str">
        <f>'GF + UG Iteration 3'!E142</f>
        <v>unknown</v>
      </c>
      <c r="F142" s="35">
        <f>'GF + UG Iteration 3'!F142</f>
        <v>5.6000000000000014</v>
      </c>
      <c r="G142" s="36">
        <f>'GF + UG Iteration 3'!G142</f>
        <v>4.433742547698083</v>
      </c>
      <c r="H142" s="38">
        <f>'GF + UG Iteration 3'!H142</f>
        <v>2001</v>
      </c>
      <c r="I142" s="35">
        <f t="shared" si="10"/>
        <v>26</v>
      </c>
      <c r="J142" s="36">
        <f t="shared" si="11"/>
        <v>18.731628530997114</v>
      </c>
      <c r="K142" s="38">
        <f t="shared" si="12"/>
        <v>2001</v>
      </c>
      <c r="M142" s="21">
        <f t="shared" si="18"/>
        <v>3.2580965380214821</v>
      </c>
      <c r="N142" s="21">
        <f t="shared" si="19"/>
        <v>2.9302134604070211</v>
      </c>
    </row>
    <row r="143" spans="1:14" x14ac:dyDescent="0.2">
      <c r="A143" s="33">
        <f>'GF + UG Iteration 3'!A143</f>
        <v>1312</v>
      </c>
      <c r="B143" s="34" t="str">
        <f>'GF + UG Iteration 3'!B143</f>
        <v>UG</v>
      </c>
      <c r="C143" s="35">
        <f>'GF + UG Iteration 3'!C143</f>
        <v>23.63</v>
      </c>
      <c r="D143" s="36">
        <f>'GF + UG Iteration 3'!P$16*(C143^'GF + UG Iteration 3'!P$15)</f>
        <v>15.533664469336692</v>
      </c>
      <c r="E143" s="37" t="str">
        <f>'GF + UG Iteration 3'!E143</f>
        <v>unknown</v>
      </c>
      <c r="F143" s="35">
        <f>'GF + UG Iteration 3'!F143</f>
        <v>0</v>
      </c>
      <c r="G143" s="36">
        <f>'GF + UG Iteration 3'!G143</f>
        <v>6.0245111186360631</v>
      </c>
      <c r="H143" s="38">
        <f>'GF + UG Iteration 3'!H143</f>
        <v>2013</v>
      </c>
      <c r="I143" s="35">
        <f t="shared" si="10"/>
        <v>23.63</v>
      </c>
      <c r="J143" s="36">
        <f t="shared" si="11"/>
        <v>21.558175587972755</v>
      </c>
      <c r="K143" s="38">
        <f t="shared" si="12"/>
        <v>2013</v>
      </c>
      <c r="M143" s="21">
        <f t="shared" si="18"/>
        <v>3.1625170911988163</v>
      </c>
      <c r="N143" s="21">
        <f t="shared" si="19"/>
        <v>3.0707551222364051</v>
      </c>
    </row>
    <row r="144" spans="1:14" x14ac:dyDescent="0.2">
      <c r="A144" s="33">
        <f>'GF + UG Iteration 3'!A144</f>
        <v>170</v>
      </c>
      <c r="B144" s="34" t="str">
        <f>'GF + UG Iteration 3'!B144</f>
        <v>UG</v>
      </c>
      <c r="C144" s="35">
        <f>'GF + UG Iteration 3'!C144</f>
        <v>21.6</v>
      </c>
      <c r="D144" s="36">
        <f>'GF + UG Iteration 3'!P$16*(C144^'GF + UG Iteration 3'!P$15)</f>
        <v>14.766321419454719</v>
      </c>
      <c r="E144" s="37" t="str">
        <f>'GF + UG Iteration 3'!E144</f>
        <v>unknown</v>
      </c>
      <c r="F144" s="35">
        <f>'GF + UG Iteration 3'!F144</f>
        <v>1</v>
      </c>
      <c r="G144" s="36">
        <f>'GF + UG Iteration 3'!G144</f>
        <v>4.8829870198591019</v>
      </c>
      <c r="H144" s="38">
        <f>'GF + UG Iteration 3'!H144</f>
        <v>2001</v>
      </c>
      <c r="I144" s="35">
        <f t="shared" si="10"/>
        <v>22.6</v>
      </c>
      <c r="J144" s="36">
        <f t="shared" si="11"/>
        <v>19.64930843931382</v>
      </c>
      <c r="K144" s="38">
        <f t="shared" si="12"/>
        <v>2001</v>
      </c>
      <c r="M144" s="21">
        <f t="shared" si="18"/>
        <v>3.1179499062782403</v>
      </c>
      <c r="N144" s="21">
        <f t="shared" si="19"/>
        <v>2.9780421437678997</v>
      </c>
    </row>
    <row r="145" spans="1:14" x14ac:dyDescent="0.2">
      <c r="A145" s="33">
        <f>'GF + UG Iteration 3'!A145</f>
        <v>1366</v>
      </c>
      <c r="B145" s="34" t="str">
        <f>'GF + UG Iteration 3'!B145</f>
        <v>UG</v>
      </c>
      <c r="C145" s="35">
        <f>'GF + UG Iteration 3'!C145</f>
        <v>25.5</v>
      </c>
      <c r="D145" s="36">
        <f>'GF + UG Iteration 3'!P$16*(C145^'GF + UG Iteration 3'!P$15)</f>
        <v>16.21545073834492</v>
      </c>
      <c r="E145" s="37">
        <f>'GF + UG Iteration 3'!E145</f>
        <v>0</v>
      </c>
      <c r="F145" s="35">
        <f>'GF + UG Iteration 3'!F145</f>
        <v>14</v>
      </c>
      <c r="G145" s="36">
        <f>'GF + UG Iteration 3'!G145</f>
        <v>5.5737060104438019</v>
      </c>
      <c r="H145" s="38">
        <f>'GF + UG Iteration 3'!H145</f>
        <v>2013</v>
      </c>
      <c r="I145" s="35">
        <f t="shared" si="10"/>
        <v>39.5</v>
      </c>
      <c r="J145" s="36">
        <f t="shared" si="11"/>
        <v>21.78915674878872</v>
      </c>
      <c r="K145" s="38">
        <f t="shared" si="12"/>
        <v>2013</v>
      </c>
      <c r="M145" s="21">
        <f t="shared" si="18"/>
        <v>3.6763006719070761</v>
      </c>
      <c r="N145" s="21">
        <f t="shared" si="19"/>
        <v>3.0814124492076442</v>
      </c>
    </row>
    <row r="146" spans="1:14" x14ac:dyDescent="0.2">
      <c r="A146" s="33">
        <f>'GF + UG Iteration 3'!A146</f>
        <v>170</v>
      </c>
      <c r="B146" s="34" t="str">
        <f>'GF + UG Iteration 3'!B146</f>
        <v>UG</v>
      </c>
      <c r="C146" s="35">
        <f>'GF + UG Iteration 3'!C146</f>
        <v>5.4</v>
      </c>
      <c r="D146" s="36">
        <f>'GF + UG Iteration 3'!P$16*(C146^'GF + UG Iteration 3'!P$15)</f>
        <v>6.7563292166131275</v>
      </c>
      <c r="E146" s="37" t="str">
        <f>'GF + UG Iteration 3'!E146</f>
        <v>unknown</v>
      </c>
      <c r="F146" s="35">
        <f>'GF + UG Iteration 3'!F146</f>
        <v>10.6</v>
      </c>
      <c r="G146" s="36">
        <f>'GF + UG Iteration 3'!G146</f>
        <v>5.2097107088088661</v>
      </c>
      <c r="H146" s="38">
        <f>'GF + UG Iteration 3'!H146</f>
        <v>2001</v>
      </c>
      <c r="I146" s="35">
        <f t="shared" si="10"/>
        <v>16</v>
      </c>
      <c r="J146" s="36">
        <f t="shared" si="11"/>
        <v>11.966039925421994</v>
      </c>
      <c r="K146" s="38">
        <f t="shared" si="12"/>
        <v>2001</v>
      </c>
      <c r="M146" s="21">
        <f t="shared" si="18"/>
        <v>2.7725887222397811</v>
      </c>
      <c r="N146" s="21">
        <f t="shared" si="19"/>
        <v>2.4820726315343942</v>
      </c>
    </row>
    <row r="147" spans="1:14" x14ac:dyDescent="0.2">
      <c r="A147" s="33">
        <f>'GF + UG Iteration 3'!A147</f>
        <v>1350</v>
      </c>
      <c r="B147" s="34" t="str">
        <f>'GF + UG Iteration 3'!B147</f>
        <v>UG</v>
      </c>
      <c r="C147" s="35">
        <f>'GF + UG Iteration 3'!C147</f>
        <v>16</v>
      </c>
      <c r="D147" s="36">
        <f>'GF + UG Iteration 3'!P$16*(C147^'GF + UG Iteration 3'!P$15)</f>
        <v>12.467062639513385</v>
      </c>
      <c r="E147" s="37">
        <f>'GF + UG Iteration 3'!E147</f>
        <v>0</v>
      </c>
      <c r="F147" s="35">
        <f>'GF + UG Iteration 3'!F147</f>
        <v>20</v>
      </c>
      <c r="G147" s="36">
        <f>'GF + UG Iteration 3'!G147</f>
        <v>6.5300342953877131</v>
      </c>
      <c r="H147" s="38">
        <f>'GF + UG Iteration 3'!H147</f>
        <v>2013</v>
      </c>
      <c r="I147" s="35">
        <f t="shared" si="10"/>
        <v>36</v>
      </c>
      <c r="J147" s="36">
        <f t="shared" si="11"/>
        <v>18.997096934901098</v>
      </c>
      <c r="K147" s="38">
        <f t="shared" si="12"/>
        <v>2013</v>
      </c>
      <c r="M147" s="21">
        <f t="shared" si="18"/>
        <v>3.5835189384561099</v>
      </c>
      <c r="N147" s="21">
        <f t="shared" si="19"/>
        <v>2.9442861745924738</v>
      </c>
    </row>
    <row r="148" spans="1:14" x14ac:dyDescent="0.2">
      <c r="A148" s="33">
        <f>'GF + UG Iteration 3'!A148</f>
        <v>658</v>
      </c>
      <c r="B148" s="34" t="str">
        <f>'GF + UG Iteration 3'!B148</f>
        <v>UG</v>
      </c>
      <c r="C148" s="35">
        <f>'GF + UG Iteration 3'!C148</f>
        <v>1.6</v>
      </c>
      <c r="D148" s="36">
        <f>'GF + UG Iteration 3'!P$16*(C148^'GF + UG Iteration 3'!P$15)</f>
        <v>3.4022378721447333</v>
      </c>
      <c r="E148" s="37">
        <f>'GF + UG Iteration 3'!E148</f>
        <v>1996</v>
      </c>
      <c r="F148" s="35">
        <f>'GF + UG Iteration 3'!F148</f>
        <v>13.200000000000001</v>
      </c>
      <c r="G148" s="36">
        <f>'GF + UG Iteration 3'!G148</f>
        <v>7.1146692323992218</v>
      </c>
      <c r="H148" s="38">
        <f>'GF + UG Iteration 3'!H148</f>
        <v>2008</v>
      </c>
      <c r="I148" s="35">
        <f t="shared" si="10"/>
        <v>14.8</v>
      </c>
      <c r="J148" s="36">
        <f t="shared" si="11"/>
        <v>10.516907104543955</v>
      </c>
      <c r="K148" s="38">
        <f t="shared" si="12"/>
        <v>2008</v>
      </c>
      <c r="M148" s="21">
        <f t="shared" si="18"/>
        <v>2.6946271807700692</v>
      </c>
      <c r="N148" s="21">
        <f t="shared" si="19"/>
        <v>2.3529841626134536</v>
      </c>
    </row>
    <row r="149" spans="1:14" x14ac:dyDescent="0.2">
      <c r="A149" s="33">
        <f>'GF + UG Iteration 3'!A149</f>
        <v>897</v>
      </c>
      <c r="B149" s="34" t="str">
        <f>'GF + UG Iteration 3'!B149</f>
        <v>UG</v>
      </c>
      <c r="C149" s="35">
        <f>'GF + UG Iteration 3'!C149</f>
        <v>14.8</v>
      </c>
      <c r="D149" s="36">
        <f>'GF + UG Iteration 3'!P$16*(C149^'GF + UG Iteration 3'!P$15)</f>
        <v>11.930759653059578</v>
      </c>
      <c r="E149" s="37">
        <f>'GF + UG Iteration 3'!E149</f>
        <v>1996</v>
      </c>
      <c r="F149" s="35">
        <f>'GF + UG Iteration 3'!F149</f>
        <v>3</v>
      </c>
      <c r="G149" s="36">
        <f>'GF + UG Iteration 3'!G149</f>
        <v>6.2372112776035529</v>
      </c>
      <c r="H149" s="38">
        <f>'GF + UG Iteration 3'!H149</f>
        <v>2010</v>
      </c>
      <c r="I149" s="35">
        <f t="shared" si="10"/>
        <v>17.8</v>
      </c>
      <c r="J149" s="36">
        <f t="shared" si="11"/>
        <v>18.167970930663131</v>
      </c>
      <c r="K149" s="38">
        <f t="shared" si="12"/>
        <v>2010</v>
      </c>
      <c r="M149" s="21">
        <f t="shared" si="18"/>
        <v>2.8791984572980396</v>
      </c>
      <c r="N149" s="21">
        <f t="shared" si="19"/>
        <v>2.8996602047724269</v>
      </c>
    </row>
    <row r="150" spans="1:14" x14ac:dyDescent="0.2">
      <c r="A150" s="33">
        <f>'GF + UG Iteration 3'!A150</f>
        <v>483</v>
      </c>
      <c r="B150" s="34" t="str">
        <f>'GF + UG Iteration 3'!B150</f>
        <v>UG</v>
      </c>
      <c r="C150" s="35">
        <f>'GF + UG Iteration 3'!C150</f>
        <v>20.7</v>
      </c>
      <c r="D150" s="36">
        <f>'GF + UG Iteration 3'!P$16*(C150^'GF + UG Iteration 3'!P$15)</f>
        <v>14.416096691707112</v>
      </c>
      <c r="E150" s="37">
        <f>'GF + UG Iteration 3'!E150</f>
        <v>1986</v>
      </c>
      <c r="F150" s="35">
        <f>'GF + UG Iteration 3'!F150</f>
        <v>18.099999999999998</v>
      </c>
      <c r="G150" s="36">
        <f>'GF + UG Iteration 3'!G150</f>
        <v>3.6200694377675466</v>
      </c>
      <c r="H150" s="38">
        <f>'GF + UG Iteration 3'!H150</f>
        <v>2005</v>
      </c>
      <c r="I150" s="35">
        <f t="shared" si="10"/>
        <v>38.799999999999997</v>
      </c>
      <c r="J150" s="36">
        <f t="shared" si="11"/>
        <v>18.036166129474658</v>
      </c>
      <c r="K150" s="38">
        <f t="shared" si="12"/>
        <v>2005</v>
      </c>
      <c r="M150" s="21">
        <f t="shared" si="18"/>
        <v>3.6584202466292277</v>
      </c>
      <c r="N150" s="21">
        <f t="shared" si="19"/>
        <v>2.892378971509689</v>
      </c>
    </row>
    <row r="151" spans="1:14" x14ac:dyDescent="0.2">
      <c r="A151" s="33">
        <f>'GF + UG Iteration 3'!A151</f>
        <v>1494</v>
      </c>
      <c r="B151" s="34" t="str">
        <f>'GF + UG Iteration 3'!B151</f>
        <v>UG</v>
      </c>
      <c r="C151" s="35">
        <f>'GF + UG Iteration 3'!C151</f>
        <v>13.3</v>
      </c>
      <c r="D151" s="36">
        <f>'GF + UG Iteration 3'!P$16*(C151^'GF + UG Iteration 3'!P$15)</f>
        <v>11.232924493918404</v>
      </c>
      <c r="E151" s="37">
        <f>'GF + UG Iteration 3'!E151</f>
        <v>0</v>
      </c>
      <c r="F151" s="35">
        <f>'GF + UG Iteration 3'!F151</f>
        <v>6</v>
      </c>
      <c r="G151" s="36">
        <f>'GF + UG Iteration 3'!G151</f>
        <v>6.4297485673579153</v>
      </c>
      <c r="H151" s="38">
        <f>'GF + UG Iteration 3'!H151</f>
        <v>2014</v>
      </c>
      <c r="I151" s="35">
        <f t="shared" si="10"/>
        <v>19.3</v>
      </c>
      <c r="J151" s="36">
        <f t="shared" si="11"/>
        <v>17.662673061276319</v>
      </c>
      <c r="K151" s="38">
        <f t="shared" si="12"/>
        <v>2014</v>
      </c>
      <c r="M151" s="21">
        <f t="shared" si="18"/>
        <v>2.9601050959108397</v>
      </c>
      <c r="N151" s="21">
        <f t="shared" si="19"/>
        <v>2.8714535461948483</v>
      </c>
    </row>
    <row r="152" spans="1:14" x14ac:dyDescent="0.2">
      <c r="A152" s="33">
        <f>'GF + UG Iteration 3'!A152</f>
        <v>488</v>
      </c>
      <c r="B152" s="34" t="str">
        <f>'GF + UG Iteration 3'!B152</f>
        <v>UG</v>
      </c>
      <c r="C152" s="35">
        <f>'GF + UG Iteration 3'!C152</f>
        <v>41.3</v>
      </c>
      <c r="D152" s="36">
        <f>'GF + UG Iteration 3'!P$16*(C152^'GF + UG Iteration 3'!P$15)</f>
        <v>21.283158578632115</v>
      </c>
      <c r="E152" s="37">
        <f>'GF + UG Iteration 3'!E152</f>
        <v>1982</v>
      </c>
      <c r="F152" s="35">
        <f>'GF + UG Iteration 3'!F152</f>
        <v>24.200000000000003</v>
      </c>
      <c r="G152" s="36">
        <f>'GF + UG Iteration 3'!G152</f>
        <v>0.40462675342078769</v>
      </c>
      <c r="H152" s="38">
        <f>'GF + UG Iteration 3'!H152</f>
        <v>2006</v>
      </c>
      <c r="I152" s="35">
        <f t="shared" si="10"/>
        <v>65.5</v>
      </c>
      <c r="J152" s="36">
        <f t="shared" si="11"/>
        <v>21.687785332052904</v>
      </c>
      <c r="K152" s="38">
        <f t="shared" si="12"/>
        <v>2006</v>
      </c>
      <c r="M152" s="21">
        <f t="shared" si="18"/>
        <v>4.1820501426412067</v>
      </c>
      <c r="N152" s="21">
        <f t="shared" si="19"/>
        <v>3.076749214141703</v>
      </c>
    </row>
    <row r="153" spans="1:14" x14ac:dyDescent="0.2">
      <c r="A153" s="33">
        <f>'GF + UG Iteration 3'!A153</f>
        <v>1692</v>
      </c>
      <c r="B153" s="34" t="str">
        <f>'GF + UG Iteration 3'!B153</f>
        <v>UG</v>
      </c>
      <c r="C153" s="35">
        <f>'GF + UG Iteration 3'!C153</f>
        <v>65.5</v>
      </c>
      <c r="D153" s="36">
        <f>'GF + UG Iteration 3'!P$16*(C153^'GF + UG Iteration 3'!P$15)</f>
        <v>27.60579370449393</v>
      </c>
      <c r="E153" s="37">
        <f>'GF + UG Iteration 3'!E153</f>
        <v>0</v>
      </c>
      <c r="F153" s="35">
        <f>'GF + UG Iteration 3'!F153</f>
        <v>0</v>
      </c>
      <c r="G153" s="36">
        <f>'GF + UG Iteration 3'!G153</f>
        <v>2.2188176481219593</v>
      </c>
      <c r="H153" s="38">
        <f>'GF + UG Iteration 3'!H153</f>
        <v>2016</v>
      </c>
      <c r="I153" s="35">
        <f t="shared" si="10"/>
        <v>65.5</v>
      </c>
      <c r="J153" s="36">
        <f t="shared" si="11"/>
        <v>29.824611352615889</v>
      </c>
      <c r="K153" s="38">
        <f t="shared" si="12"/>
        <v>2016</v>
      </c>
      <c r="M153" s="21">
        <f t="shared" si="18"/>
        <v>4.1820501426412067</v>
      </c>
      <c r="N153" s="21">
        <f t="shared" si="19"/>
        <v>3.3953339369725346</v>
      </c>
    </row>
    <row r="154" spans="1:14" x14ac:dyDescent="0.2">
      <c r="A154" s="33">
        <f>'GF + UG Iteration 3'!A154</f>
        <v>318</v>
      </c>
      <c r="B154" s="34" t="str">
        <f>'GF + UG Iteration 3'!B154</f>
        <v>UG</v>
      </c>
      <c r="C154" s="35">
        <f>'GF + UG Iteration 3'!C154</f>
        <v>22.87</v>
      </c>
      <c r="D154" s="36">
        <f>'GF + UG Iteration 3'!P$16*(C154^'GF + UG Iteration 3'!P$15)</f>
        <v>15.249882780925629</v>
      </c>
      <c r="E154" s="37">
        <f>'GF + UG Iteration 3'!E154</f>
        <v>1996</v>
      </c>
      <c r="F154" s="35">
        <f>'GF + UG Iteration 3'!F154</f>
        <v>1</v>
      </c>
      <c r="G154" s="36">
        <f>'GF + UG Iteration 3'!G154</f>
        <v>0.76702040063252341</v>
      </c>
      <c r="H154" s="38">
        <f>'GF + UG Iteration 3'!H154</f>
        <v>2001</v>
      </c>
      <c r="I154" s="35">
        <f t="shared" si="10"/>
        <v>23.87</v>
      </c>
      <c r="J154" s="36">
        <f t="shared" si="11"/>
        <v>16.016903181558153</v>
      </c>
      <c r="K154" s="38">
        <f t="shared" si="12"/>
        <v>2001</v>
      </c>
      <c r="M154" s="21">
        <f t="shared" si="18"/>
        <v>3.1726224403507386</v>
      </c>
      <c r="N154" s="21">
        <f t="shared" si="19"/>
        <v>2.7736446134377997</v>
      </c>
    </row>
    <row r="155" spans="1:14" x14ac:dyDescent="0.2">
      <c r="A155" s="33">
        <f>'GF + UG Iteration 3'!A155</f>
        <v>806</v>
      </c>
      <c r="B155" s="34" t="str">
        <f>'GF + UG Iteration 3'!B155</f>
        <v>UG</v>
      </c>
      <c r="C155" s="35">
        <f>'GF + UG Iteration 3'!C155</f>
        <v>23.867000000000001</v>
      </c>
      <c r="D155" s="36">
        <f>'GF + UG Iteration 3'!P$16*(C155^'GF + UG Iteration 3'!P$15)</f>
        <v>15.621342577723372</v>
      </c>
      <c r="E155" s="37">
        <f>'GF + UG Iteration 3'!E155</f>
        <v>1996</v>
      </c>
      <c r="F155" s="35">
        <f>'GF + UG Iteration 3'!F155</f>
        <v>5.4329999999999998</v>
      </c>
      <c r="G155" s="36">
        <f>'GF + UG Iteration 3'!G155</f>
        <v>0.68947713107767894</v>
      </c>
      <c r="H155" s="38">
        <f>'GF + UG Iteration 3'!H155</f>
        <v>2008</v>
      </c>
      <c r="I155" s="35">
        <f t="shared" si="10"/>
        <v>29.3</v>
      </c>
      <c r="J155" s="36">
        <f t="shared" si="11"/>
        <v>16.310819708801052</v>
      </c>
      <c r="K155" s="38">
        <f t="shared" si="12"/>
        <v>2008</v>
      </c>
      <c r="M155" s="21">
        <f t="shared" si="18"/>
        <v>3.3775875160230218</v>
      </c>
      <c r="N155" s="21">
        <f t="shared" si="19"/>
        <v>2.7918286734203694</v>
      </c>
    </row>
    <row r="156" spans="1:14" x14ac:dyDescent="0.2">
      <c r="A156" s="33">
        <f>'GF + UG Iteration 3'!A156</f>
        <v>1495</v>
      </c>
      <c r="B156" s="34" t="str">
        <f>'GF + UG Iteration 3'!B156</f>
        <v>UG</v>
      </c>
      <c r="C156" s="35">
        <f>'GF + UG Iteration 3'!C156</f>
        <v>29.3</v>
      </c>
      <c r="D156" s="36">
        <f>'GF + UG Iteration 3'!P$16*(C156^'GF + UG Iteration 3'!P$15)</f>
        <v>17.536934065706866</v>
      </c>
      <c r="E156" s="37">
        <f>'GF + UG Iteration 3'!E156</f>
        <v>1996</v>
      </c>
      <c r="F156" s="35">
        <f>'GF + UG Iteration 3'!F156</f>
        <v>0</v>
      </c>
      <c r="G156" s="36">
        <f>'GF + UG Iteration 3'!G156</f>
        <v>5.142810508174632</v>
      </c>
      <c r="H156" s="38">
        <f>'GF + UG Iteration 3'!H156</f>
        <v>2014</v>
      </c>
      <c r="I156" s="35">
        <f t="shared" si="10"/>
        <v>29.3</v>
      </c>
      <c r="J156" s="36">
        <f t="shared" si="11"/>
        <v>22.6797445738815</v>
      </c>
      <c r="K156" s="38">
        <f t="shared" si="12"/>
        <v>2014</v>
      </c>
      <c r="M156" s="21">
        <f t="shared" si="18"/>
        <v>3.3775875160230218</v>
      </c>
      <c r="N156" s="21">
        <f t="shared" si="19"/>
        <v>3.1214722166215956</v>
      </c>
    </row>
    <row r="157" spans="1:14" x14ac:dyDescent="0.2">
      <c r="A157" s="33">
        <f>'GF + UG Iteration 3'!A157</f>
        <v>1386</v>
      </c>
      <c r="B157" s="34" t="str">
        <f>'GF + UG Iteration 3'!B157</f>
        <v>UG</v>
      </c>
      <c r="C157" s="35">
        <f>'GF + UG Iteration 3'!C157</f>
        <v>32.700000000000003</v>
      </c>
      <c r="D157" s="36">
        <f>'GF + UG Iteration 3'!P$16*(C157^'GF + UG Iteration 3'!P$15)</f>
        <v>18.657147214387003</v>
      </c>
      <c r="E157" s="37">
        <f>'GF + UG Iteration 3'!E157</f>
        <v>0</v>
      </c>
      <c r="F157" s="35">
        <f>'GF + UG Iteration 3'!F157</f>
        <v>13.5</v>
      </c>
      <c r="G157" s="36">
        <f>'GF + UG Iteration 3'!G157</f>
        <v>0.85934464632152285</v>
      </c>
      <c r="H157" s="38">
        <f>'GF + UG Iteration 3'!H157</f>
        <v>2013</v>
      </c>
      <c r="I157" s="35">
        <f t="shared" si="10"/>
        <v>46.2</v>
      </c>
      <c r="J157" s="36">
        <f t="shared" si="11"/>
        <v>19.516491860708527</v>
      </c>
      <c r="K157" s="38">
        <f t="shared" si="12"/>
        <v>2013</v>
      </c>
      <c r="M157" s="21">
        <f t="shared" si="18"/>
        <v>3.8329797980876932</v>
      </c>
      <c r="N157" s="21">
        <f t="shared" si="19"/>
        <v>2.9712598445827392</v>
      </c>
    </row>
    <row r="158" spans="1:14" x14ac:dyDescent="0.2">
      <c r="A158" s="33">
        <f>'GF + UG Iteration 3'!A158</f>
        <v>928</v>
      </c>
      <c r="B158" s="34" t="str">
        <f>'GF + UG Iteration 3'!B158</f>
        <v>UG</v>
      </c>
      <c r="C158" s="35">
        <f>'GF + UG Iteration 3'!C158</f>
        <v>18.02</v>
      </c>
      <c r="D158" s="36">
        <f>'GF + UG Iteration 3'!P$16*(C158^'GF + UG Iteration 3'!P$15)</f>
        <v>13.331718762248249</v>
      </c>
      <c r="E158" s="37">
        <f>'GF + UG Iteration 3'!E158</f>
        <v>1992</v>
      </c>
      <c r="F158" s="35">
        <f>'GF + UG Iteration 3'!F158</f>
        <v>3.4800000000000004</v>
      </c>
      <c r="G158" s="36">
        <f>'GF + UG Iteration 3'!G158</f>
        <v>10.364367944955573</v>
      </c>
      <c r="H158" s="38">
        <f>'GF + UG Iteration 3'!H158</f>
        <v>2010</v>
      </c>
      <c r="I158" s="35">
        <f t="shared" si="10"/>
        <v>21.5</v>
      </c>
      <c r="J158" s="36">
        <f t="shared" si="11"/>
        <v>23.696086707203822</v>
      </c>
      <c r="K158" s="38">
        <f t="shared" si="12"/>
        <v>2010</v>
      </c>
      <c r="M158" s="21">
        <f t="shared" si="18"/>
        <v>3.068052935133617</v>
      </c>
      <c r="N158" s="21">
        <f t="shared" si="19"/>
        <v>3.1653099166681331</v>
      </c>
    </row>
    <row r="159" spans="1:14" x14ac:dyDescent="0.2">
      <c r="A159" s="33">
        <f>'GF + UG Iteration 3'!A159</f>
        <v>1450</v>
      </c>
      <c r="B159" s="34" t="str">
        <f>'GF + UG Iteration 3'!B159</f>
        <v>UG</v>
      </c>
      <c r="C159" s="35">
        <f>'GF + UG Iteration 3'!C159</f>
        <v>21.5</v>
      </c>
      <c r="D159" s="36">
        <f>'GF + UG Iteration 3'!P$16*(C159^'GF + UG Iteration 3'!P$15)</f>
        <v>14.7277259499694</v>
      </c>
      <c r="E159" s="37">
        <f>'GF + UG Iteration 3'!E159</f>
        <v>1992</v>
      </c>
      <c r="F159" s="35">
        <f>'GF + UG Iteration 3'!F159</f>
        <v>16.299999999999997</v>
      </c>
      <c r="G159" s="36">
        <f>'GF + UG Iteration 3'!G159</f>
        <v>5.1529943993409928</v>
      </c>
      <c r="H159" s="38">
        <f>'GF + UG Iteration 3'!H159</f>
        <v>2014</v>
      </c>
      <c r="I159" s="35">
        <f t="shared" si="10"/>
        <v>37.799999999999997</v>
      </c>
      <c r="J159" s="36">
        <f t="shared" si="11"/>
        <v>19.880720349310394</v>
      </c>
      <c r="K159" s="38">
        <f t="shared" si="12"/>
        <v>2014</v>
      </c>
      <c r="M159" s="21">
        <f t="shared" si="18"/>
        <v>3.6323091026255421</v>
      </c>
      <c r="N159" s="21">
        <f t="shared" si="19"/>
        <v>2.9897504354467292</v>
      </c>
    </row>
    <row r="160" spans="1:14" x14ac:dyDescent="0.2">
      <c r="A160" s="33">
        <f>'GF + UG Iteration 3'!A160</f>
        <v>170</v>
      </c>
      <c r="B160" s="34" t="str">
        <f>'GF + UG Iteration 3'!B160</f>
        <v>UG</v>
      </c>
      <c r="C160" s="35">
        <f>'GF + UG Iteration 3'!C160</f>
        <v>17.7</v>
      </c>
      <c r="D160" s="36">
        <f>'GF + UG Iteration 3'!P$16*(C160^'GF + UG Iteration 3'!P$15)</f>
        <v>13.197673199998155</v>
      </c>
      <c r="E160" s="37" t="str">
        <f>'GF + UG Iteration 3'!E160</f>
        <v>unknown</v>
      </c>
      <c r="F160" s="35">
        <f>'GF + UG Iteration 3'!F160</f>
        <v>8.8000000000000007</v>
      </c>
      <c r="G160" s="36">
        <f>'GF + UG Iteration 3'!G160</f>
        <v>1.1342290648673055</v>
      </c>
      <c r="H160" s="38">
        <f>'GF + UG Iteration 3'!H160</f>
        <v>2001</v>
      </c>
      <c r="I160" s="35">
        <f t="shared" si="10"/>
        <v>26.5</v>
      </c>
      <c r="J160" s="36">
        <f t="shared" si="11"/>
        <v>14.331902264865461</v>
      </c>
      <c r="K160" s="38">
        <f t="shared" si="12"/>
        <v>2001</v>
      </c>
      <c r="M160" s="21">
        <f t="shared" si="18"/>
        <v>3.2771447329921766</v>
      </c>
      <c r="N160" s="21">
        <f t="shared" si="19"/>
        <v>2.6624879800547792</v>
      </c>
    </row>
    <row r="161" spans="1:14" x14ac:dyDescent="0.2">
      <c r="A161" s="33">
        <f>'GF + UG Iteration 3'!A161</f>
        <v>649</v>
      </c>
      <c r="B161" s="34" t="str">
        <f>'GF + UG Iteration 3'!B161</f>
        <v>UG</v>
      </c>
      <c r="C161" s="35">
        <f>'GF + UG Iteration 3'!C161</f>
        <v>26.5</v>
      </c>
      <c r="D161" s="36">
        <f>'GF + UG Iteration 3'!P$16*(C161^'GF + UG Iteration 3'!P$15)</f>
        <v>16.571088145071307</v>
      </c>
      <c r="E161" s="37">
        <f>'GF + UG Iteration 3'!E161</f>
        <v>1997</v>
      </c>
      <c r="F161" s="35">
        <f>'GF + UG Iteration 3'!F161</f>
        <v>33.799999999999997</v>
      </c>
      <c r="G161" s="36">
        <f>'GF + UG Iteration 3'!G161</f>
        <v>5.0180795362586865</v>
      </c>
      <c r="H161" s="38">
        <f>'GF + UG Iteration 3'!H161</f>
        <v>2007</v>
      </c>
      <c r="I161" s="35">
        <f t="shared" si="10"/>
        <v>60.3</v>
      </c>
      <c r="J161" s="36">
        <f t="shared" si="11"/>
        <v>21.589167681329993</v>
      </c>
      <c r="K161" s="38">
        <f t="shared" si="12"/>
        <v>2007</v>
      </c>
      <c r="M161" s="21">
        <f t="shared" si="18"/>
        <v>4.0993321037331398</v>
      </c>
      <c r="N161" s="21">
        <f t="shared" si="19"/>
        <v>3.0721916926641022</v>
      </c>
    </row>
    <row r="162" spans="1:14" x14ac:dyDescent="0.2">
      <c r="A162" s="33">
        <f>'GF + UG Iteration 3'!A162</f>
        <v>1203</v>
      </c>
      <c r="B162" s="34" t="str">
        <f>'GF + UG Iteration 3'!B162</f>
        <v>UG</v>
      </c>
      <c r="C162" s="35">
        <f>'GF + UG Iteration 3'!C162</f>
        <v>20.5</v>
      </c>
      <c r="D162" s="36">
        <f>'GF + UG Iteration 3'!P$16*(C162^'GF + UG Iteration 3'!P$15)</f>
        <v>14.337373251975814</v>
      </c>
      <c r="E162" s="37">
        <f>'GF + UG Iteration 3'!E162</f>
        <v>1977</v>
      </c>
      <c r="F162" s="35">
        <f>'GF + UG Iteration 3'!F162</f>
        <v>4.1000000000000014</v>
      </c>
      <c r="G162" s="36">
        <f>'GF + UG Iteration 3'!G162</f>
        <v>12.443615523285567</v>
      </c>
      <c r="H162" s="38">
        <f>'GF + UG Iteration 3'!H162</f>
        <v>2012</v>
      </c>
      <c r="I162" s="35">
        <f t="shared" si="10"/>
        <v>24.6</v>
      </c>
      <c r="J162" s="36">
        <f t="shared" si="11"/>
        <v>26.780988775261381</v>
      </c>
      <c r="K162" s="38">
        <f t="shared" si="12"/>
        <v>2012</v>
      </c>
      <c r="M162" s="21">
        <f t="shared" si="18"/>
        <v>3.202746442938317</v>
      </c>
      <c r="N162" s="21">
        <f t="shared" si="19"/>
        <v>3.2876922617345716</v>
      </c>
    </row>
    <row r="163" spans="1:14" x14ac:dyDescent="0.2">
      <c r="A163" s="33">
        <f>'GF + UG Iteration 3'!A163</f>
        <v>170</v>
      </c>
      <c r="B163" s="34" t="str">
        <f>'GF + UG Iteration 3'!B163</f>
        <v>UG</v>
      </c>
      <c r="C163" s="35">
        <f>'GF + UG Iteration 3'!C163</f>
        <v>7.9</v>
      </c>
      <c r="D163" s="36">
        <f>'GF + UG Iteration 3'!P$16*(C163^'GF + UG Iteration 3'!P$15)</f>
        <v>8.373409179777914</v>
      </c>
      <c r="E163" s="37">
        <f>'GF + UG Iteration 3'!E163</f>
        <v>1972</v>
      </c>
      <c r="F163" s="35">
        <f>'GF + UG Iteration 3'!F163</f>
        <v>6.1</v>
      </c>
      <c r="G163" s="36">
        <f>'GF + UG Iteration 3'!G163</f>
        <v>2.9004939377112939</v>
      </c>
      <c r="H163" s="38">
        <f>'GF + UG Iteration 3'!H163</f>
        <v>2001</v>
      </c>
      <c r="I163" s="35">
        <f t="shared" si="10"/>
        <v>14</v>
      </c>
      <c r="J163" s="36">
        <f t="shared" si="11"/>
        <v>11.273903117489208</v>
      </c>
      <c r="K163" s="38">
        <f t="shared" si="12"/>
        <v>2001</v>
      </c>
      <c r="M163" s="21">
        <f t="shared" si="18"/>
        <v>2.6390573296152584</v>
      </c>
      <c r="N163" s="21">
        <f t="shared" si="19"/>
        <v>2.4224905961764072</v>
      </c>
    </row>
    <row r="164" spans="1:14" x14ac:dyDescent="0.2">
      <c r="A164" s="33">
        <f>'GF + UG Iteration 3'!A164</f>
        <v>363</v>
      </c>
      <c r="B164" s="34" t="str">
        <f>'GF + UG Iteration 3'!B164</f>
        <v>UG</v>
      </c>
      <c r="C164" s="35">
        <f>'GF + UG Iteration 3'!C164</f>
        <v>21.225999999999999</v>
      </c>
      <c r="D164" s="36">
        <f>'GF + UG Iteration 3'!P$16*(C164^'GF + UG Iteration 3'!P$15)</f>
        <v>14.621571357433506</v>
      </c>
      <c r="E164" s="37">
        <f>'GF + UG Iteration 3'!E164</f>
        <v>1975</v>
      </c>
      <c r="F164" s="35">
        <f>'GF + UG Iteration 3'!F164</f>
        <v>4.1999999999999993</v>
      </c>
      <c r="G164" s="36">
        <f>'GF + UG Iteration 3'!G164</f>
        <v>0.82194253395528394</v>
      </c>
      <c r="H164" s="38">
        <f>'GF + UG Iteration 3'!H164</f>
        <v>2004</v>
      </c>
      <c r="I164" s="35">
        <f t="shared" si="10"/>
        <v>25.425999999999998</v>
      </c>
      <c r="J164" s="36">
        <f t="shared" si="11"/>
        <v>15.44351389138879</v>
      </c>
      <c r="K164" s="38">
        <f t="shared" si="12"/>
        <v>2004</v>
      </c>
      <c r="M164" s="21">
        <f t="shared" si="18"/>
        <v>3.2357722725279308</v>
      </c>
      <c r="N164" s="21">
        <f t="shared" si="19"/>
        <v>2.7371891023425725</v>
      </c>
    </row>
    <row r="165" spans="1:14" x14ac:dyDescent="0.2">
      <c r="A165" s="33">
        <f>'GF + UG Iteration 3'!A165</f>
        <v>493</v>
      </c>
      <c r="B165" s="34" t="str">
        <f>'GF + UG Iteration 3'!B165</f>
        <v>UG</v>
      </c>
      <c r="C165" s="35">
        <f>'GF + UG Iteration 3'!C165</f>
        <v>25.4</v>
      </c>
      <c r="D165" s="36">
        <f>'GF + UG Iteration 3'!P$16*(C165^'GF + UG Iteration 3'!P$15)</f>
        <v>16.179555292054935</v>
      </c>
      <c r="E165" s="37">
        <f>'GF + UG Iteration 3'!E165</f>
        <v>1975</v>
      </c>
      <c r="F165" s="35">
        <f>'GF + UG Iteration 3'!F165</f>
        <v>3.3000000000000007</v>
      </c>
      <c r="G165" s="36">
        <f>'GF + UG Iteration 3'!G165</f>
        <v>3.4002692913337142</v>
      </c>
      <c r="H165" s="38">
        <f>'GF + UG Iteration 3'!H165</f>
        <v>2006</v>
      </c>
      <c r="I165" s="35">
        <f t="shared" si="10"/>
        <v>28.7</v>
      </c>
      <c r="J165" s="36">
        <f t="shared" si="11"/>
        <v>19.57982458338865</v>
      </c>
      <c r="K165" s="38">
        <f t="shared" si="12"/>
        <v>2006</v>
      </c>
      <c r="M165" s="21">
        <f t="shared" si="18"/>
        <v>3.3568971227655755</v>
      </c>
      <c r="N165" s="21">
        <f t="shared" si="19"/>
        <v>2.9744996780933177</v>
      </c>
    </row>
    <row r="166" spans="1:14" x14ac:dyDescent="0.2">
      <c r="A166" s="33">
        <f>'GF + UG Iteration 3'!A166</f>
        <v>685</v>
      </c>
      <c r="B166" s="34" t="str">
        <f>'GF + UG Iteration 3'!B166</f>
        <v>UG</v>
      </c>
      <c r="C166" s="35">
        <f>'GF + UG Iteration 3'!C166</f>
        <v>28.7</v>
      </c>
      <c r="D166" s="36">
        <f>'GF + UG Iteration 3'!P$16*(C166^'GF + UG Iteration 3'!P$15)</f>
        <v>17.33347848803233</v>
      </c>
      <c r="E166" s="37">
        <f>'GF + UG Iteration 3'!E166</f>
        <v>1975</v>
      </c>
      <c r="F166" s="35">
        <f>'GF + UG Iteration 3'!F166</f>
        <v>4.1999999999999993</v>
      </c>
      <c r="G166" s="36">
        <f>'GF + UG Iteration 3'!G166</f>
        <v>0.94606982488538283</v>
      </c>
      <c r="H166" s="38">
        <f>'GF + UG Iteration 3'!H166</f>
        <v>2007</v>
      </c>
      <c r="I166" s="35">
        <f t="shared" si="10"/>
        <v>32.9</v>
      </c>
      <c r="J166" s="36">
        <f t="shared" si="11"/>
        <v>18.279548312917715</v>
      </c>
      <c r="K166" s="38">
        <f t="shared" si="12"/>
        <v>2007</v>
      </c>
      <c r="M166" s="21">
        <f t="shared" si="18"/>
        <v>3.493472657771326</v>
      </c>
      <c r="N166" s="21">
        <f t="shared" si="19"/>
        <v>2.9057828563617356</v>
      </c>
    </row>
    <row r="167" spans="1:14" x14ac:dyDescent="0.2">
      <c r="A167" s="33">
        <f>'GF + UG Iteration 3'!A167</f>
        <v>1574</v>
      </c>
      <c r="B167" s="34" t="str">
        <f>'GF + UG Iteration 3'!B167</f>
        <v>UG</v>
      </c>
      <c r="C167" s="35">
        <f>'GF + UG Iteration 3'!C167</f>
        <v>28</v>
      </c>
      <c r="D167" s="36">
        <f>'GF + UG Iteration 3'!P$16*(C167^'GF + UG Iteration 3'!P$15)</f>
        <v>17.093754858519357</v>
      </c>
      <c r="E167" s="37">
        <f>'GF + UG Iteration 3'!E167</f>
        <v>2013</v>
      </c>
      <c r="F167" s="35">
        <f>'GF + UG Iteration 3'!F167</f>
        <v>0</v>
      </c>
      <c r="G167" s="36">
        <f>'GF + UG Iteration 3'!G167</f>
        <v>6.2662260340537754</v>
      </c>
      <c r="H167" s="38">
        <f>'GF + UG Iteration 3'!H167</f>
        <v>2015</v>
      </c>
      <c r="I167" s="35">
        <f t="shared" si="10"/>
        <v>28</v>
      </c>
      <c r="J167" s="36">
        <f t="shared" si="11"/>
        <v>23.359980892573134</v>
      </c>
      <c r="K167" s="38">
        <f t="shared" si="12"/>
        <v>2015</v>
      </c>
      <c r="M167" s="21">
        <f t="shared" si="18"/>
        <v>3.3322045101752038</v>
      </c>
      <c r="N167" s="21">
        <f t="shared" si="19"/>
        <v>3.1510243400047746</v>
      </c>
    </row>
    <row r="168" spans="1:14" x14ac:dyDescent="0.2">
      <c r="A168" s="33">
        <f>'GF + UG Iteration 3'!A168</f>
        <v>435</v>
      </c>
      <c r="B168" s="34" t="str">
        <f>'GF + UG Iteration 3'!B168</f>
        <v>UG</v>
      </c>
      <c r="C168" s="35">
        <f>'GF + UG Iteration 3'!C168</f>
        <v>10.6</v>
      </c>
      <c r="D168" s="36">
        <f>'GF + UG Iteration 3'!P$16*(C168^'GF + UG Iteration 3'!P$15)</f>
        <v>9.8835525261166612</v>
      </c>
      <c r="E168" s="37">
        <f>'GF + UG Iteration 3'!E168</f>
        <v>1990</v>
      </c>
      <c r="F168" s="35">
        <f>'GF + UG Iteration 3'!F168</f>
        <v>8.4</v>
      </c>
      <c r="G168" s="36">
        <f>'GF + UG Iteration 3'!G168</f>
        <v>3.0773639102073269</v>
      </c>
      <c r="H168" s="38">
        <f>'GF + UG Iteration 3'!H168</f>
        <v>2004</v>
      </c>
      <c r="I168" s="35">
        <f t="shared" si="10"/>
        <v>19</v>
      </c>
      <c r="J168" s="36">
        <f t="shared" si="11"/>
        <v>12.960916436323988</v>
      </c>
      <c r="K168" s="38">
        <f t="shared" si="12"/>
        <v>2004</v>
      </c>
      <c r="M168" s="21">
        <f t="shared" si="18"/>
        <v>2.9444389791664403</v>
      </c>
      <c r="N168" s="21">
        <f t="shared" si="19"/>
        <v>2.5619384011034252</v>
      </c>
    </row>
    <row r="169" spans="1:14" x14ac:dyDescent="0.2">
      <c r="A169" s="33">
        <f>'GF + UG Iteration 3'!A169</f>
        <v>652</v>
      </c>
      <c r="B169" s="34" t="str">
        <f>'GF + UG Iteration 3'!B169</f>
        <v>UG</v>
      </c>
      <c r="C169" s="35">
        <f>'GF + UG Iteration 3'!C169</f>
        <v>10.195</v>
      </c>
      <c r="D169" s="36">
        <f>'GF + UG Iteration 3'!P$16*(C169^'GF + UG Iteration 3'!P$15)</f>
        <v>9.668764302216923</v>
      </c>
      <c r="E169" s="37">
        <f>'GF + UG Iteration 3'!E169</f>
        <v>1986</v>
      </c>
      <c r="F169" s="35">
        <f>'GF + UG Iteration 3'!F169</f>
        <v>3.4049999999999994</v>
      </c>
      <c r="G169" s="36">
        <f>'GF + UG Iteration 3'!G169</f>
        <v>4.380227937072533</v>
      </c>
      <c r="H169" s="38">
        <f>'GF + UG Iteration 3'!H169</f>
        <v>2007</v>
      </c>
      <c r="I169" s="35">
        <f t="shared" si="10"/>
        <v>13.6</v>
      </c>
      <c r="J169" s="36">
        <f t="shared" si="11"/>
        <v>14.048992239289456</v>
      </c>
      <c r="K169" s="38">
        <f t="shared" si="12"/>
        <v>2007</v>
      </c>
      <c r="M169" s="21">
        <f t="shared" si="18"/>
        <v>2.6100697927420065</v>
      </c>
      <c r="N169" s="21">
        <f t="shared" si="19"/>
        <v>2.6425506664663052</v>
      </c>
    </row>
    <row r="170" spans="1:14" x14ac:dyDescent="0.2">
      <c r="A170" s="33">
        <f>'GF + UG Iteration 3'!A170</f>
        <v>366</v>
      </c>
      <c r="B170" s="34" t="str">
        <f>'GF + UG Iteration 3'!B170</f>
        <v>UG</v>
      </c>
      <c r="C170" s="35">
        <f>'GF + UG Iteration 3'!C170</f>
        <v>11.1</v>
      </c>
      <c r="D170" s="36">
        <f>'GF + UG Iteration 3'!P$16*(C170^'GF + UG Iteration 3'!P$15)</f>
        <v>10.143847605269771</v>
      </c>
      <c r="E170" s="37">
        <f>'GF + UG Iteration 3'!E170</f>
        <v>1981</v>
      </c>
      <c r="F170" s="35">
        <f>'GF + UG Iteration 3'!F170</f>
        <v>4.8000000000000007</v>
      </c>
      <c r="G170" s="36">
        <f>'GF + UG Iteration 3'!G170</f>
        <v>0.60207988766843201</v>
      </c>
      <c r="H170" s="38">
        <f>'GF + UG Iteration 3'!H170</f>
        <v>2003</v>
      </c>
      <c r="I170" s="35">
        <f t="shared" si="10"/>
        <v>15.9</v>
      </c>
      <c r="J170" s="36">
        <f t="shared" si="11"/>
        <v>10.745927492938204</v>
      </c>
      <c r="K170" s="38">
        <f t="shared" si="12"/>
        <v>2003</v>
      </c>
      <c r="M170" s="21">
        <f t="shared" si="18"/>
        <v>2.7663191092261861</v>
      </c>
      <c r="N170" s="21">
        <f t="shared" si="19"/>
        <v>2.3745268449302652</v>
      </c>
    </row>
    <row r="171" spans="1:14" x14ac:dyDescent="0.2">
      <c r="A171" s="33">
        <f>'GF + UG Iteration 3'!A171</f>
        <v>1640</v>
      </c>
      <c r="B171" s="34" t="str">
        <f>'GF + UG Iteration 3'!B171</f>
        <v>UG</v>
      </c>
      <c r="C171" s="35">
        <f>'GF + UG Iteration 3'!C171</f>
        <v>15.9</v>
      </c>
      <c r="D171" s="36">
        <f>'GF + UG Iteration 3'!P$16*(C171^'GF + UG Iteration 3'!P$15)</f>
        <v>12.423056228448727</v>
      </c>
      <c r="E171" s="37">
        <f>'GF + UG Iteration 3'!E171</f>
        <v>1981</v>
      </c>
      <c r="F171" s="35">
        <f>'GF + UG Iteration 3'!F171</f>
        <v>2.4999999999999982</v>
      </c>
      <c r="G171" s="36">
        <f>'GF + UG Iteration 3'!G171</f>
        <v>8.3244002844443177</v>
      </c>
      <c r="H171" s="38">
        <f>'GF + UG Iteration 3'!H171</f>
        <v>2015</v>
      </c>
      <c r="I171" s="35">
        <f t="shared" si="10"/>
        <v>18.399999999999999</v>
      </c>
      <c r="J171" s="36">
        <f t="shared" si="11"/>
        <v>20.747456512893045</v>
      </c>
      <c r="K171" s="38">
        <f t="shared" si="12"/>
        <v>2015</v>
      </c>
      <c r="M171" s="21">
        <f t="shared" si="18"/>
        <v>2.91235066461494</v>
      </c>
      <c r="N171" s="21">
        <f t="shared" si="19"/>
        <v>3.0324236614715465</v>
      </c>
    </row>
    <row r="172" spans="1:14" x14ac:dyDescent="0.2">
      <c r="A172" s="33">
        <f>'GF + UG Iteration 3'!A172</f>
        <v>367</v>
      </c>
      <c r="B172" s="34" t="str">
        <f>'GF + UG Iteration 3'!B172</f>
        <v>UG</v>
      </c>
      <c r="C172" s="35">
        <f>'GF + UG Iteration 3'!C172</f>
        <v>11.211</v>
      </c>
      <c r="D172" s="36">
        <f>'GF + UG Iteration 3'!P$16*(C172^'GF + UG Iteration 3'!P$15)</f>
        <v>10.20093472440433</v>
      </c>
      <c r="E172" s="37">
        <f>'GF + UG Iteration 3'!E172</f>
        <v>1988</v>
      </c>
      <c r="F172" s="35">
        <f>'GF + UG Iteration 3'!F172</f>
        <v>1</v>
      </c>
      <c r="G172" s="36">
        <f>'GF + UG Iteration 3'!G172</f>
        <v>0.55588557988620213</v>
      </c>
      <c r="H172" s="38">
        <f>'GF + UG Iteration 3'!H172</f>
        <v>2004</v>
      </c>
      <c r="I172" s="35">
        <f t="shared" si="10"/>
        <v>12.211</v>
      </c>
      <c r="J172" s="36">
        <f t="shared" si="11"/>
        <v>10.756820304290532</v>
      </c>
      <c r="K172" s="38">
        <f t="shared" si="12"/>
        <v>2004</v>
      </c>
      <c r="M172" s="21">
        <f t="shared" si="18"/>
        <v>2.5023371848508846</v>
      </c>
      <c r="N172" s="21">
        <f t="shared" si="19"/>
        <v>2.3755400003080638</v>
      </c>
    </row>
    <row r="173" spans="1:14" x14ac:dyDescent="0.2">
      <c r="A173" s="33">
        <f>'GF + UG Iteration 3'!A173</f>
        <v>650</v>
      </c>
      <c r="B173" s="34" t="str">
        <f>'GF + UG Iteration 3'!B173</f>
        <v>UG</v>
      </c>
      <c r="C173" s="35">
        <f>'GF + UG Iteration 3'!C173</f>
        <v>23</v>
      </c>
      <c r="D173" s="36">
        <f>'GF + UG Iteration 3'!P$16*(C173^'GF + UG Iteration 3'!P$15)</f>
        <v>15.298712625867067</v>
      </c>
      <c r="E173" s="37">
        <f>'GF + UG Iteration 3'!E173</f>
        <v>1981</v>
      </c>
      <c r="F173" s="35">
        <f>'GF + UG Iteration 3'!F173</f>
        <v>0</v>
      </c>
      <c r="G173" s="36">
        <f>'GF + UG Iteration 3'!G173</f>
        <v>5.9476879309059552</v>
      </c>
      <c r="H173" s="38">
        <f>'GF + UG Iteration 3'!H173</f>
        <v>2007</v>
      </c>
      <c r="I173" s="35">
        <f t="shared" si="10"/>
        <v>23</v>
      </c>
      <c r="J173" s="36">
        <f t="shared" si="11"/>
        <v>21.246400556773022</v>
      </c>
      <c r="K173" s="38">
        <f t="shared" si="12"/>
        <v>2007</v>
      </c>
      <c r="M173" s="21">
        <f t="shared" si="18"/>
        <v>3.1354942159291497</v>
      </c>
      <c r="N173" s="21">
        <f t="shared" si="19"/>
        <v>3.0561874954594486</v>
      </c>
    </row>
    <row r="174" spans="1:14" x14ac:dyDescent="0.2">
      <c r="A174" s="33">
        <f>'GF + UG Iteration 3'!A174</f>
        <v>902</v>
      </c>
      <c r="B174" s="34" t="str">
        <f>'GF + UG Iteration 3'!B174</f>
        <v>UG</v>
      </c>
      <c r="C174" s="35">
        <f>'GF + UG Iteration 3'!C174</f>
        <v>19.2</v>
      </c>
      <c r="D174" s="36">
        <f>'GF + UG Iteration 3'!P$16*(C174^'GF + UG Iteration 3'!P$15)</f>
        <v>13.817272481396481</v>
      </c>
      <c r="E174" s="37">
        <f>'GF + UG Iteration 3'!E174</f>
        <v>2002</v>
      </c>
      <c r="F174" s="35">
        <f>'GF + UG Iteration 3'!F174</f>
        <v>13.500000000000004</v>
      </c>
      <c r="G174" s="36">
        <f>'GF + UG Iteration 3'!G174</f>
        <v>0.54699963688402187</v>
      </c>
      <c r="H174" s="38">
        <f>'GF + UG Iteration 3'!H174</f>
        <v>2009</v>
      </c>
      <c r="I174" s="35">
        <f t="shared" si="10"/>
        <v>32.700000000000003</v>
      </c>
      <c r="J174" s="36">
        <f t="shared" si="11"/>
        <v>14.364272118280503</v>
      </c>
      <c r="K174" s="38">
        <f t="shared" si="12"/>
        <v>2009</v>
      </c>
      <c r="M174" s="21">
        <f t="shared" si="18"/>
        <v>3.487375077903208</v>
      </c>
      <c r="N174" s="21">
        <f t="shared" si="19"/>
        <v>2.664744020648365</v>
      </c>
    </row>
    <row r="175" spans="1:14" x14ac:dyDescent="0.2">
      <c r="A175" s="33">
        <f>'GF + UG Iteration 3'!A175</f>
        <v>1202</v>
      </c>
      <c r="B175" s="34" t="str">
        <f>'GF + UG Iteration 3'!B175</f>
        <v>UG</v>
      </c>
      <c r="C175" s="35">
        <f>'GF + UG Iteration 3'!C175</f>
        <v>19.399999999999999</v>
      </c>
      <c r="D175" s="36">
        <f>'GF + UG Iteration 3'!P$16*(C175^'GF + UG Iteration 3'!P$15)</f>
        <v>13.89826545554209</v>
      </c>
      <c r="E175" s="37">
        <f>'GF + UG Iteration 3'!E175</f>
        <v>1989</v>
      </c>
      <c r="F175" s="35">
        <f>'GF + UG Iteration 3'!F175</f>
        <v>1.6000000000000014</v>
      </c>
      <c r="G175" s="36">
        <f>'GF + UG Iteration 3'!G175</f>
        <v>10.745042225505973</v>
      </c>
      <c r="H175" s="38">
        <f>'GF + UG Iteration 3'!H175</f>
        <v>2012</v>
      </c>
      <c r="I175" s="35">
        <f t="shared" si="10"/>
        <v>21</v>
      </c>
      <c r="J175" s="36">
        <f t="shared" si="11"/>
        <v>24.643307681048064</v>
      </c>
      <c r="K175" s="38">
        <f t="shared" si="12"/>
        <v>2012</v>
      </c>
      <c r="M175" s="21">
        <f t="shared" si="18"/>
        <v>3.044522437723423</v>
      </c>
      <c r="N175" s="21">
        <f t="shared" si="19"/>
        <v>3.2045053699581714</v>
      </c>
    </row>
    <row r="176" spans="1:14" x14ac:dyDescent="0.2">
      <c r="A176" s="33">
        <f>'GF + UG Iteration 3'!A176</f>
        <v>1338</v>
      </c>
      <c r="B176" s="34" t="str">
        <f>'GF + UG Iteration 3'!B176</f>
        <v>UG</v>
      </c>
      <c r="C176" s="35">
        <f>'GF + UG Iteration 3'!C176</f>
        <v>7.5</v>
      </c>
      <c r="D176" s="36">
        <f>'GF + UG Iteration 3'!P$16*(C176^'GF + UG Iteration 3'!P$15)</f>
        <v>8.1315848733067142</v>
      </c>
      <c r="E176" s="37" t="str">
        <f>'GF + UG Iteration 3'!E176</f>
        <v>unknown</v>
      </c>
      <c r="F176" s="35">
        <f>'GF + UG Iteration 3'!F176</f>
        <v>2</v>
      </c>
      <c r="G176" s="36">
        <f>'GF + UG Iteration 3'!G176</f>
        <v>6.6635813355623759</v>
      </c>
      <c r="H176" s="38">
        <f>'GF + UG Iteration 3'!H176</f>
        <v>2013</v>
      </c>
      <c r="I176" s="35">
        <f t="shared" si="10"/>
        <v>9.5</v>
      </c>
      <c r="J176" s="36">
        <f t="shared" si="11"/>
        <v>14.795166208869091</v>
      </c>
      <c r="K176" s="38">
        <f t="shared" si="12"/>
        <v>2013</v>
      </c>
      <c r="M176" s="21">
        <f t="shared" si="18"/>
        <v>2.2512917986064953</v>
      </c>
      <c r="N176" s="21">
        <f t="shared" si="19"/>
        <v>2.6943005199133756</v>
      </c>
    </row>
    <row r="177" spans="1:14" x14ac:dyDescent="0.2">
      <c r="A177" s="33">
        <f>'GF + UG Iteration 3'!A177</f>
        <v>212</v>
      </c>
      <c r="B177" s="34" t="str">
        <f>'GF + UG Iteration 3'!B177</f>
        <v>UG</v>
      </c>
      <c r="C177" s="35">
        <f>'GF + UG Iteration 3'!C177</f>
        <v>36.549999999999997</v>
      </c>
      <c r="D177" s="36">
        <f>'GF + UG Iteration 3'!P$16*(C177^'GF + UG Iteration 3'!P$15)</f>
        <v>19.865923700372505</v>
      </c>
      <c r="E177" s="37">
        <f>'GF + UG Iteration 3'!E177</f>
        <v>1978</v>
      </c>
      <c r="F177" s="35">
        <f>'GF + UG Iteration 3'!F177</f>
        <v>28</v>
      </c>
      <c r="G177" s="36">
        <f>'GF + UG Iteration 3'!G177</f>
        <v>4.6264535731184777</v>
      </c>
      <c r="H177" s="38">
        <f>'GF + UG Iteration 3'!H177</f>
        <v>2003</v>
      </c>
      <c r="I177" s="35">
        <f t="shared" si="10"/>
        <v>64.55</v>
      </c>
      <c r="J177" s="36">
        <f t="shared" si="11"/>
        <v>24.492377273490984</v>
      </c>
      <c r="K177" s="38">
        <f t="shared" si="12"/>
        <v>2003</v>
      </c>
      <c r="M177" s="21">
        <f t="shared" si="18"/>
        <v>4.1674401172926512</v>
      </c>
      <c r="N177" s="21">
        <f t="shared" si="19"/>
        <v>3.1983619374449281</v>
      </c>
    </row>
    <row r="178" spans="1:14" x14ac:dyDescent="0.2">
      <c r="A178" s="33">
        <f>'GF + UG Iteration 3'!A178</f>
        <v>653</v>
      </c>
      <c r="B178" s="34" t="str">
        <f>'GF + UG Iteration 3'!B178</f>
        <v>UG</v>
      </c>
      <c r="C178" s="35">
        <f>'GF + UG Iteration 3'!C178</f>
        <v>64.55</v>
      </c>
      <c r="D178" s="36">
        <f>'GF + UG Iteration 3'!P$16*(C178^'GF + UG Iteration 3'!P$15)</f>
        <v>27.379255305740365</v>
      </c>
      <c r="E178" s="37">
        <f>'GF + UG Iteration 3'!E178</f>
        <v>1977</v>
      </c>
      <c r="F178" s="35">
        <f>'GF + UG Iteration 3'!F178</f>
        <v>1.3200000000000074</v>
      </c>
      <c r="G178" s="36">
        <f>'GF + UG Iteration 3'!G178</f>
        <v>0.56894692945086811</v>
      </c>
      <c r="H178" s="38">
        <f>'GF + UG Iteration 3'!H178</f>
        <v>2007</v>
      </c>
      <c r="I178" s="35">
        <f t="shared" si="10"/>
        <v>65.87</v>
      </c>
      <c r="J178" s="36">
        <f t="shared" si="11"/>
        <v>27.948202235191232</v>
      </c>
      <c r="K178" s="38">
        <f t="shared" si="12"/>
        <v>2007</v>
      </c>
      <c r="M178" s="21">
        <f t="shared" si="18"/>
        <v>4.1876831026526018</v>
      </c>
      <c r="N178" s="21">
        <f t="shared" si="19"/>
        <v>3.3303528767879405</v>
      </c>
    </row>
    <row r="179" spans="1:14" x14ac:dyDescent="0.2">
      <c r="A179" s="33">
        <f>'GF + UG Iteration 3'!A179</f>
        <v>1679</v>
      </c>
      <c r="B179" s="34" t="str">
        <f>'GF + UG Iteration 3'!B179</f>
        <v>UG</v>
      </c>
      <c r="C179" s="35">
        <f>'GF + UG Iteration 3'!C179</f>
        <v>65.87</v>
      </c>
      <c r="D179" s="36">
        <f>'GF + UG Iteration 3'!P$16*(C179^'GF + UG Iteration 3'!P$15)</f>
        <v>27.693636400500186</v>
      </c>
      <c r="E179" s="37">
        <f>'GF + UG Iteration 3'!E179</f>
        <v>1977</v>
      </c>
      <c r="F179" s="35">
        <f>'GF + UG Iteration 3'!F179</f>
        <v>0</v>
      </c>
      <c r="G179" s="36">
        <f>'GF + UG Iteration 3'!G179</f>
        <v>3.0359489017822221</v>
      </c>
      <c r="H179" s="38">
        <f>'GF + UG Iteration 3'!H179</f>
        <v>2016</v>
      </c>
      <c r="I179" s="35">
        <f t="shared" si="10"/>
        <v>65.87</v>
      </c>
      <c r="J179" s="36">
        <f t="shared" si="11"/>
        <v>30.729585302282409</v>
      </c>
      <c r="K179" s="38">
        <f t="shared" si="12"/>
        <v>2016</v>
      </c>
      <c r="M179" s="21">
        <f t="shared" si="18"/>
        <v>4.1876831026526018</v>
      </c>
      <c r="N179" s="21">
        <f t="shared" si="19"/>
        <v>3.4252258811695406</v>
      </c>
    </row>
    <row r="180" spans="1:14" x14ac:dyDescent="0.2">
      <c r="A180" s="33">
        <f>'GF + UG Iteration 3'!A180</f>
        <v>1382</v>
      </c>
      <c r="B180" s="34" t="str">
        <f>'GF + UG Iteration 3'!B180</f>
        <v>UG</v>
      </c>
      <c r="C180" s="35">
        <f>'GF + UG Iteration 3'!C180</f>
        <v>24.2</v>
      </c>
      <c r="D180" s="36">
        <f>'GF + UG Iteration 3'!P$16*(C180^'GF + UG Iteration 3'!P$15)</f>
        <v>15.743897076394356</v>
      </c>
      <c r="E180" s="37" t="str">
        <f>'GF + UG Iteration 3'!E180</f>
        <v>unknown</v>
      </c>
      <c r="F180" s="35">
        <f>'GF + UG Iteration 3'!F180</f>
        <v>11.900000000000002</v>
      </c>
      <c r="G180" s="36">
        <f>'GF + UG Iteration 3'!G180</f>
        <v>2.4484361075925429</v>
      </c>
      <c r="H180" s="38">
        <f>'GF + UG Iteration 3'!H180</f>
        <v>2013</v>
      </c>
      <c r="I180" s="35">
        <f t="shared" si="10"/>
        <v>36.1</v>
      </c>
      <c r="J180" s="36">
        <f t="shared" si="11"/>
        <v>18.1923331839869</v>
      </c>
      <c r="K180" s="38">
        <f t="shared" si="12"/>
        <v>2013</v>
      </c>
      <c r="M180" s="21">
        <f t="shared" si="18"/>
        <v>3.5862928653388351</v>
      </c>
      <c r="N180" s="21">
        <f t="shared" si="19"/>
        <v>2.9010002517034215</v>
      </c>
    </row>
    <row r="181" spans="1:14" x14ac:dyDescent="0.2">
      <c r="A181" s="33">
        <f>'GF + UG Iteration 3'!A181</f>
        <v>1638</v>
      </c>
      <c r="B181" s="34" t="str">
        <f>'GF + UG Iteration 3'!B181</f>
        <v>UG</v>
      </c>
      <c r="C181" s="35">
        <f>'GF + UG Iteration 3'!C181</f>
        <v>36.1</v>
      </c>
      <c r="D181" s="36">
        <f>'GF + UG Iteration 3'!P$16*(C181^'GF + UG Iteration 3'!P$15)</f>
        <v>19.727604147650876</v>
      </c>
      <c r="E181" s="37" t="str">
        <f>'GF + UG Iteration 3'!E181</f>
        <v>unknown</v>
      </c>
      <c r="F181" s="35">
        <f>'GF + UG Iteration 3'!F181</f>
        <v>0</v>
      </c>
      <c r="G181" s="36">
        <f>'GF + UG Iteration 3'!G181</f>
        <v>1.4307693737810239</v>
      </c>
      <c r="H181" s="38">
        <f>'GF + UG Iteration 3'!H181</f>
        <v>2015</v>
      </c>
      <c r="I181" s="35">
        <f t="shared" si="10"/>
        <v>36.1</v>
      </c>
      <c r="J181" s="36">
        <f t="shared" si="11"/>
        <v>21.158373521431901</v>
      </c>
      <c r="K181" s="38">
        <f t="shared" si="12"/>
        <v>2015</v>
      </c>
      <c r="M181" s="21">
        <f t="shared" si="18"/>
        <v>3.5862928653388351</v>
      </c>
      <c r="N181" s="21">
        <f t="shared" si="19"/>
        <v>3.0520357383189491</v>
      </c>
    </row>
    <row r="182" spans="1:14" x14ac:dyDescent="0.2">
      <c r="A182" s="33">
        <f>'GF + UG Iteration 3'!A182</f>
        <v>874</v>
      </c>
      <c r="B182" s="34" t="str">
        <f>'GF + UG Iteration 3'!B182</f>
        <v>UG</v>
      </c>
      <c r="C182" s="35">
        <f>'GF + UG Iteration 3'!C182</f>
        <v>6.4</v>
      </c>
      <c r="D182" s="36">
        <f>'GF + UG Iteration 3'!P$16*(C182^'GF + UG Iteration 3'!P$15)</f>
        <v>7.4357741245052651</v>
      </c>
      <c r="E182" s="37">
        <f>'GF + UG Iteration 3'!E182</f>
        <v>1997</v>
      </c>
      <c r="F182" s="35">
        <f>'GF + UG Iteration 3'!F182</f>
        <v>0.5</v>
      </c>
      <c r="G182" s="36">
        <f>'GF + UG Iteration 3'!G182</f>
        <v>3.6333602061432981</v>
      </c>
      <c r="H182" s="38">
        <f>'GF + UG Iteration 3'!H182</f>
        <v>2009</v>
      </c>
      <c r="I182" s="35">
        <f t="shared" si="10"/>
        <v>6.9</v>
      </c>
      <c r="J182" s="36">
        <f t="shared" si="11"/>
        <v>11.069134330648563</v>
      </c>
      <c r="K182" s="38">
        <f t="shared" si="12"/>
        <v>2009</v>
      </c>
      <c r="M182" s="21">
        <f t="shared" si="18"/>
        <v>1.9315214116032138</v>
      </c>
      <c r="N182" s="21">
        <f t="shared" si="19"/>
        <v>2.4041605440827234</v>
      </c>
    </row>
    <row r="183" spans="1:14" x14ac:dyDescent="0.2">
      <c r="A183" s="33">
        <f>'GF + UG Iteration 3'!A183</f>
        <v>491</v>
      </c>
      <c r="B183" s="34" t="str">
        <f>'GF + UG Iteration 3'!B183</f>
        <v>UG</v>
      </c>
      <c r="C183" s="35">
        <f>'GF + UG Iteration 3'!C183</f>
        <v>27.9</v>
      </c>
      <c r="D183" s="36">
        <f>'GF + UG Iteration 3'!P$16*(C183^'GF + UG Iteration 3'!P$15)</f>
        <v>17.059296331370334</v>
      </c>
      <c r="E183" s="37">
        <f>'GF + UG Iteration 3'!E183</f>
        <v>1984</v>
      </c>
      <c r="F183" s="35">
        <f>'GF + UG Iteration 3'!F183</f>
        <v>1</v>
      </c>
      <c r="G183" s="36">
        <f>'GF + UG Iteration 3'!G183</f>
        <v>0.19252271805052243</v>
      </c>
      <c r="H183" s="38">
        <f>'GF + UG Iteration 3'!H183</f>
        <v>2006</v>
      </c>
      <c r="I183" s="35">
        <f t="shared" si="10"/>
        <v>28.9</v>
      </c>
      <c r="J183" s="36">
        <f t="shared" si="11"/>
        <v>17.251819049420856</v>
      </c>
      <c r="K183" s="38">
        <f t="shared" si="12"/>
        <v>2006</v>
      </c>
      <c r="M183" s="21">
        <f t="shared" si="18"/>
        <v>3.3638415951183864</v>
      </c>
      <c r="N183" s="21">
        <f t="shared" si="19"/>
        <v>2.8479175900580223</v>
      </c>
    </row>
    <row r="184" spans="1:14" x14ac:dyDescent="0.2">
      <c r="A184" s="33">
        <f>'GF + UG Iteration 3'!A184</f>
        <v>1396</v>
      </c>
      <c r="B184" s="34" t="str">
        <f>'GF + UG Iteration 3'!B184</f>
        <v>UG</v>
      </c>
      <c r="C184" s="35">
        <f>'GF + UG Iteration 3'!C184</f>
        <v>20.6</v>
      </c>
      <c r="D184" s="36">
        <f>'GF + UG Iteration 3'!P$16*(C184^'GF + UG Iteration 3'!P$15)</f>
        <v>14.376776626711694</v>
      </c>
      <c r="E184" s="37">
        <f>'GF + UG Iteration 3'!E184</f>
        <v>2009</v>
      </c>
      <c r="F184" s="35">
        <f>'GF + UG Iteration 3'!F184</f>
        <v>5.3999999999999986</v>
      </c>
      <c r="G184" s="36">
        <f>'GF + UG Iteration 3'!G184</f>
        <v>0.37351117224616898</v>
      </c>
      <c r="H184" s="38">
        <f>'GF + UG Iteration 3'!H184</f>
        <v>2013</v>
      </c>
      <c r="I184" s="35">
        <f t="shared" ref="I184:I246" si="20">C184+F184</f>
        <v>26</v>
      </c>
      <c r="J184" s="36">
        <f t="shared" ref="J184:J246" si="21">D184+G184</f>
        <v>14.750287798957862</v>
      </c>
      <c r="K184" s="38">
        <f t="shared" ref="K184:K246" si="22">MAX(E184,H184)</f>
        <v>2013</v>
      </c>
      <c r="M184" s="21">
        <f>LN(I184)</f>
        <v>3.2580965380214821</v>
      </c>
      <c r="N184" s="21">
        <f>LN(J184)</f>
        <v>2.6912625943892294</v>
      </c>
    </row>
    <row r="185" spans="1:14" x14ac:dyDescent="0.2">
      <c r="A185" s="33">
        <f>'GF + UG Iteration 3'!A185</f>
        <v>1597</v>
      </c>
      <c r="B185" s="34" t="str">
        <f>'GF + UG Iteration 3'!B185</f>
        <v>UG</v>
      </c>
      <c r="C185" s="35">
        <f>'GF + UG Iteration 3'!C185</f>
        <v>26</v>
      </c>
      <c r="D185" s="36">
        <f>'GF + UG Iteration 3'!P$16*(C185^'GF + UG Iteration 3'!P$15)</f>
        <v>16.394014964944361</v>
      </c>
      <c r="E185" s="37">
        <f>'GF + UG Iteration 3'!E185</f>
        <v>2009</v>
      </c>
      <c r="F185" s="35">
        <f>'GF + UG Iteration 3'!F185</f>
        <v>27.299999999999997</v>
      </c>
      <c r="G185" s="36">
        <f>'GF + UG Iteration 3'!G185</f>
        <v>4.2355817632178319</v>
      </c>
      <c r="H185" s="38">
        <f>'GF + UG Iteration 3'!H185</f>
        <v>2015</v>
      </c>
      <c r="I185" s="35">
        <f t="shared" si="20"/>
        <v>53.3</v>
      </c>
      <c r="J185" s="36">
        <f t="shared" si="21"/>
        <v>20.629596728162191</v>
      </c>
      <c r="K185" s="38">
        <f t="shared" si="22"/>
        <v>2015</v>
      </c>
      <c r="M185" s="21">
        <f t="shared" ref="M185:M247" si="23">LN(I185)</f>
        <v>3.9759363311717988</v>
      </c>
      <c r="N185" s="21">
        <f t="shared" ref="N185:N247" si="24">LN(J185)</f>
        <v>3.0267267790570136</v>
      </c>
    </row>
    <row r="186" spans="1:14" x14ac:dyDescent="0.2">
      <c r="A186" s="33">
        <f>'GF + UG Iteration 3'!A186</f>
        <v>1292</v>
      </c>
      <c r="B186" s="34" t="str">
        <f>'GF + UG Iteration 3'!B186</f>
        <v>UG</v>
      </c>
      <c r="C186" s="35">
        <f>'GF + UG Iteration 3'!C186</f>
        <v>30.3</v>
      </c>
      <c r="D186" s="36">
        <f>'GF + UG Iteration 3'!P$16*(C186^'GF + UG Iteration 3'!P$15)</f>
        <v>17.872033341315682</v>
      </c>
      <c r="E186" s="37" t="str">
        <f>'GF + UG Iteration 3'!E186</f>
        <v>unknown</v>
      </c>
      <c r="F186" s="35">
        <f>'GF + UG Iteration 3'!F186</f>
        <v>2.4999999999999964</v>
      </c>
      <c r="G186" s="36">
        <f>'GF + UG Iteration 3'!G186</f>
        <v>4.47116983018676</v>
      </c>
      <c r="H186" s="38">
        <f>'GF + UG Iteration 3'!H186</f>
        <v>2013</v>
      </c>
      <c r="I186" s="35">
        <f t="shared" si="20"/>
        <v>32.799999999999997</v>
      </c>
      <c r="J186" s="36">
        <f t="shared" si="21"/>
        <v>22.343203171502442</v>
      </c>
      <c r="K186" s="38">
        <f t="shared" si="22"/>
        <v>2013</v>
      </c>
      <c r="M186" s="21">
        <f t="shared" si="23"/>
        <v>3.4904285153900978</v>
      </c>
      <c r="N186" s="21">
        <f t="shared" si="24"/>
        <v>3.1065221661515543</v>
      </c>
    </row>
    <row r="187" spans="1:14" x14ac:dyDescent="0.2">
      <c r="A187" s="33">
        <f>'GF + UG Iteration 3'!A187</f>
        <v>364</v>
      </c>
      <c r="B187" s="34" t="str">
        <f>'GF + UG Iteration 3'!B187</f>
        <v>UG</v>
      </c>
      <c r="C187" s="35">
        <f>'GF + UG Iteration 3'!C187</f>
        <v>44.904000000000003</v>
      </c>
      <c r="D187" s="36">
        <f>'GF + UG Iteration 3'!P$16*(C187^'GF + UG Iteration 3'!P$15)</f>
        <v>22.311511305352919</v>
      </c>
      <c r="E187" s="37">
        <f>'GF + UG Iteration 3'!E187</f>
        <v>1975</v>
      </c>
      <c r="F187" s="35">
        <f>'GF + UG Iteration 3'!F187</f>
        <v>2</v>
      </c>
      <c r="G187" s="36">
        <f>'GF + UG Iteration 3'!G187</f>
        <v>1.3174901179839253</v>
      </c>
      <c r="H187" s="38">
        <f>'GF + UG Iteration 3'!H187</f>
        <v>2004</v>
      </c>
      <c r="I187" s="35">
        <f t="shared" si="20"/>
        <v>46.904000000000003</v>
      </c>
      <c r="J187" s="36">
        <f t="shared" si="21"/>
        <v>23.629001423336845</v>
      </c>
      <c r="K187" s="38">
        <f t="shared" si="22"/>
        <v>2004</v>
      </c>
      <c r="M187" s="21">
        <f t="shared" si="23"/>
        <v>3.8481029596619138</v>
      </c>
      <c r="N187" s="21">
        <f t="shared" si="24"/>
        <v>3.1624748314542925</v>
      </c>
    </row>
    <row r="188" spans="1:14" x14ac:dyDescent="0.2">
      <c r="A188" s="33">
        <f>'GF + UG Iteration 3'!A188</f>
        <v>1306</v>
      </c>
      <c r="B188" s="34" t="str">
        <f>'GF + UG Iteration 3'!B188</f>
        <v>UG</v>
      </c>
      <c r="C188" s="35">
        <f>'GF + UG Iteration 3'!C188</f>
        <v>23.1</v>
      </c>
      <c r="D188" s="36">
        <f>'GF + UG Iteration 3'!P$16*(C188^'GF + UG Iteration 3'!P$15)</f>
        <v>15.336192210414815</v>
      </c>
      <c r="E188" s="37">
        <f>'GF + UG Iteration 3'!E188</f>
        <v>1985</v>
      </c>
      <c r="F188" s="35">
        <f>'GF + UG Iteration 3'!F188</f>
        <v>2.0999999999999979</v>
      </c>
      <c r="G188" s="36">
        <f>'GF + UG Iteration 3'!G188</f>
        <v>5.9848606370399509</v>
      </c>
      <c r="H188" s="38">
        <f>'GF + UG Iteration 3'!H188</f>
        <v>2013</v>
      </c>
      <c r="I188" s="35">
        <f t="shared" si="20"/>
        <v>25.2</v>
      </c>
      <c r="J188" s="36">
        <f t="shared" si="21"/>
        <v>21.321052847454766</v>
      </c>
      <c r="K188" s="38">
        <f t="shared" si="22"/>
        <v>2013</v>
      </c>
      <c r="M188" s="21">
        <f t="shared" si="23"/>
        <v>3.2268439945173775</v>
      </c>
      <c r="N188" s="21">
        <f t="shared" si="24"/>
        <v>3.0596949811672118</v>
      </c>
    </row>
    <row r="189" spans="1:14" x14ac:dyDescent="0.2">
      <c r="A189" s="33">
        <f>'GF + UG Iteration 3'!A189</f>
        <v>858</v>
      </c>
      <c r="B189" s="34" t="str">
        <f>'GF + UG Iteration 3'!B189</f>
        <v>UG</v>
      </c>
      <c r="C189" s="35">
        <f>'GF + UG Iteration 3'!C189</f>
        <v>28.4</v>
      </c>
      <c r="D189" s="36">
        <f>'GF + UG Iteration 3'!P$16*(C189^'GF + UG Iteration 3'!P$15)</f>
        <v>17.231055540133571</v>
      </c>
      <c r="E189" s="37">
        <f>'GF + UG Iteration 3'!E189</f>
        <v>2009</v>
      </c>
      <c r="F189" s="35">
        <f>'GF + UG Iteration 3'!F189</f>
        <v>13.300000000000004</v>
      </c>
      <c r="G189" s="36">
        <f>'GF + UG Iteration 3'!G189</f>
        <v>5.4358775042665943</v>
      </c>
      <c r="H189" s="38">
        <f>'GF + UG Iteration 3'!H189</f>
        <v>2010</v>
      </c>
      <c r="I189" s="35">
        <f t="shared" si="20"/>
        <v>41.7</v>
      </c>
      <c r="J189" s="36">
        <f t="shared" si="21"/>
        <v>22.666933044400167</v>
      </c>
      <c r="K189" s="38">
        <f t="shared" si="22"/>
        <v>2010</v>
      </c>
      <c r="M189" s="21">
        <f t="shared" si="23"/>
        <v>3.730501128804756</v>
      </c>
      <c r="N189" s="21">
        <f t="shared" si="24"/>
        <v>3.1209071683977743</v>
      </c>
    </row>
    <row r="190" spans="1:14" x14ac:dyDescent="0.2">
      <c r="A190" s="33">
        <f>'GF + UG Iteration 3'!A190</f>
        <v>1454</v>
      </c>
      <c r="B190" s="34" t="str">
        <f>'GF + UG Iteration 3'!B190</f>
        <v>UG</v>
      </c>
      <c r="C190" s="35">
        <f>'GF + UG Iteration 3'!C190</f>
        <v>41.7</v>
      </c>
      <c r="D190" s="36">
        <f>'GF + UG Iteration 3'!P$16*(C190^'GF + UG Iteration 3'!P$15)</f>
        <v>21.399172743444005</v>
      </c>
      <c r="E190" s="37">
        <f>'GF + UG Iteration 3'!E190</f>
        <v>2009</v>
      </c>
      <c r="F190" s="35">
        <f>'GF + UG Iteration 3'!F190</f>
        <v>5.6999999999999957</v>
      </c>
      <c r="G190" s="36">
        <f>'GF + UG Iteration 3'!G190</f>
        <v>0.45762240995573644</v>
      </c>
      <c r="H190" s="38">
        <f>'GF + UG Iteration 3'!H190</f>
        <v>2013</v>
      </c>
      <c r="I190" s="35">
        <f t="shared" si="20"/>
        <v>47.4</v>
      </c>
      <c r="J190" s="36">
        <f t="shared" si="21"/>
        <v>21.856795153399741</v>
      </c>
      <c r="K190" s="38">
        <f t="shared" si="22"/>
        <v>2013</v>
      </c>
      <c r="M190" s="21">
        <f t="shared" si="23"/>
        <v>3.858622228701031</v>
      </c>
      <c r="N190" s="21">
        <f t="shared" si="24"/>
        <v>3.0845118641961973</v>
      </c>
    </row>
    <row r="191" spans="1:14" x14ac:dyDescent="0.2">
      <c r="A191" s="33">
        <f>'GF + UG Iteration 3'!A191</f>
        <v>637</v>
      </c>
      <c r="B191" s="34" t="str">
        <f>'GF + UG Iteration 3'!B191</f>
        <v>UG</v>
      </c>
      <c r="C191" s="35">
        <f>'GF + UG Iteration 3'!C191</f>
        <v>15.499999999999998</v>
      </c>
      <c r="D191" s="36">
        <f>'GF + UG Iteration 3'!P$16*(C191^'GF + UG Iteration 3'!P$15)</f>
        <v>12.245811116645381</v>
      </c>
      <c r="E191" s="37">
        <f>'GF + UG Iteration 3'!E191</f>
        <v>1989</v>
      </c>
      <c r="F191" s="35">
        <f>'GF + UG Iteration 3'!F191</f>
        <v>8.4</v>
      </c>
      <c r="G191" s="36">
        <f>'GF + UG Iteration 3'!G191</f>
        <v>5.068859840469166</v>
      </c>
      <c r="H191" s="38">
        <f>'GF + UG Iteration 3'!H191</f>
        <v>2007</v>
      </c>
      <c r="I191" s="35">
        <f t="shared" si="20"/>
        <v>23.9</v>
      </c>
      <c r="J191" s="36">
        <f t="shared" si="21"/>
        <v>17.314670957114547</v>
      </c>
      <c r="K191" s="38">
        <f t="shared" si="22"/>
        <v>2007</v>
      </c>
      <c r="M191" s="21">
        <f t="shared" si="23"/>
        <v>3.1738784589374651</v>
      </c>
      <c r="N191" s="21">
        <f t="shared" si="24"/>
        <v>2.851554174330738</v>
      </c>
    </row>
    <row r="192" spans="1:14" x14ac:dyDescent="0.2">
      <c r="A192" s="33">
        <f>'GF + UG Iteration 3'!A192</f>
        <v>1254</v>
      </c>
      <c r="B192" s="34" t="str">
        <f>'GF + UG Iteration 3'!B192</f>
        <v>UG</v>
      </c>
      <c r="C192" s="35">
        <f>'GF + UG Iteration 3'!C192</f>
        <v>23.9</v>
      </c>
      <c r="D192" s="36">
        <f>'GF + UG Iteration 3'!P$16*(C192^'GF + UG Iteration 3'!P$15)</f>
        <v>15.633520755746778</v>
      </c>
      <c r="E192" s="37">
        <f>'GF + UG Iteration 3'!E192</f>
        <v>1989</v>
      </c>
      <c r="F192" s="35">
        <f>'GF + UG Iteration 3'!F192</f>
        <v>15.399999999999999</v>
      </c>
      <c r="G192" s="36">
        <f>'GF + UG Iteration 3'!G192</f>
        <v>6.528436764593768</v>
      </c>
      <c r="H192" s="38">
        <f>'GF + UG Iteration 3'!H192</f>
        <v>2012</v>
      </c>
      <c r="I192" s="35">
        <f t="shared" si="20"/>
        <v>39.299999999999997</v>
      </c>
      <c r="J192" s="36">
        <f t="shared" si="21"/>
        <v>22.161957520340547</v>
      </c>
      <c r="K192" s="38">
        <f t="shared" si="22"/>
        <v>2012</v>
      </c>
      <c r="M192" s="21">
        <f t="shared" si="23"/>
        <v>3.6712245188752153</v>
      </c>
      <c r="N192" s="21">
        <f t="shared" si="24"/>
        <v>3.0983771937331497</v>
      </c>
    </row>
    <row r="193" spans="1:14" x14ac:dyDescent="0.2">
      <c r="A193" s="33">
        <f>'GF + UG Iteration 3'!A193</f>
        <v>734</v>
      </c>
      <c r="B193" s="34" t="str">
        <f>'GF + UG Iteration 3'!B193</f>
        <v>UG</v>
      </c>
      <c r="C193" s="35">
        <f>'GF + UG Iteration 3'!C193</f>
        <v>20</v>
      </c>
      <c r="D193" s="36">
        <f>'GF + UG Iteration 3'!P$16*(C193^'GF + UG Iteration 3'!P$15)</f>
        <v>14.139086038245521</v>
      </c>
      <c r="E193" s="37">
        <f>'GF + UG Iteration 3'!E193</f>
        <v>1974</v>
      </c>
      <c r="F193" s="35">
        <f>'GF + UG Iteration 3'!F193</f>
        <v>4.3999999999999986</v>
      </c>
      <c r="G193" s="36">
        <f>'GF + UG Iteration 3'!G193</f>
        <v>11.261124599264825</v>
      </c>
      <c r="H193" s="38">
        <f>'GF + UG Iteration 3'!H193</f>
        <v>2011</v>
      </c>
      <c r="I193" s="35">
        <f t="shared" ref="I193" si="25">C193+F193</f>
        <v>24.4</v>
      </c>
      <c r="J193" s="36">
        <f t="shared" ref="J193" si="26">D193+G193</f>
        <v>25.400210637510348</v>
      </c>
      <c r="K193" s="38">
        <f t="shared" ref="K193" si="27">MAX(E193,H193)</f>
        <v>2011</v>
      </c>
      <c r="M193" s="21">
        <f t="shared" ref="M193" si="28">LN(I193)</f>
        <v>3.1945831322991562</v>
      </c>
      <c r="N193" s="21">
        <f t="shared" ref="N193" si="29">LN(J193)</f>
        <v>3.2347574668054739</v>
      </c>
    </row>
    <row r="194" spans="1:14" x14ac:dyDescent="0.2">
      <c r="A194" s="33">
        <f>'GF + UG Iteration 3'!A194</f>
        <v>1594</v>
      </c>
      <c r="B194" s="34" t="str">
        <f>'GF + UG Iteration 3'!B194</f>
        <v>UG</v>
      </c>
      <c r="C194" s="35">
        <f>'GF + UG Iteration 3'!C194</f>
        <v>24.4</v>
      </c>
      <c r="D194" s="36">
        <f>'GF + UG Iteration 3'!P$16*(C194^'GF + UG Iteration 3'!P$15)</f>
        <v>15.81715008996696</v>
      </c>
      <c r="E194" s="37">
        <f>'GF + UG Iteration 3'!E194</f>
        <v>1974</v>
      </c>
      <c r="F194" s="35">
        <f>'GF + UG Iteration 3'!F194</f>
        <v>0</v>
      </c>
      <c r="G194" s="36">
        <f>'GF + UG Iteration 3'!G194</f>
        <v>17.2334453477478</v>
      </c>
      <c r="H194" s="38">
        <f>'GF + UG Iteration 3'!H194</f>
        <v>2017</v>
      </c>
      <c r="I194" s="35">
        <f t="shared" si="20"/>
        <v>24.4</v>
      </c>
      <c r="J194" s="36">
        <f t="shared" si="21"/>
        <v>33.050595437714762</v>
      </c>
      <c r="K194" s="38">
        <f t="shared" si="22"/>
        <v>2017</v>
      </c>
      <c r="M194" s="21">
        <f t="shared" si="23"/>
        <v>3.1945831322991562</v>
      </c>
      <c r="N194" s="21">
        <f t="shared" si="24"/>
        <v>3.49803958240514</v>
      </c>
    </row>
    <row r="195" spans="1:14" x14ac:dyDescent="0.2">
      <c r="A195" s="33">
        <f>'GF + UG Iteration 3'!A195</f>
        <v>1674</v>
      </c>
      <c r="B195" s="34" t="str">
        <f>'GF + UG Iteration 3'!B195</f>
        <v>UG</v>
      </c>
      <c r="C195" s="35">
        <f>'GF + UG Iteration 3'!C195</f>
        <v>17.399999999999999</v>
      </c>
      <c r="D195" s="36">
        <f>'GF + UG Iteration 3'!P$16*(C195^'GF + UG Iteration 3'!P$15)</f>
        <v>13.071042536001451</v>
      </c>
      <c r="E195" s="37">
        <f>'GF + UG Iteration 3'!E195</f>
        <v>0</v>
      </c>
      <c r="F195" s="35">
        <f>'GF + UG Iteration 3'!F195</f>
        <v>3.7000000000000028</v>
      </c>
      <c r="G195" s="36">
        <f>'GF + UG Iteration 3'!G195</f>
        <v>10.327278566796926</v>
      </c>
      <c r="H195" s="38">
        <f>'GF + UG Iteration 3'!H195</f>
        <v>2016</v>
      </c>
      <c r="I195" s="35">
        <f t="shared" si="20"/>
        <v>21.1</v>
      </c>
      <c r="J195" s="36">
        <f t="shared" si="21"/>
        <v>23.398321102798377</v>
      </c>
      <c r="K195" s="38">
        <f t="shared" si="22"/>
        <v>2016</v>
      </c>
      <c r="M195" s="21">
        <f t="shared" si="23"/>
        <v>3.0492730404820207</v>
      </c>
      <c r="N195" s="21">
        <f t="shared" si="24"/>
        <v>3.1526642720460041</v>
      </c>
    </row>
    <row r="196" spans="1:14" x14ac:dyDescent="0.2">
      <c r="A196" s="33">
        <f>'GF + UG Iteration 3'!A196</f>
        <v>711</v>
      </c>
      <c r="B196" s="34" t="str">
        <f>'GF + UG Iteration 3'!B196</f>
        <v>UG</v>
      </c>
      <c r="C196" s="35">
        <f>'GF + UG Iteration 3'!C196</f>
        <v>11.5</v>
      </c>
      <c r="D196" s="36">
        <f>'GF + UG Iteration 3'!P$16*(C196^'GF + UG Iteration 3'!P$15)</f>
        <v>10.348421980413594</v>
      </c>
      <c r="E196" s="37">
        <f>'GF + UG Iteration 3'!E196</f>
        <v>1976</v>
      </c>
      <c r="F196" s="35">
        <f>'GF + UG Iteration 3'!F196</f>
        <v>13.7</v>
      </c>
      <c r="G196" s="36">
        <f>'GF + UG Iteration 3'!G196</f>
        <v>9.2617881543087019</v>
      </c>
      <c r="H196" s="38">
        <f>'GF + UG Iteration 3'!H196</f>
        <v>2009</v>
      </c>
      <c r="I196" s="35">
        <f t="shared" si="20"/>
        <v>25.2</v>
      </c>
      <c r="J196" s="36">
        <f t="shared" si="21"/>
        <v>19.610210134722294</v>
      </c>
      <c r="K196" s="38">
        <f t="shared" si="22"/>
        <v>2009</v>
      </c>
      <c r="M196" s="21">
        <f t="shared" si="23"/>
        <v>3.2268439945173775</v>
      </c>
      <c r="N196" s="21">
        <f t="shared" si="24"/>
        <v>2.9760503558429532</v>
      </c>
    </row>
    <row r="197" spans="1:14" x14ac:dyDescent="0.2">
      <c r="A197" s="33">
        <f>'GF + UG Iteration 3'!A197</f>
        <v>408</v>
      </c>
      <c r="B197" s="34" t="str">
        <f>'GF + UG Iteration 3'!B197</f>
        <v>UG</v>
      </c>
      <c r="C197" s="35">
        <f>'GF + UG Iteration 3'!C197</f>
        <v>37.700000000000003</v>
      </c>
      <c r="D197" s="36">
        <f>'GF + UG Iteration 3'!P$16*(C197^'GF + UG Iteration 3'!P$15)</f>
        <v>20.216072873333577</v>
      </c>
      <c r="E197" s="37">
        <f>'GF + UG Iteration 3'!E197</f>
        <v>1976</v>
      </c>
      <c r="F197" s="35">
        <f>'GF + UG Iteration 3'!F197</f>
        <v>2.0419999999999945</v>
      </c>
      <c r="G197" s="36">
        <f>'GF + UG Iteration 3'!G197</f>
        <v>0.58015876995711901</v>
      </c>
      <c r="H197" s="38">
        <f>'GF + UG Iteration 3'!H197</f>
        <v>2004</v>
      </c>
      <c r="I197" s="35">
        <f t="shared" si="20"/>
        <v>39.741999999999997</v>
      </c>
      <c r="J197" s="36">
        <f t="shared" si="21"/>
        <v>20.796231643290696</v>
      </c>
      <c r="K197" s="38">
        <f t="shared" si="22"/>
        <v>2004</v>
      </c>
      <c r="M197" s="21">
        <f t="shared" si="23"/>
        <v>3.6824085629836243</v>
      </c>
      <c r="N197" s="21">
        <f t="shared" si="24"/>
        <v>3.0347717992981855</v>
      </c>
    </row>
    <row r="198" spans="1:14" x14ac:dyDescent="0.2">
      <c r="A198" s="33">
        <f>'GF + UG Iteration 3'!A198</f>
        <v>698</v>
      </c>
      <c r="B198" s="34" t="str">
        <f>'GF + UG Iteration 3'!B198</f>
        <v>UG</v>
      </c>
      <c r="C198" s="35">
        <f>'GF + UG Iteration 3'!C198</f>
        <v>39.700000000000003</v>
      </c>
      <c r="D198" s="36">
        <f>'GF + UG Iteration 3'!P$16*(C198^'GF + UG Iteration 3'!P$15)</f>
        <v>20.814122524688909</v>
      </c>
      <c r="E198" s="37">
        <f>'GF + UG Iteration 3'!E198</f>
        <v>1976</v>
      </c>
      <c r="F198" s="35">
        <f>'GF + UG Iteration 3'!F198</f>
        <v>20.9</v>
      </c>
      <c r="G198" s="36">
        <f>'GF + UG Iteration 3'!G198</f>
        <v>1.4406821685518079</v>
      </c>
      <c r="H198" s="38">
        <f>'GF + UG Iteration 3'!H198</f>
        <v>2007</v>
      </c>
      <c r="I198" s="35">
        <f t="shared" si="20"/>
        <v>60.6</v>
      </c>
      <c r="J198" s="36">
        <f t="shared" si="21"/>
        <v>22.254804693240715</v>
      </c>
      <c r="K198" s="38">
        <f t="shared" si="22"/>
        <v>2007</v>
      </c>
      <c r="M198" s="21">
        <f t="shared" si="23"/>
        <v>4.1042948930752692</v>
      </c>
      <c r="N198" s="21">
        <f t="shared" si="24"/>
        <v>3.1025579265695349</v>
      </c>
    </row>
    <row r="199" spans="1:14" x14ac:dyDescent="0.2">
      <c r="A199" s="33">
        <f>'GF + UG Iteration 3'!A199</f>
        <v>696</v>
      </c>
      <c r="B199" s="34" t="str">
        <f>'GF + UG Iteration 3'!B199</f>
        <v>UG</v>
      </c>
      <c r="C199" s="35">
        <f>'GF + UG Iteration 3'!C199</f>
        <v>9.1370000000000005</v>
      </c>
      <c r="D199" s="36">
        <f>'GF + UG Iteration 3'!P$16*(C199^'GF + UG Iteration 3'!P$15)</f>
        <v>9.0893713170852326</v>
      </c>
      <c r="E199" s="37">
        <f>'GF + UG Iteration 3'!E199</f>
        <v>1981</v>
      </c>
      <c r="F199" s="35">
        <f>'GF + UG Iteration 3'!F199</f>
        <v>8.0629999999999988</v>
      </c>
      <c r="G199" s="36">
        <f>'GF + UG Iteration 3'!G199</f>
        <v>0.26810351472539734</v>
      </c>
      <c r="H199" s="38">
        <f>'GF + UG Iteration 3'!H199</f>
        <v>2007</v>
      </c>
      <c r="I199" s="35">
        <f t="shared" si="20"/>
        <v>17.2</v>
      </c>
      <c r="J199" s="36">
        <f t="shared" si="21"/>
        <v>9.3574748318106291</v>
      </c>
      <c r="K199" s="38">
        <f t="shared" si="22"/>
        <v>2007</v>
      </c>
      <c r="M199" s="21">
        <f t="shared" si="23"/>
        <v>2.8449093838194073</v>
      </c>
      <c r="N199" s="21">
        <f t="shared" si="24"/>
        <v>2.2361754711653257</v>
      </c>
    </row>
    <row r="200" spans="1:14" x14ac:dyDescent="0.2">
      <c r="A200" s="33">
        <f>'GF + UG Iteration 3'!A200</f>
        <v>1636</v>
      </c>
      <c r="B200" s="34" t="str">
        <f>'GF + UG Iteration 3'!B200</f>
        <v>UG</v>
      </c>
      <c r="C200" s="35">
        <f>'GF + UG Iteration 3'!C200</f>
        <v>17.2</v>
      </c>
      <c r="D200" s="36">
        <f>'GF + UG Iteration 3'!P$16*(C200^'GF + UG Iteration 3'!P$15)</f>
        <v>12.986092697872788</v>
      </c>
      <c r="E200" s="37">
        <f>'GF + UG Iteration 3'!E200</f>
        <v>1981</v>
      </c>
      <c r="F200" s="35">
        <f>'GF + UG Iteration 3'!F200</f>
        <v>0</v>
      </c>
      <c r="G200" s="36">
        <f>'GF + UG Iteration 3'!G200</f>
        <v>6.6058972937468434</v>
      </c>
      <c r="H200" s="38">
        <f>'GF + UG Iteration 3'!H200</f>
        <v>2015</v>
      </c>
      <c r="I200" s="35">
        <f t="shared" si="20"/>
        <v>17.2</v>
      </c>
      <c r="J200" s="36">
        <f t="shared" si="21"/>
        <v>19.591989991619631</v>
      </c>
      <c r="K200" s="38">
        <f t="shared" si="22"/>
        <v>2015</v>
      </c>
      <c r="M200" s="21">
        <f t="shared" si="23"/>
        <v>2.8449093838194073</v>
      </c>
      <c r="N200" s="21">
        <f t="shared" si="24"/>
        <v>2.9751208088095784</v>
      </c>
    </row>
    <row r="201" spans="1:14" x14ac:dyDescent="0.2">
      <c r="A201" s="33">
        <f>'GF + UG Iteration 3'!A201</f>
        <v>1185</v>
      </c>
      <c r="B201" s="34" t="str">
        <f>'GF + UG Iteration 3'!B201</f>
        <v>UG</v>
      </c>
      <c r="C201" s="35">
        <f>'GF + UG Iteration 3'!C201</f>
        <v>32.4</v>
      </c>
      <c r="D201" s="36">
        <f>'GF + UG Iteration 3'!P$16*(C201^'GF + UG Iteration 3'!P$15)</f>
        <v>18.560415477784595</v>
      </c>
      <c r="E201" s="37">
        <f>'GF + UG Iteration 3'!E201</f>
        <v>1988</v>
      </c>
      <c r="F201" s="35">
        <f>'GF + UG Iteration 3'!F201</f>
        <v>2.5</v>
      </c>
      <c r="G201" s="36">
        <f>'GF + UG Iteration 3'!G201</f>
        <v>2.8087836612562955</v>
      </c>
      <c r="H201" s="38">
        <f>'GF + UG Iteration 3'!H201</f>
        <v>2011</v>
      </c>
      <c r="I201" s="35">
        <f t="shared" si="20"/>
        <v>34.9</v>
      </c>
      <c r="J201" s="36">
        <f t="shared" si="21"/>
        <v>21.369199139040891</v>
      </c>
      <c r="K201" s="38">
        <f t="shared" si="22"/>
        <v>2011</v>
      </c>
      <c r="M201" s="21">
        <f t="shared" si="23"/>
        <v>3.5524868292083815</v>
      </c>
      <c r="N201" s="21">
        <f t="shared" si="24"/>
        <v>3.061950592683139</v>
      </c>
    </row>
    <row r="202" spans="1:14" x14ac:dyDescent="0.2">
      <c r="A202" s="33">
        <f>'GF + UG Iteration 3'!A202</f>
        <v>568</v>
      </c>
      <c r="B202" s="34" t="str">
        <f>'GF + UG Iteration 3'!B202</f>
        <v>UG</v>
      </c>
      <c r="C202" s="35">
        <f>'GF + UG Iteration 3'!C202</f>
        <v>38.04</v>
      </c>
      <c r="D202" s="36">
        <f>'GF + UG Iteration 3'!P$16*(C202^'GF + UG Iteration 3'!P$15)</f>
        <v>20.318699969948383</v>
      </c>
      <c r="E202" s="37">
        <f>'GF + UG Iteration 3'!E202</f>
        <v>1978</v>
      </c>
      <c r="F202" s="35">
        <f>'GF + UG Iteration 3'!F202</f>
        <v>1</v>
      </c>
      <c r="G202" s="36">
        <f>'GF + UG Iteration 3'!G202</f>
        <v>2.8818936071529556E-2</v>
      </c>
      <c r="H202" s="38">
        <f>'GF + UG Iteration 3'!H202</f>
        <v>2006</v>
      </c>
      <c r="I202" s="35">
        <f t="shared" si="20"/>
        <v>39.04</v>
      </c>
      <c r="J202" s="36">
        <f t="shared" si="21"/>
        <v>20.347518906019914</v>
      </c>
      <c r="K202" s="38">
        <f t="shared" si="22"/>
        <v>2006</v>
      </c>
      <c r="M202" s="21">
        <f t="shared" si="23"/>
        <v>3.6645867615448919</v>
      </c>
      <c r="N202" s="21">
        <f t="shared" si="24"/>
        <v>3.0129589833755226</v>
      </c>
    </row>
    <row r="203" spans="1:14" x14ac:dyDescent="0.2">
      <c r="A203" s="33">
        <f>'GF + UG Iteration 3'!A203</f>
        <v>853</v>
      </c>
      <c r="B203" s="34" t="str">
        <f>'GF + UG Iteration 3'!B203</f>
        <v>UG</v>
      </c>
      <c r="C203" s="35">
        <f>'GF + UG Iteration 3'!C203</f>
        <v>20</v>
      </c>
      <c r="D203" s="36">
        <f>'GF + UG Iteration 3'!P$16*(C203^'GF + UG Iteration 3'!P$15)</f>
        <v>14.139086038245521</v>
      </c>
      <c r="E203" s="37">
        <f>'GF + UG Iteration 3'!E203</f>
        <v>1991</v>
      </c>
      <c r="F203" s="35">
        <f>'GF + UG Iteration 3'!F203</f>
        <v>21.700000000000003</v>
      </c>
      <c r="G203" s="36">
        <f>'GF + UG Iteration 3'!G203</f>
        <v>4.2556245512411124</v>
      </c>
      <c r="H203" s="38">
        <f>'GF + UG Iteration 3'!H203</f>
        <v>2009</v>
      </c>
      <c r="I203" s="35">
        <f t="shared" si="20"/>
        <v>41.7</v>
      </c>
      <c r="J203" s="36">
        <f t="shared" si="21"/>
        <v>18.394710589486635</v>
      </c>
      <c r="K203" s="38">
        <f t="shared" si="22"/>
        <v>2009</v>
      </c>
      <c r="M203" s="21">
        <f t="shared" si="23"/>
        <v>3.730501128804756</v>
      </c>
      <c r="N203" s="21">
        <f t="shared" si="24"/>
        <v>2.9120631553254221</v>
      </c>
    </row>
    <row r="204" spans="1:14" x14ac:dyDescent="0.2">
      <c r="A204" s="33">
        <f>'GF + UG Iteration 3'!A204</f>
        <v>1201</v>
      </c>
      <c r="B204" s="34" t="str">
        <f>'GF + UG Iteration 3'!B204</f>
        <v>UG</v>
      </c>
      <c r="C204" s="35">
        <f>'GF + UG Iteration 3'!C204</f>
        <v>13.3</v>
      </c>
      <c r="D204" s="36">
        <f>'GF + UG Iteration 3'!P$16*(C204^'GF + UG Iteration 3'!P$15)</f>
        <v>11.232924493918404</v>
      </c>
      <c r="E204" s="37" t="str">
        <f>'GF + UG Iteration 3'!E204</f>
        <v>unknown</v>
      </c>
      <c r="F204" s="35">
        <f>'GF + UG Iteration 3'!F204</f>
        <v>10.599999999999998</v>
      </c>
      <c r="G204" s="36">
        <f>'GF + UG Iteration 3'!G204</f>
        <v>7.6364894321569698</v>
      </c>
      <c r="H204" s="38">
        <f>'GF + UG Iteration 3'!H204</f>
        <v>2012</v>
      </c>
      <c r="I204" s="35">
        <f t="shared" si="20"/>
        <v>23.9</v>
      </c>
      <c r="J204" s="36">
        <f t="shared" si="21"/>
        <v>18.869413926075374</v>
      </c>
      <c r="K204" s="38">
        <f t="shared" si="22"/>
        <v>2012</v>
      </c>
      <c r="M204" s="21">
        <f t="shared" si="23"/>
        <v>3.1738784589374651</v>
      </c>
      <c r="N204" s="21">
        <f t="shared" si="24"/>
        <v>2.9375423003965637</v>
      </c>
    </row>
    <row r="205" spans="1:14" x14ac:dyDescent="0.2">
      <c r="A205" s="33">
        <f>'GF + UG Iteration 3'!A205</f>
        <v>654</v>
      </c>
      <c r="B205" s="34" t="str">
        <f>'GF + UG Iteration 3'!B205</f>
        <v>UG</v>
      </c>
      <c r="C205" s="35">
        <f>'GF + UG Iteration 3'!C205</f>
        <v>7.29</v>
      </c>
      <c r="D205" s="36">
        <f>'GF + UG Iteration 3'!P$16*(C205^'GF + UG Iteration 3'!P$15)</f>
        <v>8.0023764789599419</v>
      </c>
      <c r="E205" s="37">
        <f>'GF + UG Iteration 3'!E205</f>
        <v>1976</v>
      </c>
      <c r="F205" s="35">
        <f>'GF + UG Iteration 3'!F205</f>
        <v>4.4099999999999993</v>
      </c>
      <c r="G205" s="36">
        <f>'GF + UG Iteration 3'!G205</f>
        <v>0.73672544554632269</v>
      </c>
      <c r="H205" s="38">
        <f>'GF + UG Iteration 3'!H205</f>
        <v>2007</v>
      </c>
      <c r="I205" s="35">
        <f t="shared" si="20"/>
        <v>11.7</v>
      </c>
      <c r="J205" s="36">
        <f t="shared" si="21"/>
        <v>8.7391019245062651</v>
      </c>
      <c r="K205" s="38">
        <f t="shared" si="22"/>
        <v>2007</v>
      </c>
      <c r="M205" s="21">
        <f t="shared" si="23"/>
        <v>2.4595888418037104</v>
      </c>
      <c r="N205" s="21">
        <f t="shared" si="24"/>
        <v>2.1678074297546748</v>
      </c>
    </row>
    <row r="206" spans="1:14" x14ac:dyDescent="0.2">
      <c r="A206" s="33">
        <f>'GF + UG Iteration 3'!A206</f>
        <v>1394</v>
      </c>
      <c r="B206" s="34" t="str">
        <f>'GF + UG Iteration 3'!B206</f>
        <v>UG</v>
      </c>
      <c r="C206" s="35">
        <f>'GF + UG Iteration 3'!C206</f>
        <v>11.7</v>
      </c>
      <c r="D206" s="36">
        <f>'GF + UG Iteration 3'!P$16*(C206^'GF + UG Iteration 3'!P$15)</f>
        <v>10.449544741598459</v>
      </c>
      <c r="E206" s="37">
        <f>'GF + UG Iteration 3'!E206</f>
        <v>1976</v>
      </c>
      <c r="F206" s="35">
        <f>'GF + UG Iteration 3'!F206</f>
        <v>10</v>
      </c>
      <c r="G206" s="36">
        <f>'GF + UG Iteration 3'!G206</f>
        <v>5.0057806862702598</v>
      </c>
      <c r="H206" s="38">
        <f>'GF + UG Iteration 3'!H206</f>
        <v>2014</v>
      </c>
      <c r="I206" s="35">
        <f t="shared" si="20"/>
        <v>21.7</v>
      </c>
      <c r="J206" s="36">
        <f t="shared" si="21"/>
        <v>15.455325427868718</v>
      </c>
      <c r="K206" s="38">
        <f t="shared" si="22"/>
        <v>2014</v>
      </c>
      <c r="M206" s="21">
        <f t="shared" si="23"/>
        <v>3.0773122605464138</v>
      </c>
      <c r="N206" s="21">
        <f t="shared" si="24"/>
        <v>2.7379536318404747</v>
      </c>
    </row>
    <row r="207" spans="1:14" x14ac:dyDescent="0.2">
      <c r="A207" s="33">
        <f>'GF + UG Iteration 3'!A207</f>
        <v>1294</v>
      </c>
      <c r="B207" s="34" t="str">
        <f>'GF + UG Iteration 3'!B207</f>
        <v>UG</v>
      </c>
      <c r="C207" s="35">
        <f>'GF + UG Iteration 3'!C207</f>
        <v>8.5</v>
      </c>
      <c r="D207" s="36">
        <f>'GF + UG Iteration 3'!P$16*(C207^'GF + UG Iteration 3'!P$15)</f>
        <v>8.726355304906658</v>
      </c>
      <c r="E207" s="37">
        <f>'GF + UG Iteration 3'!E207</f>
        <v>0</v>
      </c>
      <c r="F207" s="35">
        <f>'GF + UG Iteration 3'!F207</f>
        <v>1.5999999999999996</v>
      </c>
      <c r="G207" s="36">
        <f>'GF + UG Iteration 3'!G207</f>
        <v>4.5619922667121129</v>
      </c>
      <c r="H207" s="38">
        <f>'GF + UG Iteration 3'!H207</f>
        <v>2014</v>
      </c>
      <c r="I207" s="35">
        <f t="shared" si="20"/>
        <v>10.1</v>
      </c>
      <c r="J207" s="36">
        <f t="shared" si="21"/>
        <v>13.288347571618772</v>
      </c>
      <c r="K207" s="38">
        <f t="shared" si="22"/>
        <v>2014</v>
      </c>
      <c r="M207" s="21">
        <f t="shared" si="23"/>
        <v>2.3125354238472138</v>
      </c>
      <c r="N207" s="21">
        <f t="shared" si="24"/>
        <v>2.5868875287734538</v>
      </c>
    </row>
    <row r="208" spans="1:14" x14ac:dyDescent="0.2">
      <c r="A208" s="33">
        <f>'GF + UG Iteration 3'!A208</f>
        <v>1670</v>
      </c>
      <c r="B208" s="34" t="str">
        <f>'GF + UG Iteration 3'!B208</f>
        <v>UG</v>
      </c>
      <c r="C208" s="35">
        <f>'GF + UG Iteration 3'!C208</f>
        <v>31.45</v>
      </c>
      <c r="D208" s="36">
        <f>'GF + UG Iteration 3'!P$16*(C208^'GF + UG Iteration 3'!P$15)</f>
        <v>18.251491535555498</v>
      </c>
      <c r="E208" s="37">
        <f>'GF + UG Iteration 3'!E208</f>
        <v>0</v>
      </c>
      <c r="F208" s="35">
        <f>'GF + UG Iteration 3'!F208</f>
        <v>24.250000000000004</v>
      </c>
      <c r="G208" s="36">
        <f>'GF + UG Iteration 3'!G208</f>
        <v>2.7943521582603679</v>
      </c>
      <c r="H208" s="38">
        <f>'GF + UG Iteration 3'!H208</f>
        <v>2016</v>
      </c>
      <c r="I208" s="35">
        <f t="shared" si="20"/>
        <v>55.7</v>
      </c>
      <c r="J208" s="36">
        <f t="shared" si="21"/>
        <v>21.045843693815865</v>
      </c>
      <c r="K208" s="38">
        <f t="shared" si="22"/>
        <v>2016</v>
      </c>
      <c r="M208" s="21">
        <f t="shared" si="23"/>
        <v>4.0199801469332384</v>
      </c>
      <c r="N208" s="21">
        <f t="shared" si="24"/>
        <v>3.0467030914078266</v>
      </c>
    </row>
    <row r="209" spans="1:14" x14ac:dyDescent="0.2">
      <c r="A209" s="33">
        <f>'GF + UG Iteration 3'!A209</f>
        <v>579</v>
      </c>
      <c r="B209" s="34" t="str">
        <f>'GF + UG Iteration 3'!B209</f>
        <v>UG</v>
      </c>
      <c r="C209" s="35">
        <f>'GF + UG Iteration 3'!C209</f>
        <v>17.100000000000001</v>
      </c>
      <c r="D209" s="36">
        <f>'GF + UG Iteration 3'!P$16*(C209^'GF + UG Iteration 3'!P$15)</f>
        <v>12.943456312817201</v>
      </c>
      <c r="E209" s="37" t="str">
        <f>'GF + UG Iteration 3'!E209</f>
        <v>unknown</v>
      </c>
      <c r="F209" s="35">
        <f>'GF + UG Iteration 3'!F209</f>
        <v>11</v>
      </c>
      <c r="G209" s="36">
        <f>'GF + UG Iteration 3'!G209</f>
        <v>3.6516230200538073</v>
      </c>
      <c r="H209" s="38">
        <f>'GF + UG Iteration 3'!H209</f>
        <v>2008</v>
      </c>
      <c r="I209" s="35">
        <f t="shared" si="20"/>
        <v>28.1</v>
      </c>
      <c r="J209" s="36">
        <f t="shared" si="21"/>
        <v>16.595079332871009</v>
      </c>
      <c r="K209" s="38">
        <f t="shared" si="22"/>
        <v>2008</v>
      </c>
      <c r="M209" s="21">
        <f t="shared" si="23"/>
        <v>3.3357695763396999</v>
      </c>
      <c r="N209" s="21">
        <f t="shared" si="24"/>
        <v>2.8091062256890447</v>
      </c>
    </row>
    <row r="210" spans="1:14" x14ac:dyDescent="0.2">
      <c r="A210" s="33">
        <f>'GF + UG Iteration 3'!A210</f>
        <v>1670</v>
      </c>
      <c r="B210" s="34" t="str">
        <f>'GF + UG Iteration 3'!B210</f>
        <v>UG</v>
      </c>
      <c r="C210" s="35">
        <f>'GF + UG Iteration 3'!C210</f>
        <v>18.79</v>
      </c>
      <c r="D210" s="36">
        <f>'GF + UG Iteration 3'!P$16*(C210^'GF + UG Iteration 3'!P$15)</f>
        <v>13.650078158593585</v>
      </c>
      <c r="E210" s="37">
        <f>'GF + UG Iteration 3'!E210</f>
        <v>0</v>
      </c>
      <c r="F210" s="35">
        <f>'GF + UG Iteration 3'!F210</f>
        <v>30.509999999999998</v>
      </c>
      <c r="G210" s="36">
        <f>'GF + UG Iteration 3'!G210</f>
        <v>18.363697996227653</v>
      </c>
      <c r="H210" s="38">
        <f>'GF + UG Iteration 3'!H210</f>
        <v>2016</v>
      </c>
      <c r="I210" s="35">
        <f t="shared" si="20"/>
        <v>49.3</v>
      </c>
      <c r="J210" s="36">
        <f t="shared" si="21"/>
        <v>32.013776154821237</v>
      </c>
      <c r="K210" s="38">
        <f t="shared" si="22"/>
        <v>2016</v>
      </c>
      <c r="M210" s="21">
        <f t="shared" si="23"/>
        <v>3.8979240810486444</v>
      </c>
      <c r="N210" s="21">
        <f t="shared" si="24"/>
        <v>3.4661663149972695</v>
      </c>
    </row>
    <row r="211" spans="1:14" x14ac:dyDescent="0.2">
      <c r="A211" s="33">
        <f>'GF + UG Iteration 3'!A211</f>
        <v>1083</v>
      </c>
      <c r="B211" s="34" t="str">
        <f>'GF + UG Iteration 3'!B211</f>
        <v>UG</v>
      </c>
      <c r="C211" s="35">
        <f>'GF + UG Iteration 3'!C211</f>
        <v>7.53</v>
      </c>
      <c r="D211" s="36">
        <f>'GF + UG Iteration 3'!P$16*(C211^'GF + UG Iteration 3'!P$15)</f>
        <v>8.149913745277253</v>
      </c>
      <c r="E211" s="37">
        <f>'GF + UG Iteration 3'!E211</f>
        <v>1981</v>
      </c>
      <c r="F211" s="35">
        <f>'GF + UG Iteration 3'!F211</f>
        <v>5.87</v>
      </c>
      <c r="G211" s="36">
        <f>'GF + UG Iteration 3'!G211</f>
        <v>7.4125108979310461</v>
      </c>
      <c r="H211" s="38">
        <f>'GF + UG Iteration 3'!H211</f>
        <v>2011</v>
      </c>
      <c r="I211" s="35">
        <f t="shared" si="20"/>
        <v>13.4</v>
      </c>
      <c r="J211" s="36">
        <f t="shared" si="21"/>
        <v>15.562424643208299</v>
      </c>
      <c r="K211" s="38">
        <f t="shared" si="22"/>
        <v>2011</v>
      </c>
      <c r="M211" s="21">
        <f t="shared" si="23"/>
        <v>2.5952547069568657</v>
      </c>
      <c r="N211" s="21">
        <f t="shared" si="24"/>
        <v>2.7448593320097201</v>
      </c>
    </row>
    <row r="212" spans="1:14" x14ac:dyDescent="0.2">
      <c r="A212" s="33">
        <f>'GF + UG Iteration 3'!A212</f>
        <v>552</v>
      </c>
      <c r="B212" s="34" t="str">
        <f>'GF + UG Iteration 3'!B212</f>
        <v>UG</v>
      </c>
      <c r="C212" s="35">
        <f>'GF + UG Iteration 3'!C212</f>
        <v>20.229999999999997</v>
      </c>
      <c r="D212" s="36">
        <f>'GF + UG Iteration 3'!P$16*(C212^'GF + UG Iteration 3'!P$15)</f>
        <v>14.230563413093497</v>
      </c>
      <c r="E212" s="37">
        <f>'GF + UG Iteration 3'!E212</f>
        <v>1991</v>
      </c>
      <c r="F212" s="35">
        <f>'GF + UG Iteration 3'!F212</f>
        <v>10.470000000000002</v>
      </c>
      <c r="G212" s="36">
        <f>'GF + UG Iteration 3'!G212</f>
        <v>1.1457716756011658</v>
      </c>
      <c r="H212" s="38">
        <f>'GF + UG Iteration 3'!H212</f>
        <v>2006</v>
      </c>
      <c r="I212" s="35">
        <f t="shared" si="20"/>
        <v>30.7</v>
      </c>
      <c r="J212" s="36">
        <f t="shared" si="21"/>
        <v>15.376335088694663</v>
      </c>
      <c r="K212" s="38">
        <f t="shared" si="22"/>
        <v>2006</v>
      </c>
      <c r="M212" s="21">
        <f t="shared" si="23"/>
        <v>3.4242626545931514</v>
      </c>
      <c r="N212" s="21">
        <f t="shared" si="24"/>
        <v>2.7328296449596894</v>
      </c>
    </row>
    <row r="213" spans="1:14" x14ac:dyDescent="0.2">
      <c r="A213" s="33">
        <f>'GF + UG Iteration 3'!A213</f>
        <v>1311</v>
      </c>
      <c r="B213" s="34" t="str">
        <f>'GF + UG Iteration 3'!B213</f>
        <v>UG</v>
      </c>
      <c r="C213" s="35">
        <f>'GF + UG Iteration 3'!C213</f>
        <v>30.7</v>
      </c>
      <c r="D213" s="36">
        <f>'GF + UG Iteration 3'!P$16*(C213^'GF + UG Iteration 3'!P$15)</f>
        <v>18.004719684611992</v>
      </c>
      <c r="E213" s="37">
        <f>'GF + UG Iteration 3'!E213</f>
        <v>1991</v>
      </c>
      <c r="F213" s="35">
        <f>'GF + UG Iteration 3'!F213</f>
        <v>19.3</v>
      </c>
      <c r="G213" s="36">
        <f>'GF + UG Iteration 3'!G213</f>
        <v>5.9841430822776953</v>
      </c>
      <c r="H213" s="38">
        <f>'GF + UG Iteration 3'!H213</f>
        <v>2013</v>
      </c>
      <c r="I213" s="35">
        <f t="shared" si="20"/>
        <v>50</v>
      </c>
      <c r="J213" s="36">
        <f t="shared" si="21"/>
        <v>23.988862766889689</v>
      </c>
      <c r="K213" s="38">
        <f t="shared" si="22"/>
        <v>2013</v>
      </c>
      <c r="M213" s="21">
        <f t="shared" si="23"/>
        <v>3.912023005428146</v>
      </c>
      <c r="N213" s="21">
        <f t="shared" si="24"/>
        <v>3.1775896712631861</v>
      </c>
    </row>
    <row r="214" spans="1:14" x14ac:dyDescent="0.2">
      <c r="A214" s="33">
        <f>'GF + UG Iteration 3'!A214</f>
        <v>1078</v>
      </c>
      <c r="B214" s="34" t="str">
        <f>'GF + UG Iteration 3'!B214</f>
        <v>UG</v>
      </c>
      <c r="C214" s="35">
        <f>'GF + UG Iteration 3'!C214</f>
        <v>17.66</v>
      </c>
      <c r="D214" s="36">
        <f>'GF + UG Iteration 3'!P$16*(C214^'GF + UG Iteration 3'!P$15)</f>
        <v>13.180843478649473</v>
      </c>
      <c r="E214" s="37">
        <f>'GF + UG Iteration 3'!E214</f>
        <v>1957</v>
      </c>
      <c r="F214" s="35">
        <f>'GF + UG Iteration 3'!F214</f>
        <v>7.34</v>
      </c>
      <c r="G214" s="36">
        <f>'GF + UG Iteration 3'!G214</f>
        <v>1.0936387702296273</v>
      </c>
      <c r="H214" s="38">
        <f>'GF + UG Iteration 3'!H214</f>
        <v>2011</v>
      </c>
      <c r="I214" s="35">
        <f t="shared" si="20"/>
        <v>25</v>
      </c>
      <c r="J214" s="36">
        <f t="shared" si="21"/>
        <v>14.274482248879101</v>
      </c>
      <c r="K214" s="38">
        <f t="shared" si="22"/>
        <v>2011</v>
      </c>
      <c r="M214" s="21">
        <f t="shared" si="23"/>
        <v>3.2188758248682006</v>
      </c>
      <c r="N214" s="21">
        <f t="shared" si="24"/>
        <v>2.658473485103511</v>
      </c>
    </row>
    <row r="215" spans="1:14" x14ac:dyDescent="0.2">
      <c r="A215" s="33">
        <f>'GF + UG Iteration 3'!A215</f>
        <v>495</v>
      </c>
      <c r="B215" s="34" t="str">
        <f>'GF + UG Iteration 3'!B215</f>
        <v>UG</v>
      </c>
      <c r="C215" s="35">
        <f>'GF + UG Iteration 3'!C215</f>
        <v>12.974</v>
      </c>
      <c r="D215" s="36">
        <f>'GF + UG Iteration 3'!P$16*(C215^'GF + UG Iteration 3'!P$15)</f>
        <v>11.076796979900628</v>
      </c>
      <c r="E215" s="37">
        <f>'GF + UG Iteration 3'!E215</f>
        <v>1982</v>
      </c>
      <c r="F215" s="35">
        <f>'GF + UG Iteration 3'!F215</f>
        <v>0</v>
      </c>
      <c r="G215" s="36">
        <f>'GF + UG Iteration 3'!G215</f>
        <v>3.5907902166068872</v>
      </c>
      <c r="H215" s="38">
        <f>'GF + UG Iteration 3'!H215</f>
        <v>2006</v>
      </c>
      <c r="I215" s="35">
        <f t="shared" si="20"/>
        <v>12.974</v>
      </c>
      <c r="J215" s="36">
        <f t="shared" si="21"/>
        <v>14.667587196507515</v>
      </c>
      <c r="K215" s="38">
        <f t="shared" si="22"/>
        <v>2006</v>
      </c>
      <c r="M215" s="21">
        <f t="shared" si="23"/>
        <v>2.5629473547908637</v>
      </c>
      <c r="N215" s="21">
        <f t="shared" si="24"/>
        <v>2.6856401066788513</v>
      </c>
    </row>
    <row r="216" spans="1:14" x14ac:dyDescent="0.2">
      <c r="A216" s="33">
        <f>'GF + UG Iteration 3'!A216</f>
        <v>383</v>
      </c>
      <c r="B216" s="34" t="str">
        <f>'GF + UG Iteration 3'!B216</f>
        <v>UG</v>
      </c>
      <c r="C216" s="35">
        <f>'GF + UG Iteration 3'!C216</f>
        <v>0.51</v>
      </c>
      <c r="D216" s="36">
        <f>'GF + UG Iteration 3'!P$16*(C216^'GF + UG Iteration 3'!P$15)</f>
        <v>1.7852985343072694</v>
      </c>
      <c r="E216" s="37">
        <f>'GF + UG Iteration 3'!E216</f>
        <v>1984</v>
      </c>
      <c r="F216" s="35">
        <f>'GF + UG Iteration 3'!F216</f>
        <v>8</v>
      </c>
      <c r="G216" s="36">
        <f>'GF + UG Iteration 3'!G216</f>
        <v>3.9501723720469593</v>
      </c>
      <c r="H216" s="38">
        <f>'GF + UG Iteration 3'!H216</f>
        <v>2005</v>
      </c>
      <c r="I216" s="35">
        <f t="shared" si="20"/>
        <v>8.51</v>
      </c>
      <c r="J216" s="36">
        <f t="shared" si="21"/>
        <v>5.7354709063542284</v>
      </c>
      <c r="K216" s="38">
        <f t="shared" si="22"/>
        <v>2005</v>
      </c>
      <c r="M216" s="21">
        <f t="shared" si="23"/>
        <v>2.1412419425852827</v>
      </c>
      <c r="N216" s="21">
        <f t="shared" si="24"/>
        <v>1.7466698581701745</v>
      </c>
    </row>
    <row r="217" spans="1:14" x14ac:dyDescent="0.2">
      <c r="A217" s="33">
        <f>'GF + UG Iteration 3'!A217</f>
        <v>1020</v>
      </c>
      <c r="B217" s="34" t="str">
        <f>'GF + UG Iteration 3'!B217</f>
        <v>UG</v>
      </c>
      <c r="C217" s="35">
        <f>'GF + UG Iteration 3'!C217</f>
        <v>13</v>
      </c>
      <c r="D217" s="36">
        <f>'GF + UG Iteration 3'!P$16*(C217^'GF + UG Iteration 3'!P$15)</f>
        <v>11.089311170118437</v>
      </c>
      <c r="E217" s="37">
        <f>'GF + UG Iteration 3'!E217</f>
        <v>1977</v>
      </c>
      <c r="F217" s="35">
        <f>'GF + UG Iteration 3'!F217</f>
        <v>9</v>
      </c>
      <c r="G217" s="36">
        <f>'GF + UG Iteration 3'!G217</f>
        <v>7.3449786888029998</v>
      </c>
      <c r="H217" s="38">
        <f>'GF + UG Iteration 3'!H217</f>
        <v>2010</v>
      </c>
      <c r="I217" s="35">
        <f t="shared" si="20"/>
        <v>22</v>
      </c>
      <c r="J217" s="36">
        <f t="shared" si="21"/>
        <v>18.434289858921439</v>
      </c>
      <c r="K217" s="38">
        <f t="shared" si="22"/>
        <v>2010</v>
      </c>
      <c r="M217" s="21">
        <f t="shared" si="23"/>
        <v>3.0910424533583161</v>
      </c>
      <c r="N217" s="21">
        <f t="shared" si="24"/>
        <v>2.9142125095946128</v>
      </c>
    </row>
    <row r="218" spans="1:14" x14ac:dyDescent="0.2">
      <c r="A218" s="33">
        <f>'GF + UG Iteration 3'!A218</f>
        <v>1364</v>
      </c>
      <c r="B218" s="34" t="str">
        <f>'GF + UG Iteration 3'!B218</f>
        <v>UG</v>
      </c>
      <c r="C218" s="35">
        <f>'GF + UG Iteration 3'!C218</f>
        <v>8.5</v>
      </c>
      <c r="D218" s="36">
        <f>'GF + UG Iteration 3'!P$16*(C218^'GF + UG Iteration 3'!P$15)</f>
        <v>8.726355304906658</v>
      </c>
      <c r="E218" s="37">
        <f>'GF + UG Iteration 3'!E218</f>
        <v>0</v>
      </c>
      <c r="F218" s="35">
        <f>'GF + UG Iteration 3'!F218</f>
        <v>34</v>
      </c>
      <c r="G218" s="36">
        <f>'GF + UG Iteration 3'!G218</f>
        <v>8.7951197470845859</v>
      </c>
      <c r="H218" s="38">
        <f>'GF + UG Iteration 3'!H218</f>
        <v>2013</v>
      </c>
      <c r="I218" s="35">
        <f t="shared" si="20"/>
        <v>42.5</v>
      </c>
      <c r="J218" s="36">
        <f t="shared" si="21"/>
        <v>17.521475051991246</v>
      </c>
      <c r="K218" s="38">
        <f t="shared" si="22"/>
        <v>2013</v>
      </c>
      <c r="M218" s="21">
        <f t="shared" si="23"/>
        <v>3.7495040759303713</v>
      </c>
      <c r="N218" s="21">
        <f t="shared" si="24"/>
        <v>2.8634272744295126</v>
      </c>
    </row>
    <row r="219" spans="1:14" x14ac:dyDescent="0.2">
      <c r="A219" s="33">
        <f>'GF + UG Iteration 3'!A219</f>
        <v>503</v>
      </c>
      <c r="B219" s="34" t="str">
        <f>'GF + UG Iteration 3'!B219</f>
        <v>UG</v>
      </c>
      <c r="C219" s="35">
        <f>'GF + UG Iteration 3'!C219</f>
        <v>31</v>
      </c>
      <c r="D219" s="36">
        <f>'GF + UG Iteration 3'!P$16*(C219^'GF + UG Iteration 3'!P$15)</f>
        <v>18.103740405908574</v>
      </c>
      <c r="E219" s="37">
        <f>'GF + UG Iteration 3'!E219</f>
        <v>1972</v>
      </c>
      <c r="F219" s="35">
        <f>'GF + UG Iteration 3'!F219</f>
        <v>16</v>
      </c>
      <c r="G219" s="36">
        <f>'GF + UG Iteration 3'!G219</f>
        <v>3.8033222269089473</v>
      </c>
      <c r="H219" s="38">
        <f>'GF + UG Iteration 3'!H219</f>
        <v>2007</v>
      </c>
      <c r="I219" s="35">
        <f t="shared" si="20"/>
        <v>47</v>
      </c>
      <c r="J219" s="36">
        <f t="shared" si="21"/>
        <v>21.907062632817521</v>
      </c>
      <c r="K219" s="38">
        <f t="shared" si="22"/>
        <v>2007</v>
      </c>
      <c r="M219" s="21">
        <f t="shared" si="23"/>
        <v>3.8501476017100584</v>
      </c>
      <c r="N219" s="21">
        <f t="shared" si="24"/>
        <v>3.0868090794814349</v>
      </c>
    </row>
    <row r="220" spans="1:14" x14ac:dyDescent="0.2">
      <c r="A220" s="33">
        <f>'GF + UG Iteration 3'!A220</f>
        <v>925</v>
      </c>
      <c r="B220" s="34" t="str">
        <f>'GF + UG Iteration 3'!B220</f>
        <v>UG</v>
      </c>
      <c r="C220" s="35">
        <f>'GF + UG Iteration 3'!C220</f>
        <v>47</v>
      </c>
      <c r="D220" s="36">
        <f>'GF + UG Iteration 3'!P$16*(C220^'GF + UG Iteration 3'!P$15)</f>
        <v>22.893037187276533</v>
      </c>
      <c r="E220" s="37">
        <f>'GF + UG Iteration 3'!E220</f>
        <v>1972</v>
      </c>
      <c r="F220" s="35">
        <f>'GF + UG Iteration 3'!F220</f>
        <v>9</v>
      </c>
      <c r="G220" s="36">
        <f>'GF + UG Iteration 3'!G220</f>
        <v>3.3164697860941139</v>
      </c>
      <c r="H220" s="38">
        <f>'GF + UG Iteration 3'!H220</f>
        <v>2011</v>
      </c>
      <c r="I220" s="35">
        <f t="shared" si="20"/>
        <v>56</v>
      </c>
      <c r="J220" s="36">
        <f t="shared" si="21"/>
        <v>26.209506973370647</v>
      </c>
      <c r="K220" s="38">
        <f t="shared" si="22"/>
        <v>2011</v>
      </c>
      <c r="M220" s="21">
        <f t="shared" si="23"/>
        <v>4.0253516907351496</v>
      </c>
      <c r="N220" s="21">
        <f t="shared" si="24"/>
        <v>3.2661222065277422</v>
      </c>
    </row>
    <row r="221" spans="1:14" x14ac:dyDescent="0.2">
      <c r="A221" s="33">
        <f>'GF + UG Iteration 3'!A221</f>
        <v>821</v>
      </c>
      <c r="B221" s="34" t="str">
        <f>'GF + UG Iteration 3'!B221</f>
        <v>UG</v>
      </c>
      <c r="C221" s="35">
        <f>'GF + UG Iteration 3'!C221</f>
        <v>25</v>
      </c>
      <c r="D221" s="36">
        <f>'GF + UG Iteration 3'!P$16*(C221^'GF + UG Iteration 3'!P$15)</f>
        <v>16.035353296717894</v>
      </c>
      <c r="E221" s="37">
        <f>'GF + UG Iteration 3'!E221</f>
        <v>2006</v>
      </c>
      <c r="F221" s="35">
        <f>'GF + UG Iteration 3'!F221</f>
        <v>32</v>
      </c>
      <c r="G221" s="36">
        <f>'GF + UG Iteration 3'!G221</f>
        <v>9.4177371403666275</v>
      </c>
      <c r="H221" s="38">
        <f>'GF + UG Iteration 3'!H221</f>
        <v>2011</v>
      </c>
      <c r="I221" s="35">
        <f t="shared" si="20"/>
        <v>57</v>
      </c>
      <c r="J221" s="36">
        <f t="shared" si="21"/>
        <v>25.453090437084519</v>
      </c>
      <c r="K221" s="38">
        <f t="shared" si="22"/>
        <v>2011</v>
      </c>
      <c r="M221" s="21">
        <f t="shared" si="23"/>
        <v>4.0430512678345503</v>
      </c>
      <c r="N221" s="21">
        <f t="shared" si="24"/>
        <v>3.2368371673368528</v>
      </c>
    </row>
    <row r="222" spans="1:14" x14ac:dyDescent="0.2">
      <c r="A222" s="33">
        <f>'GF + UG Iteration 3'!A222</f>
        <v>486</v>
      </c>
      <c r="B222" s="34" t="str">
        <f>'GF + UG Iteration 3'!B222</f>
        <v>UG</v>
      </c>
      <c r="C222" s="35">
        <f>'GF + UG Iteration 3'!C222</f>
        <v>10.81</v>
      </c>
      <c r="D222" s="36">
        <f>'GF + UG Iteration 3'!P$16*(C222^'GF + UG Iteration 3'!P$15)</f>
        <v>9.9935146511014512</v>
      </c>
      <c r="E222" s="37">
        <f>'GF + UG Iteration 3'!E222</f>
        <v>1993</v>
      </c>
      <c r="F222" s="35">
        <f>'GF + UG Iteration 3'!F222</f>
        <v>3.1399999999999988</v>
      </c>
      <c r="G222" s="36">
        <f>'GF + UG Iteration 3'!G222</f>
        <v>0.34692120274319505</v>
      </c>
      <c r="H222" s="38">
        <f>'GF + UG Iteration 3'!H222</f>
        <v>2005</v>
      </c>
      <c r="I222" s="35">
        <f t="shared" si="20"/>
        <v>13.95</v>
      </c>
      <c r="J222" s="36">
        <f t="shared" si="21"/>
        <v>10.340435853844646</v>
      </c>
      <c r="K222" s="38">
        <f t="shared" si="22"/>
        <v>2005</v>
      </c>
      <c r="M222" s="21">
        <f t="shared" si="23"/>
        <v>2.6354795082673745</v>
      </c>
      <c r="N222" s="21">
        <f t="shared" si="24"/>
        <v>2.3360620204012505</v>
      </c>
    </row>
    <row r="223" spans="1:14" x14ac:dyDescent="0.2">
      <c r="A223" s="33">
        <f>'GF + UG Iteration 3'!A223</f>
        <v>779</v>
      </c>
      <c r="B223" s="34" t="str">
        <f>'GF + UG Iteration 3'!B223</f>
        <v>UG</v>
      </c>
      <c r="C223" s="35">
        <f>'GF + UG Iteration 3'!C223</f>
        <v>13.95</v>
      </c>
      <c r="D223" s="36">
        <f>'GF + UG Iteration 3'!P$16*(C223^'GF + UG Iteration 3'!P$15)</f>
        <v>11.539323696260121</v>
      </c>
      <c r="E223" s="37">
        <f>'GF + UG Iteration 3'!E223</f>
        <v>1993</v>
      </c>
      <c r="F223" s="35">
        <f>'GF + UG Iteration 3'!F223</f>
        <v>4.0500000000000007</v>
      </c>
      <c r="G223" s="36">
        <f>'GF + UG Iteration 3'!G223</f>
        <v>0.91575874480529229</v>
      </c>
      <c r="H223" s="38">
        <f>'GF + UG Iteration 3'!H223</f>
        <v>2008</v>
      </c>
      <c r="I223" s="35">
        <f t="shared" si="20"/>
        <v>18</v>
      </c>
      <c r="J223" s="36">
        <f t="shared" si="21"/>
        <v>12.455082441065413</v>
      </c>
      <c r="K223" s="38">
        <f t="shared" si="22"/>
        <v>2008</v>
      </c>
      <c r="M223" s="21">
        <f t="shared" si="23"/>
        <v>2.8903717578961645</v>
      </c>
      <c r="N223" s="21">
        <f t="shared" si="24"/>
        <v>2.5221287678062811</v>
      </c>
    </row>
    <row r="224" spans="1:14" x14ac:dyDescent="0.2">
      <c r="A224" s="33">
        <f>'GF + UG Iteration 3'!A224</f>
        <v>1416</v>
      </c>
      <c r="B224" s="34" t="str">
        <f>'GF + UG Iteration 3'!B224</f>
        <v>UG</v>
      </c>
      <c r="C224" s="35">
        <f>'GF + UG Iteration 3'!C224</f>
        <v>18</v>
      </c>
      <c r="D224" s="36">
        <f>'GF + UG Iteration 3'!P$16*(C224^'GF + UG Iteration 3'!P$15)</f>
        <v>13.323371478661349</v>
      </c>
      <c r="E224" s="37">
        <f>'GF + UG Iteration 3'!E224</f>
        <v>1993</v>
      </c>
      <c r="F224" s="35">
        <f>'GF + UG Iteration 3'!F224</f>
        <v>6</v>
      </c>
      <c r="G224" s="36">
        <f>'GF + UG Iteration 3'!G224</f>
        <v>1.4181567457767223</v>
      </c>
      <c r="H224" s="38">
        <f>'GF + UG Iteration 3'!H224</f>
        <v>2014</v>
      </c>
      <c r="I224" s="35">
        <f t="shared" si="20"/>
        <v>24</v>
      </c>
      <c r="J224" s="36">
        <f t="shared" si="21"/>
        <v>14.741528224438071</v>
      </c>
      <c r="K224" s="38">
        <f t="shared" si="22"/>
        <v>2014</v>
      </c>
      <c r="M224" s="21">
        <f t="shared" si="23"/>
        <v>3.1780538303479458</v>
      </c>
      <c r="N224" s="21">
        <f t="shared" si="24"/>
        <v>2.6906685601140645</v>
      </c>
    </row>
    <row r="225" spans="1:14" x14ac:dyDescent="0.2">
      <c r="A225" s="33">
        <f>'GF + UG Iteration 3'!A225</f>
        <v>554</v>
      </c>
      <c r="B225" s="34" t="str">
        <f>'GF + UG Iteration 3'!B225</f>
        <v>UG</v>
      </c>
      <c r="C225" s="35">
        <f>'GF + UG Iteration 3'!C225</f>
        <v>23</v>
      </c>
      <c r="D225" s="36">
        <f>'GF + UG Iteration 3'!P$16*(C225^'GF + UG Iteration 3'!P$15)</f>
        <v>15.298712625867067</v>
      </c>
      <c r="E225" s="37">
        <f>'GF + UG Iteration 3'!E225</f>
        <v>1968</v>
      </c>
      <c r="F225" s="35">
        <f>'GF + UG Iteration 3'!F225</f>
        <v>8.2600000000000016</v>
      </c>
      <c r="G225" s="36">
        <f>'GF + UG Iteration 3'!G225</f>
        <v>1.061095708813089</v>
      </c>
      <c r="H225" s="38">
        <f>'GF + UG Iteration 3'!H225</f>
        <v>2006</v>
      </c>
      <c r="I225" s="35">
        <f t="shared" si="20"/>
        <v>31.26</v>
      </c>
      <c r="J225" s="36">
        <f t="shared" si="21"/>
        <v>16.359808334680157</v>
      </c>
      <c r="K225" s="38">
        <f t="shared" si="22"/>
        <v>2006</v>
      </c>
      <c r="M225" s="21">
        <f t="shared" si="23"/>
        <v>3.4423393249933305</v>
      </c>
      <c r="N225" s="21">
        <f t="shared" si="24"/>
        <v>2.7948276156218763</v>
      </c>
    </row>
    <row r="226" spans="1:14" x14ac:dyDescent="0.2">
      <c r="A226" s="33">
        <f>'GF + UG Iteration 3'!A226</f>
        <v>1581</v>
      </c>
      <c r="B226" s="34" t="str">
        <f>'GF + UG Iteration 3'!B226</f>
        <v>UG</v>
      </c>
      <c r="C226" s="35">
        <f>'GF + UG Iteration 3'!C226</f>
        <v>7.44</v>
      </c>
      <c r="D226" s="36">
        <f>'GF + UG Iteration 3'!P$16*(C226^'GF + UG Iteration 3'!P$15)</f>
        <v>8.0948309639356104</v>
      </c>
      <c r="E226" s="37" t="str">
        <f>'GF + UG Iteration 3'!E226</f>
        <v>unknown</v>
      </c>
      <c r="F226" s="35">
        <f>'GF + UG Iteration 3'!F226</f>
        <v>9.36</v>
      </c>
      <c r="G226" s="36">
        <f>'GF + UG Iteration 3'!G226</f>
        <v>5.3848313505476417</v>
      </c>
      <c r="H226" s="38">
        <f>'GF + UG Iteration 3'!H226</f>
        <v>2015</v>
      </c>
      <c r="I226" s="35">
        <f t="shared" si="20"/>
        <v>16.8</v>
      </c>
      <c r="J226" s="36">
        <f t="shared" si="21"/>
        <v>13.479662314483253</v>
      </c>
      <c r="K226" s="38">
        <f t="shared" si="22"/>
        <v>2015</v>
      </c>
      <c r="M226" s="21">
        <f t="shared" si="23"/>
        <v>2.8213788864092133</v>
      </c>
      <c r="N226" s="21">
        <f t="shared" si="24"/>
        <v>2.6011820543160251</v>
      </c>
    </row>
    <row r="227" spans="1:14" x14ac:dyDescent="0.2">
      <c r="A227" s="33">
        <f>'GF + UG Iteration 3'!A227</f>
        <v>880</v>
      </c>
      <c r="B227" s="34" t="str">
        <f>'GF + UG Iteration 3'!B227</f>
        <v>UG</v>
      </c>
      <c r="C227" s="35">
        <f>'GF + UG Iteration 3'!C227</f>
        <v>8.9499999999999993</v>
      </c>
      <c r="D227" s="36">
        <f>'GF + UG Iteration 3'!P$16*(C227^'GF + UG Iteration 3'!P$15)</f>
        <v>8.9839804408869153</v>
      </c>
      <c r="E227" s="37">
        <f>'GF + UG Iteration 3'!E227</f>
        <v>1966</v>
      </c>
      <c r="F227" s="35">
        <f>'GF + UG Iteration 3'!F227</f>
        <v>2.0500000000000007</v>
      </c>
      <c r="G227" s="36">
        <f>'GF + UG Iteration 3'!G227</f>
        <v>4.5763928166345611</v>
      </c>
      <c r="H227" s="38">
        <f>'GF + UG Iteration 3'!H227</f>
        <v>2010</v>
      </c>
      <c r="I227" s="35">
        <f t="shared" si="20"/>
        <v>11</v>
      </c>
      <c r="J227" s="36">
        <f t="shared" si="21"/>
        <v>13.560373257521476</v>
      </c>
      <c r="K227" s="38">
        <f t="shared" si="22"/>
        <v>2010</v>
      </c>
      <c r="M227" s="21">
        <f t="shared" si="23"/>
        <v>2.3978952727983707</v>
      </c>
      <c r="N227" s="21">
        <f t="shared" si="24"/>
        <v>2.6071518084992968</v>
      </c>
    </row>
    <row r="228" spans="1:14" x14ac:dyDescent="0.2">
      <c r="A228" s="33">
        <f>'GF + UG Iteration 3'!A228</f>
        <v>1047</v>
      </c>
      <c r="B228" s="34" t="str">
        <f>'GF + UG Iteration 3'!B228</f>
        <v>UG</v>
      </c>
      <c r="C228" s="35">
        <f>'GF + UG Iteration 3'!C228</f>
        <v>10</v>
      </c>
      <c r="D228" s="36">
        <f>'GF + UG Iteration 3'!P$16*(C228^'GF + UG Iteration 3'!P$15)</f>
        <v>9.5640223017030692</v>
      </c>
      <c r="E228" s="37">
        <f>'GF + UG Iteration 3'!E228</f>
        <v>1965</v>
      </c>
      <c r="F228" s="35">
        <f>'GF + UG Iteration 3'!F228</f>
        <v>5</v>
      </c>
      <c r="G228" s="36">
        <f>'GF + UG Iteration 3'!G228</f>
        <v>6.2586429220605622</v>
      </c>
      <c r="H228" s="38">
        <f>'GF + UG Iteration 3'!H228</f>
        <v>2012</v>
      </c>
      <c r="I228" s="35">
        <f t="shared" si="20"/>
        <v>15</v>
      </c>
      <c r="J228" s="36">
        <f t="shared" si="21"/>
        <v>15.822665223763632</v>
      </c>
      <c r="K228" s="38">
        <f t="shared" si="22"/>
        <v>2012</v>
      </c>
      <c r="M228" s="21">
        <f t="shared" si="23"/>
        <v>2.7080502011022101</v>
      </c>
      <c r="N228" s="21">
        <f t="shared" si="24"/>
        <v>2.7614434199426263</v>
      </c>
    </row>
    <row r="229" spans="1:14" x14ac:dyDescent="0.2">
      <c r="A229" s="33">
        <f>'GF + UG Iteration 3'!A229</f>
        <v>1045</v>
      </c>
      <c r="B229" s="34" t="str">
        <f>'GF + UG Iteration 3'!B229</f>
        <v>UG</v>
      </c>
      <c r="C229" s="35">
        <f>'GF + UG Iteration 3'!C229</f>
        <v>24.065999999999999</v>
      </c>
      <c r="D229" s="36">
        <f>'GF + UG Iteration 3'!P$16*(C229^'GF + UG Iteration 3'!P$15)</f>
        <v>15.694669813967941</v>
      </c>
      <c r="E229" s="37">
        <f>'GF + UG Iteration 3'!E229</f>
        <v>1971</v>
      </c>
      <c r="F229" s="35">
        <f>'GF + UG Iteration 3'!F229</f>
        <v>7.9340000000000011</v>
      </c>
      <c r="G229" s="36">
        <f>'GF + UG Iteration 3'!G229</f>
        <v>3.8009199870921253</v>
      </c>
      <c r="H229" s="38">
        <f>'GF + UG Iteration 3'!H229</f>
        <v>2011</v>
      </c>
      <c r="I229" s="35">
        <f t="shared" si="20"/>
        <v>32</v>
      </c>
      <c r="J229" s="36">
        <f t="shared" si="21"/>
        <v>19.495589801060067</v>
      </c>
      <c r="K229" s="38">
        <f t="shared" si="22"/>
        <v>2011</v>
      </c>
      <c r="M229" s="21">
        <f t="shared" si="23"/>
        <v>3.4657359027997265</v>
      </c>
      <c r="N229" s="21">
        <f t="shared" si="24"/>
        <v>2.9701882759425544</v>
      </c>
    </row>
    <row r="230" spans="1:14" x14ac:dyDescent="0.2">
      <c r="A230" s="33">
        <f>'GF + UG Iteration 3'!A230</f>
        <v>1616</v>
      </c>
      <c r="B230" s="34" t="str">
        <f>'GF + UG Iteration 3'!B230</f>
        <v>UG</v>
      </c>
      <c r="C230" s="35">
        <f>'GF + UG Iteration 3'!C230</f>
        <v>21.68</v>
      </c>
      <c r="D230" s="36">
        <f>'GF + UG Iteration 3'!P$16*(C230^'GF + UG Iteration 3'!P$15)</f>
        <v>14.797141734442194</v>
      </c>
      <c r="E230" s="37" t="str">
        <f>'GF + UG Iteration 3'!E230</f>
        <v>unknown</v>
      </c>
      <c r="F230" s="35">
        <f>'GF + UG Iteration 3'!F230</f>
        <v>25.75</v>
      </c>
      <c r="G230" s="36">
        <f>'GF + UG Iteration 3'!G230</f>
        <v>0.84818580502502572</v>
      </c>
      <c r="H230" s="38">
        <f>'GF + UG Iteration 3'!H230</f>
        <v>2015</v>
      </c>
      <c r="I230" s="35">
        <f t="shared" si="20"/>
        <v>47.43</v>
      </c>
      <c r="J230" s="36">
        <f t="shared" si="21"/>
        <v>15.645327539467219</v>
      </c>
      <c r="K230" s="38">
        <f t="shared" si="22"/>
        <v>2015</v>
      </c>
      <c r="M230" s="21">
        <f t="shared" si="23"/>
        <v>3.8592549398894902</v>
      </c>
      <c r="N230" s="21">
        <f t="shared" si="24"/>
        <v>2.7501723126298661</v>
      </c>
    </row>
    <row r="231" spans="1:14" x14ac:dyDescent="0.2">
      <c r="A231" s="33">
        <f>'GF + UG Iteration 3'!A231</f>
        <v>362</v>
      </c>
      <c r="B231" s="34" t="str">
        <f>'GF + UG Iteration 3'!B231</f>
        <v>UG</v>
      </c>
      <c r="C231" s="35">
        <f>'GF + UG Iteration 3'!C231</f>
        <v>51.8</v>
      </c>
      <c r="D231" s="36">
        <f>'GF + UG Iteration 3'!P$16*(C231^'GF + UG Iteration 3'!P$15)</f>
        <v>24.18366865426664</v>
      </c>
      <c r="E231" s="37">
        <f>'GF + UG Iteration 3'!E231</f>
        <v>1971</v>
      </c>
      <c r="F231" s="35">
        <f>'GF + UG Iteration 3'!F231</f>
        <v>1</v>
      </c>
      <c r="G231" s="36">
        <f>'GF + UG Iteration 3'!G231</f>
        <v>0.78848028183233532</v>
      </c>
      <c r="H231" s="38">
        <f>'GF + UG Iteration 3'!H231</f>
        <v>2004</v>
      </c>
      <c r="I231" s="35">
        <f t="shared" si="20"/>
        <v>52.8</v>
      </c>
      <c r="J231" s="36">
        <f t="shared" si="21"/>
        <v>24.972148936098975</v>
      </c>
      <c r="K231" s="38">
        <f t="shared" si="22"/>
        <v>2004</v>
      </c>
      <c r="M231" s="21">
        <f t="shared" si="23"/>
        <v>3.9665111907122159</v>
      </c>
      <c r="N231" s="21">
        <f t="shared" si="24"/>
        <v>3.2177611613054902</v>
      </c>
    </row>
    <row r="232" spans="1:14" x14ac:dyDescent="0.2">
      <c r="A232" s="33">
        <f>'GF + UG Iteration 3'!A232</f>
        <v>924</v>
      </c>
      <c r="B232" s="34" t="str">
        <f>'GF + UG Iteration 3'!B232</f>
        <v>UG</v>
      </c>
      <c r="C232" s="35">
        <f>'GF + UG Iteration 3'!C232</f>
        <v>45.94</v>
      </c>
      <c r="D232" s="36">
        <f>'GF + UG Iteration 3'!P$16*(C232^'GF + UG Iteration 3'!P$15)</f>
        <v>22.600390647589602</v>
      </c>
      <c r="E232" s="37">
        <f>'GF + UG Iteration 3'!E232</f>
        <v>1982</v>
      </c>
      <c r="F232" s="35">
        <f>'GF + UG Iteration 3'!F232</f>
        <v>6.0600000000000023</v>
      </c>
      <c r="G232" s="36">
        <f>'GF + UG Iteration 3'!G232</f>
        <v>1.4264307906682692</v>
      </c>
      <c r="H232" s="38">
        <f>'GF + UG Iteration 3'!H232</f>
        <v>2010</v>
      </c>
      <c r="I232" s="35">
        <f t="shared" si="20"/>
        <v>52</v>
      </c>
      <c r="J232" s="36">
        <f t="shared" si="21"/>
        <v>24.026821438257873</v>
      </c>
      <c r="K232" s="38">
        <f t="shared" si="22"/>
        <v>2010</v>
      </c>
      <c r="M232" s="21">
        <f t="shared" si="23"/>
        <v>3.9512437185814275</v>
      </c>
      <c r="N232" s="21">
        <f t="shared" si="24"/>
        <v>3.179170766270127</v>
      </c>
    </row>
    <row r="233" spans="1:14" x14ac:dyDescent="0.2">
      <c r="A233" s="33">
        <f>'GF + UG Iteration 3'!A233</f>
        <v>1241</v>
      </c>
      <c r="B233" s="34" t="str">
        <f>'GF + UG Iteration 3'!B233</f>
        <v>UG</v>
      </c>
      <c r="C233" s="35">
        <f>'GF + UG Iteration 3'!C233</f>
        <v>20.29</v>
      </c>
      <c r="D233" s="36">
        <f>'GF + UG Iteration 3'!P$16*(C233^'GF + UG Iteration 3'!P$15)</f>
        <v>14.254352384463441</v>
      </c>
      <c r="E233" s="37" t="str">
        <f>'GF + UG Iteration 3'!E233</f>
        <v>unknown</v>
      </c>
      <c r="F233" s="35">
        <f>'GF + UG Iteration 3'!F233</f>
        <v>6</v>
      </c>
      <c r="G233" s="36">
        <f>'GF + UG Iteration 3'!G233</f>
        <v>2.625007735639064</v>
      </c>
      <c r="H233" s="38">
        <f>'GF + UG Iteration 3'!H233</f>
        <v>2012</v>
      </c>
      <c r="I233" s="35">
        <f t="shared" si="20"/>
        <v>26.29</v>
      </c>
      <c r="J233" s="36">
        <f t="shared" si="21"/>
        <v>16.879360120102504</v>
      </c>
      <c r="K233" s="38">
        <f t="shared" si="22"/>
        <v>2012</v>
      </c>
      <c r="M233" s="21">
        <f t="shared" si="23"/>
        <v>3.2691886387417899</v>
      </c>
      <c r="N233" s="21">
        <f t="shared" si="24"/>
        <v>2.8260915808724349</v>
      </c>
    </row>
    <row r="234" spans="1:14" x14ac:dyDescent="0.2">
      <c r="A234" s="33">
        <f>'GF + UG Iteration 3'!A234</f>
        <v>438</v>
      </c>
      <c r="B234" s="34" t="str">
        <f>'GF + UG Iteration 3'!B234</f>
        <v>UG</v>
      </c>
      <c r="C234" s="35">
        <f>'GF + UG Iteration 3'!C234</f>
        <v>8.2460000000000004</v>
      </c>
      <c r="D234" s="36">
        <f>'GF + UG Iteration 3'!P$16*(C234^'GF + UG Iteration 3'!P$15)</f>
        <v>8.5783125008052732</v>
      </c>
      <c r="E234" s="37">
        <f>'GF + UG Iteration 3'!E234</f>
        <v>1978</v>
      </c>
      <c r="F234" s="35">
        <f>'GF + UG Iteration 3'!F234</f>
        <v>1</v>
      </c>
      <c r="G234" s="36">
        <f>'GF + UG Iteration 3'!G234</f>
        <v>0.18095315250984781</v>
      </c>
      <c r="H234" s="38">
        <f>'GF + UG Iteration 3'!H234</f>
        <v>2004</v>
      </c>
      <c r="I234" s="35">
        <f t="shared" si="20"/>
        <v>9.2460000000000004</v>
      </c>
      <c r="J234" s="36">
        <f t="shared" si="21"/>
        <v>8.7592656533151203</v>
      </c>
      <c r="K234" s="38">
        <f t="shared" si="22"/>
        <v>2004</v>
      </c>
      <c r="M234" s="21">
        <f t="shared" si="23"/>
        <v>2.2241910255660335</v>
      </c>
      <c r="N234" s="21">
        <f t="shared" si="24"/>
        <v>2.1701120719041711</v>
      </c>
    </row>
    <row r="235" spans="1:14" x14ac:dyDescent="0.2">
      <c r="A235" s="33">
        <f>'GF + UG Iteration 3'!A235</f>
        <v>748</v>
      </c>
      <c r="B235" s="34" t="str">
        <f>'GF + UG Iteration 3'!B235</f>
        <v>UG</v>
      </c>
      <c r="C235" s="35">
        <f>'GF + UG Iteration 3'!C235</f>
        <v>25.541</v>
      </c>
      <c r="D235" s="36">
        <f>'GF + UG Iteration 3'!P$16*(C235^'GF + UG Iteration 3'!P$15)</f>
        <v>16.230150126587656</v>
      </c>
      <c r="E235" s="37">
        <f>'GF + UG Iteration 3'!E235</f>
        <v>1995</v>
      </c>
      <c r="F235" s="35">
        <f>'GF + UG Iteration 3'!F235</f>
        <v>1</v>
      </c>
      <c r="G235" s="36">
        <f>'GF + UG Iteration 3'!G235</f>
        <v>0.38858476644316492</v>
      </c>
      <c r="H235" s="38">
        <f>'GF + UG Iteration 3'!H235</f>
        <v>2008</v>
      </c>
      <c r="I235" s="35">
        <f t="shared" si="20"/>
        <v>26.541</v>
      </c>
      <c r="J235" s="36">
        <f t="shared" si="21"/>
        <v>16.618734893030823</v>
      </c>
      <c r="K235" s="38">
        <f t="shared" si="22"/>
        <v>2008</v>
      </c>
      <c r="M235" s="21">
        <f t="shared" si="23"/>
        <v>3.2786907071693587</v>
      </c>
      <c r="N235" s="21">
        <f t="shared" si="24"/>
        <v>2.8105306669771632</v>
      </c>
    </row>
    <row r="236" spans="1:14" x14ac:dyDescent="0.2">
      <c r="A236" s="33">
        <f>'GF + UG Iteration 3'!A236</f>
        <v>1319</v>
      </c>
      <c r="B236" s="34" t="str">
        <f>'GF + UG Iteration 3'!B236</f>
        <v>UG</v>
      </c>
      <c r="C236" s="35">
        <f>'GF + UG Iteration 3'!C236</f>
        <v>15.71</v>
      </c>
      <c r="D236" s="36">
        <f>'GF + UG Iteration 3'!P$16*(C236^'GF + UG Iteration 3'!P$15)</f>
        <v>12.339110229045897</v>
      </c>
      <c r="E236" s="37">
        <f>'GF + UG Iteration 3'!E236</f>
        <v>0</v>
      </c>
      <c r="F236" s="35">
        <f>'GF + UG Iteration 3'!F236</f>
        <v>4.2899999999999991</v>
      </c>
      <c r="G236" s="36">
        <f>'GF + UG Iteration 3'!G236</f>
        <v>3.2376779482440865</v>
      </c>
      <c r="H236" s="38">
        <f>'GF + UG Iteration 3'!H236</f>
        <v>2014</v>
      </c>
      <c r="I236" s="35">
        <f t="shared" si="20"/>
        <v>20</v>
      </c>
      <c r="J236" s="36">
        <f t="shared" si="21"/>
        <v>15.576788177289984</v>
      </c>
      <c r="K236" s="38">
        <f t="shared" si="22"/>
        <v>2014</v>
      </c>
      <c r="M236" s="21">
        <f t="shared" si="23"/>
        <v>2.9957322735539909</v>
      </c>
      <c r="N236" s="21">
        <f t="shared" si="24"/>
        <v>2.7457818688241979</v>
      </c>
    </row>
    <row r="237" spans="1:14" x14ac:dyDescent="0.2">
      <c r="A237" s="33">
        <f>'GF + UG Iteration 3'!A237</f>
        <v>892</v>
      </c>
      <c r="B237" s="34" t="str">
        <f>'GF + UG Iteration 3'!B237</f>
        <v>UG</v>
      </c>
      <c r="C237" s="35">
        <f>'GF + UG Iteration 3'!C237</f>
        <v>13.05</v>
      </c>
      <c r="D237" s="36">
        <f>'GF + UG Iteration 3'!P$16*(C237^'GF + UG Iteration 3'!P$15)</f>
        <v>11.113346289998852</v>
      </c>
      <c r="E237" s="37">
        <f>'GF + UG Iteration 3'!E237</f>
        <v>1972</v>
      </c>
      <c r="F237" s="35">
        <f>'GF + UG Iteration 3'!F237</f>
        <v>0</v>
      </c>
      <c r="G237" s="36">
        <f>'GF + UG Iteration 3'!G237</f>
        <v>3.2490818561124843</v>
      </c>
      <c r="H237" s="38">
        <f>'GF + UG Iteration 3'!H237</f>
        <v>2011</v>
      </c>
      <c r="I237" s="35">
        <f t="shared" si="20"/>
        <v>13.05</v>
      </c>
      <c r="J237" s="36">
        <f t="shared" si="21"/>
        <v>14.362428146111336</v>
      </c>
      <c r="K237" s="38">
        <f t="shared" si="22"/>
        <v>2011</v>
      </c>
      <c r="M237" s="21">
        <f t="shared" si="23"/>
        <v>2.5687881337687024</v>
      </c>
      <c r="N237" s="21">
        <f t="shared" si="24"/>
        <v>2.6646156402806422</v>
      </c>
    </row>
    <row r="238" spans="1:14" x14ac:dyDescent="0.2">
      <c r="A238" s="33">
        <f>'GF + UG Iteration 3'!A238</f>
        <v>504</v>
      </c>
      <c r="B238" s="34" t="str">
        <f>'GF + UG Iteration 3'!B238</f>
        <v>UG</v>
      </c>
      <c r="C238" s="35">
        <f>'GF + UG Iteration 3'!C238</f>
        <v>10.496</v>
      </c>
      <c r="D238" s="36">
        <f>'GF + UG Iteration 3'!P$16*(C238^'GF + UG Iteration 3'!P$15)</f>
        <v>9.8287435701843489</v>
      </c>
      <c r="E238" s="37">
        <f>'GF + UG Iteration 3'!E238</f>
        <v>2007</v>
      </c>
      <c r="F238" s="35">
        <f>'GF + UG Iteration 3'!F238</f>
        <v>0</v>
      </c>
      <c r="G238" s="36">
        <f>'GF + UG Iteration 3'!G238</f>
        <v>2.1923137026225539</v>
      </c>
      <c r="H238" s="38">
        <f>'GF + UG Iteration 3'!H238</f>
        <v>2006</v>
      </c>
      <c r="I238" s="35">
        <f t="shared" si="20"/>
        <v>10.496</v>
      </c>
      <c r="J238" s="36">
        <f t="shared" si="21"/>
        <v>12.021057272806903</v>
      </c>
      <c r="K238" s="38">
        <f t="shared" si="22"/>
        <v>2007</v>
      </c>
      <c r="M238" s="21">
        <f t="shared" si="23"/>
        <v>2.3509942322017334</v>
      </c>
      <c r="N238" s="21">
        <f t="shared" si="24"/>
        <v>2.4866598847069827</v>
      </c>
    </row>
    <row r="239" spans="1:14" x14ac:dyDescent="0.2">
      <c r="A239" s="33">
        <f>'GF + UG Iteration 3'!A239</f>
        <v>618</v>
      </c>
      <c r="B239" s="34" t="str">
        <f>'GF + UG Iteration 3'!B239</f>
        <v>UG</v>
      </c>
      <c r="C239" s="35">
        <f>'GF + UG Iteration 3'!C239</f>
        <v>11</v>
      </c>
      <c r="D239" s="36">
        <f>'GF + UG Iteration 3'!P$16*(C239^'GF + UG Iteration 3'!P$15)</f>
        <v>10.092204276807562</v>
      </c>
      <c r="E239" s="37">
        <f>'GF + UG Iteration 3'!E239</f>
        <v>1995</v>
      </c>
      <c r="F239" s="35">
        <f>'GF + UG Iteration 3'!F239</f>
        <v>11.5</v>
      </c>
      <c r="G239" s="36">
        <f>'GF + UG Iteration 3'!G239</f>
        <v>2.3464649770982668</v>
      </c>
      <c r="H239" s="38">
        <f>'GF + UG Iteration 3'!H239</f>
        <v>2006</v>
      </c>
      <c r="I239" s="35">
        <f t="shared" si="20"/>
        <v>22.5</v>
      </c>
      <c r="J239" s="36">
        <f t="shared" si="21"/>
        <v>12.438669253905829</v>
      </c>
      <c r="K239" s="38">
        <f t="shared" si="22"/>
        <v>2006</v>
      </c>
      <c r="M239" s="21">
        <f t="shared" si="23"/>
        <v>3.1135153092103742</v>
      </c>
      <c r="N239" s="21">
        <f t="shared" si="24"/>
        <v>2.5208101084303016</v>
      </c>
    </row>
    <row r="240" spans="1:14" x14ac:dyDescent="0.2">
      <c r="A240" s="33">
        <f>'GF + UG Iteration 3'!A240</f>
        <v>712</v>
      </c>
      <c r="B240" s="34" t="str">
        <f>'GF + UG Iteration 3'!B240</f>
        <v>UG</v>
      </c>
      <c r="C240" s="35">
        <f>'GF + UG Iteration 3'!C240</f>
        <v>7.5</v>
      </c>
      <c r="D240" s="36">
        <f>'GF + UG Iteration 3'!P$16*(C240^'GF + UG Iteration 3'!P$15)</f>
        <v>8.1315848733067142</v>
      </c>
      <c r="E240" s="37">
        <f>'GF + UG Iteration 3'!E240</f>
        <v>1980</v>
      </c>
      <c r="F240" s="35">
        <f>'GF + UG Iteration 3'!F240</f>
        <v>1</v>
      </c>
      <c r="G240" s="36">
        <f>'GF + UG Iteration 3'!G240</f>
        <v>7.8904141673966368</v>
      </c>
      <c r="H240" s="38">
        <f>'GF + UG Iteration 3'!H240</f>
        <v>2011</v>
      </c>
      <c r="I240" s="35">
        <f t="shared" si="20"/>
        <v>8.5</v>
      </c>
      <c r="J240" s="36">
        <f t="shared" si="21"/>
        <v>16.021999040703349</v>
      </c>
      <c r="K240" s="38">
        <f t="shared" si="22"/>
        <v>2011</v>
      </c>
      <c r="M240" s="21">
        <f t="shared" si="23"/>
        <v>2.1400661634962708</v>
      </c>
      <c r="N240" s="21">
        <f t="shared" si="24"/>
        <v>2.773962717919209</v>
      </c>
    </row>
    <row r="241" spans="1:14" x14ac:dyDescent="0.2">
      <c r="A241" s="33">
        <f>'GF + UG Iteration 3'!A241</f>
        <v>726</v>
      </c>
      <c r="B241" s="34" t="str">
        <f>'GF + UG Iteration 3'!B241</f>
        <v>UG</v>
      </c>
      <c r="C241" s="35">
        <f>'GF + UG Iteration 3'!C241</f>
        <v>25.635400000000001</v>
      </c>
      <c r="D241" s="36">
        <f>'GF + UG Iteration 3'!P$16*(C241^'GF + UG Iteration 3'!P$15)</f>
        <v>16.263955511052711</v>
      </c>
      <c r="E241" s="37">
        <f>'GF + UG Iteration 3'!E241</f>
        <v>1982</v>
      </c>
      <c r="F241" s="35">
        <f>'GF + UG Iteration 3'!F241</f>
        <v>5.3645999999999994</v>
      </c>
      <c r="G241" s="36">
        <f>'GF + UG Iteration 3'!G241</f>
        <v>1.031633192087684</v>
      </c>
      <c r="H241" s="38">
        <f>'GF + UG Iteration 3'!H241</f>
        <v>2008</v>
      </c>
      <c r="I241" s="35">
        <f t="shared" si="20"/>
        <v>31</v>
      </c>
      <c r="J241" s="36">
        <f t="shared" si="21"/>
        <v>17.295588703140396</v>
      </c>
      <c r="K241" s="38">
        <f t="shared" si="22"/>
        <v>2008</v>
      </c>
      <c r="M241" s="21">
        <f t="shared" si="23"/>
        <v>3.4339872044851463</v>
      </c>
      <c r="N241" s="21">
        <f t="shared" si="24"/>
        <v>2.8504514807309196</v>
      </c>
    </row>
    <row r="242" spans="1:14" x14ac:dyDescent="0.2">
      <c r="A242" s="33">
        <f>'GF + UG Iteration 3'!A242</f>
        <v>530</v>
      </c>
      <c r="B242" s="34" t="str">
        <f>'GF + UG Iteration 3'!B242</f>
        <v>UG</v>
      </c>
      <c r="C242" s="35">
        <f>'GF + UG Iteration 3'!C242</f>
        <v>25</v>
      </c>
      <c r="D242" s="36">
        <f>'GF + UG Iteration 3'!P$16*(C242^'GF + UG Iteration 3'!P$15)</f>
        <v>16.035353296717894</v>
      </c>
      <c r="E242" s="37">
        <f>'GF + UG Iteration 3'!E242</f>
        <v>1982</v>
      </c>
      <c r="F242" s="35">
        <f>'GF + UG Iteration 3'!F242</f>
        <v>20</v>
      </c>
      <c r="G242" s="36">
        <f>'GF + UG Iteration 3'!G242</f>
        <v>4.5022608459814819</v>
      </c>
      <c r="H242" s="38">
        <f>'GF + UG Iteration 3'!H242</f>
        <v>2006</v>
      </c>
      <c r="I242" s="35">
        <f t="shared" si="20"/>
        <v>45</v>
      </c>
      <c r="J242" s="36">
        <f t="shared" si="21"/>
        <v>20.537614142699375</v>
      </c>
      <c r="K242" s="38">
        <f t="shared" si="22"/>
        <v>2006</v>
      </c>
      <c r="M242" s="21">
        <f t="shared" si="23"/>
        <v>3.8066624897703196</v>
      </c>
      <c r="N242" s="21">
        <f t="shared" si="24"/>
        <v>3.0222580411178446</v>
      </c>
    </row>
    <row r="243" spans="1:14" x14ac:dyDescent="0.2">
      <c r="A243" s="33">
        <f>'GF + UG Iteration 3'!A243</f>
        <v>755</v>
      </c>
      <c r="B243" s="34" t="str">
        <f>'GF + UG Iteration 3'!B243</f>
        <v>UG</v>
      </c>
      <c r="C243" s="35">
        <f>'GF + UG Iteration 3'!C243</f>
        <v>8.6980000000000004</v>
      </c>
      <c r="D243" s="36">
        <f>'GF + UG Iteration 3'!P$16*(C243^'GF + UG Iteration 3'!P$15)</f>
        <v>8.8404252415370124</v>
      </c>
      <c r="E243" s="37">
        <f>'GF + UG Iteration 3'!E243</f>
        <v>1983</v>
      </c>
      <c r="F243" s="35">
        <f>'GF + UG Iteration 3'!F243</f>
        <v>3.3019999999999996</v>
      </c>
      <c r="G243" s="36">
        <f>'GF + UG Iteration 3'!G243</f>
        <v>0.74649134624932623</v>
      </c>
      <c r="H243" s="38">
        <f>'GF + UG Iteration 3'!H243</f>
        <v>2008</v>
      </c>
      <c r="I243" s="35">
        <f t="shared" si="20"/>
        <v>12</v>
      </c>
      <c r="J243" s="36">
        <f t="shared" si="21"/>
        <v>9.5869165877863392</v>
      </c>
      <c r="K243" s="38">
        <f t="shared" si="22"/>
        <v>2008</v>
      </c>
      <c r="M243" s="21">
        <f t="shared" si="23"/>
        <v>2.4849066497880004</v>
      </c>
      <c r="N243" s="21">
        <f t="shared" si="24"/>
        <v>2.2603993135027527</v>
      </c>
    </row>
    <row r="244" spans="1:14" x14ac:dyDescent="0.2">
      <c r="A244" s="33">
        <f>'GF + UG Iteration 3'!A244</f>
        <v>1081</v>
      </c>
      <c r="B244" s="34" t="str">
        <f>'GF + UG Iteration 3'!B244</f>
        <v>UG</v>
      </c>
      <c r="C244" s="35">
        <f>'GF + UG Iteration 3'!C244</f>
        <v>12</v>
      </c>
      <c r="D244" s="36">
        <f>'GF + UG Iteration 3'!P$16*(C244^'GF + UG Iteration 3'!P$15)</f>
        <v>10.599826597642092</v>
      </c>
      <c r="E244" s="37">
        <f>'GF + UG Iteration 3'!E244</f>
        <v>1983</v>
      </c>
      <c r="F244" s="35">
        <f>'GF + UG Iteration 3'!F244</f>
        <v>4</v>
      </c>
      <c r="G244" s="36">
        <f>'GF + UG Iteration 3'!G244</f>
        <v>0.74615854172219498</v>
      </c>
      <c r="H244" s="38">
        <f>'GF + UG Iteration 3'!H244</f>
        <v>2010</v>
      </c>
      <c r="I244" s="35">
        <f t="shared" si="20"/>
        <v>16</v>
      </c>
      <c r="J244" s="36">
        <f t="shared" si="21"/>
        <v>11.345985139364288</v>
      </c>
      <c r="K244" s="38">
        <f t="shared" si="22"/>
        <v>2010</v>
      </c>
      <c r="M244" s="21">
        <f t="shared" si="23"/>
        <v>2.7725887222397811</v>
      </c>
      <c r="N244" s="21">
        <f t="shared" si="24"/>
        <v>2.4288639491348141</v>
      </c>
    </row>
    <row r="245" spans="1:14" x14ac:dyDescent="0.2">
      <c r="A245" s="33">
        <f>'GF + UG Iteration 3'!A245</f>
        <v>307</v>
      </c>
      <c r="B245" s="34" t="str">
        <f>'GF + UG Iteration 3'!B245</f>
        <v>UG</v>
      </c>
      <c r="C245" s="35">
        <f>'GF + UG Iteration 3'!C245</f>
        <v>9.07</v>
      </c>
      <c r="D245" s="36">
        <f>'GF + UG Iteration 3'!P$16*(C245^'GF + UG Iteration 3'!P$15)</f>
        <v>9.0517200279179519</v>
      </c>
      <c r="E245" s="37">
        <f>'GF + UG Iteration 3'!E245</f>
        <v>1985</v>
      </c>
      <c r="F245" s="35">
        <f>'GF + UG Iteration 3'!F245</f>
        <v>1.0019999999999989</v>
      </c>
      <c r="G245" s="36">
        <f>'GF + UG Iteration 3'!G245</f>
        <v>2.5230801807757093</v>
      </c>
      <c r="H245" s="38">
        <f>'GF + UG Iteration 3'!H245</f>
        <v>2003</v>
      </c>
      <c r="I245" s="35">
        <f t="shared" si="20"/>
        <v>10.071999999999999</v>
      </c>
      <c r="J245" s="36">
        <f t="shared" si="21"/>
        <v>11.574800208693661</v>
      </c>
      <c r="K245" s="38">
        <f t="shared" si="22"/>
        <v>2003</v>
      </c>
      <c r="M245" s="21">
        <f t="shared" si="23"/>
        <v>2.3097592967420462</v>
      </c>
      <c r="N245" s="21">
        <f t="shared" si="24"/>
        <v>2.4488303392353115</v>
      </c>
    </row>
    <row r="246" spans="1:14" x14ac:dyDescent="0.2">
      <c r="A246" s="33">
        <f>'GF + UG Iteration 3'!A246</f>
        <v>1466</v>
      </c>
      <c r="B246" s="34" t="str">
        <f>'GF + UG Iteration 3'!B246</f>
        <v>UG</v>
      </c>
      <c r="C246" s="35">
        <f>'GF + UG Iteration 3'!C246</f>
        <v>10.07</v>
      </c>
      <c r="D246" s="36">
        <f>'GF + UG Iteration 3'!P$16*(C246^'GF + UG Iteration 3'!P$15)</f>
        <v>9.6017235984234865</v>
      </c>
      <c r="E246" s="37">
        <f>'GF + UG Iteration 3'!E246</f>
        <v>1985</v>
      </c>
      <c r="F246" s="35">
        <f>'GF + UG Iteration 3'!F246</f>
        <v>4.93</v>
      </c>
      <c r="G246" s="36">
        <f>'GF + UG Iteration 3'!G246</f>
        <v>4.634839878669343</v>
      </c>
      <c r="H246" s="38">
        <f>'GF + UG Iteration 3'!H246</f>
        <v>2015</v>
      </c>
      <c r="I246" s="35">
        <f t="shared" si="20"/>
        <v>15</v>
      </c>
      <c r="J246" s="36">
        <f t="shared" si="21"/>
        <v>14.23656347709283</v>
      </c>
      <c r="K246" s="38">
        <f t="shared" si="22"/>
        <v>2015</v>
      </c>
      <c r="M246" s="21">
        <f t="shared" si="23"/>
        <v>2.7080502011022101</v>
      </c>
      <c r="N246" s="21">
        <f t="shared" si="24"/>
        <v>2.6558135480034948</v>
      </c>
    </row>
    <row r="247" spans="1:14" x14ac:dyDescent="0.2">
      <c r="A247" s="33">
        <f>'GF + UG Iteration 3'!A247</f>
        <v>1091</v>
      </c>
      <c r="B247" s="34" t="str">
        <f>'GF + UG Iteration 3'!B247</f>
        <v>UG</v>
      </c>
      <c r="C247" s="35">
        <f>'GF + UG Iteration 3'!C247</f>
        <v>16.059999999999999</v>
      </c>
      <c r="D247" s="36">
        <f>'GF + UG Iteration 3'!P$16*(C247^'GF + UG Iteration 3'!P$15)</f>
        <v>12.493408934964823</v>
      </c>
      <c r="E247" s="37">
        <f>'GF + UG Iteration 3'!E247</f>
        <v>1982</v>
      </c>
      <c r="F247" s="35">
        <f>'GF + UG Iteration 3'!F247</f>
        <v>24.34</v>
      </c>
      <c r="G247" s="36">
        <f>'GF + UG Iteration 3'!G247</f>
        <v>7.6638380518522098</v>
      </c>
      <c r="H247" s="38">
        <f>'GF + UG Iteration 3'!H247</f>
        <v>2011</v>
      </c>
      <c r="I247" s="35">
        <f t="shared" ref="I247:I292" si="30">C247+F247</f>
        <v>40.4</v>
      </c>
      <c r="J247" s="36">
        <f t="shared" ref="J247:J292" si="31">D247+G247</f>
        <v>20.157246986817032</v>
      </c>
      <c r="K247" s="38">
        <f t="shared" ref="K247:K292" si="32">MAX(E247,H247)</f>
        <v>2011</v>
      </c>
      <c r="M247" s="21">
        <f t="shared" si="23"/>
        <v>3.6988297849671046</v>
      </c>
      <c r="N247" s="21">
        <f t="shared" si="24"/>
        <v>3.003563875684649</v>
      </c>
    </row>
    <row r="248" spans="1:14" x14ac:dyDescent="0.2">
      <c r="A248" s="33">
        <f>'GF + UG Iteration 3'!A248</f>
        <v>666</v>
      </c>
      <c r="B248" s="34" t="str">
        <f>'GF + UG Iteration 3'!B248</f>
        <v>UG</v>
      </c>
      <c r="C248" s="35">
        <f>'GF + UG Iteration 3'!C248</f>
        <v>25.92</v>
      </c>
      <c r="D248" s="36">
        <f>'GF + UG Iteration 3'!P$16*(C248^'GF + UG Iteration 3'!P$15)</f>
        <v>16.365545958983869</v>
      </c>
      <c r="E248" s="37">
        <f>'GF + UG Iteration 3'!E248</f>
        <v>1987</v>
      </c>
      <c r="F248" s="35">
        <f>'GF + UG Iteration 3'!F248</f>
        <v>14.079999999999998</v>
      </c>
      <c r="G248" s="36">
        <f>'GF + UG Iteration 3'!G248</f>
        <v>3.6887760601263184</v>
      </c>
      <c r="H248" s="38">
        <f>'GF + UG Iteration 3'!H248</f>
        <v>2008</v>
      </c>
      <c r="I248" s="35">
        <f t="shared" si="30"/>
        <v>40</v>
      </c>
      <c r="J248" s="36">
        <f t="shared" si="31"/>
        <v>20.054322019110188</v>
      </c>
      <c r="K248" s="38">
        <f t="shared" si="32"/>
        <v>2008</v>
      </c>
      <c r="M248" s="21">
        <f t="shared" ref="M248:M292" si="33">LN(I248)</f>
        <v>3.6888794541139363</v>
      </c>
      <c r="N248" s="21">
        <f t="shared" ref="N248:N292" si="34">LN(J248)</f>
        <v>2.998444692572801</v>
      </c>
    </row>
    <row r="249" spans="1:14" x14ac:dyDescent="0.2">
      <c r="A249" s="33">
        <f>'GF + UG Iteration 3'!A249</f>
        <v>556</v>
      </c>
      <c r="B249" s="34" t="str">
        <f>'GF + UG Iteration 3'!B249</f>
        <v>UG</v>
      </c>
      <c r="C249" s="35">
        <f>'GF + UG Iteration 3'!C249</f>
        <v>8.6560000000000006</v>
      </c>
      <c r="D249" s="36">
        <f>'GF + UG Iteration 3'!P$16*(C249^'GF + UG Iteration 3'!P$15)</f>
        <v>8.8163239832008937</v>
      </c>
      <c r="E249" s="37">
        <f>'GF + UG Iteration 3'!E249</f>
        <v>1985</v>
      </c>
      <c r="F249" s="35">
        <f>'GF + UG Iteration 3'!F249</f>
        <v>4.3439999999999994</v>
      </c>
      <c r="G249" s="36">
        <f>'GF + UG Iteration 3'!G249</f>
        <v>3.2483692675760008</v>
      </c>
      <c r="H249" s="38">
        <f>'GF + UG Iteration 3'!H249</f>
        <v>2007</v>
      </c>
      <c r="I249" s="35">
        <f t="shared" si="30"/>
        <v>13</v>
      </c>
      <c r="J249" s="36">
        <f t="shared" si="31"/>
        <v>12.064693250776894</v>
      </c>
      <c r="K249" s="38">
        <f t="shared" si="32"/>
        <v>2007</v>
      </c>
      <c r="M249" s="21">
        <f t="shared" si="33"/>
        <v>2.5649493574615367</v>
      </c>
      <c r="N249" s="21">
        <f t="shared" si="34"/>
        <v>2.4902832740357455</v>
      </c>
    </row>
    <row r="250" spans="1:14" x14ac:dyDescent="0.2">
      <c r="A250" s="33">
        <f>'GF + UG Iteration 3'!A250</f>
        <v>452</v>
      </c>
      <c r="B250" s="34" t="str">
        <f>'GF + UG Iteration 3'!B250</f>
        <v>UG</v>
      </c>
      <c r="C250" s="35">
        <f>'GF + UG Iteration 3'!C250</f>
        <v>10.781000000000001</v>
      </c>
      <c r="D250" s="36">
        <f>'GF + UG Iteration 3'!P$16*(C250^'GF + UG Iteration 3'!P$15)</f>
        <v>9.978385188872684</v>
      </c>
      <c r="E250" s="37">
        <f>'GF + UG Iteration 3'!E250</f>
        <v>1986</v>
      </c>
      <c r="F250" s="35">
        <f>'GF + UG Iteration 3'!F250</f>
        <v>3.6189999999999998</v>
      </c>
      <c r="G250" s="36">
        <f>'GF + UG Iteration 3'!G250</f>
        <v>3.4437072461958511</v>
      </c>
      <c r="H250" s="38">
        <f>'GF + UG Iteration 3'!H250</f>
        <v>2005</v>
      </c>
      <c r="I250" s="35">
        <f t="shared" si="30"/>
        <v>14.4</v>
      </c>
      <c r="J250" s="36">
        <f t="shared" si="31"/>
        <v>13.422092435068535</v>
      </c>
      <c r="K250" s="38">
        <f t="shared" si="32"/>
        <v>2005</v>
      </c>
      <c r="M250" s="21">
        <f t="shared" si="33"/>
        <v>2.6672282065819548</v>
      </c>
      <c r="N250" s="21">
        <f t="shared" si="34"/>
        <v>2.5969020385450361</v>
      </c>
    </row>
    <row r="251" spans="1:14" x14ac:dyDescent="0.2">
      <c r="A251" s="33">
        <f>'GF + UG Iteration 3'!A251</f>
        <v>613</v>
      </c>
      <c r="B251" s="34" t="str">
        <f>'GF + UG Iteration 3'!B251</f>
        <v>UG</v>
      </c>
      <c r="C251" s="35">
        <f>'GF + UG Iteration 3'!C251</f>
        <v>6.2</v>
      </c>
      <c r="D251" s="36">
        <f>'GF + UG Iteration 3'!P$16*(C251^'GF + UG Iteration 3'!P$15)</f>
        <v>7.3038122986670766</v>
      </c>
      <c r="E251" s="37">
        <f>'GF + UG Iteration 3'!E251</f>
        <v>1999</v>
      </c>
      <c r="F251" s="35">
        <f>'GF + UG Iteration 3'!F251</f>
        <v>2.2000000000000002</v>
      </c>
      <c r="G251" s="36">
        <f>'GF + UG Iteration 3'!G251</f>
        <v>0.43131820582676678</v>
      </c>
      <c r="H251" s="38">
        <f>'GF + UG Iteration 3'!H251</f>
        <v>2006</v>
      </c>
      <c r="I251" s="35">
        <f t="shared" si="30"/>
        <v>8.4</v>
      </c>
      <c r="J251" s="36">
        <f t="shared" si="31"/>
        <v>7.735130504493843</v>
      </c>
      <c r="K251" s="38">
        <f t="shared" si="32"/>
        <v>2006</v>
      </c>
      <c r="M251" s="21">
        <f t="shared" si="33"/>
        <v>2.1282317058492679</v>
      </c>
      <c r="N251" s="21">
        <f t="shared" si="34"/>
        <v>2.0457723558276051</v>
      </c>
    </row>
    <row r="252" spans="1:14" x14ac:dyDescent="0.2">
      <c r="A252" s="33">
        <f>'GF + UG Iteration 3'!A252</f>
        <v>778</v>
      </c>
      <c r="B252" s="34" t="str">
        <f>'GF + UG Iteration 3'!B252</f>
        <v>UG</v>
      </c>
      <c r="C252" s="35">
        <f>'GF + UG Iteration 3'!C252</f>
        <v>0.1</v>
      </c>
      <c r="D252" s="36">
        <f>'GF + UG Iteration 3'!P$16*(C252^'GF + UG Iteration 3'!P$15)</f>
        <v>0.71226506928514977</v>
      </c>
      <c r="E252" s="37">
        <f>'GF + UG Iteration 3'!E252</f>
        <v>1988</v>
      </c>
      <c r="F252" s="35">
        <f>'GF + UG Iteration 3'!F252</f>
        <v>1.9</v>
      </c>
      <c r="G252" s="36">
        <f>'GF + UG Iteration 3'!G252</f>
        <v>0.48701021540648831</v>
      </c>
      <c r="H252" s="38">
        <f>'GF + UG Iteration 3'!H252</f>
        <v>2008</v>
      </c>
      <c r="I252" s="35">
        <f t="shared" si="30"/>
        <v>2</v>
      </c>
      <c r="J252" s="36">
        <f t="shared" si="31"/>
        <v>1.1992752846916381</v>
      </c>
      <c r="K252" s="38">
        <f t="shared" si="32"/>
        <v>2008</v>
      </c>
      <c r="M252" s="21">
        <f t="shared" si="33"/>
        <v>0.69314718055994529</v>
      </c>
      <c r="N252" s="21">
        <f t="shared" si="34"/>
        <v>0.18171744493148823</v>
      </c>
    </row>
    <row r="253" spans="1:14" x14ac:dyDescent="0.2">
      <c r="A253" s="33">
        <f>'GF + UG Iteration 3'!A253</f>
        <v>1571</v>
      </c>
      <c r="B253" s="34" t="str">
        <f>'GF + UG Iteration 3'!B253</f>
        <v>UG</v>
      </c>
      <c r="C253" s="35">
        <f>'GF + UG Iteration 3'!C253</f>
        <v>2</v>
      </c>
      <c r="D253" s="36">
        <f>'GF + UG Iteration 3'!P$16*(C253^'GF + UG Iteration 3'!P$15)</f>
        <v>3.8585299029755551</v>
      </c>
      <c r="E253" s="37">
        <f>'GF + UG Iteration 3'!E253</f>
        <v>1988</v>
      </c>
      <c r="F253" s="35">
        <f>'GF + UG Iteration 3'!F253</f>
        <v>11</v>
      </c>
      <c r="G253" s="36">
        <f>'GF + UG Iteration 3'!G253</f>
        <v>1.5920457896917759</v>
      </c>
      <c r="H253" s="38">
        <f>'GF + UG Iteration 3'!H253</f>
        <v>2016</v>
      </c>
      <c r="I253" s="35">
        <f t="shared" si="30"/>
        <v>13</v>
      </c>
      <c r="J253" s="36">
        <f t="shared" si="31"/>
        <v>5.4505756926673312</v>
      </c>
      <c r="K253" s="38">
        <f t="shared" si="32"/>
        <v>2016</v>
      </c>
      <c r="M253" s="21">
        <f t="shared" si="33"/>
        <v>2.5649493574615367</v>
      </c>
      <c r="N253" s="21">
        <f t="shared" si="34"/>
        <v>1.6957212347785986</v>
      </c>
    </row>
    <row r="254" spans="1:14" x14ac:dyDescent="0.2">
      <c r="A254" s="33">
        <f>'GF + UG Iteration 3'!A254</f>
        <v>525</v>
      </c>
      <c r="B254" s="34" t="str">
        <f>'GF + UG Iteration 3'!B254</f>
        <v>UG</v>
      </c>
      <c r="C254" s="35">
        <f>'GF + UG Iteration 3'!C254</f>
        <v>11.55</v>
      </c>
      <c r="D254" s="36">
        <f>'GF + UG Iteration 3'!P$16*(C254^'GF + UG Iteration 3'!P$15)</f>
        <v>10.37377408460927</v>
      </c>
      <c r="E254" s="37">
        <f>'GF + UG Iteration 3'!E254</f>
        <v>1995</v>
      </c>
      <c r="F254" s="35">
        <f>'GF + UG Iteration 3'!F254</f>
        <v>14</v>
      </c>
      <c r="G254" s="36">
        <f>'GF + UG Iteration 3'!G254</f>
        <v>2.107818995325883</v>
      </c>
      <c r="H254" s="38">
        <f>'GF + UG Iteration 3'!H254</f>
        <v>2006</v>
      </c>
      <c r="I254" s="35">
        <f t="shared" si="30"/>
        <v>25.55</v>
      </c>
      <c r="J254" s="36">
        <f t="shared" si="31"/>
        <v>12.481593079935152</v>
      </c>
      <c r="K254" s="38">
        <f t="shared" si="32"/>
        <v>2006</v>
      </c>
      <c r="M254" s="21">
        <f t="shared" si="33"/>
        <v>3.2406373166497136</v>
      </c>
      <c r="N254" s="21">
        <f t="shared" si="34"/>
        <v>2.524255005430462</v>
      </c>
    </row>
    <row r="255" spans="1:14" x14ac:dyDescent="0.2">
      <c r="A255" s="33">
        <f>'GF + UG Iteration 3'!A255</f>
        <v>1324</v>
      </c>
      <c r="B255" s="34" t="str">
        <f>'GF + UG Iteration 3'!B255</f>
        <v>UG</v>
      </c>
      <c r="C255" s="35">
        <f>'GF + UG Iteration 3'!C255</f>
        <v>15.8</v>
      </c>
      <c r="D255" s="36">
        <f>'GF + UG Iteration 3'!P$16*(C255^'GF + UG Iteration 3'!P$15)</f>
        <v>12.378928978995861</v>
      </c>
      <c r="E255" s="37">
        <f>'GF + UG Iteration 3'!E255</f>
        <v>2012</v>
      </c>
      <c r="F255" s="35">
        <f>'GF + UG Iteration 3'!F255</f>
        <v>12.3</v>
      </c>
      <c r="G255" s="36">
        <f>'GF + UG Iteration 3'!G255</f>
        <v>2.2692987542218521</v>
      </c>
      <c r="H255" s="38">
        <f>'GF + UG Iteration 3'!H255</f>
        <v>2014</v>
      </c>
      <c r="I255" s="35">
        <f t="shared" si="30"/>
        <v>28.1</v>
      </c>
      <c r="J255" s="36">
        <f t="shared" si="31"/>
        <v>14.648227733217713</v>
      </c>
      <c r="K255" s="38">
        <f t="shared" si="32"/>
        <v>2014</v>
      </c>
      <c r="M255" s="21">
        <f t="shared" si="33"/>
        <v>3.3357695763396999</v>
      </c>
      <c r="N255" s="21">
        <f t="shared" si="34"/>
        <v>2.6843193543033568</v>
      </c>
    </row>
    <row r="256" spans="1:14" x14ac:dyDescent="0.2">
      <c r="A256" s="33">
        <f>'GF + UG Iteration 3'!A256</f>
        <v>511</v>
      </c>
      <c r="B256" s="34" t="str">
        <f>'GF + UG Iteration 3'!B256</f>
        <v>UG</v>
      </c>
      <c r="C256" s="35">
        <f>'GF + UG Iteration 3'!C256</f>
        <v>13.95</v>
      </c>
      <c r="D256" s="36">
        <f>'GF + UG Iteration 3'!P$16*(C256^'GF + UG Iteration 3'!P$15)</f>
        <v>11.539323696260121</v>
      </c>
      <c r="E256" s="37">
        <f>'GF + UG Iteration 3'!E256</f>
        <v>2004</v>
      </c>
      <c r="F256" s="35">
        <f>'GF + UG Iteration 3'!F256</f>
        <v>4.0500000000000007</v>
      </c>
      <c r="G256" s="36">
        <f>'GF + UG Iteration 3'!G256</f>
        <v>0.42903557118440139</v>
      </c>
      <c r="H256" s="38">
        <f>'GF + UG Iteration 3'!H256</f>
        <v>2004</v>
      </c>
      <c r="I256" s="35">
        <f t="shared" si="30"/>
        <v>18</v>
      </c>
      <c r="J256" s="36">
        <f t="shared" si="31"/>
        <v>11.968359267444523</v>
      </c>
      <c r="K256" s="38">
        <f t="shared" si="32"/>
        <v>2004</v>
      </c>
      <c r="M256" s="21">
        <f t="shared" si="33"/>
        <v>2.8903717578961645</v>
      </c>
      <c r="N256" s="21">
        <f t="shared" si="34"/>
        <v>2.4822664397859486</v>
      </c>
    </row>
    <row r="257" spans="1:14" x14ac:dyDescent="0.2">
      <c r="A257" s="33">
        <f>'GF + UG Iteration 3'!A257</f>
        <v>1094</v>
      </c>
      <c r="B257" s="34" t="str">
        <f>'GF + UG Iteration 3'!B257</f>
        <v>UG</v>
      </c>
      <c r="C257" s="35">
        <f>'GF + UG Iteration 3'!C257</f>
        <v>18</v>
      </c>
      <c r="D257" s="36">
        <f>'GF + UG Iteration 3'!P$16*(C257^'GF + UG Iteration 3'!P$15)</f>
        <v>13.323371478661349</v>
      </c>
      <c r="E257" s="37">
        <f>'GF + UG Iteration 3'!E257</f>
        <v>2004</v>
      </c>
      <c r="F257" s="35">
        <f>'GF + UG Iteration 3'!F257</f>
        <v>6</v>
      </c>
      <c r="G257" s="36">
        <f>'GF + UG Iteration 3'!G257</f>
        <v>1.0646458657975095</v>
      </c>
      <c r="H257" s="38">
        <f>'GF + UG Iteration 3'!H257</f>
        <v>2011</v>
      </c>
      <c r="I257" s="35">
        <f t="shared" si="30"/>
        <v>24</v>
      </c>
      <c r="J257" s="36">
        <f t="shared" si="31"/>
        <v>14.388017344458857</v>
      </c>
      <c r="K257" s="38">
        <f t="shared" si="32"/>
        <v>2011</v>
      </c>
      <c r="M257" s="21">
        <f t="shared" si="33"/>
        <v>3.1780538303479458</v>
      </c>
      <c r="N257" s="21">
        <f t="shared" si="34"/>
        <v>2.666395731313528</v>
      </c>
    </row>
    <row r="258" spans="1:14" x14ac:dyDescent="0.2">
      <c r="A258" s="33">
        <f>'GF + UG Iteration 3'!A258</f>
        <v>775</v>
      </c>
      <c r="B258" s="34" t="str">
        <f>'GF + UG Iteration 3'!B258</f>
        <v>UG</v>
      </c>
      <c r="C258" s="35">
        <f>'GF + UG Iteration 3'!C258</f>
        <v>8</v>
      </c>
      <c r="D258" s="36">
        <f>'GF + UG Iteration 3'!P$16*(C258^'GF + UG Iteration 3'!P$15)</f>
        <v>8.4330249351697599</v>
      </c>
      <c r="E258" s="37">
        <f>'GF + UG Iteration 3'!E258</f>
        <v>2002</v>
      </c>
      <c r="F258" s="35">
        <f>'GF + UG Iteration 3'!F258</f>
        <v>7</v>
      </c>
      <c r="G258" s="36">
        <f>'GF + UG Iteration 3'!G258</f>
        <v>1.4058744428987999</v>
      </c>
      <c r="H258" s="38">
        <f>'GF + UG Iteration 3'!H258</f>
        <v>2008</v>
      </c>
      <c r="I258" s="35">
        <f t="shared" si="30"/>
        <v>15</v>
      </c>
      <c r="J258" s="36">
        <f t="shared" si="31"/>
        <v>9.8388993780685592</v>
      </c>
      <c r="K258" s="38">
        <f t="shared" si="32"/>
        <v>2008</v>
      </c>
      <c r="M258" s="21">
        <f t="shared" si="33"/>
        <v>2.7080502011022101</v>
      </c>
      <c r="N258" s="21">
        <f t="shared" si="34"/>
        <v>2.2863438529859796</v>
      </c>
    </row>
    <row r="259" spans="1:14" x14ac:dyDescent="0.2">
      <c r="A259" s="33">
        <f>'GF + UG Iteration 3'!A259</f>
        <v>1646</v>
      </c>
      <c r="B259" s="34" t="str">
        <f>'GF + UG Iteration 3'!B259</f>
        <v>UG</v>
      </c>
      <c r="C259" s="35">
        <f>'GF + UG Iteration 3'!C259</f>
        <v>2.88</v>
      </c>
      <c r="D259" s="36">
        <f>'GF + UG Iteration 3'!P$16*(C259^'GF + UG Iteration 3'!P$15)</f>
        <v>4.7395622468679122</v>
      </c>
      <c r="E259" s="37" t="str">
        <f>'GF + UG Iteration 3'!E259</f>
        <v>unknown</v>
      </c>
      <c r="F259" s="35">
        <f>'GF + UG Iteration 3'!F259</f>
        <v>3.5200000000000005</v>
      </c>
      <c r="G259" s="36">
        <f>'GF + UG Iteration 3'!G259</f>
        <v>6.6895680450065891</v>
      </c>
      <c r="H259" s="38">
        <f>'GF + UG Iteration 3'!H259</f>
        <v>2016</v>
      </c>
      <c r="I259" s="35">
        <f t="shared" si="30"/>
        <v>6.4</v>
      </c>
      <c r="J259" s="36">
        <f t="shared" si="31"/>
        <v>11.4291302918745</v>
      </c>
      <c r="K259" s="38">
        <f t="shared" si="32"/>
        <v>2016</v>
      </c>
      <c r="M259" s="21">
        <f t="shared" si="33"/>
        <v>1.8562979903656263</v>
      </c>
      <c r="N259" s="21">
        <f t="shared" si="34"/>
        <v>2.4361653849619946</v>
      </c>
    </row>
    <row r="260" spans="1:14" x14ac:dyDescent="0.2">
      <c r="A260" s="33">
        <f>'GF + UG Iteration 3'!A260</f>
        <v>467</v>
      </c>
      <c r="B260" s="34" t="str">
        <f>'GF + UG Iteration 3'!B260</f>
        <v>UG</v>
      </c>
      <c r="C260" s="35">
        <f>'GF + UG Iteration 3'!C260</f>
        <v>5.7</v>
      </c>
      <c r="D260" s="36">
        <f>'GF + UG Iteration 3'!P$16*(C260^'GF + UG Iteration 3'!P$15)</f>
        <v>6.9655293880969511</v>
      </c>
      <c r="E260" s="37">
        <f>'GF + UG Iteration 3'!E260</f>
        <v>1996</v>
      </c>
      <c r="F260" s="35">
        <f>'GF + UG Iteration 3'!F260</f>
        <v>7.8999999999999995</v>
      </c>
      <c r="G260" s="36">
        <f>'GF + UG Iteration 3'!G260</f>
        <v>3.4855022233326953</v>
      </c>
      <c r="H260" s="38">
        <f>'GF + UG Iteration 3'!H260</f>
        <v>2005</v>
      </c>
      <c r="I260" s="35">
        <f t="shared" si="30"/>
        <v>13.6</v>
      </c>
      <c r="J260" s="36">
        <f t="shared" si="31"/>
        <v>10.451031611429647</v>
      </c>
      <c r="K260" s="38">
        <f t="shared" si="32"/>
        <v>2005</v>
      </c>
      <c r="M260" s="21">
        <f t="shared" si="33"/>
        <v>2.6100697927420065</v>
      </c>
      <c r="N260" s="21">
        <f t="shared" si="34"/>
        <v>2.3467006923355358</v>
      </c>
    </row>
    <row r="261" spans="1:14" x14ac:dyDescent="0.2">
      <c r="A261" s="33">
        <f>'GF + UG Iteration 3'!A261</f>
        <v>437</v>
      </c>
      <c r="B261" s="34" t="str">
        <f>'GF + UG Iteration 3'!B261</f>
        <v>UG</v>
      </c>
      <c r="C261" s="35">
        <f>'GF + UG Iteration 3'!C261</f>
        <v>23</v>
      </c>
      <c r="D261" s="36">
        <f>'GF + UG Iteration 3'!P$16*(C261^'GF + UG Iteration 3'!P$15)</f>
        <v>15.298712625867067</v>
      </c>
      <c r="E261" s="37">
        <f>'GF + UG Iteration 3'!E261</f>
        <v>2001</v>
      </c>
      <c r="F261" s="35">
        <f>'GF + UG Iteration 3'!F261</f>
        <v>17</v>
      </c>
      <c r="G261" s="36">
        <f>'GF + UG Iteration 3'!G261</f>
        <v>3.6313804067567292</v>
      </c>
      <c r="H261" s="38">
        <f>'GF + UG Iteration 3'!H261</f>
        <v>2008</v>
      </c>
      <c r="I261" s="35">
        <f t="shared" si="30"/>
        <v>40</v>
      </c>
      <c r="J261" s="36">
        <f t="shared" si="31"/>
        <v>18.930093032623795</v>
      </c>
      <c r="K261" s="38">
        <f t="shared" si="32"/>
        <v>2008</v>
      </c>
      <c r="M261" s="21">
        <f t="shared" si="33"/>
        <v>3.6888794541139363</v>
      </c>
      <c r="N261" s="21">
        <f t="shared" si="34"/>
        <v>2.9407528797693132</v>
      </c>
    </row>
    <row r="262" spans="1:14" x14ac:dyDescent="0.2">
      <c r="A262" s="33">
        <f>'GF + UG Iteration 3'!A262</f>
        <v>1233</v>
      </c>
      <c r="B262" s="34" t="str">
        <f>'GF + UG Iteration 3'!B262</f>
        <v>UG</v>
      </c>
      <c r="C262" s="35">
        <f>'GF + UG Iteration 3'!C262</f>
        <v>40</v>
      </c>
      <c r="D262" s="36">
        <f>'GF + UG Iteration 3'!P$16*(C262^'GF + UG Iteration 3'!P$15)</f>
        <v>20.902685887851888</v>
      </c>
      <c r="E262" s="37">
        <f>'GF + UG Iteration 3'!E262</f>
        <v>2001</v>
      </c>
      <c r="F262" s="35">
        <f>'GF + UG Iteration 3'!F262</f>
        <v>10</v>
      </c>
      <c r="G262" s="36">
        <f>'GF + UG Iteration 3'!G262</f>
        <v>3.8904117673360803</v>
      </c>
      <c r="H262" s="38">
        <f>'GF + UG Iteration 3'!H262</f>
        <v>2011</v>
      </c>
      <c r="I262" s="35">
        <f t="shared" si="30"/>
        <v>50</v>
      </c>
      <c r="J262" s="36">
        <f t="shared" si="31"/>
        <v>24.793097655187967</v>
      </c>
      <c r="K262" s="38">
        <f t="shared" si="32"/>
        <v>2011</v>
      </c>
      <c r="M262" s="21">
        <f t="shared" si="33"/>
        <v>3.912023005428146</v>
      </c>
      <c r="N262" s="21">
        <f t="shared" si="34"/>
        <v>3.2105652940773144</v>
      </c>
    </row>
    <row r="263" spans="1:14" x14ac:dyDescent="0.2">
      <c r="A263" s="33">
        <f>'GF + UG Iteration 3'!A263</f>
        <v>361</v>
      </c>
      <c r="B263" s="34" t="str">
        <f>'GF + UG Iteration 3'!B263</f>
        <v>UG</v>
      </c>
      <c r="C263" s="35">
        <f>'GF + UG Iteration 3'!C263</f>
        <v>12.22</v>
      </c>
      <c r="D263" s="36">
        <f>'GF + UG Iteration 3'!P$16*(C263^'GF + UG Iteration 3'!P$15)</f>
        <v>10.708994459150611</v>
      </c>
      <c r="E263" s="37">
        <f>'GF + UG Iteration 3'!E263</f>
        <v>1986</v>
      </c>
      <c r="F263" s="35">
        <f>'GF + UG Iteration 3'!F263</f>
        <v>12.999999999999998</v>
      </c>
      <c r="G263" s="36">
        <f>'GF + UG Iteration 3'!G263</f>
        <v>1.1719780512644304</v>
      </c>
      <c r="H263" s="38">
        <f>'GF + UG Iteration 3'!H263</f>
        <v>2002</v>
      </c>
      <c r="I263" s="35">
        <f t="shared" si="30"/>
        <v>25.22</v>
      </c>
      <c r="J263" s="36">
        <f t="shared" si="31"/>
        <v>11.880972510415042</v>
      </c>
      <c r="K263" s="38">
        <f t="shared" si="32"/>
        <v>2002</v>
      </c>
      <c r="M263" s="21">
        <f t="shared" si="33"/>
        <v>3.2276373305367736</v>
      </c>
      <c r="N263" s="21">
        <f t="shared" si="34"/>
        <v>2.4749381717301056</v>
      </c>
    </row>
    <row r="264" spans="1:14" x14ac:dyDescent="0.2">
      <c r="A264" s="33">
        <f>'GF + UG Iteration 3'!A264</f>
        <v>645</v>
      </c>
      <c r="B264" s="34" t="str">
        <f>'GF + UG Iteration 3'!B264</f>
        <v>UG</v>
      </c>
      <c r="C264" s="35">
        <f>'GF + UG Iteration 3'!C264</f>
        <v>25.22</v>
      </c>
      <c r="D264" s="36">
        <f>'GF + UG Iteration 3'!P$16*(C264^'GF + UG Iteration 3'!P$15)</f>
        <v>16.114787847574295</v>
      </c>
      <c r="E264" s="37">
        <f>'GF + UG Iteration 3'!E264</f>
        <v>1986</v>
      </c>
      <c r="F264" s="35">
        <f>'GF + UG Iteration 3'!F264</f>
        <v>1</v>
      </c>
      <c r="G264" s="36">
        <f>'GF + UG Iteration 3'!G264</f>
        <v>0.22667756309168191</v>
      </c>
      <c r="H264" s="38">
        <f>'GF + UG Iteration 3'!H264</f>
        <v>2006</v>
      </c>
      <c r="I264" s="35">
        <f t="shared" si="30"/>
        <v>26.22</v>
      </c>
      <c r="J264" s="36">
        <f t="shared" si="31"/>
        <v>16.341465410665975</v>
      </c>
      <c r="K264" s="38">
        <f t="shared" si="32"/>
        <v>2006</v>
      </c>
      <c r="M264" s="21">
        <f t="shared" si="33"/>
        <v>3.2665224783355535</v>
      </c>
      <c r="N264" s="21">
        <f t="shared" si="34"/>
        <v>2.7937057678259278</v>
      </c>
    </row>
    <row r="265" spans="1:14" x14ac:dyDescent="0.2">
      <c r="A265" s="33">
        <f>'GF + UG Iteration 3'!A265</f>
        <v>720</v>
      </c>
      <c r="B265" s="34" t="str">
        <f>'GF + UG Iteration 3'!B265</f>
        <v>UG</v>
      </c>
      <c r="C265" s="35">
        <f>'GF + UG Iteration 3'!C265</f>
        <v>5.29</v>
      </c>
      <c r="D265" s="36">
        <f>'GF + UG Iteration 3'!P$16*(C265^'GF + UG Iteration 3'!P$15)</f>
        <v>6.6783584685113402</v>
      </c>
      <c r="E265" s="37">
        <f>'GF + UG Iteration 3'!E265</f>
        <v>1974</v>
      </c>
      <c r="F265" s="35">
        <f>'GF + UG Iteration 3'!F265</f>
        <v>3.9099999999999993</v>
      </c>
      <c r="G265" s="36">
        <f>'GF + UG Iteration 3'!G265</f>
        <v>3.214674226156069</v>
      </c>
      <c r="H265" s="38">
        <f>'GF + UG Iteration 3'!H265</f>
        <v>2009</v>
      </c>
      <c r="I265" s="35">
        <f t="shared" si="30"/>
        <v>9.1999999999999993</v>
      </c>
      <c r="J265" s="36">
        <f t="shared" si="31"/>
        <v>9.8930326946674096</v>
      </c>
      <c r="K265" s="38">
        <f t="shared" si="32"/>
        <v>2009</v>
      </c>
      <c r="M265" s="21">
        <f t="shared" si="33"/>
        <v>2.2192034840549946</v>
      </c>
      <c r="N265" s="21">
        <f t="shared" si="34"/>
        <v>2.2918307411640293</v>
      </c>
    </row>
    <row r="266" spans="1:14" x14ac:dyDescent="0.2">
      <c r="A266" s="33">
        <f>'GF + UG Iteration 3'!A266</f>
        <v>1554</v>
      </c>
      <c r="B266" s="34" t="str">
        <f>'GF + UG Iteration 3'!B266</f>
        <v>UG</v>
      </c>
      <c r="C266" s="35">
        <f>'GF + UG Iteration 3'!C266</f>
        <v>18</v>
      </c>
      <c r="D266" s="36">
        <f>'GF + UG Iteration 3'!P$16*(C266^'GF + UG Iteration 3'!P$15)</f>
        <v>13.323371478661349</v>
      </c>
      <c r="E266" s="37">
        <f>'GF + UG Iteration 3'!E266</f>
        <v>2013</v>
      </c>
      <c r="F266" s="35">
        <f>'GF + UG Iteration 3'!F266</f>
        <v>13</v>
      </c>
      <c r="G266" s="36">
        <f>'GF + UG Iteration 3'!G266</f>
        <v>4.0040929633677633</v>
      </c>
      <c r="H266" s="38">
        <f>'GF + UG Iteration 3'!H266</f>
        <v>2015</v>
      </c>
      <c r="I266" s="35">
        <f t="shared" si="30"/>
        <v>31</v>
      </c>
      <c r="J266" s="36">
        <f t="shared" si="31"/>
        <v>17.327464442029111</v>
      </c>
      <c r="K266" s="38">
        <f t="shared" si="32"/>
        <v>2015</v>
      </c>
      <c r="M266" s="21">
        <f t="shared" si="33"/>
        <v>3.4339872044851463</v>
      </c>
      <c r="N266" s="21">
        <f t="shared" si="34"/>
        <v>2.8522927826958853</v>
      </c>
    </row>
    <row r="267" spans="1:14" x14ac:dyDescent="0.2">
      <c r="A267" s="33">
        <f>'GF + UG Iteration 3'!A267</f>
        <v>1570</v>
      </c>
      <c r="B267" s="34" t="str">
        <f>'GF + UG Iteration 3'!B267</f>
        <v>UG</v>
      </c>
      <c r="C267" s="35">
        <f>'GF + UG Iteration 3'!C267</f>
        <v>12</v>
      </c>
      <c r="D267" s="36">
        <f>'GF + UG Iteration 3'!P$16*(C267^'GF + UG Iteration 3'!P$15)</f>
        <v>10.599826597642092</v>
      </c>
      <c r="E267" s="37">
        <f>'GF + UG Iteration 3'!E267</f>
        <v>0</v>
      </c>
      <c r="F267" s="35">
        <f>'GF + UG Iteration 3'!F267</f>
        <v>7</v>
      </c>
      <c r="G267" s="36">
        <f>'GF + UG Iteration 3'!G267</f>
        <v>5.7128729653456798</v>
      </c>
      <c r="H267" s="38">
        <f>'GF + UG Iteration 3'!H267</f>
        <v>2016</v>
      </c>
      <c r="I267" s="35">
        <f t="shared" si="30"/>
        <v>19</v>
      </c>
      <c r="J267" s="36">
        <f t="shared" si="31"/>
        <v>16.312699562987774</v>
      </c>
      <c r="K267" s="38">
        <f t="shared" si="32"/>
        <v>2016</v>
      </c>
      <c r="M267" s="21">
        <f t="shared" si="33"/>
        <v>2.9444389791664403</v>
      </c>
      <c r="N267" s="21">
        <f t="shared" si="34"/>
        <v>2.7919439187544572</v>
      </c>
    </row>
    <row r="268" spans="1:14" x14ac:dyDescent="0.2">
      <c r="A268" s="33">
        <f>'GF + UG Iteration 3'!A268</f>
        <v>1280</v>
      </c>
      <c r="B268" s="34" t="str">
        <f>'GF + UG Iteration 3'!B268</f>
        <v>UG</v>
      </c>
      <c r="C268" s="35">
        <f>'GF + UG Iteration 3'!C268</f>
        <v>10</v>
      </c>
      <c r="D268" s="36">
        <f>'GF + UG Iteration 3'!P$16*(C268^'GF + UG Iteration 3'!P$15)</f>
        <v>9.5640223017030692</v>
      </c>
      <c r="E268" s="37">
        <f>'GF + UG Iteration 3'!E268</f>
        <v>0</v>
      </c>
      <c r="F268" s="35">
        <f>'GF + UG Iteration 3'!F268</f>
        <v>10</v>
      </c>
      <c r="G268" s="36">
        <f>'GF + UG Iteration 3'!G268</f>
        <v>3.9567117678399111</v>
      </c>
      <c r="H268" s="38">
        <f>'GF + UG Iteration 3'!H268</f>
        <v>2013</v>
      </c>
      <c r="I268" s="35">
        <f t="shared" si="30"/>
        <v>20</v>
      </c>
      <c r="J268" s="36">
        <f t="shared" si="31"/>
        <v>13.52073406954298</v>
      </c>
      <c r="K268" s="38">
        <f t="shared" si="32"/>
        <v>2013</v>
      </c>
      <c r="M268" s="21">
        <f t="shared" si="33"/>
        <v>2.9957322735539909</v>
      </c>
      <c r="N268" s="21">
        <f t="shared" si="34"/>
        <v>2.6042243642254332</v>
      </c>
    </row>
    <row r="269" spans="1:14" x14ac:dyDescent="0.2">
      <c r="A269" s="33">
        <f>'GF + UG Iteration 3'!A269</f>
        <v>659</v>
      </c>
      <c r="B269" s="34" t="str">
        <f>'GF + UG Iteration 3'!B269</f>
        <v>UG</v>
      </c>
      <c r="C269" s="35">
        <f>'GF + UG Iteration 3'!C269</f>
        <v>51</v>
      </c>
      <c r="D269" s="36">
        <f>'GF + UG Iteration 3'!P$16*(C269^'GF + UG Iteration 3'!P$15)</f>
        <v>23.972304319863852</v>
      </c>
      <c r="E269" s="37">
        <f>'GF + UG Iteration 3'!E269</f>
        <v>1974</v>
      </c>
      <c r="F269" s="35">
        <f>'GF + UG Iteration 3'!F269</f>
        <v>7</v>
      </c>
      <c r="G269" s="36">
        <f>'GF + UG Iteration 3'!G269</f>
        <v>0.19038861907506671</v>
      </c>
      <c r="H269" s="38">
        <f>'GF + UG Iteration 3'!H269</f>
        <v>2006</v>
      </c>
      <c r="I269" s="35">
        <f t="shared" si="30"/>
        <v>58</v>
      </c>
      <c r="J269" s="36">
        <f t="shared" si="31"/>
        <v>24.162692938938918</v>
      </c>
      <c r="K269" s="38">
        <f t="shared" si="32"/>
        <v>2006</v>
      </c>
      <c r="M269" s="21">
        <f t="shared" si="33"/>
        <v>4.0604430105464191</v>
      </c>
      <c r="N269" s="21">
        <f t="shared" si="34"/>
        <v>3.184809829559534</v>
      </c>
    </row>
    <row r="270" spans="1:14" x14ac:dyDescent="0.2">
      <c r="A270" s="33">
        <f>'GF + UG Iteration 3'!A270</f>
        <v>1240</v>
      </c>
      <c r="B270" s="34" t="str">
        <f>'GF + UG Iteration 3'!B270</f>
        <v>UG</v>
      </c>
      <c r="C270" s="35">
        <f>'GF + UG Iteration 3'!C270</f>
        <v>9</v>
      </c>
      <c r="D270" s="36">
        <f>'GF + UG Iteration 3'!P$16*(C270^'GF + UG Iteration 3'!P$15)</f>
        <v>9.0122530983341775</v>
      </c>
      <c r="E270" s="37">
        <f>'GF + UG Iteration 3'!E270</f>
        <v>0</v>
      </c>
      <c r="F270" s="35">
        <f>'GF + UG Iteration 3'!F270</f>
        <v>12</v>
      </c>
      <c r="G270" s="36">
        <f>'GF + UG Iteration 3'!G270</f>
        <v>2.4762389627807444</v>
      </c>
      <c r="H270" s="38">
        <f>'GF + UG Iteration 3'!H270</f>
        <v>2013</v>
      </c>
      <c r="I270" s="35">
        <f t="shared" si="30"/>
        <v>21</v>
      </c>
      <c r="J270" s="36">
        <f t="shared" si="31"/>
        <v>11.488492061114922</v>
      </c>
      <c r="K270" s="38">
        <f t="shared" si="32"/>
        <v>2013</v>
      </c>
      <c r="M270" s="21">
        <f t="shared" si="33"/>
        <v>3.044522437723423</v>
      </c>
      <c r="N270" s="21">
        <f t="shared" si="34"/>
        <v>2.4413458440065203</v>
      </c>
    </row>
    <row r="271" spans="1:14" x14ac:dyDescent="0.2">
      <c r="A271" s="33">
        <f>'GF + UG Iteration 3'!A271</f>
        <v>317</v>
      </c>
      <c r="B271" s="34" t="str">
        <f>'GF + UG Iteration 3'!B271</f>
        <v>UG</v>
      </c>
      <c r="C271" s="35">
        <f>'GF + UG Iteration 3'!C271</f>
        <v>26.67</v>
      </c>
      <c r="D271" s="36">
        <f>'GF + UG Iteration 3'!P$16*(C271^'GF + UG Iteration 3'!P$15)</f>
        <v>16.630960569727549</v>
      </c>
      <c r="E271" s="37">
        <f>'GF + UG Iteration 3'!E271</f>
        <v>1978</v>
      </c>
      <c r="F271" s="35">
        <f>'GF + UG Iteration 3'!F271</f>
        <v>8.4600000000000009</v>
      </c>
      <c r="G271" s="36">
        <f>'GF + UG Iteration 3'!G271</f>
        <v>3.7336154837609361</v>
      </c>
      <c r="H271" s="38">
        <f>'GF + UG Iteration 3'!H271</f>
        <v>2002</v>
      </c>
      <c r="I271" s="35">
        <f t="shared" si="30"/>
        <v>35.130000000000003</v>
      </c>
      <c r="J271" s="36">
        <f t="shared" si="31"/>
        <v>20.364576053488484</v>
      </c>
      <c r="K271" s="38">
        <f t="shared" si="32"/>
        <v>2002</v>
      </c>
      <c r="M271" s="21">
        <f t="shared" si="33"/>
        <v>3.5590554662777358</v>
      </c>
      <c r="N271" s="21">
        <f t="shared" si="34"/>
        <v>3.0137969234758089</v>
      </c>
    </row>
    <row r="272" spans="1:14" x14ac:dyDescent="0.2">
      <c r="A272" s="33">
        <f>'GF + UG Iteration 3'!A272</f>
        <v>1510</v>
      </c>
      <c r="B272" s="34" t="str">
        <f>'GF + UG Iteration 3'!B272</f>
        <v>UG</v>
      </c>
      <c r="C272" s="35">
        <f>'GF + UG Iteration 3'!C272</f>
        <v>35.130000000000003</v>
      </c>
      <c r="D272" s="36">
        <f>'GF + UG Iteration 3'!P$16*(C272^'GF + UG Iteration 3'!P$15)</f>
        <v>19.426866946972019</v>
      </c>
      <c r="E272" s="37">
        <f>'GF + UG Iteration 3'!E272</f>
        <v>1978</v>
      </c>
      <c r="F272" s="35">
        <f>'GF + UG Iteration 3'!F272</f>
        <v>0</v>
      </c>
      <c r="G272" s="36">
        <f>'GF + UG Iteration 3'!G272</f>
        <v>1.0378442790997116</v>
      </c>
      <c r="H272" s="38">
        <f>'GF + UG Iteration 3'!H272</f>
        <v>2014</v>
      </c>
      <c r="I272" s="35">
        <f t="shared" si="30"/>
        <v>35.130000000000003</v>
      </c>
      <c r="J272" s="36">
        <f t="shared" si="31"/>
        <v>20.464711226071731</v>
      </c>
      <c r="K272" s="38">
        <f t="shared" si="32"/>
        <v>2014</v>
      </c>
      <c r="M272" s="21">
        <f t="shared" si="33"/>
        <v>3.5590554662777358</v>
      </c>
      <c r="N272" s="21">
        <f t="shared" si="34"/>
        <v>3.0187019992204145</v>
      </c>
    </row>
    <row r="273" spans="1:14" x14ac:dyDescent="0.2">
      <c r="A273" s="33">
        <f>'GF + UG Iteration 3'!A273</f>
        <v>1678</v>
      </c>
      <c r="B273" s="34" t="str">
        <f>'GF + UG Iteration 3'!B273</f>
        <v>UG</v>
      </c>
      <c r="C273" s="35">
        <f>'GF + UG Iteration 3'!C273</f>
        <v>71.19</v>
      </c>
      <c r="D273" s="36">
        <f>'GF + UG Iteration 3'!P$16*(C273^'GF + UG Iteration 3'!P$15)</f>
        <v>28.933730886130782</v>
      </c>
      <c r="E273" s="37">
        <f>'GF + UG Iteration 3'!E273</f>
        <v>0</v>
      </c>
      <c r="F273" s="35">
        <f>'GF + UG Iteration 3'!F273</f>
        <v>3.8100000000000023</v>
      </c>
      <c r="G273" s="36">
        <f>'GF + UG Iteration 3'!G273</f>
        <v>0.1876880715541229</v>
      </c>
      <c r="H273" s="38">
        <f>'GF + UG Iteration 3'!H273</f>
        <v>2015</v>
      </c>
      <c r="I273" s="35">
        <f t="shared" si="30"/>
        <v>75</v>
      </c>
      <c r="J273" s="36">
        <f t="shared" si="31"/>
        <v>29.121418957684906</v>
      </c>
      <c r="K273" s="38">
        <f t="shared" si="32"/>
        <v>2015</v>
      </c>
      <c r="M273" s="21">
        <f t="shared" si="33"/>
        <v>4.3174881135363101</v>
      </c>
      <c r="N273" s="21">
        <f t="shared" si="34"/>
        <v>3.3714739500837938</v>
      </c>
    </row>
    <row r="274" spans="1:14" x14ac:dyDescent="0.2">
      <c r="A274" s="33">
        <f>'GF + UG Iteration 3'!A274</f>
        <v>409</v>
      </c>
      <c r="B274" s="34" t="str">
        <f>'GF + UG Iteration 3'!B274</f>
        <v>UG</v>
      </c>
      <c r="C274" s="35">
        <f>'GF + UG Iteration 3'!C274</f>
        <v>50.9</v>
      </c>
      <c r="D274" s="36">
        <f>'GF + UG Iteration 3'!P$16*(C274^'GF + UG Iteration 3'!P$15)</f>
        <v>23.94578245400298</v>
      </c>
      <c r="E274" s="37" t="str">
        <f>'GF + UG Iteration 3'!E274</f>
        <v>unknown</v>
      </c>
      <c r="F274" s="35">
        <f>'GF + UG Iteration 3'!F274</f>
        <v>0</v>
      </c>
      <c r="G274" s="36">
        <f>'GF + UG Iteration 3'!G274</f>
        <v>6.9500275644125207</v>
      </c>
      <c r="H274" s="38">
        <f>'GF + UG Iteration 3'!H274</f>
        <v>2004</v>
      </c>
      <c r="I274" s="35">
        <f t="shared" si="30"/>
        <v>50.9</v>
      </c>
      <c r="J274" s="36">
        <f t="shared" si="31"/>
        <v>30.895810018415503</v>
      </c>
      <c r="K274" s="38">
        <f t="shared" si="32"/>
        <v>2004</v>
      </c>
      <c r="M274" s="21">
        <f t="shared" si="33"/>
        <v>3.929862923556477</v>
      </c>
      <c r="N274" s="21">
        <f t="shared" si="34"/>
        <v>3.4306205765999143</v>
      </c>
    </row>
    <row r="275" spans="1:14" x14ac:dyDescent="0.2">
      <c r="A275" s="33">
        <f>'GF + UG Iteration 3'!A275</f>
        <v>620</v>
      </c>
      <c r="B275" s="34" t="str">
        <f>'GF + UG Iteration 3'!B275</f>
        <v>UG</v>
      </c>
      <c r="C275" s="35">
        <f>'GF + UG Iteration 3'!C275</f>
        <v>66.040000000000006</v>
      </c>
      <c r="D275" s="36">
        <f>'GF + UG Iteration 3'!P$16*(C275^'GF + UG Iteration 3'!P$15)</f>
        <v>27.733924411370374</v>
      </c>
      <c r="E275" s="37" t="str">
        <f>'GF + UG Iteration 3'!E275</f>
        <v>unknown</v>
      </c>
      <c r="F275" s="35">
        <f>'GF + UG Iteration 3'!F275</f>
        <v>1</v>
      </c>
      <c r="G275" s="36">
        <f>'GF + UG Iteration 3'!G275</f>
        <v>5.2327101351069411E-2</v>
      </c>
      <c r="H275" s="38">
        <f>'GF + UG Iteration 3'!H275</f>
        <v>2006</v>
      </c>
      <c r="I275" s="35">
        <f t="shared" si="30"/>
        <v>67.040000000000006</v>
      </c>
      <c r="J275" s="36">
        <f t="shared" si="31"/>
        <v>27.786251512721442</v>
      </c>
      <c r="K275" s="38">
        <f t="shared" si="32"/>
        <v>2006</v>
      </c>
      <c r="M275" s="21">
        <f t="shared" si="33"/>
        <v>4.2052894561738281</v>
      </c>
      <c r="N275" s="21">
        <f t="shared" si="34"/>
        <v>3.3245413484643485</v>
      </c>
    </row>
    <row r="276" spans="1:14" x14ac:dyDescent="0.2">
      <c r="A276" s="33">
        <f>'GF + UG Iteration 3'!A276</f>
        <v>1085</v>
      </c>
      <c r="B276" s="34" t="str">
        <f>'GF + UG Iteration 3'!B276</f>
        <v>UG</v>
      </c>
      <c r="C276" s="35">
        <f>'GF + UG Iteration 3'!C276</f>
        <v>67.040000000000006</v>
      </c>
      <c r="D276" s="36">
        <f>'GF + UG Iteration 3'!P$16*(C276^'GF + UG Iteration 3'!P$15)</f>
        <v>27.970003377467251</v>
      </c>
      <c r="E276" s="37" t="str">
        <f>'GF + UG Iteration 3'!E276</f>
        <v>unknown</v>
      </c>
      <c r="F276" s="35">
        <f>'GF + UG Iteration 3'!F276</f>
        <v>2</v>
      </c>
      <c r="G276" s="36">
        <f>'GF + UG Iteration 3'!G276</f>
        <v>7.9312358901564406E-2</v>
      </c>
      <c r="H276" s="38">
        <f>'GF + UG Iteration 3'!H276</f>
        <v>2010</v>
      </c>
      <c r="I276" s="35">
        <f t="shared" si="30"/>
        <v>69.040000000000006</v>
      </c>
      <c r="J276" s="36">
        <f t="shared" si="31"/>
        <v>28.049315736368815</v>
      </c>
      <c r="K276" s="38">
        <f t="shared" si="32"/>
        <v>2010</v>
      </c>
      <c r="M276" s="21">
        <f t="shared" si="33"/>
        <v>4.234686046775173</v>
      </c>
      <c r="N276" s="21">
        <f t="shared" si="34"/>
        <v>3.3339642372458025</v>
      </c>
    </row>
    <row r="277" spans="1:14" x14ac:dyDescent="0.2">
      <c r="A277" s="33">
        <f>'GF + UG Iteration 3'!A277</f>
        <v>589</v>
      </c>
      <c r="B277" s="34" t="str">
        <f>'GF + UG Iteration 3'!B277</f>
        <v>UG</v>
      </c>
      <c r="C277" s="35">
        <f>'GF + UG Iteration 3'!C277</f>
        <v>36.963000000000001</v>
      </c>
      <c r="D277" s="36">
        <f>'GF + UG Iteration 3'!P$16*(C277^'GF + UG Iteration 3'!P$15)</f>
        <v>19.992218295397588</v>
      </c>
      <c r="E277" s="37">
        <f>'GF + UG Iteration 3'!E277</f>
        <v>1974</v>
      </c>
      <c r="F277" s="35">
        <f>'GF + UG Iteration 3'!F277</f>
        <v>0</v>
      </c>
      <c r="G277" s="36">
        <f>'GF + UG Iteration 3'!G277</f>
        <v>3.2007376892660457E-2</v>
      </c>
      <c r="H277" s="38">
        <f>'GF + UG Iteration 3'!H277</f>
        <v>2005</v>
      </c>
      <c r="I277" s="35">
        <f t="shared" si="30"/>
        <v>36.963000000000001</v>
      </c>
      <c r="J277" s="36">
        <f t="shared" si="31"/>
        <v>20.02422567229025</v>
      </c>
      <c r="K277" s="38">
        <f t="shared" si="32"/>
        <v>2005</v>
      </c>
      <c r="M277" s="21">
        <f t="shared" si="33"/>
        <v>3.609917412310641</v>
      </c>
      <c r="N277" s="21">
        <f t="shared" si="34"/>
        <v>2.99694282415637</v>
      </c>
    </row>
    <row r="278" spans="1:14" x14ac:dyDescent="0.2">
      <c r="A278" s="33">
        <f>'GF + UG Iteration 3'!A278</f>
        <v>836</v>
      </c>
      <c r="B278" s="34" t="str">
        <f>'GF + UG Iteration 3'!B278</f>
        <v>UG</v>
      </c>
      <c r="C278" s="35">
        <f>'GF + UG Iteration 3'!C278</f>
        <v>33.963000000000001</v>
      </c>
      <c r="D278" s="36">
        <f>'GF + UG Iteration 3'!P$16*(C278^'GF + UG Iteration 3'!P$15)</f>
        <v>19.060211108573991</v>
      </c>
      <c r="E278" s="37">
        <f>'GF + UG Iteration 3'!E278</f>
        <v>1974</v>
      </c>
      <c r="F278" s="35">
        <f>'GF + UG Iteration 3'!F278</f>
        <v>10.036999999999999</v>
      </c>
      <c r="G278" s="36">
        <f>'GF + UG Iteration 3'!G278</f>
        <v>0.20824846319974696</v>
      </c>
      <c r="H278" s="38">
        <f>'GF + UG Iteration 3'!H278</f>
        <v>2008</v>
      </c>
      <c r="I278" s="35">
        <f t="shared" si="30"/>
        <v>44</v>
      </c>
      <c r="J278" s="36">
        <f t="shared" si="31"/>
        <v>19.268459571773739</v>
      </c>
      <c r="K278" s="38">
        <f t="shared" si="32"/>
        <v>2008</v>
      </c>
      <c r="M278" s="21">
        <f t="shared" si="33"/>
        <v>3.784189633918261</v>
      </c>
      <c r="N278" s="21">
        <f t="shared" si="34"/>
        <v>2.9584695400391534</v>
      </c>
    </row>
    <row r="279" spans="1:14" x14ac:dyDescent="0.2">
      <c r="A279" s="33">
        <f>'GF + UG Iteration 3'!A279</f>
        <v>1417</v>
      </c>
      <c r="B279" s="34" t="str">
        <f>'GF + UG Iteration 3'!B279</f>
        <v>UG</v>
      </c>
      <c r="C279" s="35">
        <f>'GF + UG Iteration 3'!C279</f>
        <v>53.176000000000002</v>
      </c>
      <c r="D279" s="36">
        <f>'GF + UG Iteration 3'!P$16*(C279^'GF + UG Iteration 3'!P$15)</f>
        <v>24.543914465459753</v>
      </c>
      <c r="E279" s="37">
        <f>'GF + UG Iteration 3'!E279</f>
        <v>0</v>
      </c>
      <c r="F279" s="35">
        <f>'GF + UG Iteration 3'!F279</f>
        <v>2.8239999999999981</v>
      </c>
      <c r="G279" s="36">
        <f>'GF + UG Iteration 3'!G279</f>
        <v>0.36631755287404399</v>
      </c>
      <c r="H279" s="38">
        <f>'GF + UG Iteration 3'!H279</f>
        <v>2013</v>
      </c>
      <c r="I279" s="35">
        <f t="shared" si="30"/>
        <v>56</v>
      </c>
      <c r="J279" s="36">
        <f t="shared" si="31"/>
        <v>24.910232018333797</v>
      </c>
      <c r="K279" s="38">
        <f t="shared" si="32"/>
        <v>2013</v>
      </c>
      <c r="M279" s="21">
        <f t="shared" si="33"/>
        <v>4.0253516907351496</v>
      </c>
      <c r="N279" s="21">
        <f t="shared" si="34"/>
        <v>3.2152786434954166</v>
      </c>
    </row>
    <row r="280" spans="1:14" x14ac:dyDescent="0.2">
      <c r="A280" s="33">
        <f>'GF + UG Iteration 3'!A280</f>
        <v>1575</v>
      </c>
      <c r="B280" s="34" t="str">
        <f>'GF + UG Iteration 3'!B280</f>
        <v>UG</v>
      </c>
      <c r="C280" s="35">
        <f>'GF + UG Iteration 3'!C280</f>
        <v>107.8</v>
      </c>
      <c r="D280" s="36">
        <f>'GF + UG Iteration 3'!P$16*(C280^'GF + UG Iteration 3'!P$15)</f>
        <v>36.562594911435824</v>
      </c>
      <c r="E280" s="37">
        <f>'GF + UG Iteration 3'!E280</f>
        <v>0</v>
      </c>
      <c r="F280" s="35">
        <f>'GF + UG Iteration 3'!F280</f>
        <v>2.2000000000000028</v>
      </c>
      <c r="G280" s="36">
        <f>'GF + UG Iteration 3'!G280</f>
        <v>8.4606138058298655E-2</v>
      </c>
      <c r="H280" s="38">
        <f>'GF + UG Iteration 3'!H280</f>
        <v>2014</v>
      </c>
      <c r="I280" s="35">
        <f t="shared" si="30"/>
        <v>110</v>
      </c>
      <c r="J280" s="36">
        <f t="shared" si="31"/>
        <v>36.647201049494122</v>
      </c>
      <c r="K280" s="38">
        <f t="shared" si="32"/>
        <v>2014</v>
      </c>
      <c r="M280" s="21">
        <f t="shared" si="33"/>
        <v>4.7004803657924166</v>
      </c>
      <c r="N280" s="21">
        <f t="shared" si="34"/>
        <v>3.6013370556890352</v>
      </c>
    </row>
    <row r="281" spans="1:14" x14ac:dyDescent="0.2">
      <c r="A281" s="33">
        <f>'GF + UG Iteration 3'!A281</f>
        <v>1480</v>
      </c>
      <c r="B281" s="34" t="str">
        <f>'GF + UG Iteration 3'!B281</f>
        <v>UG</v>
      </c>
      <c r="C281" s="35">
        <f>'GF + UG Iteration 3'!C281</f>
        <v>92</v>
      </c>
      <c r="D281" s="36">
        <f>'GF + UG Iteration 3'!P$16*(C281^'GF + UG Iteration 3'!P$15)</f>
        <v>33.436160479264991</v>
      </c>
      <c r="E281" s="37">
        <f>'GF + UG Iteration 3'!E281</f>
        <v>0</v>
      </c>
      <c r="F281" s="35">
        <f>'GF + UG Iteration 3'!F281</f>
        <v>9</v>
      </c>
      <c r="G281" s="36">
        <f>'GF + UG Iteration 3'!G281</f>
        <v>1.4186292000498641</v>
      </c>
      <c r="H281" s="38">
        <f>'GF + UG Iteration 3'!H281</f>
        <v>2015</v>
      </c>
      <c r="I281" s="35">
        <f t="shared" si="30"/>
        <v>101</v>
      </c>
      <c r="J281" s="36">
        <f t="shared" si="31"/>
        <v>34.854789679314855</v>
      </c>
      <c r="K281" s="38">
        <f t="shared" si="32"/>
        <v>2015</v>
      </c>
      <c r="M281" s="21">
        <f t="shared" si="33"/>
        <v>4.6151205168412597</v>
      </c>
      <c r="N281" s="21">
        <f t="shared" si="34"/>
        <v>3.5511905647590565</v>
      </c>
    </row>
    <row r="282" spans="1:14" x14ac:dyDescent="0.2">
      <c r="A282" s="33">
        <f>'GF + UG Iteration 3'!A282</f>
        <v>1644</v>
      </c>
      <c r="B282" s="34" t="str">
        <f>'GF + UG Iteration 3'!B282</f>
        <v>UG</v>
      </c>
      <c r="C282" s="35">
        <f>'GF + UG Iteration 3'!C282</f>
        <v>25</v>
      </c>
      <c r="D282" s="36">
        <f>'GF + UG Iteration 3'!P$16*(C282^'GF + UG Iteration 3'!P$15)</f>
        <v>16.035353296717894</v>
      </c>
      <c r="E282" s="37">
        <f>'GF + UG Iteration 3'!E282</f>
        <v>0</v>
      </c>
      <c r="F282" s="35">
        <f>'GF + UG Iteration 3'!F282</f>
        <v>14</v>
      </c>
      <c r="G282" s="36">
        <f>'GF + UG Iteration 3'!G282</f>
        <v>6.4881768587089867</v>
      </c>
      <c r="H282" s="38">
        <f>'GF + UG Iteration 3'!H282</f>
        <v>2016</v>
      </c>
      <c r="I282" s="35">
        <f t="shared" si="30"/>
        <v>39</v>
      </c>
      <c r="J282" s="36">
        <f t="shared" si="31"/>
        <v>22.523530155426879</v>
      </c>
      <c r="K282" s="38">
        <f t="shared" si="32"/>
        <v>2016</v>
      </c>
      <c r="M282" s="21">
        <f t="shared" si="33"/>
        <v>3.6635616461296463</v>
      </c>
      <c r="N282" s="21">
        <f t="shared" si="34"/>
        <v>3.1145605474441567</v>
      </c>
    </row>
    <row r="283" spans="1:14" x14ac:dyDescent="0.2">
      <c r="A283" s="33">
        <f>'GF + UG Iteration 3'!A283</f>
        <v>1276</v>
      </c>
      <c r="B283" s="34" t="str">
        <f>'GF + UG Iteration 3'!B283</f>
        <v>UG</v>
      </c>
      <c r="C283" s="35">
        <f>'GF + UG Iteration 3'!C283</f>
        <v>34</v>
      </c>
      <c r="D283" s="36">
        <f>'GF + UG Iteration 3'!P$16*(C283^'GF + UG Iteration 3'!P$15)</f>
        <v>19.071919547048012</v>
      </c>
      <c r="E283" s="37" t="str">
        <f>'GF + UG Iteration 3'!E283</f>
        <v>unknown</v>
      </c>
      <c r="F283" s="35">
        <f>'GF + UG Iteration 3'!F283</f>
        <v>4</v>
      </c>
      <c r="G283" s="36">
        <f>'GF + UG Iteration 3'!G283</f>
        <v>0.69755192087391271</v>
      </c>
      <c r="H283" s="38">
        <f>'GF + UG Iteration 3'!H283</f>
        <v>2012</v>
      </c>
      <c r="I283" s="35">
        <f t="shared" si="30"/>
        <v>38</v>
      </c>
      <c r="J283" s="36">
        <f t="shared" si="31"/>
        <v>19.769471467921925</v>
      </c>
      <c r="K283" s="38">
        <f t="shared" si="32"/>
        <v>2012</v>
      </c>
      <c r="M283" s="21">
        <f t="shared" si="33"/>
        <v>3.6375861597263857</v>
      </c>
      <c r="N283" s="21">
        <f t="shared" si="34"/>
        <v>2.9841389027797383</v>
      </c>
    </row>
    <row r="284" spans="1:14" x14ac:dyDescent="0.2">
      <c r="A284" s="33">
        <f>'GF + UG Iteration 3'!A284</f>
        <v>823</v>
      </c>
      <c r="B284" s="34" t="str">
        <f>'GF + UG Iteration 3'!B284</f>
        <v>UG</v>
      </c>
      <c r="C284" s="35">
        <f>'GF + UG Iteration 3'!C284</f>
        <v>10</v>
      </c>
      <c r="D284" s="36">
        <f>'GF + UG Iteration 3'!P$16*(C284^'GF + UG Iteration 3'!P$15)</f>
        <v>9.5640223017030692</v>
      </c>
      <c r="E284" s="37" t="str">
        <f>'GF + UG Iteration 3'!E284</f>
        <v>unknown</v>
      </c>
      <c r="F284" s="35">
        <f>'GF + UG Iteration 3'!F284</f>
        <v>25</v>
      </c>
      <c r="G284" s="36">
        <f>'GF + UG Iteration 3'!G284</f>
        <v>8.3156614233786232</v>
      </c>
      <c r="H284" s="38">
        <f>'GF + UG Iteration 3'!H284</f>
        <v>2009</v>
      </c>
      <c r="I284" s="35">
        <f t="shared" si="30"/>
        <v>35</v>
      </c>
      <c r="J284" s="36">
        <f t="shared" si="31"/>
        <v>17.879683725081691</v>
      </c>
      <c r="K284" s="38">
        <f t="shared" si="32"/>
        <v>2009</v>
      </c>
      <c r="M284" s="21">
        <f t="shared" si="33"/>
        <v>3.5553480614894135</v>
      </c>
      <c r="N284" s="21">
        <f t="shared" si="34"/>
        <v>2.8836650808350996</v>
      </c>
    </row>
    <row r="285" spans="1:14" x14ac:dyDescent="0.2">
      <c r="A285" s="33">
        <f>'GF + UG Iteration 3'!A285</f>
        <v>1601</v>
      </c>
      <c r="B285" s="34" t="str">
        <f>'GF + UG Iteration 3'!B285</f>
        <v>UG</v>
      </c>
      <c r="C285" s="35">
        <f>'GF + UG Iteration 3'!C285</f>
        <v>77</v>
      </c>
      <c r="D285" s="36">
        <f>'GF + UG Iteration 3'!P$16*(C285^'GF + UG Iteration 3'!P$15)</f>
        <v>30.242721948048793</v>
      </c>
      <c r="E285" s="37">
        <f>'GF + UG Iteration 3'!E285</f>
        <v>0</v>
      </c>
      <c r="F285" s="35">
        <f>'GF + UG Iteration 3'!F285</f>
        <v>0</v>
      </c>
      <c r="G285" s="36">
        <f>'GF + UG Iteration 3'!G285</f>
        <v>4.0094648670350015</v>
      </c>
      <c r="H285" s="38">
        <f>'GF + UG Iteration 3'!H285</f>
        <v>2015</v>
      </c>
      <c r="I285" s="35">
        <f t="shared" si="30"/>
        <v>77</v>
      </c>
      <c r="J285" s="36">
        <f t="shared" si="31"/>
        <v>34.252186815083796</v>
      </c>
      <c r="K285" s="38">
        <f t="shared" si="32"/>
        <v>2015</v>
      </c>
      <c r="M285" s="21">
        <f t="shared" si="33"/>
        <v>4.3438054218536841</v>
      </c>
      <c r="N285" s="21">
        <f t="shared" si="34"/>
        <v>3.5337504112855833</v>
      </c>
    </row>
    <row r="286" spans="1:14" x14ac:dyDescent="0.2">
      <c r="A286" s="33">
        <f>'GF + UG Iteration 3'!A286</f>
        <v>1046</v>
      </c>
      <c r="B286" s="34" t="str">
        <f>'GF + UG Iteration 3'!B286</f>
        <v>UG</v>
      </c>
      <c r="C286" s="35">
        <f>'GF + UG Iteration 3'!C286</f>
        <v>33</v>
      </c>
      <c r="D286" s="36">
        <f>'GF + UG Iteration 3'!P$16*(C286^'GF + UG Iteration 3'!P$15)</f>
        <v>18.753492789809965</v>
      </c>
      <c r="E286" s="37" t="str">
        <f>'GF + UG Iteration 3'!E286</f>
        <v>unknown</v>
      </c>
      <c r="F286" s="35">
        <f>'GF + UG Iteration 3'!F286</f>
        <v>17</v>
      </c>
      <c r="G286" s="36">
        <f>'GF + UG Iteration 3'!G286</f>
        <v>13.838101419471103</v>
      </c>
      <c r="H286" s="38">
        <f>'GF + UG Iteration 3'!H286</f>
        <v>2011</v>
      </c>
      <c r="I286" s="35">
        <f t="shared" si="30"/>
        <v>50</v>
      </c>
      <c r="J286" s="36">
        <f t="shared" si="31"/>
        <v>32.59159420928107</v>
      </c>
      <c r="K286" s="38">
        <f t="shared" si="32"/>
        <v>2011</v>
      </c>
      <c r="M286" s="21">
        <f t="shared" si="33"/>
        <v>3.912023005428146</v>
      </c>
      <c r="N286" s="21">
        <f t="shared" si="34"/>
        <v>3.4840544087835075</v>
      </c>
    </row>
    <row r="287" spans="1:14" x14ac:dyDescent="0.2">
      <c r="A287" s="33">
        <f>'GF + UG Iteration 3'!A287</f>
        <v>873</v>
      </c>
      <c r="B287" s="34" t="str">
        <f>'GF + UG Iteration 3'!B287</f>
        <v>UG</v>
      </c>
      <c r="C287" s="35">
        <f>'GF + UG Iteration 3'!C287</f>
        <v>38</v>
      </c>
      <c r="D287" s="36">
        <f>'GF + UG Iteration 3'!P$16*(C287^'GF + UG Iteration 3'!P$15)</f>
        <v>20.306647010726074</v>
      </c>
      <c r="E287" s="37" t="str">
        <f>'GF + UG Iteration 3'!E287</f>
        <v>unknown</v>
      </c>
      <c r="F287" s="35">
        <f>'GF + UG Iteration 3'!F287</f>
        <v>10</v>
      </c>
      <c r="G287" s="36">
        <f>'GF + UG Iteration 3'!G287</f>
        <v>10.835025062169574</v>
      </c>
      <c r="H287" s="38">
        <f>'GF + UG Iteration 3'!H287</f>
        <v>2011</v>
      </c>
      <c r="I287" s="35">
        <f t="shared" si="30"/>
        <v>48</v>
      </c>
      <c r="J287" s="36">
        <f t="shared" si="31"/>
        <v>31.141672072895648</v>
      </c>
      <c r="K287" s="38">
        <f t="shared" si="32"/>
        <v>2011</v>
      </c>
      <c r="M287" s="21">
        <f t="shared" si="33"/>
        <v>3.8712010109078911</v>
      </c>
      <c r="N287" s="21">
        <f t="shared" si="34"/>
        <v>3.4385468603045677</v>
      </c>
    </row>
    <row r="288" spans="1:14" x14ac:dyDescent="0.2">
      <c r="A288" s="33">
        <f>'GF + UG Iteration 3'!A288</f>
        <v>630</v>
      </c>
      <c r="B288" s="34" t="str">
        <f>'GF + UG Iteration 3'!B288</f>
        <v>UG</v>
      </c>
      <c r="C288" s="35">
        <f>'GF + UG Iteration 3'!C288</f>
        <v>36.4</v>
      </c>
      <c r="D288" s="36">
        <f>'GF + UG Iteration 3'!P$16*(C288^'GF + UG Iteration 3'!P$15)</f>
        <v>19.81990011232935</v>
      </c>
      <c r="E288" s="37" t="str">
        <f>'GF + UG Iteration 3'!E288</f>
        <v>unknown</v>
      </c>
      <c r="F288" s="35">
        <f>'GF + UG Iteration 3'!F288</f>
        <v>3.6000000000000014</v>
      </c>
      <c r="G288" s="36">
        <f>'GF + UG Iteration 3'!G288</f>
        <v>0.76181860016629799</v>
      </c>
      <c r="H288" s="38">
        <f>'GF + UG Iteration 3'!H288</f>
        <v>2007</v>
      </c>
      <c r="I288" s="35">
        <f t="shared" si="30"/>
        <v>40</v>
      </c>
      <c r="J288" s="36">
        <f t="shared" si="31"/>
        <v>20.581718712495647</v>
      </c>
      <c r="K288" s="38">
        <f t="shared" si="32"/>
        <v>2007</v>
      </c>
      <c r="M288" s="21">
        <f t="shared" si="33"/>
        <v>3.6888794541139363</v>
      </c>
      <c r="N288" s="21">
        <f t="shared" si="34"/>
        <v>3.0244032406455341</v>
      </c>
    </row>
    <row r="289" spans="1:20" x14ac:dyDescent="0.2">
      <c r="A289" s="33">
        <f>'GF + UG Iteration 3'!A289</f>
        <v>1107</v>
      </c>
      <c r="B289" s="34" t="str">
        <f>'GF + UG Iteration 3'!B289</f>
        <v>UG</v>
      </c>
      <c r="C289" s="35">
        <f>'GF + UG Iteration 3'!C289</f>
        <v>16</v>
      </c>
      <c r="D289" s="36">
        <f>'GF + UG Iteration 3'!P$16*(C289^'GF + UG Iteration 3'!P$15)</f>
        <v>12.467062639513385</v>
      </c>
      <c r="E289" s="37">
        <f>'GF + UG Iteration 3'!E289</f>
        <v>2010</v>
      </c>
      <c r="F289" s="35">
        <f>'GF + UG Iteration 3'!F289</f>
        <v>24</v>
      </c>
      <c r="G289" s="36">
        <f>'GF + UG Iteration 3'!G289</f>
        <v>7.7000094501504579</v>
      </c>
      <c r="H289" s="38">
        <f>'GF + UG Iteration 3'!H289</f>
        <v>2014</v>
      </c>
      <c r="I289" s="35">
        <f t="shared" si="30"/>
        <v>40</v>
      </c>
      <c r="J289" s="36">
        <f t="shared" si="31"/>
        <v>20.167072089663844</v>
      </c>
      <c r="K289" s="38">
        <f t="shared" si="32"/>
        <v>2014</v>
      </c>
      <c r="M289" s="21">
        <f t="shared" si="33"/>
        <v>3.6888794541139363</v>
      </c>
      <c r="N289" s="21">
        <f t="shared" si="34"/>
        <v>3.0040511797863059</v>
      </c>
    </row>
    <row r="290" spans="1:20" x14ac:dyDescent="0.2">
      <c r="A290" s="33">
        <f>'GF + UG Iteration 3'!A290</f>
        <v>682</v>
      </c>
      <c r="B290" s="34" t="str">
        <f>'GF + UG Iteration 3'!B290</f>
        <v>UG</v>
      </c>
      <c r="C290" s="35">
        <f>'GF + UG Iteration 3'!C290</f>
        <v>12</v>
      </c>
      <c r="D290" s="36">
        <f>'GF + UG Iteration 3'!P$16*(C290^'GF + UG Iteration 3'!P$15)</f>
        <v>10.599826597642092</v>
      </c>
      <c r="E290" s="37">
        <f>'GF + UG Iteration 3'!E290</f>
        <v>2005</v>
      </c>
      <c r="F290" s="35">
        <f>'GF + UG Iteration 3'!F290</f>
        <v>18</v>
      </c>
      <c r="G290" s="36">
        <f>'GF + UG Iteration 3'!G290</f>
        <v>4.2252233548626927</v>
      </c>
      <c r="H290" s="38">
        <f>'GF + UG Iteration 3'!H290</f>
        <v>2009</v>
      </c>
      <c r="I290" s="35">
        <f t="shared" ref="I290:I291" si="35">C290+F290</f>
        <v>30</v>
      </c>
      <c r="J290" s="36">
        <f t="shared" ref="J290:J291" si="36">D290+G290</f>
        <v>14.825049952504784</v>
      </c>
      <c r="K290" s="38">
        <f t="shared" ref="K290:K291" si="37">MAX(E290,H290)</f>
        <v>2009</v>
      </c>
      <c r="M290" s="21">
        <f t="shared" ref="M290:M291" si="38">LN(I290)</f>
        <v>3.4011973816621555</v>
      </c>
      <c r="N290" s="21">
        <f t="shared" ref="N290:N291" si="39">LN(J290)</f>
        <v>2.6963183143556697</v>
      </c>
    </row>
    <row r="291" spans="1:20" x14ac:dyDescent="0.2">
      <c r="A291" s="33">
        <f>'GF + UG Iteration 3'!A291</f>
        <v>677</v>
      </c>
      <c r="B291" s="34" t="str">
        <f>'GF + UG Iteration 3'!B291</f>
        <v>UG</v>
      </c>
      <c r="C291" s="35">
        <f>'GF + UG Iteration 3'!C291</f>
        <v>117</v>
      </c>
      <c r="D291" s="36">
        <f>'GF + UG Iteration 3'!P$16*(C291^'GF + UG Iteration 3'!P$15)</f>
        <v>38.291011311852124</v>
      </c>
      <c r="E291" s="37" t="str">
        <f>'GF + UG Iteration 3'!E291</f>
        <v>unknown</v>
      </c>
      <c r="F291" s="35">
        <f>'GF + UG Iteration 3'!F291</f>
        <v>0</v>
      </c>
      <c r="G291" s="36">
        <f>'GF + UG Iteration 3'!G291</f>
        <v>5.9672660834890454</v>
      </c>
      <c r="H291" s="38">
        <f>'GF + UG Iteration 3'!H291</f>
        <v>2009</v>
      </c>
      <c r="I291" s="35">
        <f t="shared" si="35"/>
        <v>117</v>
      </c>
      <c r="J291" s="36">
        <f t="shared" si="36"/>
        <v>44.258277395341167</v>
      </c>
      <c r="K291" s="38">
        <f t="shared" si="37"/>
        <v>2009</v>
      </c>
      <c r="M291" s="21">
        <f t="shared" si="38"/>
        <v>4.7621739347977563</v>
      </c>
      <c r="N291" s="21">
        <f t="shared" si="39"/>
        <v>3.7900424137421602</v>
      </c>
    </row>
    <row r="292" spans="1:20" x14ac:dyDescent="0.2">
      <c r="A292" s="33">
        <f>'GF + UG Iteration 3'!A292</f>
        <v>643</v>
      </c>
      <c r="B292" s="34" t="str">
        <f>'GF + UG Iteration 3'!B292</f>
        <v>UG</v>
      </c>
      <c r="C292" s="35">
        <f>'GF + UG Iteration 3'!C292</f>
        <v>53.37</v>
      </c>
      <c r="D292" s="36">
        <f>'GF + UG Iteration 3'!P$16*(C292^'GF + UG Iteration 3'!P$15)</f>
        <v>24.594376371115974</v>
      </c>
      <c r="E292" s="37" t="str">
        <f>'GF + UG Iteration 3'!E292</f>
        <v>unknown</v>
      </c>
      <c r="F292" s="35">
        <f>'GF + UG Iteration 3'!F292</f>
        <v>0.5</v>
      </c>
      <c r="G292" s="36">
        <f>'GF + UG Iteration 3'!G292</f>
        <v>4.4086715648995529</v>
      </c>
      <c r="H292" s="38">
        <f>'GF + UG Iteration 3'!H292</f>
        <v>2009</v>
      </c>
      <c r="I292" s="35">
        <f t="shared" si="30"/>
        <v>53.87</v>
      </c>
      <c r="J292" s="36">
        <f t="shared" si="31"/>
        <v>29.003047936015527</v>
      </c>
      <c r="K292" s="38">
        <f t="shared" si="32"/>
        <v>2009</v>
      </c>
      <c r="M292" s="21">
        <f t="shared" si="33"/>
        <v>3.9865737366924425</v>
      </c>
      <c r="N292" s="21">
        <f t="shared" si="34"/>
        <v>3.3674009257056401</v>
      </c>
    </row>
    <row r="294" spans="1:20" s="9" customFormat="1" x14ac:dyDescent="0.2">
      <c r="A294" s="26" t="s">
        <v>29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39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8" activePane="bottomLeft" state="frozen"/>
      <selection activeCell="A4" sqref="A4"/>
      <selection pane="bottomLeft" activeCell="A8" sqref="A8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54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G - Point of Delivery Cost Function Workbook</v>
      </c>
    </row>
    <row r="4" spans="1:20" s="1" customFormat="1" x14ac:dyDescent="0.2">
      <c r="A4" s="1" t="s">
        <v>973</v>
      </c>
      <c r="B4" s="42"/>
    </row>
    <row r="5" spans="1:20" s="1" customFormat="1" x14ac:dyDescent="0.2">
      <c r="A5" s="43" t="str">
        <f>TableDate</f>
        <v>August 17, 2018</v>
      </c>
      <c r="B5" s="44"/>
    </row>
    <row r="6" spans="1:20" x14ac:dyDescent="0.2">
      <c r="E6" s="28"/>
    </row>
    <row r="7" spans="1:20" ht="25.5" x14ac:dyDescent="0.2">
      <c r="A7" s="10" t="s">
        <v>0</v>
      </c>
      <c r="B7" s="11" t="s">
        <v>7</v>
      </c>
      <c r="C7" s="12" t="s">
        <v>8</v>
      </c>
      <c r="D7" s="13" t="s">
        <v>30</v>
      </c>
      <c r="E7" s="14" t="s">
        <v>10</v>
      </c>
      <c r="F7" s="12" t="s">
        <v>11</v>
      </c>
      <c r="G7" s="13" t="s">
        <v>12</v>
      </c>
      <c r="H7" s="14" t="s">
        <v>13</v>
      </c>
      <c r="I7" s="12" t="s">
        <v>2</v>
      </c>
      <c r="J7" s="13" t="s">
        <v>14</v>
      </c>
      <c r="K7" s="14" t="s">
        <v>15</v>
      </c>
      <c r="M7" s="11" t="s">
        <v>16</v>
      </c>
      <c r="N7" s="11" t="s">
        <v>17</v>
      </c>
      <c r="P7" s="41" t="s">
        <v>53</v>
      </c>
      <c r="Q7" s="15"/>
      <c r="T7" s="3"/>
    </row>
    <row r="8" spans="1:20" x14ac:dyDescent="0.2">
      <c r="A8" s="25">
        <f>'GF + UG Iteration 4'!A8</f>
        <v>476</v>
      </c>
      <c r="B8" s="25" t="str">
        <f>'GF + UG Iteration 4'!B8</f>
        <v>GF</v>
      </c>
      <c r="C8" s="18">
        <f>'GF + UG Iteration 4'!C8</f>
        <v>14</v>
      </c>
      <c r="D8" s="19">
        <f>'GF + UG Iteration 4'!D8</f>
        <v>16.861812370959647</v>
      </c>
      <c r="E8" s="30">
        <f>'GF + UG Iteration 4'!E8</f>
        <v>2003</v>
      </c>
      <c r="F8" s="18"/>
      <c r="G8" s="19"/>
      <c r="H8" s="20"/>
      <c r="I8" s="18">
        <f>C8+F8</f>
        <v>14</v>
      </c>
      <c r="J8" s="19">
        <f>D8+G8</f>
        <v>16.861812370959647</v>
      </c>
      <c r="K8" s="20">
        <f>MAX(E8,H8)</f>
        <v>2003</v>
      </c>
      <c r="M8" s="21">
        <f>LN(I8)</f>
        <v>2.6390573296152584</v>
      </c>
      <c r="N8" s="21">
        <f>LN(J8)</f>
        <v>2.8250514421084625</v>
      </c>
      <c r="O8" s="3" t="s">
        <v>19</v>
      </c>
      <c r="P8" s="22">
        <f t="array" ref="P8:Q12">LINEST(N8:N292,M8:M292,TRUE,TRUE)</f>
        <v>0.57049098853954006</v>
      </c>
      <c r="Q8" s="22">
        <v>0.94363691806228855</v>
      </c>
      <c r="R8" s="5" t="s">
        <v>20</v>
      </c>
    </row>
    <row r="9" spans="1:20" x14ac:dyDescent="0.2">
      <c r="A9" s="25">
        <f>'GF + UG Iteration 4'!A9</f>
        <v>478</v>
      </c>
      <c r="B9" s="25" t="str">
        <f>'GF + UG Iteration 4'!B9</f>
        <v>GF</v>
      </c>
      <c r="C9" s="18">
        <f>'GF + UG Iteration 4'!C9</f>
        <v>8.5</v>
      </c>
      <c r="D9" s="19">
        <f>'GF + UG Iteration 4'!D9</f>
        <v>6.0182252638842719</v>
      </c>
      <c r="E9" s="30">
        <f>'GF + UG Iteration 4'!E9</f>
        <v>2003</v>
      </c>
      <c r="F9" s="18"/>
      <c r="G9" s="19"/>
      <c r="H9" s="20"/>
      <c r="I9" s="18">
        <f t="shared" ref="I9:I71" si="0">C9+F9</f>
        <v>8.5</v>
      </c>
      <c r="J9" s="19">
        <f t="shared" ref="J9:J71" si="1">D9+G9</f>
        <v>6.0182252638842719</v>
      </c>
      <c r="K9" s="20">
        <f t="shared" ref="K9:K71" si="2">MAX(E9,H9)</f>
        <v>2003</v>
      </c>
      <c r="M9" s="21">
        <f t="shared" ref="M9:M71" si="3">LN(I9)</f>
        <v>2.1400661634962708</v>
      </c>
      <c r="N9" s="21">
        <f t="shared" ref="N9:N71" si="4">LN(J9)</f>
        <v>1.7947924091929603</v>
      </c>
      <c r="O9" s="3" t="s">
        <v>21</v>
      </c>
      <c r="P9" s="22">
        <v>3.2073008346342496E-2</v>
      </c>
      <c r="Q9" s="22">
        <v>0.10227181305354038</v>
      </c>
      <c r="R9" s="5" t="s">
        <v>22</v>
      </c>
    </row>
    <row r="10" spans="1:20" x14ac:dyDescent="0.2">
      <c r="A10" s="25">
        <f>'GF + UG Iteration 4'!A10</f>
        <v>473</v>
      </c>
      <c r="B10" s="25" t="str">
        <f>'GF + UG Iteration 4'!B10</f>
        <v>GF</v>
      </c>
      <c r="C10" s="18">
        <f>'GF + UG Iteration 4'!C10</f>
        <v>30</v>
      </c>
      <c r="D10" s="19">
        <f>'GF + UG Iteration 4'!D10</f>
        <v>14.998991377977235</v>
      </c>
      <c r="E10" s="30">
        <f>'GF + UG Iteration 4'!E10</f>
        <v>2003</v>
      </c>
      <c r="F10" s="18"/>
      <c r="G10" s="19"/>
      <c r="H10" s="20"/>
      <c r="I10" s="18">
        <f t="shared" si="0"/>
        <v>30</v>
      </c>
      <c r="J10" s="19">
        <f t="shared" si="1"/>
        <v>14.998991377977235</v>
      </c>
      <c r="K10" s="20">
        <f t="shared" si="2"/>
        <v>2003</v>
      </c>
      <c r="M10" s="21">
        <f t="shared" si="3"/>
        <v>3.4011973816621555</v>
      </c>
      <c r="N10" s="21">
        <f t="shared" si="4"/>
        <v>2.707982957373217</v>
      </c>
      <c r="O10" s="3" t="s">
        <v>1</v>
      </c>
      <c r="P10" s="22">
        <v>0.52785069749902558</v>
      </c>
      <c r="Q10" s="22">
        <v>0.39289992356159353</v>
      </c>
      <c r="R10" s="5" t="s">
        <v>23</v>
      </c>
    </row>
    <row r="11" spans="1:20" x14ac:dyDescent="0.2">
      <c r="A11" s="25">
        <f>'GF + UG Iteration 4'!A11</f>
        <v>1042</v>
      </c>
      <c r="B11" s="25" t="str">
        <f>'GF + UG Iteration 4'!B11</f>
        <v>GF</v>
      </c>
      <c r="C11" s="18">
        <f>'GF + UG Iteration 4'!C11</f>
        <v>13</v>
      </c>
      <c r="D11" s="19">
        <f>'GF + UG Iteration 4'!D11</f>
        <v>11.164764224012115</v>
      </c>
      <c r="E11" s="30">
        <f>'GF + UG Iteration 4'!E11</f>
        <v>2011</v>
      </c>
      <c r="F11" s="18"/>
      <c r="G11" s="19"/>
      <c r="H11" s="20"/>
      <c r="I11" s="18">
        <f t="shared" si="0"/>
        <v>13</v>
      </c>
      <c r="J11" s="19">
        <f t="shared" si="1"/>
        <v>11.164764224012115</v>
      </c>
      <c r="K11" s="20">
        <f t="shared" si="2"/>
        <v>2011</v>
      </c>
      <c r="M11" s="21">
        <f t="shared" si="3"/>
        <v>2.5649493574615367</v>
      </c>
      <c r="N11" s="21">
        <f t="shared" si="4"/>
        <v>2.4127627676497201</v>
      </c>
      <c r="O11" s="3" t="s">
        <v>24</v>
      </c>
      <c r="P11" s="22">
        <v>316.38667387826104</v>
      </c>
      <c r="Q11" s="22">
        <v>283</v>
      </c>
      <c r="R11" s="5" t="s">
        <v>25</v>
      </c>
    </row>
    <row r="12" spans="1:20" x14ac:dyDescent="0.2">
      <c r="A12" s="25">
        <f>'GF + UG Iteration 4'!A12</f>
        <v>443</v>
      </c>
      <c r="B12" s="25" t="str">
        <f>'GF + UG Iteration 4'!B12</f>
        <v>GF</v>
      </c>
      <c r="C12" s="18">
        <f>'GF + UG Iteration 4'!C12</f>
        <v>24.3</v>
      </c>
      <c r="D12" s="19">
        <f>'GF + UG Iteration 4'!D12</f>
        <v>11.705577131494863</v>
      </c>
      <c r="E12" s="30">
        <f>'GF + UG Iteration 4'!E12</f>
        <v>2006</v>
      </c>
      <c r="F12" s="18"/>
      <c r="G12" s="19"/>
      <c r="H12" s="20"/>
      <c r="I12" s="18">
        <f t="shared" si="0"/>
        <v>24.3</v>
      </c>
      <c r="J12" s="19">
        <f t="shared" si="1"/>
        <v>11.705577131494863</v>
      </c>
      <c r="K12" s="20">
        <f t="shared" si="2"/>
        <v>2006</v>
      </c>
      <c r="M12" s="21">
        <f t="shared" si="3"/>
        <v>3.1904763503465028</v>
      </c>
      <c r="N12" s="21">
        <f t="shared" si="4"/>
        <v>2.4600654061344325</v>
      </c>
      <c r="O12" s="3" t="s">
        <v>26</v>
      </c>
      <c r="P12" s="22">
        <v>48.840721561264878</v>
      </c>
      <c r="Q12" s="22">
        <v>43.686809031521811</v>
      </c>
      <c r="R12" s="5" t="s">
        <v>27</v>
      </c>
    </row>
    <row r="13" spans="1:20" x14ac:dyDescent="0.2">
      <c r="A13" s="25">
        <f>'GF + UG Iteration 4'!A13</f>
        <v>1195</v>
      </c>
      <c r="B13" s="25" t="str">
        <f>'GF + UG Iteration 4'!B13</f>
        <v>GF</v>
      </c>
      <c r="C13" s="18">
        <f>'GF + UG Iteration 4'!C13</f>
        <v>18</v>
      </c>
      <c r="D13" s="19">
        <f>'GF + UG Iteration 4'!D13</f>
        <v>31.659927445331629</v>
      </c>
      <c r="E13" s="30">
        <f>'GF + UG Iteration 4'!E13</f>
        <v>2011</v>
      </c>
      <c r="F13" s="18"/>
      <c r="G13" s="19"/>
      <c r="H13" s="20"/>
      <c r="I13" s="18">
        <f t="shared" si="0"/>
        <v>18</v>
      </c>
      <c r="J13" s="19">
        <f t="shared" si="1"/>
        <v>31.659927445331629</v>
      </c>
      <c r="K13" s="20">
        <f t="shared" si="2"/>
        <v>2011</v>
      </c>
      <c r="M13" s="21">
        <f t="shared" si="3"/>
        <v>2.8903717578961645</v>
      </c>
      <c r="N13" s="21">
        <f t="shared" si="4"/>
        <v>3.4550517627677269</v>
      </c>
    </row>
    <row r="14" spans="1:20" x14ac:dyDescent="0.2">
      <c r="A14" s="25">
        <f>'GF + UG Iteration 4'!A14</f>
        <v>420</v>
      </c>
      <c r="B14" s="25" t="str">
        <f>'GF + UG Iteration 4'!B14</f>
        <v>GF</v>
      </c>
      <c r="C14" s="18">
        <f>'GF + UG Iteration 4'!C14</f>
        <v>6</v>
      </c>
      <c r="D14" s="19">
        <f>'GF + UG Iteration 4'!D14</f>
        <v>9.6396451057157435</v>
      </c>
      <c r="E14" s="30">
        <f>'GF + UG Iteration 4'!E14</f>
        <v>2007</v>
      </c>
      <c r="F14" s="18"/>
      <c r="G14" s="19"/>
      <c r="H14" s="20"/>
      <c r="I14" s="18">
        <f t="shared" si="0"/>
        <v>6</v>
      </c>
      <c r="J14" s="19">
        <f t="shared" si="1"/>
        <v>9.6396451057157435</v>
      </c>
      <c r="K14" s="20">
        <f t="shared" si="2"/>
        <v>2007</v>
      </c>
      <c r="M14" s="21">
        <f t="shared" si="3"/>
        <v>1.791759469228055</v>
      </c>
      <c r="N14" s="21">
        <f t="shared" si="4"/>
        <v>2.2658842931849965</v>
      </c>
      <c r="P14" s="15" t="s">
        <v>6</v>
      </c>
      <c r="Q14" s="15"/>
    </row>
    <row r="15" spans="1:20" x14ac:dyDescent="0.2">
      <c r="A15" s="25">
        <f>'GF + UG Iteration 4'!A15</f>
        <v>440</v>
      </c>
      <c r="B15" s="25" t="str">
        <f>'GF + UG Iteration 4'!B15</f>
        <v>GF</v>
      </c>
      <c r="C15" s="18">
        <f>'GF + UG Iteration 4'!C15</f>
        <v>10</v>
      </c>
      <c r="D15" s="19">
        <f>'GF + UG Iteration 4'!D15</f>
        <v>16.009559216092757</v>
      </c>
      <c r="E15" s="30">
        <f>'GF + UG Iteration 4'!E15</f>
        <v>2006</v>
      </c>
      <c r="F15" s="18"/>
      <c r="G15" s="19"/>
      <c r="H15" s="20"/>
      <c r="I15" s="18">
        <f t="shared" si="0"/>
        <v>10</v>
      </c>
      <c r="J15" s="19">
        <f t="shared" si="1"/>
        <v>16.009559216092757</v>
      </c>
      <c r="K15" s="20">
        <f t="shared" si="2"/>
        <v>2006</v>
      </c>
      <c r="M15" s="21">
        <f t="shared" si="3"/>
        <v>2.3025850929940459</v>
      </c>
      <c r="N15" s="21">
        <f t="shared" si="4"/>
        <v>2.7731859948427808</v>
      </c>
      <c r="O15" s="3" t="s">
        <v>19</v>
      </c>
      <c r="P15" s="23">
        <f>P8</f>
        <v>0.57049098853954006</v>
      </c>
      <c r="Q15" s="31">
        <f>(P15-'GF + UG Iteration 4'!P15)/'GF + UG Iteration 4'!P15</f>
        <v>4.0236245794214014E-3</v>
      </c>
      <c r="R15" s="32" t="s">
        <v>31</v>
      </c>
    </row>
    <row r="16" spans="1:20" x14ac:dyDescent="0.2">
      <c r="A16" s="25">
        <f>'GF + UG Iteration 4'!A16</f>
        <v>1102</v>
      </c>
      <c r="B16" s="25" t="str">
        <f>'GF + UG Iteration 4'!B16</f>
        <v>GF</v>
      </c>
      <c r="C16" s="18">
        <f>'GF + UG Iteration 4'!C16</f>
        <v>20</v>
      </c>
      <c r="D16" s="19">
        <f>'GF + UG Iteration 4'!D16</f>
        <v>16.293644713264708</v>
      </c>
      <c r="E16" s="30">
        <f>'GF + UG Iteration 4'!E16</f>
        <v>2011</v>
      </c>
      <c r="F16" s="18"/>
      <c r="G16" s="19"/>
      <c r="H16" s="20"/>
      <c r="I16" s="18">
        <f t="shared" si="0"/>
        <v>20</v>
      </c>
      <c r="J16" s="19">
        <f t="shared" si="1"/>
        <v>16.293644713264708</v>
      </c>
      <c r="K16" s="20">
        <f t="shared" si="2"/>
        <v>2011</v>
      </c>
      <c r="M16" s="21">
        <f t="shared" si="3"/>
        <v>2.9957322735539909</v>
      </c>
      <c r="N16" s="21">
        <f t="shared" si="4"/>
        <v>2.7907751368922047</v>
      </c>
      <c r="O16" s="3" t="s">
        <v>28</v>
      </c>
      <c r="P16" s="23">
        <f>EXP(Q8)</f>
        <v>2.5693088121910694</v>
      </c>
      <c r="Q16" s="31">
        <f>(P16-'GF + UG Iteration 4'!P16)/'GF + UG Iteration 4'!P16</f>
        <v>-5.8074772456694632E-3</v>
      </c>
      <c r="R16" s="32" t="s">
        <v>32</v>
      </c>
    </row>
    <row r="17" spans="1:18" x14ac:dyDescent="0.2">
      <c r="A17" s="25">
        <f>'GF + UG Iteration 4'!A17</f>
        <v>324</v>
      </c>
      <c r="B17" s="25" t="str">
        <f>'GF + UG Iteration 4'!B17</f>
        <v>GF</v>
      </c>
      <c r="C17" s="18">
        <f>'GF + UG Iteration 4'!C17</f>
        <v>17.2</v>
      </c>
      <c r="D17" s="19">
        <f>'GF + UG Iteration 4'!D17</f>
        <v>8.9094125785416409</v>
      </c>
      <c r="E17" s="30">
        <f>'GF + UG Iteration 4'!E17</f>
        <v>2003</v>
      </c>
      <c r="F17" s="18"/>
      <c r="G17" s="19"/>
      <c r="H17" s="20"/>
      <c r="I17" s="18">
        <f t="shared" si="0"/>
        <v>17.2</v>
      </c>
      <c r="J17" s="19">
        <f t="shared" si="1"/>
        <v>8.9094125785416409</v>
      </c>
      <c r="K17" s="20">
        <f t="shared" si="2"/>
        <v>2003</v>
      </c>
      <c r="M17" s="21">
        <f t="shared" si="3"/>
        <v>2.8449093838194073</v>
      </c>
      <c r="N17" s="21">
        <f t="shared" si="4"/>
        <v>2.1871083109750784</v>
      </c>
      <c r="O17" s="3"/>
      <c r="P17" s="24"/>
      <c r="R17" s="32" t="s">
        <v>33</v>
      </c>
    </row>
    <row r="18" spans="1:18" x14ac:dyDescent="0.2">
      <c r="A18" s="25">
        <f>'GF + UG Iteration 4'!A18</f>
        <v>1103</v>
      </c>
      <c r="B18" s="25" t="str">
        <f>'GF + UG Iteration 4'!B18</f>
        <v>GF</v>
      </c>
      <c r="C18" s="18">
        <f>'GF + UG Iteration 4'!C18</f>
        <v>20</v>
      </c>
      <c r="D18" s="19">
        <f>'GF + UG Iteration 4'!D18</f>
        <v>17.299482978955592</v>
      </c>
      <c r="E18" s="30">
        <f>'GF + UG Iteration 4'!E18</f>
        <v>2011</v>
      </c>
      <c r="F18" s="18"/>
      <c r="G18" s="19"/>
      <c r="H18" s="20"/>
      <c r="I18" s="18">
        <f t="shared" si="0"/>
        <v>20</v>
      </c>
      <c r="J18" s="19">
        <f t="shared" si="1"/>
        <v>17.299482978955592</v>
      </c>
      <c r="K18" s="20">
        <f t="shared" si="2"/>
        <v>2011</v>
      </c>
      <c r="M18" s="21">
        <f t="shared" si="3"/>
        <v>2.9957322735539909</v>
      </c>
      <c r="N18" s="21">
        <f t="shared" si="4"/>
        <v>2.8506766154476462</v>
      </c>
      <c r="P18"/>
      <c r="Q18"/>
      <c r="R18" s="32" t="s">
        <v>34</v>
      </c>
    </row>
    <row r="19" spans="1:18" x14ac:dyDescent="0.2">
      <c r="A19" s="25">
        <f>'GF + UG Iteration 4'!A19</f>
        <v>386</v>
      </c>
      <c r="B19" s="25" t="str">
        <f>'GF + UG Iteration 4'!B19</f>
        <v>GF</v>
      </c>
      <c r="C19" s="18">
        <f>'GF + UG Iteration 4'!C19</f>
        <v>9</v>
      </c>
      <c r="D19" s="19">
        <f>'GF + UG Iteration 4'!D19</f>
        <v>9.9511250787738224</v>
      </c>
      <c r="E19" s="30">
        <f>'GF + UG Iteration 4'!E19</f>
        <v>2003</v>
      </c>
      <c r="F19" s="18"/>
      <c r="G19" s="19"/>
      <c r="H19" s="20"/>
      <c r="I19" s="18">
        <f t="shared" si="0"/>
        <v>9</v>
      </c>
      <c r="J19" s="19">
        <f t="shared" si="1"/>
        <v>9.9511250787738224</v>
      </c>
      <c r="K19" s="20">
        <f t="shared" si="2"/>
        <v>2003</v>
      </c>
      <c r="M19" s="21">
        <f t="shared" si="3"/>
        <v>2.1972245773362196</v>
      </c>
      <c r="N19" s="21">
        <f t="shared" si="4"/>
        <v>2.2976856180218044</v>
      </c>
      <c r="P19"/>
      <c r="Q19"/>
    </row>
    <row r="20" spans="1:18" x14ac:dyDescent="0.2">
      <c r="A20" s="25">
        <f>'GF + UG Iteration 4'!A20</f>
        <v>80</v>
      </c>
      <c r="B20" s="25" t="str">
        <f>'GF + UG Iteration 4'!B20</f>
        <v>GF</v>
      </c>
      <c r="C20" s="18">
        <f>'GF + UG Iteration 4'!C20</f>
        <v>8</v>
      </c>
      <c r="D20" s="19">
        <f>'GF + UG Iteration 4'!D20</f>
        <v>6.0754029342110369</v>
      </c>
      <c r="E20" s="30">
        <f>'GF + UG Iteration 4'!E20</f>
        <v>2001</v>
      </c>
      <c r="F20" s="18"/>
      <c r="G20" s="19"/>
      <c r="H20" s="20"/>
      <c r="I20" s="18">
        <f t="shared" si="0"/>
        <v>8</v>
      </c>
      <c r="J20" s="19">
        <f t="shared" si="1"/>
        <v>6.0754029342110369</v>
      </c>
      <c r="K20" s="20">
        <f t="shared" si="2"/>
        <v>2001</v>
      </c>
      <c r="M20" s="21">
        <f t="shared" si="3"/>
        <v>2.0794415416798357</v>
      </c>
      <c r="N20" s="21">
        <f t="shared" si="4"/>
        <v>1.8042483136462</v>
      </c>
      <c r="P20"/>
      <c r="Q20"/>
    </row>
    <row r="21" spans="1:18" x14ac:dyDescent="0.2">
      <c r="A21" s="25">
        <f>'GF + UG Iteration 4'!A21</f>
        <v>1052</v>
      </c>
      <c r="B21" s="25" t="str">
        <f>'GF + UG Iteration 4'!B21</f>
        <v>GF</v>
      </c>
      <c r="C21" s="18">
        <f>'GF + UG Iteration 4'!C21</f>
        <v>13.6</v>
      </c>
      <c r="D21" s="19">
        <f>'GF + UG Iteration 4'!D21</f>
        <v>10.90270245998838</v>
      </c>
      <c r="E21" s="30">
        <f>'GF + UG Iteration 4'!E21</f>
        <v>2011</v>
      </c>
      <c r="F21" s="18"/>
      <c r="G21" s="19"/>
      <c r="H21" s="20"/>
      <c r="I21" s="18">
        <f t="shared" si="0"/>
        <v>13.6</v>
      </c>
      <c r="J21" s="19">
        <f t="shared" si="1"/>
        <v>10.90270245998838</v>
      </c>
      <c r="K21" s="20">
        <f t="shared" si="2"/>
        <v>2011</v>
      </c>
      <c r="M21" s="21">
        <f t="shared" si="3"/>
        <v>2.6100697927420065</v>
      </c>
      <c r="N21" s="21">
        <f t="shared" si="4"/>
        <v>2.3890106906140374</v>
      </c>
      <c r="P21"/>
      <c r="Q21"/>
    </row>
    <row r="22" spans="1:18" x14ac:dyDescent="0.2">
      <c r="A22" s="25">
        <f>'GF + UG Iteration 4'!A22</f>
        <v>347</v>
      </c>
      <c r="B22" s="25" t="str">
        <f>'GF + UG Iteration 4'!B22</f>
        <v>GF</v>
      </c>
      <c r="C22" s="18">
        <f>'GF + UG Iteration 4'!C22</f>
        <v>10.548</v>
      </c>
      <c r="D22" s="19">
        <f>'GF + UG Iteration 4'!D22</f>
        <v>9.3004925979781259</v>
      </c>
      <c r="E22" s="30">
        <f>'GF + UG Iteration 4'!E22</f>
        <v>2003</v>
      </c>
      <c r="F22" s="18"/>
      <c r="G22" s="19"/>
      <c r="H22" s="20"/>
      <c r="I22" s="18">
        <f t="shared" si="0"/>
        <v>10.548</v>
      </c>
      <c r="J22" s="19">
        <f t="shared" si="1"/>
        <v>9.3004925979781259</v>
      </c>
      <c r="K22" s="20">
        <f t="shared" si="2"/>
        <v>2003</v>
      </c>
      <c r="M22" s="21">
        <f t="shared" si="3"/>
        <v>2.3559362684910403</v>
      </c>
      <c r="N22" s="21">
        <f t="shared" si="4"/>
        <v>2.23006736628101</v>
      </c>
    </row>
    <row r="23" spans="1:18" x14ac:dyDescent="0.2">
      <c r="A23" s="25">
        <f>'GF + UG Iteration 4'!A23</f>
        <v>1358</v>
      </c>
      <c r="B23" s="25" t="str">
        <f>'GF + UG Iteration 4'!B23</f>
        <v>GF</v>
      </c>
      <c r="C23" s="18">
        <f>'GF + UG Iteration 4'!C23</f>
        <v>27</v>
      </c>
      <c r="D23" s="19">
        <f>'GF + UG Iteration 4'!D23</f>
        <v>13.07265503282744</v>
      </c>
      <c r="E23" s="30">
        <f>'GF + UG Iteration 4'!E23</f>
        <v>2011</v>
      </c>
      <c r="F23" s="18"/>
      <c r="G23" s="19"/>
      <c r="H23" s="20"/>
      <c r="I23" s="18">
        <f t="shared" si="0"/>
        <v>27</v>
      </c>
      <c r="J23" s="19">
        <f t="shared" si="1"/>
        <v>13.07265503282744</v>
      </c>
      <c r="K23" s="20">
        <f t="shared" si="2"/>
        <v>2011</v>
      </c>
      <c r="M23" s="21">
        <f t="shared" si="3"/>
        <v>3.2958368660043291</v>
      </c>
      <c r="N23" s="21">
        <f t="shared" si="4"/>
        <v>2.5705226464726247</v>
      </c>
    </row>
    <row r="24" spans="1:18" x14ac:dyDescent="0.2">
      <c r="A24" s="25">
        <f>'GF + UG Iteration 4'!A24</f>
        <v>584</v>
      </c>
      <c r="B24" s="25" t="str">
        <f>'GF + UG Iteration 4'!B24</f>
        <v>GF</v>
      </c>
      <c r="C24" s="18">
        <f>'GF + UG Iteration 4'!C24</f>
        <v>28</v>
      </c>
      <c r="D24" s="19">
        <f>'GF + UG Iteration 4'!D24</f>
        <v>34.903749706800433</v>
      </c>
      <c r="E24" s="30">
        <f>'GF + UG Iteration 4'!E24</f>
        <v>2011</v>
      </c>
      <c r="F24" s="18"/>
      <c r="G24" s="19"/>
      <c r="H24" s="20"/>
      <c r="I24" s="18">
        <f t="shared" si="0"/>
        <v>28</v>
      </c>
      <c r="J24" s="19">
        <f t="shared" si="1"/>
        <v>34.903749706800433</v>
      </c>
      <c r="K24" s="20">
        <f t="shared" si="2"/>
        <v>2011</v>
      </c>
      <c r="M24" s="21">
        <f t="shared" si="3"/>
        <v>3.3322045101752038</v>
      </c>
      <c r="N24" s="21">
        <f t="shared" si="4"/>
        <v>3.5525942648925612</v>
      </c>
    </row>
    <row r="25" spans="1:18" x14ac:dyDescent="0.2">
      <c r="A25" s="25">
        <f>'GF + UG Iteration 4'!A25</f>
        <v>422</v>
      </c>
      <c r="B25" s="25" t="str">
        <f>'GF + UG Iteration 4'!B25</f>
        <v>GF</v>
      </c>
      <c r="C25" s="18">
        <f>'GF + UG Iteration 4'!C25</f>
        <v>24</v>
      </c>
      <c r="D25" s="19">
        <f>'GF + UG Iteration 4'!D25</f>
        <v>13.650794587226329</v>
      </c>
      <c r="E25" s="30">
        <f>'GF + UG Iteration 4'!E25</f>
        <v>2003</v>
      </c>
      <c r="F25" s="18"/>
      <c r="G25" s="19"/>
      <c r="H25" s="20"/>
      <c r="I25" s="18">
        <f t="shared" si="0"/>
        <v>24</v>
      </c>
      <c r="J25" s="19">
        <f t="shared" si="1"/>
        <v>13.650794587226329</v>
      </c>
      <c r="K25" s="20">
        <f t="shared" si="2"/>
        <v>2003</v>
      </c>
      <c r="M25" s="21">
        <f t="shared" si="3"/>
        <v>3.1780538303479458</v>
      </c>
      <c r="N25" s="21">
        <f t="shared" si="4"/>
        <v>2.6137977314551564</v>
      </c>
    </row>
    <row r="26" spans="1:18" x14ac:dyDescent="0.2">
      <c r="A26" s="25">
        <f>'GF + UG Iteration 4'!A26</f>
        <v>944</v>
      </c>
      <c r="B26" s="25" t="str">
        <f>'GF + UG Iteration 4'!B26</f>
        <v>GF</v>
      </c>
      <c r="C26" s="18">
        <f>'GF + UG Iteration 4'!C26</f>
        <v>43</v>
      </c>
      <c r="D26" s="19">
        <f>'GF + UG Iteration 4'!D26</f>
        <v>26.816090615909914</v>
      </c>
      <c r="E26" s="30">
        <f>'GF + UG Iteration 4'!E26</f>
        <v>2010</v>
      </c>
      <c r="F26" s="18"/>
      <c r="G26" s="19"/>
      <c r="H26" s="20"/>
      <c r="I26" s="18">
        <f t="shared" si="0"/>
        <v>43</v>
      </c>
      <c r="J26" s="19">
        <f t="shared" si="1"/>
        <v>26.816090615909914</v>
      </c>
      <c r="K26" s="20">
        <f t="shared" si="2"/>
        <v>2010</v>
      </c>
      <c r="M26" s="21">
        <f t="shared" si="3"/>
        <v>3.7612001156935624</v>
      </c>
      <c r="N26" s="21">
        <f t="shared" si="4"/>
        <v>3.2890021034672148</v>
      </c>
    </row>
    <row r="27" spans="1:18" x14ac:dyDescent="0.2">
      <c r="A27" s="25">
        <f>'GF + UG Iteration 4'!A27</f>
        <v>387</v>
      </c>
      <c r="B27" s="25" t="str">
        <f>'GF + UG Iteration 4'!B27</f>
        <v>GF</v>
      </c>
      <c r="C27" s="18">
        <f>'GF + UG Iteration 4'!C27</f>
        <v>7.5</v>
      </c>
      <c r="D27" s="19">
        <f>'GF + UG Iteration 4'!D27</f>
        <v>9.5130592102135658</v>
      </c>
      <c r="E27" s="30">
        <f>'GF + UG Iteration 4'!E27</f>
        <v>2003</v>
      </c>
      <c r="F27" s="18"/>
      <c r="G27" s="19"/>
      <c r="H27" s="20"/>
      <c r="I27" s="18">
        <f t="shared" si="0"/>
        <v>7.5</v>
      </c>
      <c r="J27" s="19">
        <f t="shared" si="1"/>
        <v>9.5130592102135658</v>
      </c>
      <c r="K27" s="20">
        <f t="shared" si="2"/>
        <v>2003</v>
      </c>
      <c r="M27" s="21">
        <f t="shared" si="3"/>
        <v>2.0149030205422647</v>
      </c>
      <c r="N27" s="21">
        <f t="shared" si="4"/>
        <v>2.2526655083417699</v>
      </c>
    </row>
    <row r="28" spans="1:18" x14ac:dyDescent="0.2">
      <c r="A28" s="25">
        <f>'GF + UG Iteration 4'!A28</f>
        <v>587</v>
      </c>
      <c r="B28" s="25" t="str">
        <f>'GF + UG Iteration 4'!B28</f>
        <v>GF</v>
      </c>
      <c r="C28" s="18">
        <f>'GF + UG Iteration 4'!C28</f>
        <v>17.8</v>
      </c>
      <c r="D28" s="19">
        <f>'GF + UG Iteration 4'!D28</f>
        <v>13.152201549137706</v>
      </c>
      <c r="E28" s="30">
        <f>'GF + UG Iteration 4'!E28</f>
        <v>2006</v>
      </c>
      <c r="F28" s="18"/>
      <c r="G28" s="19"/>
      <c r="H28" s="20"/>
      <c r="I28" s="18">
        <f t="shared" si="0"/>
        <v>17.8</v>
      </c>
      <c r="J28" s="19">
        <f t="shared" si="1"/>
        <v>13.152201549137706</v>
      </c>
      <c r="K28" s="20">
        <f t="shared" si="2"/>
        <v>2006</v>
      </c>
      <c r="M28" s="21">
        <f t="shared" si="3"/>
        <v>2.8791984572980396</v>
      </c>
      <c r="N28" s="21">
        <f t="shared" si="4"/>
        <v>2.57658916279629</v>
      </c>
    </row>
    <row r="29" spans="1:18" x14ac:dyDescent="0.2">
      <c r="A29" s="25">
        <f>'GF + UG Iteration 4'!A29</f>
        <v>585</v>
      </c>
      <c r="B29" s="25" t="str">
        <f>'GF + UG Iteration 4'!B29</f>
        <v>GF</v>
      </c>
      <c r="C29" s="18">
        <f>'GF + UG Iteration 4'!C29</f>
        <v>20.6</v>
      </c>
      <c r="D29" s="19">
        <f>'GF + UG Iteration 4'!D29</f>
        <v>11.291169205189183</v>
      </c>
      <c r="E29" s="30">
        <f>'GF + UG Iteration 4'!E29</f>
        <v>2007</v>
      </c>
      <c r="F29" s="18"/>
      <c r="G29" s="19"/>
      <c r="H29" s="20"/>
      <c r="I29" s="18">
        <f t="shared" si="0"/>
        <v>20.6</v>
      </c>
      <c r="J29" s="19">
        <f t="shared" si="1"/>
        <v>11.291169205189183</v>
      </c>
      <c r="K29" s="20">
        <f t="shared" si="2"/>
        <v>2007</v>
      </c>
      <c r="M29" s="21">
        <f t="shared" si="3"/>
        <v>3.0252910757955354</v>
      </c>
      <c r="N29" s="21">
        <f t="shared" si="4"/>
        <v>2.4240209339322751</v>
      </c>
    </row>
    <row r="30" spans="1:18" x14ac:dyDescent="0.2">
      <c r="A30" s="25">
        <f>'GF + UG Iteration 4'!A30</f>
        <v>831</v>
      </c>
      <c r="B30" s="25" t="str">
        <f>'GF + UG Iteration 4'!B30</f>
        <v>GF</v>
      </c>
      <c r="C30" s="18">
        <f>'GF + UG Iteration 4'!C30</f>
        <v>19.600000000000001</v>
      </c>
      <c r="D30" s="19">
        <f>'GF + UG Iteration 4'!D30</f>
        <v>20.965601428070691</v>
      </c>
      <c r="E30" s="30">
        <f>'GF + UG Iteration 4'!E30</f>
        <v>2011</v>
      </c>
      <c r="F30" s="18"/>
      <c r="G30" s="19"/>
      <c r="H30" s="20"/>
      <c r="I30" s="18">
        <f t="shared" si="0"/>
        <v>19.600000000000001</v>
      </c>
      <c r="J30" s="19">
        <f t="shared" si="1"/>
        <v>20.965601428070691</v>
      </c>
      <c r="K30" s="20">
        <f t="shared" si="2"/>
        <v>2011</v>
      </c>
      <c r="M30" s="21">
        <f t="shared" si="3"/>
        <v>2.9755295662364718</v>
      </c>
      <c r="N30" s="21">
        <f t="shared" si="4"/>
        <v>3.042883067455266</v>
      </c>
    </row>
    <row r="31" spans="1:18" x14ac:dyDescent="0.2">
      <c r="A31" s="25">
        <f>'GF + UG Iteration 4'!A31</f>
        <v>340</v>
      </c>
      <c r="B31" s="25" t="str">
        <f>'GF + UG Iteration 4'!B31</f>
        <v>GF</v>
      </c>
      <c r="C31" s="18">
        <f>'GF + UG Iteration 4'!C31</f>
        <v>22</v>
      </c>
      <c r="D31" s="19">
        <f>'GF + UG Iteration 4'!D31</f>
        <v>13.309615571039751</v>
      </c>
      <c r="E31" s="30">
        <f>'GF + UG Iteration 4'!E31</f>
        <v>2003</v>
      </c>
      <c r="F31" s="18"/>
      <c r="G31" s="19"/>
      <c r="H31" s="20"/>
      <c r="I31" s="18">
        <f t="shared" si="0"/>
        <v>22</v>
      </c>
      <c r="J31" s="19">
        <f t="shared" si="1"/>
        <v>13.309615571039751</v>
      </c>
      <c r="K31" s="20">
        <f t="shared" si="2"/>
        <v>2003</v>
      </c>
      <c r="M31" s="21">
        <f t="shared" si="3"/>
        <v>3.0910424533583161</v>
      </c>
      <c r="N31" s="21">
        <f t="shared" si="4"/>
        <v>2.5884867492731334</v>
      </c>
    </row>
    <row r="32" spans="1:18" x14ac:dyDescent="0.2">
      <c r="A32" s="25">
        <f>'GF + UG Iteration 4'!A32</f>
        <v>334</v>
      </c>
      <c r="B32" s="25" t="str">
        <f>'GF + UG Iteration 4'!B32</f>
        <v>GF</v>
      </c>
      <c r="C32" s="18">
        <f>'GF + UG Iteration 4'!C32</f>
        <v>18.8</v>
      </c>
      <c r="D32" s="19">
        <f>'GF + UG Iteration 4'!D32</f>
        <v>7.9463711126733889</v>
      </c>
      <c r="E32" s="30">
        <f>'GF + UG Iteration 4'!E32</f>
        <v>2003</v>
      </c>
      <c r="F32" s="18"/>
      <c r="G32" s="19"/>
      <c r="H32" s="20"/>
      <c r="I32" s="18">
        <f t="shared" si="0"/>
        <v>18.8</v>
      </c>
      <c r="J32" s="19">
        <f t="shared" si="1"/>
        <v>7.9463711126733889</v>
      </c>
      <c r="K32" s="20">
        <f t="shared" si="2"/>
        <v>2003</v>
      </c>
      <c r="M32" s="21">
        <f t="shared" si="3"/>
        <v>2.9338568698359038</v>
      </c>
      <c r="N32" s="21">
        <f t="shared" si="4"/>
        <v>2.072715360640252</v>
      </c>
    </row>
    <row r="33" spans="1:14" x14ac:dyDescent="0.2">
      <c r="A33" s="25">
        <f>'GF + UG Iteration 4'!A33</f>
        <v>343</v>
      </c>
      <c r="B33" s="25" t="str">
        <f>'GF + UG Iteration 4'!B33</f>
        <v>GF</v>
      </c>
      <c r="C33" s="18">
        <f>'GF + UG Iteration 4'!C33</f>
        <v>15.6</v>
      </c>
      <c r="D33" s="19">
        <f>'GF + UG Iteration 4'!D33</f>
        <v>13.99971574022935</v>
      </c>
      <c r="E33" s="30">
        <f>'GF + UG Iteration 4'!E33</f>
        <v>2003</v>
      </c>
      <c r="F33" s="18"/>
      <c r="G33" s="19"/>
      <c r="H33" s="20"/>
      <c r="I33" s="18">
        <f t="shared" si="0"/>
        <v>15.6</v>
      </c>
      <c r="J33" s="19">
        <f t="shared" si="1"/>
        <v>13.99971574022935</v>
      </c>
      <c r="K33" s="20">
        <f t="shared" si="2"/>
        <v>2003</v>
      </c>
      <c r="M33" s="21">
        <f t="shared" si="3"/>
        <v>2.7472709142554912</v>
      </c>
      <c r="N33" s="21">
        <f t="shared" si="4"/>
        <v>2.6390370251397921</v>
      </c>
    </row>
    <row r="34" spans="1:14" x14ac:dyDescent="0.2">
      <c r="A34" s="25">
        <f>'GF + UG Iteration 4'!A34</f>
        <v>358</v>
      </c>
      <c r="B34" s="25" t="str">
        <f>'GF + UG Iteration 4'!B34</f>
        <v>GF</v>
      </c>
      <c r="C34" s="18">
        <f>'GF + UG Iteration 4'!C34</f>
        <v>19.8</v>
      </c>
      <c r="D34" s="19">
        <f>'GF + UG Iteration 4'!D34</f>
        <v>7.2248521864398549</v>
      </c>
      <c r="E34" s="30">
        <f>'GF + UG Iteration 4'!E34</f>
        <v>2003</v>
      </c>
      <c r="F34" s="18"/>
      <c r="G34" s="19"/>
      <c r="H34" s="20"/>
      <c r="I34" s="18">
        <f t="shared" si="0"/>
        <v>19.8</v>
      </c>
      <c r="J34" s="19">
        <f t="shared" si="1"/>
        <v>7.2248521864398549</v>
      </c>
      <c r="K34" s="20">
        <f t="shared" si="2"/>
        <v>2003</v>
      </c>
      <c r="M34" s="21">
        <f t="shared" si="3"/>
        <v>2.9856819377004897</v>
      </c>
      <c r="N34" s="21">
        <f t="shared" si="4"/>
        <v>1.9775267751649739</v>
      </c>
    </row>
    <row r="35" spans="1:14" x14ac:dyDescent="0.2">
      <c r="A35" s="25">
        <f>'GF + UG Iteration 4'!A35</f>
        <v>702</v>
      </c>
      <c r="B35" s="25" t="str">
        <f>'GF + UG Iteration 4'!B35</f>
        <v>GF</v>
      </c>
      <c r="C35" s="18">
        <f>'GF + UG Iteration 4'!C35</f>
        <v>28.4</v>
      </c>
      <c r="D35" s="19">
        <f>'GF + UG Iteration 4'!D35</f>
        <v>5.2101531080390755</v>
      </c>
      <c r="E35" s="30">
        <f>'GF + UG Iteration 4'!E35</f>
        <v>2007</v>
      </c>
      <c r="F35" s="18"/>
      <c r="G35" s="19"/>
      <c r="H35" s="20"/>
      <c r="I35" s="18">
        <f t="shared" si="0"/>
        <v>28.4</v>
      </c>
      <c r="J35" s="19">
        <f t="shared" si="1"/>
        <v>5.2101531080390755</v>
      </c>
      <c r="K35" s="20">
        <f t="shared" si="2"/>
        <v>2007</v>
      </c>
      <c r="M35" s="21">
        <f t="shared" si="3"/>
        <v>3.3463891451671604</v>
      </c>
      <c r="N35" s="21">
        <f t="shared" si="4"/>
        <v>1.6506092426730299</v>
      </c>
    </row>
    <row r="36" spans="1:14" x14ac:dyDescent="0.2">
      <c r="A36" s="25">
        <f>'GF + UG Iteration 4'!A36</f>
        <v>526</v>
      </c>
      <c r="B36" s="25" t="str">
        <f>'GF + UG Iteration 4'!B36</f>
        <v>GF</v>
      </c>
      <c r="C36" s="18">
        <f>'GF + UG Iteration 4'!C36</f>
        <v>19</v>
      </c>
      <c r="D36" s="19">
        <f>'GF + UG Iteration 4'!D36</f>
        <v>13.758834109767626</v>
      </c>
      <c r="E36" s="30">
        <f>'GF + UG Iteration 4'!E36</f>
        <v>2007</v>
      </c>
      <c r="F36" s="18"/>
      <c r="G36" s="19"/>
      <c r="H36" s="20"/>
      <c r="I36" s="18">
        <f t="shared" si="0"/>
        <v>19</v>
      </c>
      <c r="J36" s="19">
        <f t="shared" si="1"/>
        <v>13.758834109767626</v>
      </c>
      <c r="K36" s="20">
        <f t="shared" si="2"/>
        <v>2007</v>
      </c>
      <c r="M36" s="21">
        <f t="shared" si="3"/>
        <v>2.9444389791664403</v>
      </c>
      <c r="N36" s="21">
        <f t="shared" si="4"/>
        <v>2.6216810985205803</v>
      </c>
    </row>
    <row r="37" spans="1:14" x14ac:dyDescent="0.2">
      <c r="A37" s="25">
        <f>'GF + UG Iteration 4'!A37</f>
        <v>288</v>
      </c>
      <c r="B37" s="25" t="str">
        <f>'GF + UG Iteration 4'!B37</f>
        <v>GF</v>
      </c>
      <c r="C37" s="18">
        <f>'GF + UG Iteration 4'!C37</f>
        <v>12</v>
      </c>
      <c r="D37" s="19">
        <f>'GF + UG Iteration 4'!D37</f>
        <v>4.4533584840568787</v>
      </c>
      <c r="E37" s="30">
        <f>'GF + UG Iteration 4'!E37</f>
        <v>2001</v>
      </c>
      <c r="F37" s="18"/>
      <c r="G37" s="19"/>
      <c r="H37" s="20"/>
      <c r="I37" s="18">
        <f t="shared" si="0"/>
        <v>12</v>
      </c>
      <c r="J37" s="19">
        <f t="shared" si="1"/>
        <v>4.4533584840568787</v>
      </c>
      <c r="K37" s="20">
        <f t="shared" si="2"/>
        <v>2001</v>
      </c>
      <c r="M37" s="21">
        <f t="shared" si="3"/>
        <v>2.4849066497880004</v>
      </c>
      <c r="N37" s="21">
        <f t="shared" si="4"/>
        <v>1.4936585270420049</v>
      </c>
    </row>
    <row r="38" spans="1:14" x14ac:dyDescent="0.2">
      <c r="A38" s="25">
        <f>'GF + UG Iteration 4'!A38</f>
        <v>851</v>
      </c>
      <c r="B38" s="25" t="str">
        <f>'GF + UG Iteration 4'!B38</f>
        <v>GF</v>
      </c>
      <c r="C38" s="18">
        <f>'GF + UG Iteration 4'!C38</f>
        <v>25</v>
      </c>
      <c r="D38" s="19">
        <f>'GF + UG Iteration 4'!D38</f>
        <v>12.931754132918639</v>
      </c>
      <c r="E38" s="30">
        <f>'GF + UG Iteration 4'!E38</f>
        <v>2007</v>
      </c>
      <c r="F38" s="18"/>
      <c r="G38" s="19"/>
      <c r="H38" s="20"/>
      <c r="I38" s="18">
        <f t="shared" si="0"/>
        <v>25</v>
      </c>
      <c r="J38" s="19">
        <f t="shared" si="1"/>
        <v>12.931754132918639</v>
      </c>
      <c r="K38" s="20">
        <f t="shared" si="2"/>
        <v>2007</v>
      </c>
      <c r="M38" s="21">
        <f t="shared" si="3"/>
        <v>3.2188758248682006</v>
      </c>
      <c r="N38" s="21">
        <f t="shared" si="4"/>
        <v>2.5596858473810773</v>
      </c>
    </row>
    <row r="39" spans="1:14" x14ac:dyDescent="0.2">
      <c r="A39" s="25">
        <f>'GF + UG Iteration 4'!A39</f>
        <v>648</v>
      </c>
      <c r="B39" s="25" t="str">
        <f>'GF + UG Iteration 4'!B39</f>
        <v>GF</v>
      </c>
      <c r="C39" s="18">
        <f>'GF + UG Iteration 4'!C39</f>
        <v>15</v>
      </c>
      <c r="D39" s="19">
        <f>'GF + UG Iteration 4'!D39</f>
        <v>14.973718181093032</v>
      </c>
      <c r="E39" s="30">
        <f>'GF + UG Iteration 4'!E39</f>
        <v>2007</v>
      </c>
      <c r="F39" s="18"/>
      <c r="G39" s="19"/>
      <c r="H39" s="20"/>
      <c r="I39" s="18">
        <f t="shared" si="0"/>
        <v>15</v>
      </c>
      <c r="J39" s="19">
        <f t="shared" si="1"/>
        <v>14.973718181093032</v>
      </c>
      <c r="K39" s="20">
        <f t="shared" si="2"/>
        <v>2007</v>
      </c>
      <c r="M39" s="21">
        <f t="shared" si="3"/>
        <v>2.7080502011022101</v>
      </c>
      <c r="N39" s="21">
        <f t="shared" si="4"/>
        <v>2.7062965430819679</v>
      </c>
    </row>
    <row r="40" spans="1:14" x14ac:dyDescent="0.2">
      <c r="A40" s="25">
        <f>'GF + UG Iteration 4'!A40</f>
        <v>855</v>
      </c>
      <c r="B40" s="25" t="str">
        <f>'GF + UG Iteration 4'!B40</f>
        <v>GF</v>
      </c>
      <c r="C40" s="18">
        <f>'GF + UG Iteration 4'!C40</f>
        <v>23</v>
      </c>
      <c r="D40" s="19">
        <f>'GF + UG Iteration 4'!D40</f>
        <v>28.66706963950903</v>
      </c>
      <c r="E40" s="30">
        <f>'GF + UG Iteration 4'!E40</f>
        <v>2011</v>
      </c>
      <c r="F40" s="18"/>
      <c r="G40" s="19"/>
      <c r="H40" s="20"/>
      <c r="I40" s="18">
        <f t="shared" si="0"/>
        <v>23</v>
      </c>
      <c r="J40" s="19">
        <f t="shared" si="1"/>
        <v>28.66706963950903</v>
      </c>
      <c r="K40" s="20">
        <f t="shared" si="2"/>
        <v>2011</v>
      </c>
      <c r="M40" s="21">
        <f t="shared" si="3"/>
        <v>3.1354942159291497</v>
      </c>
      <c r="N40" s="21">
        <f t="shared" si="4"/>
        <v>3.355749064678772</v>
      </c>
    </row>
    <row r="41" spans="1:14" x14ac:dyDescent="0.2">
      <c r="A41" s="25">
        <f>'GF + UG Iteration 4'!A41</f>
        <v>700</v>
      </c>
      <c r="B41" s="25" t="str">
        <f>'GF + UG Iteration 4'!B41</f>
        <v>GF</v>
      </c>
      <c r="C41" s="18">
        <f>'GF + UG Iteration 4'!C41</f>
        <v>9.8000000000000007</v>
      </c>
      <c r="D41" s="19">
        <f>'GF + UG Iteration 4'!D41</f>
        <v>7.0657947644327148</v>
      </c>
      <c r="E41" s="30">
        <f>'GF + UG Iteration 4'!E41</f>
        <v>2007</v>
      </c>
      <c r="F41" s="18"/>
      <c r="G41" s="19"/>
      <c r="H41" s="20"/>
      <c r="I41" s="18">
        <f t="shared" si="0"/>
        <v>9.8000000000000007</v>
      </c>
      <c r="J41" s="19">
        <f t="shared" si="1"/>
        <v>7.0657947644327148</v>
      </c>
      <c r="K41" s="20">
        <f t="shared" si="2"/>
        <v>2007</v>
      </c>
      <c r="M41" s="21">
        <f t="shared" si="3"/>
        <v>2.2823823856765264</v>
      </c>
      <c r="N41" s="21">
        <f t="shared" si="4"/>
        <v>1.9552655030060266</v>
      </c>
    </row>
    <row r="42" spans="1:14" x14ac:dyDescent="0.2">
      <c r="A42" s="25">
        <f>'GF + UG Iteration 4'!A42</f>
        <v>683</v>
      </c>
      <c r="B42" s="25" t="str">
        <f>'GF + UG Iteration 4'!B42</f>
        <v>GF</v>
      </c>
      <c r="C42" s="18">
        <f>'GF + UG Iteration 4'!C42</f>
        <v>30</v>
      </c>
      <c r="D42" s="19">
        <f>'GF + UG Iteration 4'!D42</f>
        <v>16.03232257186292</v>
      </c>
      <c r="E42" s="30">
        <f>'GF + UG Iteration 4'!E42</f>
        <v>2011</v>
      </c>
      <c r="F42" s="18"/>
      <c r="G42" s="19"/>
      <c r="H42" s="20"/>
      <c r="I42" s="18">
        <f t="shared" si="0"/>
        <v>30</v>
      </c>
      <c r="J42" s="19">
        <f t="shared" si="1"/>
        <v>16.03232257186292</v>
      </c>
      <c r="K42" s="20">
        <f t="shared" si="2"/>
        <v>2011</v>
      </c>
      <c r="M42" s="21">
        <f t="shared" si="3"/>
        <v>3.4011973816621555</v>
      </c>
      <c r="N42" s="21">
        <f t="shared" si="4"/>
        <v>2.7746068452004713</v>
      </c>
    </row>
    <row r="43" spans="1:14" x14ac:dyDescent="0.2">
      <c r="A43" s="25">
        <f>'GF + UG Iteration 4'!A43</f>
        <v>559</v>
      </c>
      <c r="B43" s="25" t="str">
        <f>'GF + UG Iteration 4'!B43</f>
        <v>GF</v>
      </c>
      <c r="C43" s="18">
        <f>'GF + UG Iteration 4'!C43</f>
        <v>115</v>
      </c>
      <c r="D43" s="19">
        <f>'GF + UG Iteration 4'!D43</f>
        <v>56.859498956472109</v>
      </c>
      <c r="E43" s="30">
        <f>'GF + UG Iteration 4'!E43</f>
        <v>2011</v>
      </c>
      <c r="F43" s="18"/>
      <c r="G43" s="19"/>
      <c r="H43" s="20"/>
      <c r="I43" s="18">
        <f t="shared" si="0"/>
        <v>115</v>
      </c>
      <c r="J43" s="19">
        <f t="shared" si="1"/>
        <v>56.859498956472109</v>
      </c>
      <c r="K43" s="20">
        <f t="shared" si="2"/>
        <v>2011</v>
      </c>
      <c r="M43" s="21">
        <f t="shared" si="3"/>
        <v>4.7449321283632502</v>
      </c>
      <c r="N43" s="21">
        <f t="shared" si="4"/>
        <v>4.0405832943034818</v>
      </c>
    </row>
    <row r="44" spans="1:14" x14ac:dyDescent="0.2">
      <c r="A44" s="25">
        <f>'GF + UG Iteration 4'!A44</f>
        <v>1074</v>
      </c>
      <c r="B44" s="25" t="str">
        <f>'GF + UG Iteration 4'!B44</f>
        <v>GF</v>
      </c>
      <c r="C44" s="18">
        <f>'GF + UG Iteration 4'!C44</f>
        <v>67</v>
      </c>
      <c r="D44" s="19">
        <f>'GF + UG Iteration 4'!D44</f>
        <v>43.13883453102715</v>
      </c>
      <c r="E44" s="30">
        <f>'GF + UG Iteration 4'!E44</f>
        <v>2011</v>
      </c>
      <c r="F44" s="18"/>
      <c r="G44" s="19"/>
      <c r="H44" s="20"/>
      <c r="I44" s="18">
        <f t="shared" si="0"/>
        <v>67</v>
      </c>
      <c r="J44" s="19">
        <f t="shared" si="1"/>
        <v>43.13883453102715</v>
      </c>
      <c r="K44" s="20">
        <f t="shared" si="2"/>
        <v>2011</v>
      </c>
      <c r="M44" s="21">
        <f t="shared" si="3"/>
        <v>4.2046926193909657</v>
      </c>
      <c r="N44" s="21">
        <f t="shared" si="4"/>
        <v>3.7644236246254454</v>
      </c>
    </row>
    <row r="45" spans="1:14" x14ac:dyDescent="0.2">
      <c r="A45" s="25">
        <f>'GF + UG Iteration 4'!A45</f>
        <v>34</v>
      </c>
      <c r="B45" s="25" t="str">
        <f>'GF + UG Iteration 4'!B45</f>
        <v>GF</v>
      </c>
      <c r="C45" s="18">
        <f>'GF + UG Iteration 4'!C45</f>
        <v>16</v>
      </c>
      <c r="D45" s="19">
        <f>'GF + UG Iteration 4'!D45</f>
        <v>7.5134124542159286</v>
      </c>
      <c r="E45" s="30">
        <f>'GF + UG Iteration 4'!E45</f>
        <v>2000</v>
      </c>
      <c r="F45" s="18"/>
      <c r="G45" s="19"/>
      <c r="H45" s="20"/>
      <c r="I45" s="18">
        <f t="shared" si="0"/>
        <v>16</v>
      </c>
      <c r="J45" s="19">
        <f t="shared" si="1"/>
        <v>7.5134124542159286</v>
      </c>
      <c r="K45" s="20">
        <f t="shared" si="2"/>
        <v>2000</v>
      </c>
      <c r="M45" s="21">
        <f t="shared" si="3"/>
        <v>2.7725887222397811</v>
      </c>
      <c r="N45" s="21">
        <f t="shared" si="4"/>
        <v>2.0166897506177883</v>
      </c>
    </row>
    <row r="46" spans="1:14" x14ac:dyDescent="0.2">
      <c r="A46" s="25">
        <f>'GF + UG Iteration 4'!A46</f>
        <v>433</v>
      </c>
      <c r="B46" s="25" t="str">
        <f>'GF + UG Iteration 4'!B46</f>
        <v>GF</v>
      </c>
      <c r="C46" s="18">
        <f>'GF + UG Iteration 4'!C46</f>
        <v>25</v>
      </c>
      <c r="D46" s="19">
        <f>'GF + UG Iteration 4'!D46</f>
        <v>22.308265318441425</v>
      </c>
      <c r="E46" s="30">
        <f>'GF + UG Iteration 4'!E46</f>
        <v>2003</v>
      </c>
      <c r="F46" s="18"/>
      <c r="G46" s="19"/>
      <c r="H46" s="20"/>
      <c r="I46" s="18">
        <f t="shared" si="0"/>
        <v>25</v>
      </c>
      <c r="J46" s="19">
        <f t="shared" si="1"/>
        <v>22.308265318441425</v>
      </c>
      <c r="K46" s="20">
        <f t="shared" si="2"/>
        <v>2003</v>
      </c>
      <c r="M46" s="21">
        <f t="shared" si="3"/>
        <v>3.2188758248682006</v>
      </c>
      <c r="N46" s="21">
        <f t="shared" si="4"/>
        <v>3.1049572518778392</v>
      </c>
    </row>
    <row r="47" spans="1:14" x14ac:dyDescent="0.2">
      <c r="A47" s="25" t="str">
        <f>'GF + UG Iteration 4'!A47</f>
        <v>79A</v>
      </c>
      <c r="B47" s="25" t="str">
        <f>'GF + UG Iteration 4'!B47</f>
        <v>GF</v>
      </c>
      <c r="C47" s="18">
        <f>'GF + UG Iteration 4'!C47</f>
        <v>8</v>
      </c>
      <c r="D47" s="19">
        <f>'GF + UG Iteration 4'!D47</f>
        <v>5.0823375539699818</v>
      </c>
      <c r="E47" s="30">
        <f>'GF + UG Iteration 4'!E47</f>
        <v>2000</v>
      </c>
      <c r="F47" s="18"/>
      <c r="G47" s="19"/>
      <c r="H47" s="20"/>
      <c r="I47" s="18">
        <f t="shared" si="0"/>
        <v>8</v>
      </c>
      <c r="J47" s="19">
        <f t="shared" si="1"/>
        <v>5.0823375539699818</v>
      </c>
      <c r="K47" s="20">
        <f t="shared" si="2"/>
        <v>2000</v>
      </c>
      <c r="M47" s="21">
        <f t="shared" si="3"/>
        <v>2.0794415416798357</v>
      </c>
      <c r="N47" s="21">
        <f t="shared" si="4"/>
        <v>1.62577130417386</v>
      </c>
    </row>
    <row r="48" spans="1:14" x14ac:dyDescent="0.2">
      <c r="A48" s="25" t="str">
        <f>'GF + UG Iteration 4'!A48</f>
        <v>10A</v>
      </c>
      <c r="B48" s="25" t="str">
        <f>'GF + UG Iteration 4'!B48</f>
        <v>GF</v>
      </c>
      <c r="C48" s="18">
        <f>'GF + UG Iteration 4'!C48</f>
        <v>6.2</v>
      </c>
      <c r="D48" s="19">
        <f>'GF + UG Iteration 4'!D48</f>
        <v>8.9160103759227685</v>
      </c>
      <c r="E48" s="30">
        <f>'GF + UG Iteration 4'!E48</f>
        <v>2001</v>
      </c>
      <c r="F48" s="18"/>
      <c r="G48" s="19"/>
      <c r="H48" s="20"/>
      <c r="I48" s="18">
        <f t="shared" si="0"/>
        <v>6.2</v>
      </c>
      <c r="J48" s="19">
        <f t="shared" si="1"/>
        <v>8.9160103759227685</v>
      </c>
      <c r="K48" s="20">
        <f t="shared" si="2"/>
        <v>2001</v>
      </c>
      <c r="M48" s="21">
        <f t="shared" si="3"/>
        <v>1.824549292051046</v>
      </c>
      <c r="N48" s="21">
        <f t="shared" si="4"/>
        <v>2.1878485792648439</v>
      </c>
    </row>
    <row r="49" spans="1:14" x14ac:dyDescent="0.2">
      <c r="A49" s="25">
        <f>'GF + UG Iteration 4'!A49</f>
        <v>345</v>
      </c>
      <c r="B49" s="25" t="str">
        <f>'GF + UG Iteration 4'!B49</f>
        <v>GF</v>
      </c>
      <c r="C49" s="18">
        <f>'GF + UG Iteration 4'!C49</f>
        <v>35</v>
      </c>
      <c r="D49" s="19">
        <f>'GF + UG Iteration 4'!D49</f>
        <v>8.3689831482940882</v>
      </c>
      <c r="E49" s="30">
        <f>'GF + UG Iteration 4'!E49</f>
        <v>2003</v>
      </c>
      <c r="F49" s="18"/>
      <c r="G49" s="19"/>
      <c r="H49" s="20"/>
      <c r="I49" s="18">
        <f t="shared" si="0"/>
        <v>35</v>
      </c>
      <c r="J49" s="19">
        <f t="shared" si="1"/>
        <v>8.3689831482940882</v>
      </c>
      <c r="K49" s="20">
        <f t="shared" si="2"/>
        <v>2003</v>
      </c>
      <c r="M49" s="21">
        <f t="shared" si="3"/>
        <v>3.5553480614894135</v>
      </c>
      <c r="N49" s="21">
        <f t="shared" si="4"/>
        <v>2.1245323894621508</v>
      </c>
    </row>
    <row r="50" spans="1:14" x14ac:dyDescent="0.2">
      <c r="A50" s="25">
        <f>'GF + UG Iteration 4'!A50</f>
        <v>1049</v>
      </c>
      <c r="B50" s="25" t="str">
        <f>'GF + UG Iteration 4'!B50</f>
        <v>GF</v>
      </c>
      <c r="C50" s="18">
        <f>'GF + UG Iteration 4'!C50</f>
        <v>15.2</v>
      </c>
      <c r="D50" s="19">
        <f>'GF + UG Iteration 4'!D50</f>
        <v>54.551770509232071</v>
      </c>
      <c r="E50" s="30">
        <f>'GF + UG Iteration 4'!E50</f>
        <v>2011</v>
      </c>
      <c r="F50" s="18"/>
      <c r="G50" s="19"/>
      <c r="H50" s="20"/>
      <c r="I50" s="18">
        <f t="shared" si="0"/>
        <v>15.2</v>
      </c>
      <c r="J50" s="19">
        <f t="shared" si="1"/>
        <v>54.551770509232071</v>
      </c>
      <c r="K50" s="20">
        <f t="shared" si="2"/>
        <v>2011</v>
      </c>
      <c r="M50" s="21">
        <f t="shared" si="3"/>
        <v>2.7212954278522306</v>
      </c>
      <c r="N50" s="21">
        <f t="shared" si="4"/>
        <v>3.9991501683835766</v>
      </c>
    </row>
    <row r="51" spans="1:14" x14ac:dyDescent="0.2">
      <c r="A51" s="25">
        <f>'GF + UG Iteration 4'!A51</f>
        <v>230</v>
      </c>
      <c r="B51" s="25" t="str">
        <f>'GF + UG Iteration 4'!B51</f>
        <v>GF</v>
      </c>
      <c r="C51" s="18">
        <f>'GF + UG Iteration 4'!C51</f>
        <v>17</v>
      </c>
      <c r="D51" s="19">
        <f>'GF + UG Iteration 4'!D51</f>
        <v>10.739901169983137</v>
      </c>
      <c r="E51" s="30">
        <f>'GF + UG Iteration 4'!E51</f>
        <v>2003</v>
      </c>
      <c r="F51" s="18"/>
      <c r="G51" s="19"/>
      <c r="H51" s="20"/>
      <c r="I51" s="18">
        <f t="shared" si="0"/>
        <v>17</v>
      </c>
      <c r="J51" s="19">
        <f t="shared" si="1"/>
        <v>10.739901169983137</v>
      </c>
      <c r="K51" s="20">
        <f t="shared" si="2"/>
        <v>2003</v>
      </c>
      <c r="M51" s="21">
        <f t="shared" si="3"/>
        <v>2.8332133440562162</v>
      </c>
      <c r="N51" s="21">
        <f t="shared" si="4"/>
        <v>2.3739658869883922</v>
      </c>
    </row>
    <row r="52" spans="1:14" x14ac:dyDescent="0.2">
      <c r="A52" s="25" t="str">
        <f>'GF + UG Iteration 4'!A52</f>
        <v>79B</v>
      </c>
      <c r="B52" s="25" t="str">
        <f>'GF + UG Iteration 4'!B52</f>
        <v>GF</v>
      </c>
      <c r="C52" s="18">
        <f>'GF + UG Iteration 4'!C52</f>
        <v>8</v>
      </c>
      <c r="D52" s="19">
        <f>'GF + UG Iteration 4'!D52</f>
        <v>3.3788339951362953</v>
      </c>
      <c r="E52" s="30">
        <f>'GF + UG Iteration 4'!E52</f>
        <v>2000</v>
      </c>
      <c r="F52" s="18"/>
      <c r="G52" s="19"/>
      <c r="H52" s="20"/>
      <c r="I52" s="18">
        <f t="shared" si="0"/>
        <v>8</v>
      </c>
      <c r="J52" s="19">
        <f t="shared" si="1"/>
        <v>3.3788339951362953</v>
      </c>
      <c r="K52" s="20">
        <f t="shared" si="2"/>
        <v>2000</v>
      </c>
      <c r="M52" s="21">
        <f t="shared" si="3"/>
        <v>2.0794415416798357</v>
      </c>
      <c r="N52" s="21">
        <f t="shared" si="4"/>
        <v>1.2175306781252826</v>
      </c>
    </row>
    <row r="53" spans="1:14" x14ac:dyDescent="0.2">
      <c r="A53" s="25" t="str">
        <f>'GF + UG Iteration 4'!A53</f>
        <v>10B</v>
      </c>
      <c r="B53" s="25" t="str">
        <f>'GF + UG Iteration 4'!B53</f>
        <v>GF</v>
      </c>
      <c r="C53" s="18">
        <f>'GF + UG Iteration 4'!C53</f>
        <v>9.4060000000000006</v>
      </c>
      <c r="D53" s="19">
        <f>'GF + UG Iteration 4'!D53</f>
        <v>9.7991326901064184</v>
      </c>
      <c r="E53" s="30">
        <f>'GF + UG Iteration 4'!E53</f>
        <v>2001</v>
      </c>
      <c r="F53" s="18"/>
      <c r="G53" s="19"/>
      <c r="H53" s="20"/>
      <c r="I53" s="18">
        <f t="shared" si="0"/>
        <v>9.4060000000000006</v>
      </c>
      <c r="J53" s="19">
        <f t="shared" si="1"/>
        <v>9.7991326901064184</v>
      </c>
      <c r="K53" s="20">
        <f t="shared" si="2"/>
        <v>2001</v>
      </c>
      <c r="M53" s="21">
        <f t="shared" si="3"/>
        <v>2.2413477835228561</v>
      </c>
      <c r="N53" s="21">
        <f t="shared" si="4"/>
        <v>2.2822938807505317</v>
      </c>
    </row>
    <row r="54" spans="1:14" x14ac:dyDescent="0.2">
      <c r="A54" s="25">
        <f>'GF + UG Iteration 4'!A54</f>
        <v>8</v>
      </c>
      <c r="B54" s="25" t="str">
        <f>'GF + UG Iteration 4'!B54</f>
        <v>GF</v>
      </c>
      <c r="C54" s="18">
        <f>'GF + UG Iteration 4'!C54</f>
        <v>18</v>
      </c>
      <c r="D54" s="19">
        <f>'GF + UG Iteration 4'!D54</f>
        <v>11.984110505191126</v>
      </c>
      <c r="E54" s="30">
        <f>'GF + UG Iteration 4'!E54</f>
        <v>2000</v>
      </c>
      <c r="F54" s="18"/>
      <c r="G54" s="19"/>
      <c r="H54" s="20"/>
      <c r="I54" s="18">
        <f t="shared" si="0"/>
        <v>18</v>
      </c>
      <c r="J54" s="19">
        <f t="shared" si="1"/>
        <v>11.984110505191126</v>
      </c>
      <c r="K54" s="20">
        <f t="shared" si="2"/>
        <v>2000</v>
      </c>
      <c r="M54" s="21">
        <f t="shared" si="3"/>
        <v>2.8903717578961645</v>
      </c>
      <c r="N54" s="21">
        <f t="shared" si="4"/>
        <v>2.4835816477930246</v>
      </c>
    </row>
    <row r="55" spans="1:14" x14ac:dyDescent="0.2">
      <c r="A55" s="25">
        <f>'GF + UG Iteration 4'!A55</f>
        <v>487</v>
      </c>
      <c r="B55" s="25" t="str">
        <f>'GF + UG Iteration 4'!B55</f>
        <v>GF</v>
      </c>
      <c r="C55" s="18">
        <f>'GF + UG Iteration 4'!C55</f>
        <v>22</v>
      </c>
      <c r="D55" s="19">
        <f>'GF + UG Iteration 4'!D55</f>
        <v>16.606728766354362</v>
      </c>
      <c r="E55" s="30">
        <f>'GF + UG Iteration 4'!E55</f>
        <v>2007</v>
      </c>
      <c r="F55" s="18"/>
      <c r="G55" s="19"/>
      <c r="H55" s="20"/>
      <c r="I55" s="18">
        <f t="shared" si="0"/>
        <v>22</v>
      </c>
      <c r="J55" s="19">
        <f t="shared" si="1"/>
        <v>16.606728766354362</v>
      </c>
      <c r="K55" s="20">
        <f t="shared" si="2"/>
        <v>2007</v>
      </c>
      <c r="M55" s="21">
        <f t="shared" si="3"/>
        <v>3.0910424533583161</v>
      </c>
      <c r="N55" s="21">
        <f t="shared" si="4"/>
        <v>2.8098079606021904</v>
      </c>
    </row>
    <row r="56" spans="1:14" x14ac:dyDescent="0.2">
      <c r="A56" s="25">
        <f>'GF + UG Iteration 4'!A56</f>
        <v>385</v>
      </c>
      <c r="B56" s="25" t="str">
        <f>'GF + UG Iteration 4'!B56</f>
        <v>GF</v>
      </c>
      <c r="C56" s="18">
        <f>'GF + UG Iteration 4'!C56</f>
        <v>7.5</v>
      </c>
      <c r="D56" s="19">
        <f>'GF + UG Iteration 4'!D56</f>
        <v>8.5880709825089685</v>
      </c>
      <c r="E56" s="30">
        <f>'GF + UG Iteration 4'!E56</f>
        <v>2003</v>
      </c>
      <c r="F56" s="18"/>
      <c r="G56" s="19"/>
      <c r="H56" s="20"/>
      <c r="I56" s="18">
        <f t="shared" si="0"/>
        <v>7.5</v>
      </c>
      <c r="J56" s="19">
        <f t="shared" si="1"/>
        <v>8.5880709825089685</v>
      </c>
      <c r="K56" s="20">
        <f t="shared" si="2"/>
        <v>2003</v>
      </c>
      <c r="M56" s="21">
        <f t="shared" si="3"/>
        <v>2.0149030205422647</v>
      </c>
      <c r="N56" s="21">
        <f t="shared" si="4"/>
        <v>2.1503741452954848</v>
      </c>
    </row>
    <row r="57" spans="1:14" x14ac:dyDescent="0.2">
      <c r="A57" s="25">
        <f>'GF + UG Iteration 4'!A57</f>
        <v>865</v>
      </c>
      <c r="B57" s="25" t="str">
        <f>'GF + UG Iteration 4'!B57</f>
        <v>GF</v>
      </c>
      <c r="C57" s="18">
        <f>'GF + UG Iteration 4'!C57</f>
        <v>25</v>
      </c>
      <c r="D57" s="19">
        <f>'GF + UG Iteration 4'!D57</f>
        <v>8.6091983279462436</v>
      </c>
      <c r="E57" s="30">
        <f>'GF + UG Iteration 4'!E57</f>
        <v>2007</v>
      </c>
      <c r="F57" s="18"/>
      <c r="G57" s="19"/>
      <c r="H57" s="20"/>
      <c r="I57" s="18">
        <f t="shared" si="0"/>
        <v>25</v>
      </c>
      <c r="J57" s="19">
        <f t="shared" si="1"/>
        <v>8.6091983279462436</v>
      </c>
      <c r="K57" s="20">
        <f t="shared" si="2"/>
        <v>2007</v>
      </c>
      <c r="M57" s="21">
        <f t="shared" si="3"/>
        <v>3.2188758248682006</v>
      </c>
      <c r="N57" s="21">
        <f t="shared" si="4"/>
        <v>2.1528312046907798</v>
      </c>
    </row>
    <row r="58" spans="1:14" x14ac:dyDescent="0.2">
      <c r="A58" s="25">
        <f>'GF + UG Iteration 4'!A58</f>
        <v>863</v>
      </c>
      <c r="B58" s="25" t="str">
        <f>'GF + UG Iteration 4'!B58</f>
        <v>GF</v>
      </c>
      <c r="C58" s="18">
        <f>'GF + UG Iteration 4'!C58</f>
        <v>25</v>
      </c>
      <c r="D58" s="19">
        <f>'GF + UG Iteration 4'!D58</f>
        <v>8.2434360504581008</v>
      </c>
      <c r="E58" s="30">
        <f>'GF + UG Iteration 4'!E58</f>
        <v>2007</v>
      </c>
      <c r="F58" s="18"/>
      <c r="G58" s="19"/>
      <c r="H58" s="20"/>
      <c r="I58" s="18">
        <f t="shared" si="0"/>
        <v>25</v>
      </c>
      <c r="J58" s="19">
        <f t="shared" si="1"/>
        <v>8.2434360504581008</v>
      </c>
      <c r="K58" s="20">
        <f t="shared" si="2"/>
        <v>2007</v>
      </c>
      <c r="M58" s="21">
        <f t="shared" si="3"/>
        <v>3.2188758248682006</v>
      </c>
      <c r="N58" s="21">
        <f t="shared" si="4"/>
        <v>2.1094172534173556</v>
      </c>
    </row>
    <row r="59" spans="1:14" x14ac:dyDescent="0.2">
      <c r="A59" s="25">
        <f>'GF + UG Iteration 4'!A59</f>
        <v>527</v>
      </c>
      <c r="B59" s="25" t="str">
        <f>'GF + UG Iteration 4'!B59</f>
        <v>GF</v>
      </c>
      <c r="C59" s="18">
        <f>'GF + UG Iteration 4'!C59</f>
        <v>17</v>
      </c>
      <c r="D59" s="19">
        <f>'GF + UG Iteration 4'!D59</f>
        <v>6.9318595783251213</v>
      </c>
      <c r="E59" s="30">
        <f>'GF + UG Iteration 4'!E59</f>
        <v>2007</v>
      </c>
      <c r="F59" s="18"/>
      <c r="G59" s="19"/>
      <c r="H59" s="20"/>
      <c r="I59" s="18">
        <f t="shared" si="0"/>
        <v>17</v>
      </c>
      <c r="J59" s="19">
        <f t="shared" si="1"/>
        <v>6.9318595783251213</v>
      </c>
      <c r="K59" s="20">
        <f t="shared" si="2"/>
        <v>2007</v>
      </c>
      <c r="M59" s="21">
        <f t="shared" si="3"/>
        <v>2.8332133440562162</v>
      </c>
      <c r="N59" s="21">
        <f t="shared" si="4"/>
        <v>1.936128114626418</v>
      </c>
    </row>
    <row r="60" spans="1:14" x14ac:dyDescent="0.2">
      <c r="A60" s="25">
        <f>'GF + UG Iteration 4'!A60</f>
        <v>595</v>
      </c>
      <c r="B60" s="25" t="str">
        <f>'GF + UG Iteration 4'!B60</f>
        <v>GF</v>
      </c>
      <c r="C60" s="18">
        <f>'GF + UG Iteration 4'!C60</f>
        <v>11</v>
      </c>
      <c r="D60" s="19">
        <f>'GF + UG Iteration 4'!D60</f>
        <v>19.087371326529755</v>
      </c>
      <c r="E60" s="30">
        <f>'GF + UG Iteration 4'!E60</f>
        <v>2007</v>
      </c>
      <c r="F60" s="18"/>
      <c r="G60" s="19"/>
      <c r="H60" s="20"/>
      <c r="I60" s="18">
        <f t="shared" si="0"/>
        <v>11</v>
      </c>
      <c r="J60" s="19">
        <f t="shared" si="1"/>
        <v>19.087371326529755</v>
      </c>
      <c r="K60" s="20">
        <f t="shared" si="2"/>
        <v>2007</v>
      </c>
      <c r="M60" s="21">
        <f t="shared" si="3"/>
        <v>2.3978952727983707</v>
      </c>
      <c r="N60" s="21">
        <f t="shared" si="4"/>
        <v>2.9490269292793174</v>
      </c>
    </row>
    <row r="61" spans="1:14" x14ac:dyDescent="0.2">
      <c r="A61" s="25">
        <f>'GF + UG Iteration 4'!A61</f>
        <v>528</v>
      </c>
      <c r="B61" s="25" t="str">
        <f>'GF + UG Iteration 4'!B61</f>
        <v>GF</v>
      </c>
      <c r="C61" s="18">
        <f>'GF + UG Iteration 4'!C61</f>
        <v>17</v>
      </c>
      <c r="D61" s="19">
        <f>'GF + UG Iteration 4'!D61</f>
        <v>5.2657663175025586</v>
      </c>
      <c r="E61" s="30">
        <f>'GF + UG Iteration 4'!E61</f>
        <v>2007</v>
      </c>
      <c r="F61" s="18"/>
      <c r="G61" s="19"/>
      <c r="H61" s="20"/>
      <c r="I61" s="18">
        <f t="shared" si="0"/>
        <v>17</v>
      </c>
      <c r="J61" s="19">
        <f t="shared" si="1"/>
        <v>5.2657663175025586</v>
      </c>
      <c r="K61" s="20">
        <f t="shared" si="2"/>
        <v>2007</v>
      </c>
      <c r="M61" s="21">
        <f t="shared" si="3"/>
        <v>2.8332133440562162</v>
      </c>
      <c r="N61" s="21">
        <f t="shared" si="4"/>
        <v>1.6612266843778571</v>
      </c>
    </row>
    <row r="62" spans="1:14" x14ac:dyDescent="0.2">
      <c r="A62" s="25">
        <f>'GF + UG Iteration 4'!A62</f>
        <v>529</v>
      </c>
      <c r="B62" s="25" t="str">
        <f>'GF + UG Iteration 4'!B62</f>
        <v>GF</v>
      </c>
      <c r="C62" s="18">
        <f>'GF + UG Iteration 4'!C62</f>
        <v>17</v>
      </c>
      <c r="D62" s="19">
        <f>'GF + UG Iteration 4'!D62</f>
        <v>7.7921694439597555</v>
      </c>
      <c r="E62" s="30">
        <f>'GF + UG Iteration 4'!E62</f>
        <v>2007</v>
      </c>
      <c r="F62" s="18"/>
      <c r="G62" s="19"/>
      <c r="H62" s="20"/>
      <c r="I62" s="18">
        <f t="shared" si="0"/>
        <v>17</v>
      </c>
      <c r="J62" s="19">
        <f t="shared" si="1"/>
        <v>7.7921694439597555</v>
      </c>
      <c r="K62" s="20">
        <f t="shared" si="2"/>
        <v>2007</v>
      </c>
      <c r="M62" s="21">
        <f t="shared" si="3"/>
        <v>2.8332133440562162</v>
      </c>
      <c r="N62" s="21">
        <f t="shared" si="4"/>
        <v>2.0531193119918547</v>
      </c>
    </row>
    <row r="63" spans="1:14" x14ac:dyDescent="0.2">
      <c r="A63" s="25">
        <f>'GF + UG Iteration 4'!A63</f>
        <v>1095</v>
      </c>
      <c r="B63" s="25" t="str">
        <f>'GF + UG Iteration 4'!B63</f>
        <v>GF</v>
      </c>
      <c r="C63" s="18">
        <f>'GF + UG Iteration 4'!C63</f>
        <v>18</v>
      </c>
      <c r="D63" s="19">
        <f>'GF + UG Iteration 4'!D63</f>
        <v>11.923356574074873</v>
      </c>
      <c r="E63" s="30">
        <f>'GF + UG Iteration 4'!E63</f>
        <v>2011</v>
      </c>
      <c r="F63" s="18"/>
      <c r="G63" s="19"/>
      <c r="H63" s="20"/>
      <c r="I63" s="18">
        <f t="shared" si="0"/>
        <v>18</v>
      </c>
      <c r="J63" s="19">
        <f t="shared" si="1"/>
        <v>11.923356574074873</v>
      </c>
      <c r="K63" s="20">
        <f t="shared" si="2"/>
        <v>2011</v>
      </c>
      <c r="M63" s="21">
        <f t="shared" si="3"/>
        <v>2.8903717578961645</v>
      </c>
      <c r="N63" s="21">
        <f t="shared" si="4"/>
        <v>2.4784992137824831</v>
      </c>
    </row>
    <row r="64" spans="1:14" x14ac:dyDescent="0.2">
      <c r="A64" s="25">
        <f>'GF + UG Iteration 4'!A64</f>
        <v>561</v>
      </c>
      <c r="B64" s="25" t="str">
        <f>'GF + UG Iteration 4'!B64</f>
        <v>GF</v>
      </c>
      <c r="C64" s="18">
        <f>'GF + UG Iteration 4'!C64</f>
        <v>46</v>
      </c>
      <c r="D64" s="19">
        <f>'GF + UG Iteration 4'!D64</f>
        <v>58.100097147658744</v>
      </c>
      <c r="E64" s="30">
        <f>'GF + UG Iteration 4'!E64</f>
        <v>2011</v>
      </c>
      <c r="F64" s="18"/>
      <c r="G64" s="19"/>
      <c r="H64" s="20"/>
      <c r="I64" s="18">
        <f t="shared" si="0"/>
        <v>46</v>
      </c>
      <c r="J64" s="19">
        <f t="shared" si="1"/>
        <v>58.100097147658744</v>
      </c>
      <c r="K64" s="20">
        <f t="shared" si="2"/>
        <v>2011</v>
      </c>
      <c r="M64" s="21">
        <f t="shared" si="3"/>
        <v>3.8286413964890951</v>
      </c>
      <c r="N64" s="21">
        <f t="shared" si="4"/>
        <v>4.0621673359332098</v>
      </c>
    </row>
    <row r="65" spans="1:14" x14ac:dyDescent="0.2">
      <c r="A65" s="25">
        <f>'GF + UG Iteration 4'!A65</f>
        <v>1018</v>
      </c>
      <c r="B65" s="25" t="str">
        <f>'GF + UG Iteration 4'!B65</f>
        <v>GF</v>
      </c>
      <c r="C65" s="18">
        <f>'GF + UG Iteration 4'!C65</f>
        <v>3</v>
      </c>
      <c r="D65" s="19">
        <f>'GF + UG Iteration 4'!D65</f>
        <v>10.634643135603309</v>
      </c>
      <c r="E65" s="30">
        <f>'GF + UG Iteration 4'!E65</f>
        <v>2011</v>
      </c>
      <c r="F65" s="18"/>
      <c r="G65" s="19"/>
      <c r="H65" s="20"/>
      <c r="I65" s="18">
        <f t="shared" si="0"/>
        <v>3</v>
      </c>
      <c r="J65" s="19">
        <f t="shared" si="1"/>
        <v>10.634643135603309</v>
      </c>
      <c r="K65" s="20">
        <f t="shared" si="2"/>
        <v>2011</v>
      </c>
      <c r="M65" s="21">
        <f t="shared" si="3"/>
        <v>1.0986122886681098</v>
      </c>
      <c r="N65" s="21">
        <f t="shared" si="4"/>
        <v>2.3641168924336546</v>
      </c>
    </row>
    <row r="66" spans="1:14" x14ac:dyDescent="0.2">
      <c r="A66" s="25">
        <f>'GF + UG Iteration 4'!A66</f>
        <v>360</v>
      </c>
      <c r="B66" s="25" t="str">
        <f>'GF + UG Iteration 4'!B66</f>
        <v>GF</v>
      </c>
      <c r="C66" s="18">
        <f>'GF + UG Iteration 4'!C66</f>
        <v>22</v>
      </c>
      <c r="D66" s="19">
        <f>'GF + UG Iteration 4'!D66</f>
        <v>7.1174715515965792</v>
      </c>
      <c r="E66" s="30">
        <f>'GF + UG Iteration 4'!E66</f>
        <v>2003</v>
      </c>
      <c r="F66" s="18"/>
      <c r="G66" s="19"/>
      <c r="H66" s="20"/>
      <c r="I66" s="18">
        <f t="shared" si="0"/>
        <v>22</v>
      </c>
      <c r="J66" s="19">
        <f t="shared" si="1"/>
        <v>7.1174715515965792</v>
      </c>
      <c r="K66" s="20">
        <f t="shared" si="2"/>
        <v>2003</v>
      </c>
      <c r="M66" s="21">
        <f t="shared" si="3"/>
        <v>3.0910424533583161</v>
      </c>
      <c r="N66" s="21">
        <f t="shared" si="4"/>
        <v>1.9625525431963604</v>
      </c>
    </row>
    <row r="67" spans="1:14" x14ac:dyDescent="0.2">
      <c r="A67" s="25">
        <f>'GF + UG Iteration 4'!A67</f>
        <v>1106</v>
      </c>
      <c r="B67" s="25" t="str">
        <f>'GF + UG Iteration 4'!B67</f>
        <v>GF</v>
      </c>
      <c r="C67" s="18">
        <f>'GF + UG Iteration 4'!C67</f>
        <v>12</v>
      </c>
      <c r="D67" s="19">
        <f>'GF + UG Iteration 4'!D67</f>
        <v>20.217898457447252</v>
      </c>
      <c r="E67" s="30">
        <f>'GF + UG Iteration 4'!E67</f>
        <v>2011</v>
      </c>
      <c r="F67" s="18"/>
      <c r="G67" s="19"/>
      <c r="H67" s="20"/>
      <c r="I67" s="18">
        <f t="shared" si="0"/>
        <v>12</v>
      </c>
      <c r="J67" s="19">
        <f t="shared" si="1"/>
        <v>20.217898457447252</v>
      </c>
      <c r="K67" s="20">
        <f t="shared" si="2"/>
        <v>2011</v>
      </c>
      <c r="M67" s="21">
        <f t="shared" si="3"/>
        <v>2.4849066497880004</v>
      </c>
      <c r="N67" s="21">
        <f t="shared" si="4"/>
        <v>3.0065682743355979</v>
      </c>
    </row>
    <row r="68" spans="1:14" x14ac:dyDescent="0.2">
      <c r="A68" s="25">
        <f>'GF + UG Iteration 4'!A68</f>
        <v>899</v>
      </c>
      <c r="B68" s="25" t="str">
        <f>'GF + UG Iteration 4'!B68</f>
        <v>GF</v>
      </c>
      <c r="C68" s="18">
        <f>'GF + UG Iteration 4'!C68</f>
        <v>25</v>
      </c>
      <c r="D68" s="19">
        <f>'GF + UG Iteration 4'!D68</f>
        <v>15.17251837286627</v>
      </c>
      <c r="E68" s="30">
        <f>'GF + UG Iteration 4'!E68</f>
        <v>2010</v>
      </c>
      <c r="F68" s="18"/>
      <c r="G68" s="19"/>
      <c r="H68" s="20"/>
      <c r="I68" s="18">
        <f t="shared" si="0"/>
        <v>25</v>
      </c>
      <c r="J68" s="19">
        <f t="shared" si="1"/>
        <v>15.17251837286627</v>
      </c>
      <c r="K68" s="20">
        <f t="shared" si="2"/>
        <v>2010</v>
      </c>
      <c r="M68" s="21">
        <f t="shared" si="3"/>
        <v>3.2188758248682006</v>
      </c>
      <c r="N68" s="21">
        <f t="shared" si="4"/>
        <v>2.7194857896591729</v>
      </c>
    </row>
    <row r="69" spans="1:14" x14ac:dyDescent="0.2">
      <c r="A69" s="25">
        <f>'GF + UG Iteration 4'!A69</f>
        <v>1191</v>
      </c>
      <c r="B69" s="25" t="str">
        <f>'GF + UG Iteration 4'!B69</f>
        <v>GF</v>
      </c>
      <c r="C69" s="18">
        <f>'GF + UG Iteration 4'!C69</f>
        <v>11</v>
      </c>
      <c r="D69" s="19">
        <f>'GF + UG Iteration 4'!D69</f>
        <v>12.628076471206382</v>
      </c>
      <c r="E69" s="30">
        <f>'GF + UG Iteration 4'!E69</f>
        <v>2011</v>
      </c>
      <c r="F69" s="18"/>
      <c r="G69" s="19"/>
      <c r="H69" s="20"/>
      <c r="I69" s="18">
        <f t="shared" si="0"/>
        <v>11</v>
      </c>
      <c r="J69" s="19">
        <f t="shared" si="1"/>
        <v>12.628076471206382</v>
      </c>
      <c r="K69" s="20">
        <f t="shared" si="2"/>
        <v>2011</v>
      </c>
      <c r="M69" s="21">
        <f t="shared" si="3"/>
        <v>2.3978952727983707</v>
      </c>
      <c r="N69" s="21">
        <f t="shared" si="4"/>
        <v>2.5359226263636927</v>
      </c>
    </row>
    <row r="70" spans="1:14" x14ac:dyDescent="0.2">
      <c r="A70" s="25">
        <f>'GF + UG Iteration 4'!A70</f>
        <v>1115</v>
      </c>
      <c r="B70" s="25" t="str">
        <f>'GF + UG Iteration 4'!B70</f>
        <v>GF</v>
      </c>
      <c r="C70" s="18">
        <f>'GF + UG Iteration 4'!C70</f>
        <v>10</v>
      </c>
      <c r="D70" s="19">
        <f>'GF + UG Iteration 4'!D70</f>
        <v>24.362790290493837</v>
      </c>
      <c r="E70" s="30">
        <f>'GF + UG Iteration 4'!E70</f>
        <v>2011</v>
      </c>
      <c r="F70" s="18"/>
      <c r="G70" s="19"/>
      <c r="H70" s="20"/>
      <c r="I70" s="18">
        <f t="shared" si="0"/>
        <v>10</v>
      </c>
      <c r="J70" s="19">
        <f t="shared" si="1"/>
        <v>24.362790290493837</v>
      </c>
      <c r="K70" s="20">
        <f t="shared" si="2"/>
        <v>2011</v>
      </c>
      <c r="M70" s="21">
        <f t="shared" si="3"/>
        <v>2.3025850929940459</v>
      </c>
      <c r="N70" s="21">
        <f t="shared" si="4"/>
        <v>3.1930569802267783</v>
      </c>
    </row>
    <row r="71" spans="1:14" x14ac:dyDescent="0.2">
      <c r="A71" s="25">
        <f>'GF + UG Iteration 4'!A71</f>
        <v>1053</v>
      </c>
      <c r="B71" s="25" t="str">
        <f>'GF + UG Iteration 4'!B71</f>
        <v>GF</v>
      </c>
      <c r="C71" s="18">
        <f>'GF + UG Iteration 4'!C71</f>
        <v>9</v>
      </c>
      <c r="D71" s="19">
        <f>'GF + UG Iteration 4'!D71</f>
        <v>14.71443826778331</v>
      </c>
      <c r="E71" s="30">
        <f>'GF + UG Iteration 4'!E71</f>
        <v>2011</v>
      </c>
      <c r="F71" s="18"/>
      <c r="G71" s="19"/>
      <c r="H71" s="20"/>
      <c r="I71" s="18">
        <f t="shared" si="0"/>
        <v>9</v>
      </c>
      <c r="J71" s="19">
        <f t="shared" si="1"/>
        <v>14.71443826778331</v>
      </c>
      <c r="K71" s="20">
        <f t="shared" si="2"/>
        <v>2011</v>
      </c>
      <c r="M71" s="21">
        <f t="shared" si="3"/>
        <v>2.1972245773362196</v>
      </c>
      <c r="N71" s="21">
        <f t="shared" si="4"/>
        <v>2.6888292068340069</v>
      </c>
    </row>
    <row r="72" spans="1:14" x14ac:dyDescent="0.2">
      <c r="A72" s="25">
        <f>'GF + UG Iteration 4'!A72</f>
        <v>864</v>
      </c>
      <c r="B72" s="25" t="str">
        <f>'GF + UG Iteration 4'!B72</f>
        <v>GF</v>
      </c>
      <c r="C72" s="18">
        <f>'GF + UG Iteration 4'!C72</f>
        <v>25</v>
      </c>
      <c r="D72" s="19">
        <f>'GF + UG Iteration 4'!D72</f>
        <v>9.825778201045452</v>
      </c>
      <c r="E72" s="30">
        <f>'GF + UG Iteration 4'!E72</f>
        <v>2007</v>
      </c>
      <c r="F72" s="18"/>
      <c r="G72" s="19"/>
      <c r="H72" s="20"/>
      <c r="I72" s="18">
        <f t="shared" ref="I72:I117" si="5">C72+F72</f>
        <v>25</v>
      </c>
      <c r="J72" s="19">
        <f t="shared" ref="J72:J117" si="6">D72+G72</f>
        <v>9.825778201045452</v>
      </c>
      <c r="K72" s="20">
        <f t="shared" ref="K72:K117" si="7">MAX(E72,H72)</f>
        <v>2007</v>
      </c>
      <c r="M72" s="21">
        <f t="shared" ref="M72:M135" si="8">LN(I72)</f>
        <v>3.2188758248682006</v>
      </c>
      <c r="N72" s="21">
        <f t="shared" ref="N72:N135" si="9">LN(J72)</f>
        <v>2.2850093608319559</v>
      </c>
    </row>
    <row r="73" spans="1:14" x14ac:dyDescent="0.2">
      <c r="A73" s="25">
        <f>'GF + UG Iteration 4'!A73</f>
        <v>834</v>
      </c>
      <c r="B73" s="25" t="str">
        <f>'GF + UG Iteration 4'!B73</f>
        <v>GF</v>
      </c>
      <c r="C73" s="18">
        <f>'GF + UG Iteration 4'!C73</f>
        <v>45</v>
      </c>
      <c r="D73" s="19">
        <f>'GF + UG Iteration 4'!D73</f>
        <v>25.798393978216257</v>
      </c>
      <c r="E73" s="30">
        <f>'GF + UG Iteration 4'!E73</f>
        <v>2010</v>
      </c>
      <c r="F73" s="18"/>
      <c r="G73" s="19"/>
      <c r="H73" s="20"/>
      <c r="I73" s="18">
        <f t="shared" si="5"/>
        <v>45</v>
      </c>
      <c r="J73" s="19">
        <f t="shared" si="6"/>
        <v>25.798393978216257</v>
      </c>
      <c r="K73" s="20">
        <f t="shared" si="7"/>
        <v>2010</v>
      </c>
      <c r="M73" s="21">
        <f t="shared" si="8"/>
        <v>3.8066624897703196</v>
      </c>
      <c r="N73" s="21">
        <f t="shared" si="9"/>
        <v>3.2503122410836816</v>
      </c>
    </row>
    <row r="74" spans="1:14" x14ac:dyDescent="0.2">
      <c r="A74" s="25">
        <f>'GF + UG Iteration 4'!A74</f>
        <v>722</v>
      </c>
      <c r="B74" s="25" t="str">
        <f>'GF + UG Iteration 4'!B74</f>
        <v>GF</v>
      </c>
      <c r="C74" s="18">
        <f>'GF + UG Iteration 4'!C74</f>
        <v>10.5</v>
      </c>
      <c r="D74" s="19">
        <f>'GF + UG Iteration 4'!D74</f>
        <v>13.501544643115857</v>
      </c>
      <c r="E74" s="30">
        <f>'GF + UG Iteration 4'!E74</f>
        <v>2010</v>
      </c>
      <c r="F74" s="18"/>
      <c r="G74" s="19"/>
      <c r="H74" s="20"/>
      <c r="I74" s="18">
        <f t="shared" si="5"/>
        <v>10.5</v>
      </c>
      <c r="J74" s="19">
        <f t="shared" si="6"/>
        <v>13.501544643115857</v>
      </c>
      <c r="K74" s="20">
        <f t="shared" si="7"/>
        <v>2010</v>
      </c>
      <c r="M74" s="21">
        <f t="shared" si="8"/>
        <v>2.3513752571634776</v>
      </c>
      <c r="N74" s="21">
        <f t="shared" si="9"/>
        <v>2.6028040969077249</v>
      </c>
    </row>
    <row r="75" spans="1:14" x14ac:dyDescent="0.2">
      <c r="A75" s="25">
        <f>'GF + UG Iteration 4'!A75</f>
        <v>927</v>
      </c>
      <c r="B75" s="25" t="str">
        <f>'GF + UG Iteration 4'!B75</f>
        <v>GF</v>
      </c>
      <c r="C75" s="18">
        <f>'GF + UG Iteration 4'!C75</f>
        <v>60</v>
      </c>
      <c r="D75" s="19">
        <f>'GF + UG Iteration 4'!D75</f>
        <v>25.887106037100622</v>
      </c>
      <c r="E75" s="30">
        <f>'GF + UG Iteration 4'!E75</f>
        <v>2011</v>
      </c>
      <c r="F75" s="18"/>
      <c r="G75" s="19"/>
      <c r="H75" s="20"/>
      <c r="I75" s="18">
        <f t="shared" si="5"/>
        <v>60</v>
      </c>
      <c r="J75" s="19">
        <f t="shared" si="6"/>
        <v>25.887106037100622</v>
      </c>
      <c r="K75" s="20">
        <f t="shared" si="7"/>
        <v>2011</v>
      </c>
      <c r="M75" s="21">
        <f t="shared" si="8"/>
        <v>4.0943445622221004</v>
      </c>
      <c r="N75" s="21">
        <f t="shared" si="9"/>
        <v>3.2537450083384241</v>
      </c>
    </row>
    <row r="76" spans="1:14" x14ac:dyDescent="0.2">
      <c r="A76" s="25">
        <f>'GF + UG Iteration 4'!A76</f>
        <v>1068</v>
      </c>
      <c r="B76" s="25" t="str">
        <f>'GF + UG Iteration 4'!B76</f>
        <v>GF</v>
      </c>
      <c r="C76" s="18">
        <f>'GF + UG Iteration 4'!C76</f>
        <v>11.2</v>
      </c>
      <c r="D76" s="19">
        <f>'GF + UG Iteration 4'!D76</f>
        <v>26.918199168374588</v>
      </c>
      <c r="E76" s="30">
        <f>'GF + UG Iteration 4'!E76</f>
        <v>2011</v>
      </c>
      <c r="F76" s="18"/>
      <c r="G76" s="19"/>
      <c r="H76" s="20"/>
      <c r="I76" s="18">
        <f t="shared" si="5"/>
        <v>11.2</v>
      </c>
      <c r="J76" s="19">
        <f t="shared" si="6"/>
        <v>26.918199168374588</v>
      </c>
      <c r="K76" s="20">
        <f t="shared" si="7"/>
        <v>2011</v>
      </c>
      <c r="M76" s="21">
        <f t="shared" si="8"/>
        <v>2.4159137783010487</v>
      </c>
      <c r="N76" s="21">
        <f t="shared" si="9"/>
        <v>3.2928026068618901</v>
      </c>
    </row>
    <row r="77" spans="1:14" x14ac:dyDescent="0.2">
      <c r="A77" s="25">
        <f>'GF + UG Iteration 4'!A77</f>
        <v>506</v>
      </c>
      <c r="B77" s="25" t="str">
        <f>'GF + UG Iteration 4'!B77</f>
        <v>GF</v>
      </c>
      <c r="C77" s="18">
        <f>'GF + UG Iteration 4'!C77</f>
        <v>20</v>
      </c>
      <c r="D77" s="19">
        <f>'GF + UG Iteration 4'!D77</f>
        <v>13.969254162639503</v>
      </c>
      <c r="E77" s="30">
        <f>'GF + UG Iteration 4'!E77</f>
        <v>2003</v>
      </c>
      <c r="F77" s="18"/>
      <c r="G77" s="19"/>
      <c r="H77" s="20"/>
      <c r="I77" s="18">
        <f t="shared" si="5"/>
        <v>20</v>
      </c>
      <c r="J77" s="19">
        <f t="shared" si="6"/>
        <v>13.969254162639503</v>
      </c>
      <c r="K77" s="20">
        <f t="shared" si="7"/>
        <v>2003</v>
      </c>
      <c r="M77" s="21">
        <f t="shared" si="8"/>
        <v>2.9957322735539909</v>
      </c>
      <c r="N77" s="21">
        <f t="shared" si="9"/>
        <v>2.6368587833425443</v>
      </c>
    </row>
    <row r="78" spans="1:14" x14ac:dyDescent="0.2">
      <c r="A78" s="25">
        <f>'GF + UG Iteration 4'!A78</f>
        <v>456</v>
      </c>
      <c r="B78" s="25" t="str">
        <f>'GF + UG Iteration 4'!B78</f>
        <v>GF</v>
      </c>
      <c r="C78" s="18">
        <f>'GF + UG Iteration 4'!C78</f>
        <v>16</v>
      </c>
      <c r="D78" s="19">
        <f>'GF + UG Iteration 4'!D78</f>
        <v>17.647037003819346</v>
      </c>
      <c r="E78" s="30">
        <f>'GF + UG Iteration 4'!E78</f>
        <v>2007</v>
      </c>
      <c r="F78" s="18"/>
      <c r="G78" s="19"/>
      <c r="H78" s="20"/>
      <c r="I78" s="18">
        <f t="shared" si="5"/>
        <v>16</v>
      </c>
      <c r="J78" s="19">
        <f t="shared" si="6"/>
        <v>17.647037003819346</v>
      </c>
      <c r="K78" s="20">
        <f t="shared" si="7"/>
        <v>2007</v>
      </c>
      <c r="M78" s="21">
        <f t="shared" si="8"/>
        <v>2.7725887222397811</v>
      </c>
      <c r="N78" s="21">
        <f t="shared" si="9"/>
        <v>2.8705678941489836</v>
      </c>
    </row>
    <row r="79" spans="1:14" x14ac:dyDescent="0.2">
      <c r="A79" s="25">
        <f>'GF + UG Iteration 4'!A79</f>
        <v>130</v>
      </c>
      <c r="B79" s="25" t="str">
        <f>'GF + UG Iteration 4'!B79</f>
        <v>GF</v>
      </c>
      <c r="C79" s="18">
        <f>'GF + UG Iteration 4'!C79</f>
        <v>18</v>
      </c>
      <c r="D79" s="19">
        <f>'GF + UG Iteration 4'!D79</f>
        <v>8.4369732753123952</v>
      </c>
      <c r="E79" s="30">
        <f>'GF + UG Iteration 4'!E79</f>
        <v>2001</v>
      </c>
      <c r="F79" s="18"/>
      <c r="G79" s="19"/>
      <c r="H79" s="20"/>
      <c r="I79" s="18">
        <f t="shared" si="5"/>
        <v>18</v>
      </c>
      <c r="J79" s="19">
        <f t="shared" si="6"/>
        <v>8.4369732753123952</v>
      </c>
      <c r="K79" s="20">
        <f t="shared" si="7"/>
        <v>2001</v>
      </c>
      <c r="M79" s="21">
        <f t="shared" si="8"/>
        <v>2.8903717578961645</v>
      </c>
      <c r="N79" s="21">
        <f t="shared" si="9"/>
        <v>2.1326236276203829</v>
      </c>
    </row>
    <row r="80" spans="1:14" x14ac:dyDescent="0.2">
      <c r="A80" s="25">
        <f>'GF + UG Iteration 4'!A80</f>
        <v>308</v>
      </c>
      <c r="B80" s="25" t="str">
        <f>'GF + UG Iteration 4'!B80</f>
        <v>GF</v>
      </c>
      <c r="C80" s="18">
        <f>'GF + UG Iteration 4'!C80</f>
        <v>10</v>
      </c>
      <c r="D80" s="19">
        <f>'GF + UG Iteration 4'!D80</f>
        <v>8.8753762889293544</v>
      </c>
      <c r="E80" s="30">
        <f>'GF + UG Iteration 4'!E80</f>
        <v>2003</v>
      </c>
      <c r="F80" s="18"/>
      <c r="G80" s="19"/>
      <c r="H80" s="20"/>
      <c r="I80" s="18">
        <f t="shared" si="5"/>
        <v>10</v>
      </c>
      <c r="J80" s="19">
        <f t="shared" si="6"/>
        <v>8.8753762889293544</v>
      </c>
      <c r="K80" s="20">
        <f t="shared" si="7"/>
        <v>2003</v>
      </c>
      <c r="M80" s="21">
        <f t="shared" si="8"/>
        <v>2.3025850929940459</v>
      </c>
      <c r="N80" s="21">
        <f t="shared" si="9"/>
        <v>2.1832807332152813</v>
      </c>
    </row>
    <row r="81" spans="1:14" x14ac:dyDescent="0.2">
      <c r="A81" s="25">
        <f>'GF + UG Iteration 4'!A81</f>
        <v>829</v>
      </c>
      <c r="B81" s="25" t="str">
        <f>'GF + UG Iteration 4'!B81</f>
        <v>GF</v>
      </c>
      <c r="C81" s="18">
        <f>'GF + UG Iteration 4'!C81</f>
        <v>20</v>
      </c>
      <c r="D81" s="19">
        <f>'GF + UG Iteration 4'!D81</f>
        <v>27.761077137379147</v>
      </c>
      <c r="E81" s="30">
        <f>'GF + UG Iteration 4'!E81</f>
        <v>2011</v>
      </c>
      <c r="F81" s="18"/>
      <c r="G81" s="19"/>
      <c r="H81" s="20"/>
      <c r="I81" s="18">
        <f t="shared" si="5"/>
        <v>20</v>
      </c>
      <c r="J81" s="19">
        <f t="shared" si="6"/>
        <v>27.761077137379147</v>
      </c>
      <c r="K81" s="20">
        <f t="shared" si="7"/>
        <v>2011</v>
      </c>
      <c r="M81" s="21">
        <f t="shared" si="8"/>
        <v>2.9957322735539909</v>
      </c>
      <c r="N81" s="21">
        <f t="shared" si="9"/>
        <v>3.3236349366646221</v>
      </c>
    </row>
    <row r="82" spans="1:14" x14ac:dyDescent="0.2">
      <c r="A82" s="25">
        <f>'GF + UG Iteration 4'!A82</f>
        <v>425</v>
      </c>
      <c r="B82" s="25" t="str">
        <f>'GF + UG Iteration 4'!B82</f>
        <v>GF</v>
      </c>
      <c r="C82" s="18">
        <f>'GF + UG Iteration 4'!C82</f>
        <v>17</v>
      </c>
      <c r="D82" s="19">
        <f>'GF + UG Iteration 4'!D82</f>
        <v>11.725448588458148</v>
      </c>
      <c r="E82" s="30">
        <f>'GF + UG Iteration 4'!E82</f>
        <v>2006</v>
      </c>
      <c r="F82" s="18"/>
      <c r="G82" s="19"/>
      <c r="H82" s="20"/>
      <c r="I82" s="18">
        <f t="shared" si="5"/>
        <v>17</v>
      </c>
      <c r="J82" s="19">
        <f t="shared" si="6"/>
        <v>11.725448588458148</v>
      </c>
      <c r="K82" s="20">
        <f t="shared" si="7"/>
        <v>2006</v>
      </c>
      <c r="M82" s="21">
        <f t="shared" si="8"/>
        <v>2.8332133440562162</v>
      </c>
      <c r="N82" s="21">
        <f t="shared" si="9"/>
        <v>2.4617615727440327</v>
      </c>
    </row>
    <row r="83" spans="1:14" x14ac:dyDescent="0.2">
      <c r="A83" s="25">
        <f>'GF + UG Iteration 4'!A83</f>
        <v>333</v>
      </c>
      <c r="B83" s="25" t="str">
        <f>'GF + UG Iteration 4'!B83</f>
        <v>GF</v>
      </c>
      <c r="C83" s="18">
        <f>'GF + UG Iteration 4'!C83</f>
        <v>12</v>
      </c>
      <c r="D83" s="19">
        <f>'GF + UG Iteration 4'!D83</f>
        <v>7.5607136656563343</v>
      </c>
      <c r="E83" s="30">
        <f>'GF + UG Iteration 4'!E83</f>
        <v>2003</v>
      </c>
      <c r="F83" s="18"/>
      <c r="G83" s="19"/>
      <c r="H83" s="20"/>
      <c r="I83" s="18">
        <f t="shared" si="5"/>
        <v>12</v>
      </c>
      <c r="J83" s="19">
        <f t="shared" si="6"/>
        <v>7.5607136656563343</v>
      </c>
      <c r="K83" s="20">
        <f t="shared" si="7"/>
        <v>2003</v>
      </c>
      <c r="M83" s="21">
        <f t="shared" si="8"/>
        <v>2.4849066497880004</v>
      </c>
      <c r="N83" s="21">
        <f t="shared" si="9"/>
        <v>2.022965585955113</v>
      </c>
    </row>
    <row r="84" spans="1:14" x14ac:dyDescent="0.2">
      <c r="A84" s="25">
        <f>'GF + UG Iteration 4'!A84</f>
        <v>769</v>
      </c>
      <c r="B84" s="25" t="str">
        <f>'GF + UG Iteration 4'!B84</f>
        <v>GF</v>
      </c>
      <c r="C84" s="18">
        <f>'GF + UG Iteration 4'!C84</f>
        <v>40</v>
      </c>
      <c r="D84" s="19">
        <f>'GF + UG Iteration 4'!D84</f>
        <v>26.381292343151443</v>
      </c>
      <c r="E84" s="30">
        <f>'GF + UG Iteration 4'!E84</f>
        <v>2007</v>
      </c>
      <c r="F84" s="18"/>
      <c r="G84" s="19"/>
      <c r="H84" s="20"/>
      <c r="I84" s="18">
        <f t="shared" si="5"/>
        <v>40</v>
      </c>
      <c r="J84" s="19">
        <f t="shared" si="6"/>
        <v>26.381292343151443</v>
      </c>
      <c r="K84" s="20">
        <f t="shared" si="7"/>
        <v>2007</v>
      </c>
      <c r="M84" s="21">
        <f t="shared" si="8"/>
        <v>3.6888794541139363</v>
      </c>
      <c r="N84" s="21">
        <f t="shared" si="9"/>
        <v>3.2726551355945839</v>
      </c>
    </row>
    <row r="85" spans="1:14" x14ac:dyDescent="0.2">
      <c r="A85" s="25">
        <f>'GF + UG Iteration 4'!A85</f>
        <v>948</v>
      </c>
      <c r="B85" s="25" t="str">
        <f>'GF + UG Iteration 4'!B85</f>
        <v>GF</v>
      </c>
      <c r="C85" s="18">
        <f>'GF + UG Iteration 4'!C85</f>
        <v>57</v>
      </c>
      <c r="D85" s="19">
        <f>'GF + UG Iteration 4'!D85</f>
        <v>12.653662771089085</v>
      </c>
      <c r="E85" s="30">
        <f>'GF + UG Iteration 4'!E85</f>
        <v>2014</v>
      </c>
      <c r="F85" s="18"/>
      <c r="G85" s="19"/>
      <c r="H85" s="20"/>
      <c r="I85" s="18">
        <f t="shared" si="5"/>
        <v>57</v>
      </c>
      <c r="J85" s="19">
        <f t="shared" si="6"/>
        <v>12.653662771089085</v>
      </c>
      <c r="K85" s="20">
        <f t="shared" si="7"/>
        <v>2014</v>
      </c>
      <c r="M85" s="21">
        <f t="shared" si="8"/>
        <v>4.0430512678345503</v>
      </c>
      <c r="N85" s="21">
        <f t="shared" si="9"/>
        <v>2.5379467203845181</v>
      </c>
    </row>
    <row r="86" spans="1:14" x14ac:dyDescent="0.2">
      <c r="A86" s="25">
        <f>'GF + UG Iteration 4'!A86</f>
        <v>1128</v>
      </c>
      <c r="B86" s="25" t="str">
        <f>'GF + UG Iteration 4'!B86</f>
        <v>GF</v>
      </c>
      <c r="C86" s="18">
        <f>'GF + UG Iteration 4'!C86</f>
        <v>45</v>
      </c>
      <c r="D86" s="19">
        <f>'GF + UG Iteration 4'!D86</f>
        <v>63.556235718349399</v>
      </c>
      <c r="E86" s="30">
        <f>'GF + UG Iteration 4'!E86</f>
        <v>2013</v>
      </c>
      <c r="F86" s="18"/>
      <c r="G86" s="19"/>
      <c r="H86" s="20"/>
      <c r="I86" s="18">
        <f t="shared" si="5"/>
        <v>45</v>
      </c>
      <c r="J86" s="19">
        <f t="shared" si="6"/>
        <v>63.556235718349399</v>
      </c>
      <c r="K86" s="20">
        <f t="shared" si="7"/>
        <v>2013</v>
      </c>
      <c r="M86" s="21">
        <f t="shared" si="8"/>
        <v>3.8066624897703196</v>
      </c>
      <c r="N86" s="21">
        <f t="shared" si="9"/>
        <v>4.1519251158484547</v>
      </c>
    </row>
    <row r="87" spans="1:14" x14ac:dyDescent="0.2">
      <c r="A87" s="25">
        <f>'GF + UG Iteration 4'!A87</f>
        <v>1214</v>
      </c>
      <c r="B87" s="25" t="str">
        <f>'GF + UG Iteration 4'!B87</f>
        <v>GF</v>
      </c>
      <c r="C87" s="18">
        <f>'GF + UG Iteration 4'!C87</f>
        <v>52</v>
      </c>
      <c r="D87" s="19">
        <f>'GF + UG Iteration 4'!D87</f>
        <v>22.631695273294461</v>
      </c>
      <c r="E87" s="30">
        <f>'GF + UG Iteration 4'!E87</f>
        <v>2013</v>
      </c>
      <c r="F87" s="18"/>
      <c r="G87" s="19"/>
      <c r="H87" s="20"/>
      <c r="I87" s="18">
        <f t="shared" si="5"/>
        <v>52</v>
      </c>
      <c r="J87" s="19">
        <f t="shared" si="6"/>
        <v>22.631695273294461</v>
      </c>
      <c r="K87" s="20">
        <f t="shared" si="7"/>
        <v>2013</v>
      </c>
      <c r="M87" s="21">
        <f t="shared" si="8"/>
        <v>3.9512437185814275</v>
      </c>
      <c r="N87" s="21">
        <f t="shared" si="9"/>
        <v>3.1193513694907367</v>
      </c>
    </row>
    <row r="88" spans="1:14" x14ac:dyDescent="0.2">
      <c r="A88" s="25">
        <f>'GF + UG Iteration 4'!A88</f>
        <v>1225</v>
      </c>
      <c r="B88" s="25" t="str">
        <f>'GF + UG Iteration 4'!B88</f>
        <v>GF</v>
      </c>
      <c r="C88" s="18">
        <f>'GF + UG Iteration 4'!C88</f>
        <v>20</v>
      </c>
      <c r="D88" s="19">
        <f>'GF + UG Iteration 4'!D88</f>
        <v>18.636695744675041</v>
      </c>
      <c r="E88" s="30">
        <f>'GF + UG Iteration 4'!E88</f>
        <v>2013</v>
      </c>
      <c r="F88" s="18"/>
      <c r="G88" s="19"/>
      <c r="H88" s="20"/>
      <c r="I88" s="18">
        <f t="shared" si="5"/>
        <v>20</v>
      </c>
      <c r="J88" s="19">
        <f t="shared" si="6"/>
        <v>18.636695744675041</v>
      </c>
      <c r="K88" s="20">
        <f t="shared" si="7"/>
        <v>2013</v>
      </c>
      <c r="M88" s="21">
        <f t="shared" si="8"/>
        <v>2.9957322735539909</v>
      </c>
      <c r="N88" s="21">
        <f t="shared" si="9"/>
        <v>2.925132526627233</v>
      </c>
    </row>
    <row r="89" spans="1:14" x14ac:dyDescent="0.2">
      <c r="A89" s="25">
        <f>'GF + UG Iteration 4'!A89</f>
        <v>1263</v>
      </c>
      <c r="B89" s="25" t="str">
        <f>'GF + UG Iteration 4'!B89</f>
        <v>GF</v>
      </c>
      <c r="C89" s="18">
        <f>'GF + UG Iteration 4'!C89</f>
        <v>8</v>
      </c>
      <c r="D89" s="19">
        <f>'GF + UG Iteration 4'!D89</f>
        <v>19.611656992669992</v>
      </c>
      <c r="E89" s="30">
        <f>'GF + UG Iteration 4'!E89</f>
        <v>2013</v>
      </c>
      <c r="F89" s="18"/>
      <c r="G89" s="19"/>
      <c r="H89" s="20"/>
      <c r="I89" s="18">
        <f t="shared" si="5"/>
        <v>8</v>
      </c>
      <c r="J89" s="19">
        <f t="shared" si="6"/>
        <v>19.611656992669992</v>
      </c>
      <c r="K89" s="20">
        <f t="shared" si="7"/>
        <v>2013</v>
      </c>
      <c r="M89" s="21">
        <f t="shared" si="8"/>
        <v>2.0794415416798357</v>
      </c>
      <c r="N89" s="21">
        <f t="shared" si="9"/>
        <v>2.9761241339700195</v>
      </c>
    </row>
    <row r="90" spans="1:14" x14ac:dyDescent="0.2">
      <c r="A90" s="25">
        <f>'GF + UG Iteration 4'!A90</f>
        <v>1309</v>
      </c>
      <c r="B90" s="25" t="str">
        <f>'GF + UG Iteration 4'!B90</f>
        <v>GF</v>
      </c>
      <c r="C90" s="18">
        <f>'GF + UG Iteration 4'!C90</f>
        <v>15</v>
      </c>
      <c r="D90" s="19">
        <f>'GF + UG Iteration 4'!D90</f>
        <v>16.109333942693336</v>
      </c>
      <c r="E90" s="30">
        <f>'GF + UG Iteration 4'!E90</f>
        <v>2013</v>
      </c>
      <c r="F90" s="18"/>
      <c r="G90" s="19"/>
      <c r="H90" s="20"/>
      <c r="I90" s="18">
        <f t="shared" si="5"/>
        <v>15</v>
      </c>
      <c r="J90" s="19">
        <f t="shared" si="6"/>
        <v>16.109333942693336</v>
      </c>
      <c r="K90" s="20">
        <f t="shared" si="7"/>
        <v>2013</v>
      </c>
      <c r="M90" s="21">
        <f t="shared" si="8"/>
        <v>2.7080502011022101</v>
      </c>
      <c r="N90" s="21">
        <f t="shared" si="9"/>
        <v>2.7793988519948485</v>
      </c>
    </row>
    <row r="91" spans="1:14" x14ac:dyDescent="0.2">
      <c r="A91" s="25">
        <f>'GF + UG Iteration 4'!A91</f>
        <v>1349</v>
      </c>
      <c r="B91" s="25" t="str">
        <f>'GF + UG Iteration 4'!B91</f>
        <v>GF</v>
      </c>
      <c r="C91" s="18">
        <f>'GF + UG Iteration 4'!C91</f>
        <v>34</v>
      </c>
      <c r="D91" s="19">
        <f>'GF + UG Iteration 4'!D91</f>
        <v>8.9679522578977586</v>
      </c>
      <c r="E91" s="30">
        <f>'GF + UG Iteration 4'!E91</f>
        <v>2013</v>
      </c>
      <c r="F91" s="18"/>
      <c r="G91" s="19"/>
      <c r="H91" s="20"/>
      <c r="I91" s="18">
        <f t="shared" si="5"/>
        <v>34</v>
      </c>
      <c r="J91" s="19">
        <f t="shared" si="6"/>
        <v>8.9679522578977586</v>
      </c>
      <c r="K91" s="20">
        <f t="shared" si="7"/>
        <v>2013</v>
      </c>
      <c r="M91" s="21">
        <f t="shared" si="8"/>
        <v>3.5263605246161616</v>
      </c>
      <c r="N91" s="21">
        <f t="shared" si="9"/>
        <v>2.193657362149283</v>
      </c>
    </row>
    <row r="92" spans="1:14" x14ac:dyDescent="0.2">
      <c r="A92" s="25">
        <f>'GF + UG Iteration 4'!A92</f>
        <v>1358</v>
      </c>
      <c r="B92" s="25" t="str">
        <f>'GF + UG Iteration 4'!B92</f>
        <v>GF</v>
      </c>
      <c r="C92" s="18">
        <f>'GF + UG Iteration 4'!C92</f>
        <v>27</v>
      </c>
      <c r="D92" s="19">
        <f>'GF + UG Iteration 4'!D92</f>
        <v>13.07265503282744</v>
      </c>
      <c r="E92" s="30">
        <f>'GF + UG Iteration 4'!E92</f>
        <v>2013</v>
      </c>
      <c r="F92" s="18"/>
      <c r="G92" s="19"/>
      <c r="H92" s="20"/>
      <c r="I92" s="18">
        <f t="shared" si="5"/>
        <v>27</v>
      </c>
      <c r="J92" s="19">
        <f t="shared" si="6"/>
        <v>13.07265503282744</v>
      </c>
      <c r="K92" s="20">
        <f t="shared" si="7"/>
        <v>2013</v>
      </c>
      <c r="M92" s="21">
        <f t="shared" si="8"/>
        <v>3.2958368660043291</v>
      </c>
      <c r="N92" s="21">
        <f t="shared" si="9"/>
        <v>2.5705226464726247</v>
      </c>
    </row>
    <row r="93" spans="1:14" x14ac:dyDescent="0.2">
      <c r="A93" s="25">
        <f>'GF + UG Iteration 4'!A93</f>
        <v>1404</v>
      </c>
      <c r="B93" s="25" t="str">
        <f>'GF + UG Iteration 4'!B93</f>
        <v>GF</v>
      </c>
      <c r="C93" s="18">
        <f>'GF + UG Iteration 4'!C93</f>
        <v>35</v>
      </c>
      <c r="D93" s="19">
        <f>'GF + UG Iteration 4'!D93</f>
        <v>35.276341164894447</v>
      </c>
      <c r="E93" s="30">
        <f>'GF + UG Iteration 4'!E93</f>
        <v>2013</v>
      </c>
      <c r="F93" s="18"/>
      <c r="G93" s="19"/>
      <c r="H93" s="20"/>
      <c r="I93" s="18">
        <f t="shared" si="5"/>
        <v>35</v>
      </c>
      <c r="J93" s="19">
        <f t="shared" si="6"/>
        <v>35.276341164894447</v>
      </c>
      <c r="K93" s="20">
        <f t="shared" si="7"/>
        <v>2013</v>
      </c>
      <c r="M93" s="21">
        <f t="shared" si="8"/>
        <v>3.5553480614894135</v>
      </c>
      <c r="N93" s="21">
        <f t="shared" si="9"/>
        <v>3.5632125172824458</v>
      </c>
    </row>
    <row r="94" spans="1:14" x14ac:dyDescent="0.2">
      <c r="A94" s="25">
        <f>'GF + UG Iteration 4'!A94</f>
        <v>1482</v>
      </c>
      <c r="B94" s="25" t="str">
        <f>'GF + UG Iteration 4'!B94</f>
        <v>GF</v>
      </c>
      <c r="C94" s="18">
        <f>'GF + UG Iteration 4'!C94</f>
        <v>18.399999999999999</v>
      </c>
      <c r="D94" s="19">
        <f>'GF + UG Iteration 4'!D94</f>
        <v>18.765793673519447</v>
      </c>
      <c r="E94" s="30">
        <f>'GF + UG Iteration 4'!E94</f>
        <v>2013</v>
      </c>
      <c r="F94" s="18"/>
      <c r="G94" s="19"/>
      <c r="H94" s="20"/>
      <c r="I94" s="18">
        <f t="shared" si="5"/>
        <v>18.399999999999999</v>
      </c>
      <c r="J94" s="19">
        <f t="shared" si="6"/>
        <v>18.765793673519447</v>
      </c>
      <c r="K94" s="20">
        <f t="shared" si="7"/>
        <v>2013</v>
      </c>
      <c r="M94" s="21">
        <f t="shared" si="8"/>
        <v>2.91235066461494</v>
      </c>
      <c r="N94" s="21">
        <f t="shared" si="9"/>
        <v>2.9320357271105943</v>
      </c>
    </row>
    <row r="95" spans="1:14" x14ac:dyDescent="0.2">
      <c r="A95" s="25">
        <f>'GF + UG Iteration 4'!A95</f>
        <v>1515</v>
      </c>
      <c r="B95" s="25" t="str">
        <f>'GF + UG Iteration 4'!B95</f>
        <v>GF</v>
      </c>
      <c r="C95" s="18">
        <f>'GF + UG Iteration 4'!C95</f>
        <v>7.2</v>
      </c>
      <c r="D95" s="19">
        <f>'GF + UG Iteration 4'!D95</f>
        <v>12.99271394051414</v>
      </c>
      <c r="E95" s="30">
        <f>'GF + UG Iteration 4'!E95</f>
        <v>2013</v>
      </c>
      <c r="F95" s="18"/>
      <c r="G95" s="19"/>
      <c r="H95" s="20"/>
      <c r="I95" s="18">
        <f t="shared" si="5"/>
        <v>7.2</v>
      </c>
      <c r="J95" s="19">
        <f t="shared" si="6"/>
        <v>12.99271394051414</v>
      </c>
      <c r="K95" s="20">
        <f t="shared" si="7"/>
        <v>2013</v>
      </c>
      <c r="M95" s="21">
        <f t="shared" si="8"/>
        <v>1.9740810260220096</v>
      </c>
      <c r="N95" s="21">
        <f t="shared" si="9"/>
        <v>2.5643887342273977</v>
      </c>
    </row>
    <row r="96" spans="1:14" x14ac:dyDescent="0.2">
      <c r="A96" s="25">
        <f>'GF + UG Iteration 4'!A96</f>
        <v>1618</v>
      </c>
      <c r="B96" s="25" t="str">
        <f>'GF + UG Iteration 4'!B96</f>
        <v>GF</v>
      </c>
      <c r="C96" s="18">
        <f>'GF + UG Iteration 4'!C96</f>
        <v>21</v>
      </c>
      <c r="D96" s="19">
        <f>'GF + UG Iteration 4'!D96</f>
        <v>15.965955598995766</v>
      </c>
      <c r="E96" s="30">
        <f>'GF + UG Iteration 4'!E96</f>
        <v>2016</v>
      </c>
      <c r="F96" s="18"/>
      <c r="G96" s="19"/>
      <c r="H96" s="20"/>
      <c r="I96" s="18">
        <f t="shared" si="5"/>
        <v>21</v>
      </c>
      <c r="J96" s="19">
        <f t="shared" si="6"/>
        <v>15.965955598995766</v>
      </c>
      <c r="K96" s="20">
        <f t="shared" si="7"/>
        <v>2016</v>
      </c>
      <c r="M96" s="21">
        <f t="shared" si="8"/>
        <v>3.044522437723423</v>
      </c>
      <c r="N96" s="21">
        <f t="shared" si="9"/>
        <v>2.7704586802474096</v>
      </c>
    </row>
    <row r="97" spans="1:17" x14ac:dyDescent="0.2">
      <c r="A97" s="25">
        <f>'GF + UG Iteration 4'!A97</f>
        <v>1634</v>
      </c>
      <c r="B97" s="25" t="str">
        <f>'GF + UG Iteration 4'!B97</f>
        <v>GF</v>
      </c>
      <c r="C97" s="18">
        <f>'GF + UG Iteration 4'!C97</f>
        <v>17.899999999999999</v>
      </c>
      <c r="D97" s="19">
        <f>'GF + UG Iteration 4'!D97</f>
        <v>17.172783979023848</v>
      </c>
      <c r="E97" s="30">
        <f>'GF + UG Iteration 4'!E97</f>
        <v>2015</v>
      </c>
      <c r="F97" s="18"/>
      <c r="G97" s="19"/>
      <c r="H97" s="20"/>
      <c r="I97" s="18">
        <f t="shared" si="5"/>
        <v>17.899999999999999</v>
      </c>
      <c r="J97" s="19">
        <f t="shared" si="6"/>
        <v>17.172783979023848</v>
      </c>
      <c r="K97" s="20">
        <f t="shared" si="7"/>
        <v>2015</v>
      </c>
      <c r="M97" s="21">
        <f t="shared" si="8"/>
        <v>2.884800712846709</v>
      </c>
      <c r="N97" s="21">
        <f t="shared" si="9"/>
        <v>2.8433258038172586</v>
      </c>
    </row>
    <row r="98" spans="1:17" x14ac:dyDescent="0.2">
      <c r="A98" s="25">
        <f>'GF + UG Iteration 4'!A98</f>
        <v>1258</v>
      </c>
      <c r="B98" s="25" t="str">
        <f>'GF + UG Iteration 4'!B98</f>
        <v>GF</v>
      </c>
      <c r="C98" s="18">
        <f>'GF + UG Iteration 4'!C98</f>
        <v>46</v>
      </c>
      <c r="D98" s="19">
        <f>'GF + UG Iteration 4'!D98</f>
        <v>53.518330212347877</v>
      </c>
      <c r="E98" s="30">
        <f>'GF + UG Iteration 4'!E98</f>
        <v>2017</v>
      </c>
      <c r="F98" s="18"/>
      <c r="G98" s="19"/>
      <c r="H98" s="20"/>
      <c r="I98" s="18">
        <f t="shared" si="5"/>
        <v>46</v>
      </c>
      <c r="J98" s="19">
        <f t="shared" si="6"/>
        <v>53.518330212347877</v>
      </c>
      <c r="K98" s="20">
        <f t="shared" si="7"/>
        <v>2017</v>
      </c>
      <c r="M98" s="21">
        <f t="shared" si="8"/>
        <v>3.8286413964890951</v>
      </c>
      <c r="N98" s="21">
        <f t="shared" si="9"/>
        <v>3.98002421601241</v>
      </c>
    </row>
    <row r="99" spans="1:17" x14ac:dyDescent="0.2">
      <c r="A99" s="25">
        <f>'GF + UG Iteration 4'!A99</f>
        <v>1284</v>
      </c>
      <c r="B99" s="25" t="str">
        <f>'GF + UG Iteration 4'!B99</f>
        <v>GF</v>
      </c>
      <c r="C99" s="18">
        <f>'GF + UG Iteration 4'!C99</f>
        <v>24.1</v>
      </c>
      <c r="D99" s="19">
        <f>'GF + UG Iteration 4'!D99</f>
        <v>7.0843108002972475</v>
      </c>
      <c r="E99" s="30">
        <f>'GF + UG Iteration 4'!E99</f>
        <v>2013</v>
      </c>
      <c r="F99" s="18"/>
      <c r="G99" s="19"/>
      <c r="H99" s="20"/>
      <c r="I99" s="18">
        <f t="shared" si="5"/>
        <v>24.1</v>
      </c>
      <c r="J99" s="19">
        <f t="shared" si="6"/>
        <v>7.0843108002972475</v>
      </c>
      <c r="K99" s="20">
        <f t="shared" si="7"/>
        <v>2013</v>
      </c>
      <c r="M99" s="21">
        <f t="shared" si="8"/>
        <v>3.1822118404966093</v>
      </c>
      <c r="N99" s="21">
        <f t="shared" si="9"/>
        <v>1.9578825925179175</v>
      </c>
    </row>
    <row r="100" spans="1:17" x14ac:dyDescent="0.2">
      <c r="A100" s="25" t="str">
        <f>'GF + UG Iteration 4'!A100</f>
        <v>Pre-01</v>
      </c>
      <c r="B100" s="25" t="str">
        <f>'GF + UG Iteration 4'!B100</f>
        <v>GF</v>
      </c>
      <c r="C100" s="18">
        <f>'GF + UG Iteration 4'!C100</f>
        <v>2.2000000000000002</v>
      </c>
      <c r="D100" s="19">
        <f>'GF + UG Iteration 4'!D100</f>
        <v>2.4933711786255444</v>
      </c>
      <c r="E100" s="30">
        <f>'GF + UG Iteration 4'!E100</f>
        <v>1990</v>
      </c>
      <c r="F100" s="18"/>
      <c r="G100" s="19"/>
      <c r="H100" s="20"/>
      <c r="I100" s="18">
        <f t="shared" si="5"/>
        <v>2.2000000000000002</v>
      </c>
      <c r="J100" s="19">
        <f t="shared" si="6"/>
        <v>2.4933711786255444</v>
      </c>
      <c r="K100" s="20">
        <f t="shared" si="7"/>
        <v>1990</v>
      </c>
      <c r="M100" s="21">
        <f t="shared" si="8"/>
        <v>0.78845736036427028</v>
      </c>
      <c r="N100" s="21">
        <f t="shared" si="9"/>
        <v>0.91363568179621524</v>
      </c>
    </row>
    <row r="101" spans="1:17" x14ac:dyDescent="0.2">
      <c r="A101" s="25" t="str">
        <f>'GF + UG Iteration 4'!A101</f>
        <v>Pre-02</v>
      </c>
      <c r="B101" s="25" t="str">
        <f>'GF + UG Iteration 4'!B101</f>
        <v>GF</v>
      </c>
      <c r="C101" s="18">
        <f>'GF + UG Iteration 4'!C101</f>
        <v>1.464</v>
      </c>
      <c r="D101" s="19">
        <f>'GF + UG Iteration 4'!D101</f>
        <v>1.4940223849019025</v>
      </c>
      <c r="E101" s="30">
        <f>'GF + UG Iteration 4'!E101</f>
        <v>1987</v>
      </c>
      <c r="F101" s="18"/>
      <c r="G101" s="19"/>
      <c r="H101" s="20"/>
      <c r="I101" s="18">
        <f t="shared" si="5"/>
        <v>1.464</v>
      </c>
      <c r="J101" s="19">
        <f t="shared" si="6"/>
        <v>1.4940223849019025</v>
      </c>
      <c r="K101" s="20">
        <f t="shared" si="7"/>
        <v>1987</v>
      </c>
      <c r="M101" s="21">
        <f t="shared" si="8"/>
        <v>0.38117241553911979</v>
      </c>
      <c r="N101" s="21">
        <f t="shared" si="9"/>
        <v>0.40147206979911648</v>
      </c>
    </row>
    <row r="102" spans="1:17" x14ac:dyDescent="0.2">
      <c r="A102" s="25" t="str">
        <f>'GF + UG Iteration 4'!A102</f>
        <v>Pre-03</v>
      </c>
      <c r="B102" s="25" t="str">
        <f>'GF + UG Iteration 4'!B102</f>
        <v>GF</v>
      </c>
      <c r="C102" s="18">
        <f>'GF + UG Iteration 4'!C102</f>
        <v>4.0750000000000002</v>
      </c>
      <c r="D102" s="19">
        <f>'GF + UG Iteration 4'!D102</f>
        <v>1.9369408873503524</v>
      </c>
      <c r="E102" s="30">
        <f>'GF + UG Iteration 4'!E102</f>
        <v>1990</v>
      </c>
      <c r="F102" s="18"/>
      <c r="G102" s="19"/>
      <c r="H102" s="20"/>
      <c r="I102" s="18">
        <f t="shared" si="5"/>
        <v>4.0750000000000002</v>
      </c>
      <c r="J102" s="19">
        <f t="shared" si="6"/>
        <v>1.9369408873503524</v>
      </c>
      <c r="K102" s="20">
        <f t="shared" si="7"/>
        <v>1990</v>
      </c>
      <c r="M102" s="21">
        <f t="shared" si="8"/>
        <v>1.4048707466928261</v>
      </c>
      <c r="N102" s="21">
        <f t="shared" si="9"/>
        <v>0.66110986632901214</v>
      </c>
    </row>
    <row r="103" spans="1:17" x14ac:dyDescent="0.2">
      <c r="A103" s="25" t="str">
        <f>'GF + UG Iteration 4'!A103</f>
        <v>Pre-04</v>
      </c>
      <c r="B103" s="25" t="str">
        <f>'GF + UG Iteration 4'!B103</f>
        <v>GF</v>
      </c>
      <c r="C103" s="18">
        <f>'GF + UG Iteration 4'!C103</f>
        <v>10</v>
      </c>
      <c r="D103" s="19">
        <f>'GF + UG Iteration 4'!D103</f>
        <v>8.526519330793306</v>
      </c>
      <c r="E103" s="30">
        <f>'GF + UG Iteration 4'!E103</f>
        <v>1991</v>
      </c>
      <c r="F103" s="18"/>
      <c r="G103" s="19"/>
      <c r="H103" s="20"/>
      <c r="I103" s="18">
        <f t="shared" si="5"/>
        <v>10</v>
      </c>
      <c r="J103" s="19">
        <f t="shared" si="6"/>
        <v>8.526519330793306</v>
      </c>
      <c r="K103" s="20">
        <f t="shared" si="7"/>
        <v>1991</v>
      </c>
      <c r="M103" s="21">
        <f t="shared" si="8"/>
        <v>2.3025850929940459</v>
      </c>
      <c r="N103" s="21">
        <f t="shared" si="9"/>
        <v>2.143181227911088</v>
      </c>
    </row>
    <row r="104" spans="1:17" x14ac:dyDescent="0.2">
      <c r="A104" s="25" t="str">
        <f>'GF + UG Iteration 4'!A104</f>
        <v>Pre-05</v>
      </c>
      <c r="B104" s="25" t="str">
        <f>'GF + UG Iteration 4'!B104</f>
        <v>GF</v>
      </c>
      <c r="C104" s="18">
        <f>'GF + UG Iteration 4'!C104</f>
        <v>4.8</v>
      </c>
      <c r="D104" s="19">
        <f>'GF + UG Iteration 4'!D104</f>
        <v>4.0521826998299986</v>
      </c>
      <c r="E104" s="30">
        <f>'GF + UG Iteration 4'!E104</f>
        <v>1988</v>
      </c>
      <c r="F104" s="18"/>
      <c r="G104" s="19"/>
      <c r="H104" s="20"/>
      <c r="I104" s="18">
        <f t="shared" si="5"/>
        <v>4.8</v>
      </c>
      <c r="J104" s="19">
        <f t="shared" si="6"/>
        <v>4.0521826998299986</v>
      </c>
      <c r="K104" s="20">
        <f t="shared" si="7"/>
        <v>1988</v>
      </c>
      <c r="M104" s="21">
        <f t="shared" si="8"/>
        <v>1.5686159179138452</v>
      </c>
      <c r="N104" s="21">
        <f t="shared" si="9"/>
        <v>1.3992556741730273</v>
      </c>
    </row>
    <row r="105" spans="1:17" x14ac:dyDescent="0.2">
      <c r="A105" s="25" t="str">
        <f>'GF + UG Iteration 4'!A105</f>
        <v>Pre-06</v>
      </c>
      <c r="B105" s="25" t="str">
        <f>'GF + UG Iteration 4'!B105</f>
        <v>GF</v>
      </c>
      <c r="C105" s="18">
        <f>'GF + UG Iteration 4'!C105</f>
        <v>5.0999999999999996</v>
      </c>
      <c r="D105" s="19">
        <f>'GF + UG Iteration 4'!D105</f>
        <v>9.6482174286466869</v>
      </c>
      <c r="E105" s="30">
        <f>'GF + UG Iteration 4'!E105</f>
        <v>1989</v>
      </c>
      <c r="F105" s="18"/>
      <c r="G105" s="19"/>
      <c r="H105" s="20"/>
      <c r="I105" s="18">
        <f t="shared" si="5"/>
        <v>5.0999999999999996</v>
      </c>
      <c r="J105" s="19">
        <f t="shared" si="6"/>
        <v>9.6482174286466869</v>
      </c>
      <c r="K105" s="20">
        <f t="shared" si="7"/>
        <v>1989</v>
      </c>
      <c r="M105" s="21">
        <f t="shared" si="8"/>
        <v>1.62924053973028</v>
      </c>
      <c r="N105" s="21">
        <f t="shared" si="9"/>
        <v>2.2667731758675744</v>
      </c>
    </row>
    <row r="106" spans="1:17" x14ac:dyDescent="0.2">
      <c r="A106" s="25" t="str">
        <f>'GF + UG Iteration 4'!A106</f>
        <v>Pre-07</v>
      </c>
      <c r="B106" s="25" t="str">
        <f>'GF + UG Iteration 4'!B106</f>
        <v>GF</v>
      </c>
      <c r="C106" s="18">
        <f>'GF + UG Iteration 4'!C106</f>
        <v>6.9</v>
      </c>
      <c r="D106" s="19">
        <f>'GF + UG Iteration 4'!D106</f>
        <v>5.029432718717521</v>
      </c>
      <c r="E106" s="30">
        <f>'GF + UG Iteration 4'!E106</f>
        <v>1997</v>
      </c>
      <c r="F106" s="18"/>
      <c r="G106" s="19"/>
      <c r="H106" s="20"/>
      <c r="I106" s="18">
        <f t="shared" si="5"/>
        <v>6.9</v>
      </c>
      <c r="J106" s="19">
        <f t="shared" si="6"/>
        <v>5.029432718717521</v>
      </c>
      <c r="K106" s="20">
        <f t="shared" si="7"/>
        <v>1997</v>
      </c>
      <c r="M106" s="21">
        <f t="shared" si="8"/>
        <v>1.9315214116032138</v>
      </c>
      <c r="N106" s="21">
        <f t="shared" si="9"/>
        <v>1.6153071981725313</v>
      </c>
      <c r="P106"/>
      <c r="Q106"/>
    </row>
    <row r="107" spans="1:17" x14ac:dyDescent="0.2">
      <c r="A107" s="25" t="str">
        <f>'GF + UG Iteration 4'!A107</f>
        <v>Pre-08</v>
      </c>
      <c r="B107" s="25" t="str">
        <f>'GF + UG Iteration 4'!B107</f>
        <v>GF</v>
      </c>
      <c r="C107" s="18">
        <f>'GF + UG Iteration 4'!C107</f>
        <v>11.8</v>
      </c>
      <c r="D107" s="19">
        <f>'GF + UG Iteration 4'!D107</f>
        <v>6.372939235597177</v>
      </c>
      <c r="E107" s="30">
        <f>'GF + UG Iteration 4'!E107</f>
        <v>1987</v>
      </c>
      <c r="F107" s="18"/>
      <c r="G107" s="19"/>
      <c r="H107" s="20"/>
      <c r="I107" s="18">
        <f t="shared" si="5"/>
        <v>11.8</v>
      </c>
      <c r="J107" s="19">
        <f t="shared" si="6"/>
        <v>6.372939235597177</v>
      </c>
      <c r="K107" s="20">
        <f t="shared" si="7"/>
        <v>1987</v>
      </c>
      <c r="M107" s="21">
        <f t="shared" si="8"/>
        <v>2.4680995314716192</v>
      </c>
      <c r="N107" s="21">
        <f t="shared" si="9"/>
        <v>1.8520607816244041</v>
      </c>
      <c r="P107"/>
      <c r="Q107"/>
    </row>
    <row r="108" spans="1:17" x14ac:dyDescent="0.2">
      <c r="A108" s="25" t="str">
        <f>'GF + UG Iteration 4'!A108</f>
        <v>Pre-09</v>
      </c>
      <c r="B108" s="25" t="str">
        <f>'GF + UG Iteration 4'!B108</f>
        <v>GF</v>
      </c>
      <c r="C108" s="18">
        <f>'GF + UG Iteration 4'!C108</f>
        <v>9.6999999999999993</v>
      </c>
      <c r="D108" s="19">
        <f>'GF + UG Iteration 4'!D108</f>
        <v>2.9443376052628771</v>
      </c>
      <c r="E108" s="30">
        <f>'GF + UG Iteration 4'!E108</f>
        <v>1997</v>
      </c>
      <c r="F108" s="18"/>
      <c r="G108" s="19"/>
      <c r="H108" s="20"/>
      <c r="I108" s="18">
        <f t="shared" si="5"/>
        <v>9.6999999999999993</v>
      </c>
      <c r="J108" s="19">
        <f t="shared" si="6"/>
        <v>2.9443376052628771</v>
      </c>
      <c r="K108" s="20">
        <f t="shared" si="7"/>
        <v>1997</v>
      </c>
      <c r="M108" s="21">
        <f t="shared" si="8"/>
        <v>2.2721258855093369</v>
      </c>
      <c r="N108" s="21">
        <f t="shared" si="9"/>
        <v>1.0798838699925799</v>
      </c>
      <c r="P108"/>
      <c r="Q108"/>
    </row>
    <row r="109" spans="1:17" x14ac:dyDescent="0.2">
      <c r="A109" s="25" t="str">
        <f>'GF + UG Iteration 4'!A109</f>
        <v>Pre-10</v>
      </c>
      <c r="B109" s="25" t="str">
        <f>'GF + UG Iteration 4'!B109</f>
        <v>GF</v>
      </c>
      <c r="C109" s="18">
        <f>'GF + UG Iteration 4'!C109</f>
        <v>6.12</v>
      </c>
      <c r="D109" s="19">
        <f>'GF + UG Iteration 4'!D109</f>
        <v>13.481108575958453</v>
      </c>
      <c r="E109" s="30">
        <f>'GF + UG Iteration 4'!E109</f>
        <v>1990</v>
      </c>
      <c r="F109" s="18"/>
      <c r="G109" s="19"/>
      <c r="H109" s="20"/>
      <c r="I109" s="18">
        <f t="shared" si="5"/>
        <v>6.12</v>
      </c>
      <c r="J109" s="19">
        <f t="shared" si="6"/>
        <v>13.481108575958453</v>
      </c>
      <c r="K109" s="20">
        <f t="shared" si="7"/>
        <v>1990</v>
      </c>
      <c r="M109" s="21">
        <f t="shared" si="8"/>
        <v>1.8115620965242347</v>
      </c>
      <c r="N109" s="21">
        <f t="shared" si="9"/>
        <v>2.6012893406753403</v>
      </c>
    </row>
    <row r="110" spans="1:17" x14ac:dyDescent="0.2">
      <c r="A110" s="25" t="str">
        <f>'GF + UG Iteration 4'!A110</f>
        <v>Pre-11</v>
      </c>
      <c r="B110" s="25" t="str">
        <f>'GF + UG Iteration 4'!B110</f>
        <v>GF</v>
      </c>
      <c r="C110" s="18">
        <f>'GF + UG Iteration 4'!C110</f>
        <v>6.2671999999999999</v>
      </c>
      <c r="D110" s="19">
        <f>'GF + UG Iteration 4'!D110</f>
        <v>2.9102311039234974</v>
      </c>
      <c r="E110" s="30">
        <f>'GF + UG Iteration 4'!E110</f>
        <v>1987</v>
      </c>
      <c r="F110" s="18"/>
      <c r="G110" s="19"/>
      <c r="H110" s="20"/>
      <c r="I110" s="18">
        <f t="shared" si="5"/>
        <v>6.2671999999999999</v>
      </c>
      <c r="J110" s="19">
        <f t="shared" si="6"/>
        <v>2.9102311039234974</v>
      </c>
      <c r="K110" s="20">
        <f t="shared" si="7"/>
        <v>1987</v>
      </c>
      <c r="M110" s="21">
        <f t="shared" si="8"/>
        <v>1.8353296839294297</v>
      </c>
      <c r="N110" s="21">
        <f t="shared" si="9"/>
        <v>1.0682324951858668</v>
      </c>
    </row>
    <row r="111" spans="1:17" x14ac:dyDescent="0.2">
      <c r="A111" s="25" t="str">
        <f>'GF + UG Iteration 4'!A111</f>
        <v>Pre-12</v>
      </c>
      <c r="B111" s="25" t="str">
        <f>'GF + UG Iteration 4'!B111</f>
        <v>GF</v>
      </c>
      <c r="C111" s="18">
        <f>'GF + UG Iteration 4'!C111</f>
        <v>6.3659999999999997</v>
      </c>
      <c r="D111" s="19">
        <f>'GF + UG Iteration 4'!D111</f>
        <v>9.8906921245327926</v>
      </c>
      <c r="E111" s="30">
        <f>'GF + UG Iteration 4'!E111</f>
        <v>1993</v>
      </c>
      <c r="F111" s="18"/>
      <c r="G111" s="19"/>
      <c r="H111" s="20"/>
      <c r="I111" s="18">
        <f t="shared" si="5"/>
        <v>6.3659999999999997</v>
      </c>
      <c r="J111" s="19">
        <f t="shared" si="6"/>
        <v>9.8906921245327926</v>
      </c>
      <c r="K111" s="20">
        <f t="shared" si="7"/>
        <v>1993</v>
      </c>
      <c r="M111" s="21">
        <f t="shared" si="8"/>
        <v>1.850971328859901</v>
      </c>
      <c r="N111" s="21">
        <f t="shared" si="9"/>
        <v>2.2915941254440955</v>
      </c>
    </row>
    <row r="112" spans="1:17" x14ac:dyDescent="0.2">
      <c r="A112" s="25" t="str">
        <f>'GF + UG Iteration 4'!A112</f>
        <v>Pre-13</v>
      </c>
      <c r="B112" s="25" t="str">
        <f>'GF + UG Iteration 4'!B112</f>
        <v>GF</v>
      </c>
      <c r="C112" s="18">
        <f>'GF + UG Iteration 4'!C112</f>
        <v>8.5</v>
      </c>
      <c r="D112" s="19">
        <f>'GF + UG Iteration 4'!D112</f>
        <v>5.9446476688134462</v>
      </c>
      <c r="E112" s="30">
        <f>'GF + UG Iteration 4'!E112</f>
        <v>1990</v>
      </c>
      <c r="F112" s="18"/>
      <c r="G112" s="19"/>
      <c r="H112" s="20"/>
      <c r="I112" s="18">
        <f t="shared" si="5"/>
        <v>8.5</v>
      </c>
      <c r="J112" s="19">
        <f t="shared" si="6"/>
        <v>5.9446476688134462</v>
      </c>
      <c r="K112" s="20">
        <f t="shared" si="7"/>
        <v>1990</v>
      </c>
      <c r="M112" s="21">
        <f t="shared" si="8"/>
        <v>2.1400661634962708</v>
      </c>
      <c r="N112" s="21">
        <f t="shared" si="9"/>
        <v>1.7824912632583982</v>
      </c>
    </row>
    <row r="113" spans="1:14" x14ac:dyDescent="0.2">
      <c r="A113" s="25" t="str">
        <f>'GF + UG Iteration 4'!A113</f>
        <v>Pre-14</v>
      </c>
      <c r="B113" s="25" t="str">
        <f>'GF + UG Iteration 4'!B113</f>
        <v>GF</v>
      </c>
      <c r="C113" s="18">
        <f>'GF + UG Iteration 4'!C113</f>
        <v>46.55</v>
      </c>
      <c r="D113" s="19">
        <f>'GF + UG Iteration 4'!D113</f>
        <v>7.1936227504100643</v>
      </c>
      <c r="E113" s="30">
        <f>'GF + UG Iteration 4'!E113</f>
        <v>1991</v>
      </c>
      <c r="F113" s="18"/>
      <c r="G113" s="19"/>
      <c r="H113" s="20"/>
      <c r="I113" s="18">
        <f t="shared" si="5"/>
        <v>46.55</v>
      </c>
      <c r="J113" s="19">
        <f t="shared" si="6"/>
        <v>7.1936227504100643</v>
      </c>
      <c r="K113" s="20">
        <f t="shared" si="7"/>
        <v>1991</v>
      </c>
      <c r="M113" s="21">
        <f t="shared" si="8"/>
        <v>3.8405270037230759</v>
      </c>
      <c r="N113" s="21">
        <f t="shared" si="9"/>
        <v>1.9731949044224915</v>
      </c>
    </row>
    <row r="114" spans="1:14" x14ac:dyDescent="0.2">
      <c r="A114" s="25" t="str">
        <f>'GF + UG Iteration 4'!A114</f>
        <v>Pre-15</v>
      </c>
      <c r="B114" s="25" t="str">
        <f>'GF + UG Iteration 4'!B114</f>
        <v>GF</v>
      </c>
      <c r="C114" s="18">
        <f>'GF + UG Iteration 4'!C114</f>
        <v>56.8</v>
      </c>
      <c r="D114" s="19">
        <f>'GF + UG Iteration 4'!D114</f>
        <v>17.594466678549747</v>
      </c>
      <c r="E114" s="30">
        <f>'GF + UG Iteration 4'!E114</f>
        <v>1990</v>
      </c>
      <c r="F114" s="18"/>
      <c r="G114" s="19"/>
      <c r="H114" s="20"/>
      <c r="I114" s="18">
        <f t="shared" si="5"/>
        <v>56.8</v>
      </c>
      <c r="J114" s="19">
        <f t="shared" si="6"/>
        <v>17.594466678549747</v>
      </c>
      <c r="K114" s="20">
        <f t="shared" si="7"/>
        <v>1990</v>
      </c>
      <c r="M114" s="21">
        <f t="shared" si="8"/>
        <v>4.0395363257271057</v>
      </c>
      <c r="N114" s="21">
        <f t="shared" si="9"/>
        <v>2.867584459347964</v>
      </c>
    </row>
    <row r="115" spans="1:14" x14ac:dyDescent="0.2">
      <c r="A115" s="25" t="str">
        <f>'GF + UG Iteration 4'!A115</f>
        <v>Pre-16</v>
      </c>
      <c r="B115" s="25" t="str">
        <f>'GF + UG Iteration 4'!B115</f>
        <v>GF</v>
      </c>
      <c r="C115" s="18">
        <f>'GF + UG Iteration 4'!C115</f>
        <v>81.575999999999993</v>
      </c>
      <c r="D115" s="19">
        <f>'GF + UG Iteration 4'!D115</f>
        <v>14.026199251012313</v>
      </c>
      <c r="E115" s="30">
        <f>'GF + UG Iteration 4'!E115</f>
        <v>1988</v>
      </c>
      <c r="F115" s="18"/>
      <c r="G115" s="19"/>
      <c r="H115" s="20"/>
      <c r="I115" s="18">
        <f t="shared" si="5"/>
        <v>81.575999999999993</v>
      </c>
      <c r="J115" s="19">
        <f t="shared" si="6"/>
        <v>14.026199251012313</v>
      </c>
      <c r="K115" s="20">
        <f t="shared" si="7"/>
        <v>1988</v>
      </c>
      <c r="M115" s="21">
        <f t="shared" si="8"/>
        <v>4.4015351010619241</v>
      </c>
      <c r="N115" s="21">
        <f t="shared" si="9"/>
        <v>2.6409269558467208</v>
      </c>
    </row>
    <row r="116" spans="1:14" x14ac:dyDescent="0.2">
      <c r="A116" s="25" t="str">
        <f>'GF + UG Iteration 4'!A116</f>
        <v>Pre-17</v>
      </c>
      <c r="B116" s="25" t="str">
        <f>'GF + UG Iteration 4'!B116</f>
        <v>GF</v>
      </c>
      <c r="C116" s="18">
        <f>'GF + UG Iteration 4'!C116</f>
        <v>95.2</v>
      </c>
      <c r="D116" s="19">
        <f>'GF + UG Iteration 4'!D116</f>
        <v>14.219904176944949</v>
      </c>
      <c r="E116" s="30">
        <f>'GF + UG Iteration 4'!E116</f>
        <v>1999</v>
      </c>
      <c r="F116" s="18"/>
      <c r="G116" s="19"/>
      <c r="H116" s="20"/>
      <c r="I116" s="18">
        <f t="shared" si="5"/>
        <v>95.2</v>
      </c>
      <c r="J116" s="19">
        <f t="shared" si="6"/>
        <v>14.219904176944949</v>
      </c>
      <c r="K116" s="20">
        <f t="shared" si="7"/>
        <v>1999</v>
      </c>
      <c r="M116" s="21">
        <f t="shared" si="8"/>
        <v>4.5559799417973199</v>
      </c>
      <c r="N116" s="21">
        <f t="shared" si="9"/>
        <v>2.654642685740924</v>
      </c>
    </row>
    <row r="117" spans="1:14" x14ac:dyDescent="0.2">
      <c r="A117" s="25" t="str">
        <f>'GF + UG Iteration 4'!A117</f>
        <v>Pre-18</v>
      </c>
      <c r="B117" s="25" t="str">
        <f>'GF + UG Iteration 4'!B117</f>
        <v>GF</v>
      </c>
      <c r="C117" s="18">
        <f>'GF + UG Iteration 4'!C117</f>
        <v>122.77200000000001</v>
      </c>
      <c r="D117" s="19">
        <f>'GF + UG Iteration 4'!D117</f>
        <v>23.447549869052086</v>
      </c>
      <c r="E117" s="30">
        <f>'GF + UG Iteration 4'!E117</f>
        <v>1990</v>
      </c>
      <c r="F117" s="18"/>
      <c r="G117" s="19"/>
      <c r="H117" s="20"/>
      <c r="I117" s="18">
        <f t="shared" si="5"/>
        <v>122.77200000000001</v>
      </c>
      <c r="J117" s="19">
        <f t="shared" si="6"/>
        <v>23.447549869052086</v>
      </c>
      <c r="K117" s="20">
        <f t="shared" si="7"/>
        <v>1990</v>
      </c>
      <c r="M117" s="21">
        <f t="shared" si="8"/>
        <v>4.8103289766848034</v>
      </c>
      <c r="N117" s="21">
        <f t="shared" si="9"/>
        <v>3.1547660062374661</v>
      </c>
    </row>
    <row r="118" spans="1:14" x14ac:dyDescent="0.2">
      <c r="A118" s="33">
        <f>'GF + UG Iteration 4'!A118</f>
        <v>1184</v>
      </c>
      <c r="B118" s="34" t="str">
        <f>'GF + UG Iteration 4'!B118</f>
        <v>UG</v>
      </c>
      <c r="C118" s="35">
        <f>'GF + UG Iteration 4'!C118</f>
        <v>30</v>
      </c>
      <c r="D118" s="36">
        <f>'GF + UG Iteration 4'!P$16*(C118^'GF + UG Iteration 4'!P$15)</f>
        <v>17.850612448505686</v>
      </c>
      <c r="E118" s="37">
        <f>'GF + UG Iteration 4'!E118</f>
        <v>2013</v>
      </c>
      <c r="F118" s="35">
        <f>'GF + UG Iteration 4'!F118</f>
        <v>18.200000000000003</v>
      </c>
      <c r="G118" s="36">
        <f>'GF + UG Iteration 4'!G118</f>
        <v>18.869341885211266</v>
      </c>
      <c r="H118" s="38">
        <f>'GF + UG Iteration 4'!H118</f>
        <v>2012</v>
      </c>
      <c r="I118" s="35">
        <f>C118+F118</f>
        <v>48.2</v>
      </c>
      <c r="J118" s="36">
        <f>D118+G118</f>
        <v>36.719954333716956</v>
      </c>
      <c r="K118" s="38">
        <f>MAX(E118,H118)</f>
        <v>2013</v>
      </c>
      <c r="M118" s="21">
        <f>LN(I118)</f>
        <v>3.8753590210565547</v>
      </c>
      <c r="N118" s="21">
        <f>LN(J118)</f>
        <v>3.6033203221163572</v>
      </c>
    </row>
    <row r="119" spans="1:14" x14ac:dyDescent="0.2">
      <c r="A119" s="33">
        <f>'GF + UG Iteration 4'!A119</f>
        <v>1481</v>
      </c>
      <c r="B119" s="34" t="str">
        <f>'GF + UG Iteration 4'!B119</f>
        <v>UG</v>
      </c>
      <c r="C119" s="35">
        <f>'GF + UG Iteration 4'!C119</f>
        <v>48.2</v>
      </c>
      <c r="D119" s="36">
        <f>'GF + UG Iteration 4'!P$16*(C119^'GF + UG Iteration 4'!P$15)</f>
        <v>23.370130025943514</v>
      </c>
      <c r="E119" s="37">
        <f>'GF + UG Iteration 4'!E119</f>
        <v>2013</v>
      </c>
      <c r="F119" s="35">
        <f>'GF + UG Iteration 4'!F119</f>
        <v>0</v>
      </c>
      <c r="G119" s="36">
        <f>'GF + UG Iteration 4'!G119</f>
        <v>1.1114331301697908</v>
      </c>
      <c r="H119" s="38">
        <f>'GF + UG Iteration 4'!H119</f>
        <v>2014</v>
      </c>
      <c r="I119" s="35">
        <f t="shared" ref="I119:I183" si="10">C119+F119</f>
        <v>48.2</v>
      </c>
      <c r="J119" s="36">
        <f t="shared" ref="J119:J183" si="11">D119+G119</f>
        <v>24.481563156113303</v>
      </c>
      <c r="K119" s="38">
        <f t="shared" ref="K119:K183" si="12">MAX(E119,H119)</f>
        <v>2014</v>
      </c>
      <c r="M119" s="21">
        <f t="shared" si="8"/>
        <v>3.8753590210565547</v>
      </c>
      <c r="N119" s="21">
        <f t="shared" si="9"/>
        <v>3.197920310021912</v>
      </c>
    </row>
    <row r="120" spans="1:14" x14ac:dyDescent="0.2">
      <c r="A120" s="33">
        <f>'GF + UG Iteration 4'!A120</f>
        <v>457</v>
      </c>
      <c r="B120" s="34" t="str">
        <f>'GF + UG Iteration 4'!B120</f>
        <v>UG</v>
      </c>
      <c r="C120" s="35">
        <f>'GF + UG Iteration 4'!C120</f>
        <v>10.77</v>
      </c>
      <c r="D120" s="36">
        <f>'GF + UG Iteration 4'!P$16*(C120^'GF + UG Iteration 4'!P$15)</f>
        <v>9.9736856350480441</v>
      </c>
      <c r="E120" s="37">
        <f>'GF + UG Iteration 4'!E120</f>
        <v>1990</v>
      </c>
      <c r="F120" s="35">
        <f>'GF + UG Iteration 4'!F120</f>
        <v>10</v>
      </c>
      <c r="G120" s="36">
        <f>'GF + UG Iteration 4'!G120</f>
        <v>3.289132084924363</v>
      </c>
      <c r="H120" s="38">
        <f>'GF + UG Iteration 4'!H120</f>
        <v>2006</v>
      </c>
      <c r="I120" s="35">
        <f t="shared" si="10"/>
        <v>20.77</v>
      </c>
      <c r="J120" s="36">
        <f t="shared" si="11"/>
        <v>13.262817719972407</v>
      </c>
      <c r="K120" s="38">
        <f t="shared" si="12"/>
        <v>2006</v>
      </c>
      <c r="M120" s="21">
        <f t="shared" si="8"/>
        <v>3.0335096378880211</v>
      </c>
      <c r="N120" s="21">
        <f t="shared" si="9"/>
        <v>2.5849644599187465</v>
      </c>
    </row>
    <row r="121" spans="1:14" x14ac:dyDescent="0.2">
      <c r="A121" s="33">
        <f>'GF + UG Iteration 4'!A121</f>
        <v>407</v>
      </c>
      <c r="B121" s="34" t="str">
        <f>'GF + UG Iteration 4'!B121</f>
        <v>UG</v>
      </c>
      <c r="C121" s="35">
        <f>'GF + UG Iteration 4'!C121</f>
        <v>25.4</v>
      </c>
      <c r="D121" s="36">
        <f>'GF + UG Iteration 4'!P$16*(C121^'GF + UG Iteration 4'!P$15)</f>
        <v>16.239737274788229</v>
      </c>
      <c r="E121" s="37">
        <f>'GF + UG Iteration 4'!E121</f>
        <v>1982</v>
      </c>
      <c r="F121" s="35">
        <f>'GF + UG Iteration 4'!F121</f>
        <v>2</v>
      </c>
      <c r="G121" s="36">
        <f>'GF + UG Iteration 4'!G121</f>
        <v>0.60106525862386018</v>
      </c>
      <c r="H121" s="38">
        <f>'GF + UG Iteration 4'!H121</f>
        <v>2004</v>
      </c>
      <c r="I121" s="35">
        <f t="shared" si="10"/>
        <v>27.4</v>
      </c>
      <c r="J121" s="36">
        <f t="shared" si="11"/>
        <v>16.840802533412088</v>
      </c>
      <c r="K121" s="38">
        <f t="shared" si="12"/>
        <v>2004</v>
      </c>
      <c r="M121" s="21">
        <f t="shared" si="8"/>
        <v>3.3105430133940246</v>
      </c>
      <c r="N121" s="21">
        <f t="shared" si="9"/>
        <v>2.8238046640570418</v>
      </c>
    </row>
    <row r="122" spans="1:14" x14ac:dyDescent="0.2">
      <c r="A122" s="33">
        <f>'GF + UG Iteration 4'!A122</f>
        <v>706</v>
      </c>
      <c r="B122" s="34" t="str">
        <f>'GF + UG Iteration 4'!B122</f>
        <v>UG</v>
      </c>
      <c r="C122" s="35">
        <f>'GF + UG Iteration 4'!C122</f>
        <v>14.85</v>
      </c>
      <c r="D122" s="36">
        <f>'GF + UG Iteration 4'!P$16*(C122^'GF + UG Iteration 4'!P$15)</f>
        <v>11.970887401743793</v>
      </c>
      <c r="E122" s="37">
        <f>'GF + UG Iteration 4'!E122</f>
        <v>1984</v>
      </c>
      <c r="F122" s="35">
        <f>'GF + UG Iteration 4'!F122</f>
        <v>14.250000000000002</v>
      </c>
      <c r="G122" s="36">
        <f>'GF + UG Iteration 4'!G122</f>
        <v>5.8346214151737739</v>
      </c>
      <c r="H122" s="38">
        <f>'GF + UG Iteration 4'!H122</f>
        <v>2008</v>
      </c>
      <c r="I122" s="35">
        <f t="shared" si="10"/>
        <v>29.1</v>
      </c>
      <c r="J122" s="36">
        <f t="shared" si="11"/>
        <v>17.805508816917566</v>
      </c>
      <c r="K122" s="38">
        <f t="shared" si="12"/>
        <v>2008</v>
      </c>
      <c r="M122" s="21">
        <f t="shared" si="8"/>
        <v>3.3707381741774469</v>
      </c>
      <c r="N122" s="21">
        <f t="shared" si="9"/>
        <v>2.8795078935142073</v>
      </c>
    </row>
    <row r="123" spans="1:14" x14ac:dyDescent="0.2">
      <c r="A123" s="33">
        <f>'GF + UG Iteration 4'!A123</f>
        <v>1070</v>
      </c>
      <c r="B123" s="34" t="str">
        <f>'GF + UG Iteration 4'!B123</f>
        <v>UG</v>
      </c>
      <c r="C123" s="35">
        <f>'GF + UG Iteration 4'!C123</f>
        <v>34</v>
      </c>
      <c r="D123" s="36">
        <f>'GF + UG Iteration 4'!P$16*(C123^'GF + UG Iteration 4'!P$15)</f>
        <v>19.166349483726602</v>
      </c>
      <c r="E123" s="37">
        <f>'GF + UG Iteration 4'!E123</f>
        <v>1984</v>
      </c>
      <c r="F123" s="35">
        <f>'GF + UG Iteration 4'!F123</f>
        <v>4.8999999999999986</v>
      </c>
      <c r="G123" s="36">
        <f>'GF + UG Iteration 4'!G123</f>
        <v>0.83607952853202894</v>
      </c>
      <c r="H123" s="38">
        <f>'GF + UG Iteration 4'!H123</f>
        <v>2011</v>
      </c>
      <c r="I123" s="35">
        <f t="shared" si="10"/>
        <v>38.9</v>
      </c>
      <c r="J123" s="36">
        <f t="shared" si="11"/>
        <v>20.002429012258631</v>
      </c>
      <c r="K123" s="38">
        <f t="shared" si="12"/>
        <v>2011</v>
      </c>
      <c r="M123" s="21">
        <f t="shared" si="8"/>
        <v>3.6609942506244004</v>
      </c>
      <c r="N123" s="21">
        <f t="shared" si="9"/>
        <v>2.9958537167923938</v>
      </c>
    </row>
    <row r="124" spans="1:14" x14ac:dyDescent="0.2">
      <c r="A124" s="33">
        <f>'GF + UG Iteration 4'!A124</f>
        <v>1264</v>
      </c>
      <c r="B124" s="34" t="str">
        <f>'GF + UG Iteration 4'!B124</f>
        <v>UG</v>
      </c>
      <c r="C124" s="35">
        <f>'GF + UG Iteration 4'!C124</f>
        <v>38.9</v>
      </c>
      <c r="D124" s="36">
        <f>'GF + UG Iteration 4'!P$16*(C124^'GF + UG Iteration 4'!P$15)</f>
        <v>20.690106360311745</v>
      </c>
      <c r="E124" s="37">
        <f>'GF + UG Iteration 4'!E124</f>
        <v>1984</v>
      </c>
      <c r="F124" s="35">
        <f>'GF + UG Iteration 4'!F124</f>
        <v>7.2000000000000028</v>
      </c>
      <c r="G124" s="36">
        <f>'GF + UG Iteration 4'!G124</f>
        <v>8.0578720930203094</v>
      </c>
      <c r="H124" s="38">
        <f>'GF + UG Iteration 4'!H124</f>
        <v>2013</v>
      </c>
      <c r="I124" s="35">
        <f t="shared" si="10"/>
        <v>46.1</v>
      </c>
      <c r="J124" s="36">
        <f t="shared" si="11"/>
        <v>28.747978453332053</v>
      </c>
      <c r="K124" s="38">
        <f t="shared" si="12"/>
        <v>2013</v>
      </c>
      <c r="M124" s="21">
        <f t="shared" si="8"/>
        <v>3.8308129500026027</v>
      </c>
      <c r="N124" s="21">
        <f t="shared" si="9"/>
        <v>3.3585674501044562</v>
      </c>
    </row>
    <row r="125" spans="1:14" x14ac:dyDescent="0.2">
      <c r="A125" s="33">
        <f>'GF + UG Iteration 4'!A125</f>
        <v>1208</v>
      </c>
      <c r="B125" s="34" t="str">
        <f>'GF + UG Iteration 4'!B125</f>
        <v>UG</v>
      </c>
      <c r="C125" s="35">
        <f>'GF + UG Iteration 4'!C125</f>
        <v>14.1</v>
      </c>
      <c r="D125" s="36">
        <f>'GF + UG Iteration 4'!P$16*(C125^'GF + UG Iteration 4'!P$15)</f>
        <v>11.623517341063776</v>
      </c>
      <c r="E125" s="37">
        <f>'GF + UG Iteration 4'!E125</f>
        <v>1961</v>
      </c>
      <c r="F125" s="35">
        <f>'GF + UG Iteration 4'!F125</f>
        <v>11.500000000000002</v>
      </c>
      <c r="G125" s="36">
        <f>'GF + UG Iteration 4'!G125</f>
        <v>2.7992110812000917</v>
      </c>
      <c r="H125" s="38">
        <f>'GF + UG Iteration 4'!H125</f>
        <v>2012</v>
      </c>
      <c r="I125" s="35">
        <f t="shared" si="10"/>
        <v>25.6</v>
      </c>
      <c r="J125" s="36">
        <f t="shared" si="11"/>
        <v>14.422728422263868</v>
      </c>
      <c r="K125" s="38">
        <f t="shared" si="12"/>
        <v>2012</v>
      </c>
      <c r="M125" s="21">
        <f t="shared" si="8"/>
        <v>3.2425923514855168</v>
      </c>
      <c r="N125" s="21">
        <f t="shared" si="9"/>
        <v>2.6688053249339672</v>
      </c>
    </row>
    <row r="126" spans="1:14" x14ac:dyDescent="0.2">
      <c r="A126" s="33">
        <f>'GF + UG Iteration 4'!A126</f>
        <v>655</v>
      </c>
      <c r="B126" s="34" t="str">
        <f>'GF + UG Iteration 4'!B126</f>
        <v>UG</v>
      </c>
      <c r="C126" s="35">
        <f>'GF + UG Iteration 4'!C126</f>
        <v>12.052999999999999</v>
      </c>
      <c r="D126" s="36">
        <f>'GF + UG Iteration 4'!P$16*(C126^'GF + UG Iteration 4'!P$15)</f>
        <v>10.632348733141686</v>
      </c>
      <c r="E126" s="37">
        <f>'GF + UG Iteration 4'!E126</f>
        <v>1974</v>
      </c>
      <c r="F126" s="35">
        <f>'GF + UG Iteration 4'!F126</f>
        <v>2.3390000000000004</v>
      </c>
      <c r="G126" s="36">
        <f>'GF + UG Iteration 4'!G126</f>
        <v>0.59464786373478107</v>
      </c>
      <c r="H126" s="38">
        <f>'GF + UG Iteration 4'!H126</f>
        <v>2007</v>
      </c>
      <c r="I126" s="35">
        <f t="shared" si="10"/>
        <v>14.391999999999999</v>
      </c>
      <c r="J126" s="36">
        <f t="shared" si="11"/>
        <v>11.226996596876468</v>
      </c>
      <c r="K126" s="38">
        <f t="shared" si="12"/>
        <v>2007</v>
      </c>
      <c r="M126" s="21">
        <f t="shared" si="8"/>
        <v>2.666672496648232</v>
      </c>
      <c r="N126" s="21">
        <f t="shared" si="9"/>
        <v>2.4183212883570158</v>
      </c>
    </row>
    <row r="127" spans="1:14" x14ac:dyDescent="0.2">
      <c r="A127" s="33">
        <f>'GF + UG Iteration 4'!A127</f>
        <v>733</v>
      </c>
      <c r="B127" s="34" t="str">
        <f>'GF + UG Iteration 4'!B127</f>
        <v>UG</v>
      </c>
      <c r="C127" s="35">
        <f>'GF + UG Iteration 4'!C127</f>
        <v>24.3</v>
      </c>
      <c r="D127" s="36">
        <f>'GF + UG Iteration 4'!P$16*(C127^'GF + UG Iteration 4'!P$15)</f>
        <v>15.836305624560755</v>
      </c>
      <c r="E127" s="37">
        <f>'GF + UG Iteration 4'!E127</f>
        <v>2007</v>
      </c>
      <c r="F127" s="35">
        <f>'GF + UG Iteration 4'!F127</f>
        <v>17.099999999999998</v>
      </c>
      <c r="G127" s="36">
        <f>'GF + UG Iteration 4'!G127</f>
        <v>6.7726080218724345</v>
      </c>
      <c r="H127" s="38">
        <f>'GF + UG Iteration 4'!H127</f>
        <v>2009</v>
      </c>
      <c r="I127" s="35">
        <f t="shared" si="10"/>
        <v>41.4</v>
      </c>
      <c r="J127" s="36">
        <f t="shared" si="11"/>
        <v>22.608913646433187</v>
      </c>
      <c r="K127" s="38">
        <f t="shared" si="12"/>
        <v>2009</v>
      </c>
      <c r="M127" s="21">
        <f t="shared" si="8"/>
        <v>3.7232808808312687</v>
      </c>
      <c r="N127" s="21">
        <f t="shared" si="9"/>
        <v>3.1183442376536146</v>
      </c>
    </row>
    <row r="128" spans="1:14" x14ac:dyDescent="0.2">
      <c r="A128" s="33">
        <f>'GF + UG Iteration 4'!A128</f>
        <v>1700</v>
      </c>
      <c r="B128" s="34" t="str">
        <f>'GF + UG Iteration 4'!B128</f>
        <v>UG</v>
      </c>
      <c r="C128" s="35">
        <f>'GF + UG Iteration 4'!C128</f>
        <v>13.4</v>
      </c>
      <c r="D128" s="36">
        <f>'GF + UG Iteration 4'!P$16*(C128^'GF + UG Iteration 4'!P$15)</f>
        <v>11.29203224264897</v>
      </c>
      <c r="E128" s="37">
        <f>'GF + UG Iteration 4'!E128</f>
        <v>0</v>
      </c>
      <c r="F128" s="35">
        <f>'GF + UG Iteration 4'!F128</f>
        <v>0</v>
      </c>
      <c r="G128" s="36">
        <f>'GF + UG Iteration 4'!G128</f>
        <v>4.0238803148956235</v>
      </c>
      <c r="H128" s="38">
        <f>'GF + UG Iteration 4'!H128</f>
        <v>2016</v>
      </c>
      <c r="I128" s="35">
        <f t="shared" ref="I128" si="13">C128+F128</f>
        <v>13.4</v>
      </c>
      <c r="J128" s="36">
        <f t="shared" ref="J128" si="14">D128+G128</f>
        <v>15.315912557544593</v>
      </c>
      <c r="K128" s="38">
        <f t="shared" ref="K128" si="15">MAX(E128,H128)</f>
        <v>2016</v>
      </c>
      <c r="M128" s="21">
        <f t="shared" ref="M128" si="16">LN(I128)</f>
        <v>2.5952547069568657</v>
      </c>
      <c r="N128" s="21">
        <f t="shared" ref="N128" si="17">LN(J128)</f>
        <v>2.7288923243760155</v>
      </c>
    </row>
    <row r="129" spans="1:14" x14ac:dyDescent="0.2">
      <c r="A129" s="33">
        <f>'GF + UG Iteration 4'!A129</f>
        <v>1569</v>
      </c>
      <c r="B129" s="34" t="str">
        <f>'GF + UG Iteration 4'!B129</f>
        <v>UG</v>
      </c>
      <c r="C129" s="35">
        <f>'GF + UG Iteration 4'!C129</f>
        <v>17.7</v>
      </c>
      <c r="D129" s="36">
        <f>'GF + UG Iteration 4'!P$16*(C129^'GF + UG Iteration 4'!P$15)</f>
        <v>13.226658685107592</v>
      </c>
      <c r="E129" s="37">
        <f>'GF + UG Iteration 4'!E129</f>
        <v>1997</v>
      </c>
      <c r="F129" s="35">
        <f>'GF + UG Iteration 4'!F129</f>
        <v>0</v>
      </c>
      <c r="G129" s="36">
        <f>'GF + UG Iteration 4'!G129</f>
        <v>3.7372730134616279</v>
      </c>
      <c r="H129" s="38">
        <f>'GF + UG Iteration 4'!H129</f>
        <v>2015</v>
      </c>
      <c r="I129" s="35">
        <f t="shared" si="10"/>
        <v>17.7</v>
      </c>
      <c r="J129" s="36">
        <f t="shared" si="11"/>
        <v>16.963931698569219</v>
      </c>
      <c r="K129" s="38">
        <f t="shared" si="12"/>
        <v>2015</v>
      </c>
      <c r="M129" s="21">
        <f t="shared" si="8"/>
        <v>2.8735646395797834</v>
      </c>
      <c r="N129" s="21">
        <f t="shared" si="9"/>
        <v>2.8310894253468244</v>
      </c>
    </row>
    <row r="130" spans="1:14" x14ac:dyDescent="0.2">
      <c r="A130" s="33">
        <f>'GF + UG Iteration 4'!A130</f>
        <v>401</v>
      </c>
      <c r="B130" s="34" t="str">
        <f>'GF + UG Iteration 4'!B130</f>
        <v>UG</v>
      </c>
      <c r="C130" s="35">
        <f>'GF + UG Iteration 4'!C130</f>
        <v>2</v>
      </c>
      <c r="D130" s="36">
        <f>'GF + UG Iteration 4'!P$16*(C130^'GF + UG Iteration 4'!P$15)</f>
        <v>3.8317087093734283</v>
      </c>
      <c r="E130" s="37">
        <f>'GF + UG Iteration 4'!E130</f>
        <v>1986</v>
      </c>
      <c r="F130" s="35">
        <f>'GF + UG Iteration 4'!F130</f>
        <v>1.5</v>
      </c>
      <c r="G130" s="36">
        <f>'GF + UG Iteration 4'!G130</f>
        <v>0.36204281296556784</v>
      </c>
      <c r="H130" s="38">
        <f>'GF + UG Iteration 4'!H130</f>
        <v>2004</v>
      </c>
      <c r="I130" s="35">
        <f t="shared" si="10"/>
        <v>3.5</v>
      </c>
      <c r="J130" s="36">
        <f t="shared" si="11"/>
        <v>4.1937515223389958</v>
      </c>
      <c r="K130" s="38">
        <f t="shared" si="12"/>
        <v>2004</v>
      </c>
      <c r="M130" s="21">
        <f t="shared" si="8"/>
        <v>1.2527629684953681</v>
      </c>
      <c r="N130" s="21">
        <f t="shared" si="9"/>
        <v>1.4335956847396361</v>
      </c>
    </row>
    <row r="131" spans="1:14" x14ac:dyDescent="0.2">
      <c r="A131" s="33">
        <f>'GF + UG Iteration 4'!A131</f>
        <v>1412</v>
      </c>
      <c r="B131" s="34" t="str">
        <f>'GF + UG Iteration 4'!B131</f>
        <v>UG</v>
      </c>
      <c r="C131" s="35">
        <f>'GF + UG Iteration 4'!C131</f>
        <v>3.5</v>
      </c>
      <c r="D131" s="36">
        <f>'GF + UG Iteration 4'!P$16*(C131^'GF + UG Iteration 4'!P$15)</f>
        <v>5.2660849279084934</v>
      </c>
      <c r="E131" s="37">
        <f>'GF + UG Iteration 4'!E131</f>
        <v>1986</v>
      </c>
      <c r="F131" s="35">
        <f>'GF + UG Iteration 4'!F131</f>
        <v>11</v>
      </c>
      <c r="G131" s="36">
        <f>'GF + UG Iteration 4'!G131</f>
        <v>4.3574845496482366</v>
      </c>
      <c r="H131" s="38">
        <f>'GF + UG Iteration 4'!H131</f>
        <v>2015</v>
      </c>
      <c r="I131" s="35">
        <f t="shared" si="10"/>
        <v>14.5</v>
      </c>
      <c r="J131" s="36">
        <f t="shared" si="11"/>
        <v>9.62356947755673</v>
      </c>
      <c r="K131" s="38">
        <f t="shared" si="12"/>
        <v>2015</v>
      </c>
      <c r="M131" s="21">
        <f t="shared" si="8"/>
        <v>2.6741486494265287</v>
      </c>
      <c r="N131" s="21">
        <f t="shared" si="9"/>
        <v>2.264215243419561</v>
      </c>
    </row>
    <row r="132" spans="1:14" x14ac:dyDescent="0.2">
      <c r="A132" s="33">
        <f>'GF + UG Iteration 4'!A132</f>
        <v>1318</v>
      </c>
      <c r="B132" s="34" t="str">
        <f>'GF + UG Iteration 4'!B132</f>
        <v>UG</v>
      </c>
      <c r="C132" s="35">
        <f>'GF + UG Iteration 4'!C132</f>
        <v>22.3</v>
      </c>
      <c r="D132" s="36">
        <f>'GF + UG Iteration 4'!P$16*(C132^'GF + UG Iteration 4'!P$15)</f>
        <v>15.082003460405735</v>
      </c>
      <c r="E132" s="37">
        <f>'GF + UG Iteration 4'!E132</f>
        <v>1997</v>
      </c>
      <c r="F132" s="35">
        <f>'GF + UG Iteration 4'!F132</f>
        <v>28.900000000000002</v>
      </c>
      <c r="G132" s="36">
        <f>'GF + UG Iteration 4'!G132</f>
        <v>1.6878206182928517</v>
      </c>
      <c r="H132" s="38">
        <f>'GF + UG Iteration 4'!H132</f>
        <v>2013</v>
      </c>
      <c r="I132" s="35">
        <f t="shared" si="10"/>
        <v>51.2</v>
      </c>
      <c r="J132" s="36">
        <f t="shared" si="11"/>
        <v>16.769824078698587</v>
      </c>
      <c r="K132" s="38">
        <f t="shared" si="12"/>
        <v>2013</v>
      </c>
      <c r="M132" s="21">
        <f t="shared" si="8"/>
        <v>3.9357395320454622</v>
      </c>
      <c r="N132" s="21">
        <f t="shared" si="9"/>
        <v>2.8195810855414893</v>
      </c>
    </row>
    <row r="133" spans="1:14" x14ac:dyDescent="0.2">
      <c r="A133" s="33">
        <f>'GF + UG Iteration 4'!A133</f>
        <v>1194</v>
      </c>
      <c r="B133" s="34" t="str">
        <f>'GF + UG Iteration 4'!B133</f>
        <v>UG</v>
      </c>
      <c r="C133" s="35">
        <f>'GF + UG Iteration 4'!C133</f>
        <v>5.8</v>
      </c>
      <c r="D133" s="36">
        <f>'GF + UG Iteration 4'!P$16*(C133^'GF + UG Iteration 4'!P$15)</f>
        <v>7.0166404544900045</v>
      </c>
      <c r="E133" s="37">
        <f>'GF + UG Iteration 4'!E133</f>
        <v>1980</v>
      </c>
      <c r="F133" s="35">
        <f>'GF + UG Iteration 4'!F133</f>
        <v>9.6000000000000014</v>
      </c>
      <c r="G133" s="36">
        <f>'GF + UG Iteration 4'!G133</f>
        <v>1.6086060831571487</v>
      </c>
      <c r="H133" s="38">
        <f>'GF + UG Iteration 4'!H133</f>
        <v>2011</v>
      </c>
      <c r="I133" s="35">
        <f t="shared" si="10"/>
        <v>15.400000000000002</v>
      </c>
      <c r="J133" s="36">
        <f t="shared" si="11"/>
        <v>8.6252465376471541</v>
      </c>
      <c r="K133" s="38">
        <f t="shared" si="12"/>
        <v>2011</v>
      </c>
      <c r="M133" s="21">
        <f t="shared" si="8"/>
        <v>2.7343675094195836</v>
      </c>
      <c r="N133" s="21">
        <f t="shared" si="9"/>
        <v>2.154693546583939</v>
      </c>
    </row>
    <row r="134" spans="1:14" x14ac:dyDescent="0.2">
      <c r="A134" s="33">
        <f>'GF + UG Iteration 4'!A134</f>
        <v>801</v>
      </c>
      <c r="B134" s="34" t="str">
        <f>'GF + UG Iteration 4'!B134</f>
        <v>UG</v>
      </c>
      <c r="C134" s="35">
        <f>'GF + UG Iteration 4'!C134</f>
        <v>10</v>
      </c>
      <c r="D134" s="36">
        <f>'GF + UG Iteration 4'!P$16*(C134^'GF + UG Iteration 4'!P$15)</f>
        <v>9.5620400828909595</v>
      </c>
      <c r="E134" s="37">
        <f>'GF + UG Iteration 4'!E134</f>
        <v>2008</v>
      </c>
      <c r="F134" s="35">
        <f>'GF + UG Iteration 4'!F134</f>
        <v>0</v>
      </c>
      <c r="G134" s="36">
        <f>'GF + UG Iteration 4'!G134</f>
        <v>6.3106495854024782</v>
      </c>
      <c r="H134" s="38">
        <f>'GF + UG Iteration 4'!H134</f>
        <v>2009</v>
      </c>
      <c r="I134" s="35">
        <f t="shared" si="10"/>
        <v>10</v>
      </c>
      <c r="J134" s="36">
        <f t="shared" si="11"/>
        <v>15.872689668293438</v>
      </c>
      <c r="K134" s="38">
        <f t="shared" si="12"/>
        <v>2009</v>
      </c>
      <c r="M134" s="21">
        <f t="shared" si="8"/>
        <v>2.3025850929940459</v>
      </c>
      <c r="N134" s="21">
        <f t="shared" si="9"/>
        <v>2.7646000014819183</v>
      </c>
    </row>
    <row r="135" spans="1:14" x14ac:dyDescent="0.2">
      <c r="A135" s="33">
        <f>'GF + UG Iteration 4'!A135</f>
        <v>804</v>
      </c>
      <c r="B135" s="34" t="str">
        <f>'GF + UG Iteration 4'!B135</f>
        <v>UG</v>
      </c>
      <c r="C135" s="35">
        <f>'GF + UG Iteration 4'!C135</f>
        <v>14.429</v>
      </c>
      <c r="D135" s="36">
        <f>'GF + UG Iteration 4'!P$16*(C135^'GF + UG Iteration 4'!P$15)</f>
        <v>11.776855420223875</v>
      </c>
      <c r="E135" s="37">
        <f>'GF + UG Iteration 4'!E135</f>
        <v>1982</v>
      </c>
      <c r="F135" s="35">
        <f>'GF + UG Iteration 4'!F135</f>
        <v>9.8710000000000004</v>
      </c>
      <c r="G135" s="36">
        <f>'GF + UG Iteration 4'!G135</f>
        <v>9.1566982400815444</v>
      </c>
      <c r="H135" s="38">
        <f>'GF + UG Iteration 4'!H135</f>
        <v>2009</v>
      </c>
      <c r="I135" s="35">
        <f t="shared" si="10"/>
        <v>24.3</v>
      </c>
      <c r="J135" s="36">
        <f t="shared" si="11"/>
        <v>20.933553660305421</v>
      </c>
      <c r="K135" s="38">
        <f t="shared" si="12"/>
        <v>2009</v>
      </c>
      <c r="M135" s="21">
        <f t="shared" si="8"/>
        <v>3.1904763503465028</v>
      </c>
      <c r="N135" s="21">
        <f t="shared" si="9"/>
        <v>3.0413533099244798</v>
      </c>
    </row>
    <row r="136" spans="1:14" x14ac:dyDescent="0.2">
      <c r="A136" s="33">
        <f>'GF + UG Iteration 4'!A136</f>
        <v>365</v>
      </c>
      <c r="B136" s="34" t="str">
        <f>'GF + UG Iteration 4'!B136</f>
        <v>UG</v>
      </c>
      <c r="C136" s="35">
        <f>'GF + UG Iteration 4'!C136</f>
        <v>15.9</v>
      </c>
      <c r="D136" s="36">
        <f>'GF + UG Iteration 4'!P$16*(C136^'GF + UG Iteration 4'!P$15)</f>
        <v>12.444726650502151</v>
      </c>
      <c r="E136" s="37">
        <f>'GF + UG Iteration 4'!E136</f>
        <v>1982</v>
      </c>
      <c r="F136" s="35">
        <f>'GF + UG Iteration 4'!F136</f>
        <v>0.26900000000000013</v>
      </c>
      <c r="G136" s="36">
        <f>'GF + UG Iteration 4'!G136</f>
        <v>0.59607313292480213</v>
      </c>
      <c r="H136" s="38">
        <f>'GF + UG Iteration 4'!H136</f>
        <v>2003</v>
      </c>
      <c r="I136" s="35">
        <f t="shared" si="10"/>
        <v>16.169</v>
      </c>
      <c r="J136" s="36">
        <f t="shared" si="11"/>
        <v>13.040799783426953</v>
      </c>
      <c r="K136" s="38">
        <f t="shared" si="12"/>
        <v>2003</v>
      </c>
      <c r="M136" s="21">
        <f t="shared" ref="M136:M183" si="18">LN(I136)</f>
        <v>2.7830958287576775</v>
      </c>
      <c r="N136" s="21">
        <f t="shared" ref="N136:N183" si="19">LN(J136)</f>
        <v>2.5680828877025994</v>
      </c>
    </row>
    <row r="137" spans="1:14" x14ac:dyDescent="0.2">
      <c r="A137" s="33">
        <f>'GF + UG Iteration 4'!A137</f>
        <v>708</v>
      </c>
      <c r="B137" s="34" t="str">
        <f>'GF + UG Iteration 4'!B137</f>
        <v>UG</v>
      </c>
      <c r="C137" s="35">
        <f>'GF + UG Iteration 4'!C137</f>
        <v>16.2</v>
      </c>
      <c r="D137" s="36">
        <f>'GF + UG Iteration 4'!P$16*(C137^'GF + UG Iteration 4'!P$15)</f>
        <v>12.577605981989281</v>
      </c>
      <c r="E137" s="37">
        <f>'GF + UG Iteration 4'!E137</f>
        <v>1982</v>
      </c>
      <c r="F137" s="35">
        <f>'GF + UG Iteration 4'!F137</f>
        <v>11.5</v>
      </c>
      <c r="G137" s="36">
        <f>'GF + UG Iteration 4'!G137</f>
        <v>6.8374623210633541</v>
      </c>
      <c r="H137" s="38">
        <f>'GF + UG Iteration 4'!H137</f>
        <v>2007</v>
      </c>
      <c r="I137" s="35">
        <f t="shared" si="10"/>
        <v>27.7</v>
      </c>
      <c r="J137" s="36">
        <f t="shared" si="11"/>
        <v>19.415068303052635</v>
      </c>
      <c r="K137" s="38">
        <f t="shared" si="12"/>
        <v>2007</v>
      </c>
      <c r="M137" s="21">
        <f t="shared" si="18"/>
        <v>3.3214324131932926</v>
      </c>
      <c r="N137" s="21">
        <f t="shared" si="19"/>
        <v>2.9660494812332052</v>
      </c>
    </row>
    <row r="138" spans="1:14" x14ac:dyDescent="0.2">
      <c r="A138" s="33">
        <f>'GF + UG Iteration 4'!A138</f>
        <v>1568</v>
      </c>
      <c r="B138" s="34" t="str">
        <f>'GF + UG Iteration 4'!B138</f>
        <v>UG</v>
      </c>
      <c r="C138" s="35">
        <f>'GF + UG Iteration 4'!C138</f>
        <v>27.7</v>
      </c>
      <c r="D138" s="36">
        <f>'GF + UG Iteration 4'!P$16*(C138^'GF + UG Iteration 4'!P$15)</f>
        <v>17.059632237603179</v>
      </c>
      <c r="E138" s="37">
        <f>'GF + UG Iteration 4'!E138</f>
        <v>1997</v>
      </c>
      <c r="F138" s="35">
        <f>'GF + UG Iteration 4'!F138</f>
        <v>8.0999999999999979</v>
      </c>
      <c r="G138" s="36">
        <f>'GF + UG Iteration 4'!G138</f>
        <v>3.5848996641236104</v>
      </c>
      <c r="H138" s="38">
        <f>'GF + UG Iteration 4'!H138</f>
        <v>2015</v>
      </c>
      <c r="I138" s="35">
        <f t="shared" si="10"/>
        <v>35.799999999999997</v>
      </c>
      <c r="J138" s="36">
        <f t="shared" si="11"/>
        <v>20.64453190172679</v>
      </c>
      <c r="K138" s="38">
        <f t="shared" si="12"/>
        <v>2015</v>
      </c>
      <c r="M138" s="21">
        <f t="shared" si="18"/>
        <v>3.5779478934066544</v>
      </c>
      <c r="N138" s="21">
        <f t="shared" si="19"/>
        <v>3.0274504853937549</v>
      </c>
    </row>
    <row r="139" spans="1:14" x14ac:dyDescent="0.2">
      <c r="A139" s="33">
        <f>'GF + UG Iteration 4'!A139</f>
        <v>398</v>
      </c>
      <c r="B139" s="34" t="str">
        <f>'GF + UG Iteration 4'!B139</f>
        <v>UG</v>
      </c>
      <c r="C139" s="35">
        <f>'GF + UG Iteration 4'!C139</f>
        <v>27.329000000000001</v>
      </c>
      <c r="D139" s="36">
        <f>'GF + UG Iteration 4'!P$16*(C139^'GF + UG Iteration 4'!P$15)</f>
        <v>16.929426315707268</v>
      </c>
      <c r="E139" s="37">
        <f>'GF + UG Iteration 4'!E139</f>
        <v>1981</v>
      </c>
      <c r="F139" s="35">
        <f>'GF + UG Iteration 4'!F139</f>
        <v>2</v>
      </c>
      <c r="G139" s="36">
        <f>'GF + UG Iteration 4'!G139</f>
        <v>1.454685054931611</v>
      </c>
      <c r="H139" s="38">
        <f>'GF + UG Iteration 4'!H139</f>
        <v>2004</v>
      </c>
      <c r="I139" s="35">
        <f t="shared" si="10"/>
        <v>29.329000000000001</v>
      </c>
      <c r="J139" s="36">
        <f t="shared" si="11"/>
        <v>18.38411137063888</v>
      </c>
      <c r="K139" s="38">
        <f t="shared" si="12"/>
        <v>2004</v>
      </c>
      <c r="M139" s="21">
        <f t="shared" si="18"/>
        <v>3.3785767876246213</v>
      </c>
      <c r="N139" s="21">
        <f t="shared" si="19"/>
        <v>2.9114867791080066</v>
      </c>
    </row>
    <row r="140" spans="1:14" x14ac:dyDescent="0.2">
      <c r="A140" s="33">
        <f>'GF + UG Iteration 4'!A140</f>
        <v>1642</v>
      </c>
      <c r="B140" s="34" t="str">
        <f>'GF + UG Iteration 4'!B140</f>
        <v>UG</v>
      </c>
      <c r="C140" s="35">
        <f>'GF + UG Iteration 4'!C140</f>
        <v>16.12</v>
      </c>
      <c r="D140" s="36">
        <f>'GF + UG Iteration 4'!P$16*(C140^'GF + UG Iteration 4'!P$15)</f>
        <v>12.542276140457972</v>
      </c>
      <c r="E140" s="37" t="str">
        <f>'GF + UG Iteration 4'!E140</f>
        <v>unknown</v>
      </c>
      <c r="F140" s="35">
        <f>'GF + UG Iteration 4'!F140</f>
        <v>2.7799999999999976</v>
      </c>
      <c r="G140" s="36">
        <f>'GF + UG Iteration 4'!G140</f>
        <v>10.134123990225088</v>
      </c>
      <c r="H140" s="38">
        <f>'GF + UG Iteration 4'!H140</f>
        <v>2015</v>
      </c>
      <c r="I140" s="35">
        <f t="shared" si="10"/>
        <v>18.899999999999999</v>
      </c>
      <c r="J140" s="36">
        <f t="shared" si="11"/>
        <v>22.67640013068306</v>
      </c>
      <c r="K140" s="38">
        <f t="shared" si="12"/>
        <v>2015</v>
      </c>
      <c r="M140" s="21">
        <f t="shared" si="18"/>
        <v>2.9391619220655967</v>
      </c>
      <c r="N140" s="21">
        <f t="shared" si="19"/>
        <v>3.1213247418648109</v>
      </c>
    </row>
    <row r="141" spans="1:14" x14ac:dyDescent="0.2">
      <c r="A141" s="33">
        <f>'GF + UG Iteration 4'!A141</f>
        <v>522</v>
      </c>
      <c r="B141" s="34" t="str">
        <f>'GF + UG Iteration 4'!B141</f>
        <v>UG</v>
      </c>
      <c r="C141" s="35">
        <f>'GF + UG Iteration 4'!C141</f>
        <v>38.700000000000003</v>
      </c>
      <c r="D141" s="36">
        <f>'GF + UG Iteration 4'!P$16*(C141^'GF + UG Iteration 4'!P$15)</f>
        <v>20.629595829159779</v>
      </c>
      <c r="E141" s="37">
        <f>'GF + UG Iteration 4'!E141</f>
        <v>1981</v>
      </c>
      <c r="F141" s="35">
        <f>'GF + UG Iteration 4'!F141</f>
        <v>2.2999999999999972</v>
      </c>
      <c r="G141" s="36">
        <f>'GF + UG Iteration 4'!G141</f>
        <v>0.49326793696611254</v>
      </c>
      <c r="H141" s="38">
        <f>'GF + UG Iteration 4'!H141</f>
        <v>2006</v>
      </c>
      <c r="I141" s="35">
        <f t="shared" si="10"/>
        <v>41</v>
      </c>
      <c r="J141" s="36">
        <f t="shared" si="11"/>
        <v>21.122863766125892</v>
      </c>
      <c r="K141" s="38">
        <f t="shared" si="12"/>
        <v>2006</v>
      </c>
      <c r="M141" s="21">
        <f t="shared" si="18"/>
        <v>3.713572066704308</v>
      </c>
      <c r="N141" s="21">
        <f t="shared" si="19"/>
        <v>3.0503560446329128</v>
      </c>
    </row>
    <row r="142" spans="1:14" x14ac:dyDescent="0.2">
      <c r="A142" s="33">
        <f>'GF + UG Iteration 4'!A142</f>
        <v>170</v>
      </c>
      <c r="B142" s="34" t="str">
        <f>'GF + UG Iteration 4'!B142</f>
        <v>UG</v>
      </c>
      <c r="C142" s="35">
        <f>'GF + UG Iteration 4'!C142</f>
        <v>20.399999999999999</v>
      </c>
      <c r="D142" s="36">
        <f>'GF + UG Iteration 4'!P$16*(C142^'GF + UG Iteration 4'!P$15)</f>
        <v>14.337845309756638</v>
      </c>
      <c r="E142" s="37" t="str">
        <f>'GF + UG Iteration 4'!E142</f>
        <v>unknown</v>
      </c>
      <c r="F142" s="35">
        <f>'GF + UG Iteration 4'!F142</f>
        <v>5.6000000000000014</v>
      </c>
      <c r="G142" s="36">
        <f>'GF + UG Iteration 4'!G142</f>
        <v>4.433742547698083</v>
      </c>
      <c r="H142" s="38">
        <f>'GF + UG Iteration 4'!H142</f>
        <v>2001</v>
      </c>
      <c r="I142" s="35">
        <f t="shared" si="10"/>
        <v>26</v>
      </c>
      <c r="J142" s="36">
        <f t="shared" si="11"/>
        <v>18.771587857454719</v>
      </c>
      <c r="K142" s="38">
        <f t="shared" si="12"/>
        <v>2001</v>
      </c>
      <c r="M142" s="21">
        <f t="shared" si="18"/>
        <v>3.2580965380214821</v>
      </c>
      <c r="N142" s="21">
        <f t="shared" si="19"/>
        <v>2.9323444425161433</v>
      </c>
    </row>
    <row r="143" spans="1:14" x14ac:dyDescent="0.2">
      <c r="A143" s="33">
        <f>'GF + UG Iteration 4'!A143</f>
        <v>1312</v>
      </c>
      <c r="B143" s="34" t="str">
        <f>'GF + UG Iteration 4'!B143</f>
        <v>UG</v>
      </c>
      <c r="C143" s="35">
        <f>'GF + UG Iteration 4'!C143</f>
        <v>23.63</v>
      </c>
      <c r="D143" s="36">
        <f>'GF + UG Iteration 4'!P$16*(C143^'GF + UG Iteration 4'!P$15)</f>
        <v>15.586708699819514</v>
      </c>
      <c r="E143" s="37" t="str">
        <f>'GF + UG Iteration 4'!E143</f>
        <v>unknown</v>
      </c>
      <c r="F143" s="35">
        <f>'GF + UG Iteration 4'!F143</f>
        <v>0</v>
      </c>
      <c r="G143" s="36">
        <f>'GF + UG Iteration 4'!G143</f>
        <v>6.0245111186360631</v>
      </c>
      <c r="H143" s="38">
        <f>'GF + UG Iteration 4'!H143</f>
        <v>2013</v>
      </c>
      <c r="I143" s="35">
        <f t="shared" si="10"/>
        <v>23.63</v>
      </c>
      <c r="J143" s="36">
        <f t="shared" si="11"/>
        <v>21.611219818455577</v>
      </c>
      <c r="K143" s="38">
        <f t="shared" si="12"/>
        <v>2013</v>
      </c>
      <c r="M143" s="21">
        <f t="shared" si="18"/>
        <v>3.1625170911988163</v>
      </c>
      <c r="N143" s="21">
        <f t="shared" si="19"/>
        <v>3.0732126158695285</v>
      </c>
    </row>
    <row r="144" spans="1:14" x14ac:dyDescent="0.2">
      <c r="A144" s="33">
        <f>'GF + UG Iteration 4'!A144</f>
        <v>170</v>
      </c>
      <c r="B144" s="34" t="str">
        <f>'GF + UG Iteration 4'!B144</f>
        <v>UG</v>
      </c>
      <c r="C144" s="35">
        <f>'GF + UG Iteration 4'!C144</f>
        <v>21.6</v>
      </c>
      <c r="D144" s="36">
        <f>'GF + UG Iteration 4'!P$16*(C144^'GF + UG Iteration 4'!P$15)</f>
        <v>14.811149600934559</v>
      </c>
      <c r="E144" s="37" t="str">
        <f>'GF + UG Iteration 4'!E144</f>
        <v>unknown</v>
      </c>
      <c r="F144" s="35">
        <f>'GF + UG Iteration 4'!F144</f>
        <v>1</v>
      </c>
      <c r="G144" s="36">
        <f>'GF + UG Iteration 4'!G144</f>
        <v>4.8829870198591019</v>
      </c>
      <c r="H144" s="38">
        <f>'GF + UG Iteration 4'!H144</f>
        <v>2001</v>
      </c>
      <c r="I144" s="35">
        <f t="shared" si="10"/>
        <v>22.6</v>
      </c>
      <c r="J144" s="36">
        <f t="shared" si="11"/>
        <v>19.69413662079366</v>
      </c>
      <c r="K144" s="38">
        <f t="shared" si="12"/>
        <v>2001</v>
      </c>
      <c r="M144" s="21">
        <f t="shared" si="18"/>
        <v>3.1179499062782403</v>
      </c>
      <c r="N144" s="21">
        <f t="shared" si="19"/>
        <v>2.9803209579800627</v>
      </c>
    </row>
    <row r="145" spans="1:14" x14ac:dyDescent="0.2">
      <c r="A145" s="33">
        <f>'GF + UG Iteration 4'!A145</f>
        <v>1366</v>
      </c>
      <c r="B145" s="34" t="str">
        <f>'GF + UG Iteration 4'!B145</f>
        <v>UG</v>
      </c>
      <c r="C145" s="35">
        <f>'GF + UG Iteration 4'!C145</f>
        <v>25.5</v>
      </c>
      <c r="D145" s="36">
        <f>'GF + UG Iteration 4'!P$16*(C145^'GF + UG Iteration 4'!P$15)</f>
        <v>16.27603517718881</v>
      </c>
      <c r="E145" s="37">
        <f>'GF + UG Iteration 4'!E145</f>
        <v>0</v>
      </c>
      <c r="F145" s="35">
        <f>'GF + UG Iteration 4'!F145</f>
        <v>14</v>
      </c>
      <c r="G145" s="36">
        <f>'GF + UG Iteration 4'!G145</f>
        <v>5.5737060104438019</v>
      </c>
      <c r="H145" s="38">
        <f>'GF + UG Iteration 4'!H145</f>
        <v>2013</v>
      </c>
      <c r="I145" s="35">
        <f t="shared" si="10"/>
        <v>39.5</v>
      </c>
      <c r="J145" s="36">
        <f t="shared" si="11"/>
        <v>21.84974118763261</v>
      </c>
      <c r="K145" s="38">
        <f t="shared" si="12"/>
        <v>2013</v>
      </c>
      <c r="M145" s="21">
        <f t="shared" si="18"/>
        <v>3.6763006719070761</v>
      </c>
      <c r="N145" s="21">
        <f t="shared" si="19"/>
        <v>3.0841890765118412</v>
      </c>
    </row>
    <row r="146" spans="1:14" x14ac:dyDescent="0.2">
      <c r="A146" s="33">
        <f>'GF + UG Iteration 4'!A146</f>
        <v>170</v>
      </c>
      <c r="B146" s="34" t="str">
        <f>'GF + UG Iteration 4'!B146</f>
        <v>UG</v>
      </c>
      <c r="C146" s="35">
        <f>'GF + UG Iteration 4'!C146</f>
        <v>5.4</v>
      </c>
      <c r="D146" s="36">
        <f>'GF + UG Iteration 4'!P$16*(C146^'GF + UG Iteration 4'!P$15)</f>
        <v>6.7374479667591727</v>
      </c>
      <c r="E146" s="37" t="str">
        <f>'GF + UG Iteration 4'!E146</f>
        <v>unknown</v>
      </c>
      <c r="F146" s="35">
        <f>'GF + UG Iteration 4'!F146</f>
        <v>10.6</v>
      </c>
      <c r="G146" s="36">
        <f>'GF + UG Iteration 4'!G146</f>
        <v>5.2097107088088661</v>
      </c>
      <c r="H146" s="38">
        <f>'GF + UG Iteration 4'!H146</f>
        <v>2001</v>
      </c>
      <c r="I146" s="35">
        <f t="shared" si="10"/>
        <v>16</v>
      </c>
      <c r="J146" s="36">
        <f t="shared" si="11"/>
        <v>11.947158675568039</v>
      </c>
      <c r="K146" s="38">
        <f t="shared" si="12"/>
        <v>2001</v>
      </c>
      <c r="M146" s="21">
        <f t="shared" si="18"/>
        <v>2.7725887222397811</v>
      </c>
      <c r="N146" s="21">
        <f t="shared" si="19"/>
        <v>2.4804934823713984</v>
      </c>
    </row>
    <row r="147" spans="1:14" x14ac:dyDescent="0.2">
      <c r="A147" s="33">
        <f>'GF + UG Iteration 4'!A147</f>
        <v>1350</v>
      </c>
      <c r="B147" s="34" t="str">
        <f>'GF + UG Iteration 4'!B147</f>
        <v>UG</v>
      </c>
      <c r="C147" s="35">
        <f>'GF + UG Iteration 4'!C147</f>
        <v>16</v>
      </c>
      <c r="D147" s="36">
        <f>'GF + UG Iteration 4'!P$16*(C147^'GF + UG Iteration 4'!P$15)</f>
        <v>12.489139102793789</v>
      </c>
      <c r="E147" s="37">
        <f>'GF + UG Iteration 4'!E147</f>
        <v>0</v>
      </c>
      <c r="F147" s="35">
        <f>'GF + UG Iteration 4'!F147</f>
        <v>20</v>
      </c>
      <c r="G147" s="36">
        <f>'GF + UG Iteration 4'!G147</f>
        <v>6.5300342953877131</v>
      </c>
      <c r="H147" s="38">
        <f>'GF + UG Iteration 4'!H147</f>
        <v>2013</v>
      </c>
      <c r="I147" s="35">
        <f t="shared" si="10"/>
        <v>36</v>
      </c>
      <c r="J147" s="36">
        <f t="shared" si="11"/>
        <v>19.019173398181501</v>
      </c>
      <c r="K147" s="38">
        <f t="shared" si="12"/>
        <v>2013</v>
      </c>
      <c r="M147" s="21">
        <f t="shared" si="18"/>
        <v>3.5835189384561099</v>
      </c>
      <c r="N147" s="21">
        <f t="shared" si="19"/>
        <v>2.9454475965609395</v>
      </c>
    </row>
    <row r="148" spans="1:14" x14ac:dyDescent="0.2">
      <c r="A148" s="33">
        <f>'GF + UG Iteration 4'!A148</f>
        <v>658</v>
      </c>
      <c r="B148" s="34" t="str">
        <f>'GF + UG Iteration 4'!B148</f>
        <v>UG</v>
      </c>
      <c r="C148" s="35">
        <f>'GF + UG Iteration 4'!C148</f>
        <v>1.6</v>
      </c>
      <c r="D148" s="36">
        <f>'GF + UG Iteration 4'!P$16*(C148^'GF + UG Iteration 4'!P$15)</f>
        <v>3.3754195139637453</v>
      </c>
      <c r="E148" s="37">
        <f>'GF + UG Iteration 4'!E148</f>
        <v>1996</v>
      </c>
      <c r="F148" s="35">
        <f>'GF + UG Iteration 4'!F148</f>
        <v>13.200000000000001</v>
      </c>
      <c r="G148" s="36">
        <f>'GF + UG Iteration 4'!G148</f>
        <v>7.1146692323992218</v>
      </c>
      <c r="H148" s="38">
        <f>'GF + UG Iteration 4'!H148</f>
        <v>2008</v>
      </c>
      <c r="I148" s="35">
        <f t="shared" si="10"/>
        <v>14.8</v>
      </c>
      <c r="J148" s="36">
        <f t="shared" si="11"/>
        <v>10.490088746362968</v>
      </c>
      <c r="K148" s="38">
        <f t="shared" si="12"/>
        <v>2008</v>
      </c>
      <c r="M148" s="21">
        <f t="shared" si="18"/>
        <v>2.6946271807700692</v>
      </c>
      <c r="N148" s="21">
        <f t="shared" si="19"/>
        <v>2.3504308824642179</v>
      </c>
    </row>
    <row r="149" spans="1:14" x14ac:dyDescent="0.2">
      <c r="A149" s="33">
        <f>'GF + UG Iteration 4'!A149</f>
        <v>897</v>
      </c>
      <c r="B149" s="34" t="str">
        <f>'GF + UG Iteration 4'!B149</f>
        <v>UG</v>
      </c>
      <c r="C149" s="35">
        <f>'GF + UG Iteration 4'!C149</f>
        <v>14.8</v>
      </c>
      <c r="D149" s="36">
        <f>'GF + UG Iteration 4'!P$16*(C149^'GF + UG Iteration 4'!P$15)</f>
        <v>11.947968655953808</v>
      </c>
      <c r="E149" s="37">
        <f>'GF + UG Iteration 4'!E149</f>
        <v>1996</v>
      </c>
      <c r="F149" s="35">
        <f>'GF + UG Iteration 4'!F149</f>
        <v>3</v>
      </c>
      <c r="G149" s="36">
        <f>'GF + UG Iteration 4'!G149</f>
        <v>6.2372112776035529</v>
      </c>
      <c r="H149" s="38">
        <f>'GF + UG Iteration 4'!H149</f>
        <v>2010</v>
      </c>
      <c r="I149" s="35">
        <f t="shared" si="10"/>
        <v>17.8</v>
      </c>
      <c r="J149" s="36">
        <f t="shared" si="11"/>
        <v>18.185179933557361</v>
      </c>
      <c r="K149" s="38">
        <f t="shared" si="12"/>
        <v>2010</v>
      </c>
      <c r="M149" s="21">
        <f t="shared" si="18"/>
        <v>2.8791984572980396</v>
      </c>
      <c r="N149" s="21">
        <f t="shared" si="19"/>
        <v>2.9006069730040984</v>
      </c>
    </row>
    <row r="150" spans="1:14" x14ac:dyDescent="0.2">
      <c r="A150" s="33">
        <f>'GF + UG Iteration 4'!A150</f>
        <v>483</v>
      </c>
      <c r="B150" s="34" t="str">
        <f>'GF + UG Iteration 4'!B150</f>
        <v>UG</v>
      </c>
      <c r="C150" s="35">
        <f>'GF + UG Iteration 4'!C150</f>
        <v>20.7</v>
      </c>
      <c r="D150" s="36">
        <f>'GF + UG Iteration 4'!P$16*(C150^'GF + UG Iteration 4'!P$15)</f>
        <v>14.457273924183017</v>
      </c>
      <c r="E150" s="37">
        <f>'GF + UG Iteration 4'!E150</f>
        <v>1986</v>
      </c>
      <c r="F150" s="35">
        <f>'GF + UG Iteration 4'!F150</f>
        <v>18.099999999999998</v>
      </c>
      <c r="G150" s="36">
        <f>'GF + UG Iteration 4'!G150</f>
        <v>3.6200694377675466</v>
      </c>
      <c r="H150" s="38">
        <f>'GF + UG Iteration 4'!H150</f>
        <v>2005</v>
      </c>
      <c r="I150" s="35">
        <f t="shared" si="10"/>
        <v>38.799999999999997</v>
      </c>
      <c r="J150" s="36">
        <f t="shared" si="11"/>
        <v>18.077343361950565</v>
      </c>
      <c r="K150" s="38">
        <f t="shared" si="12"/>
        <v>2005</v>
      </c>
      <c r="M150" s="21">
        <f t="shared" si="18"/>
        <v>3.6584202466292277</v>
      </c>
      <c r="N150" s="21">
        <f t="shared" si="19"/>
        <v>2.8946594062223809</v>
      </c>
    </row>
    <row r="151" spans="1:14" x14ac:dyDescent="0.2">
      <c r="A151" s="33">
        <f>'GF + UG Iteration 4'!A151</f>
        <v>1494</v>
      </c>
      <c r="B151" s="34" t="str">
        <f>'GF + UG Iteration 4'!B151</f>
        <v>UG</v>
      </c>
      <c r="C151" s="35">
        <f>'GF + UG Iteration 4'!C151</f>
        <v>13.3</v>
      </c>
      <c r="D151" s="36">
        <f>'GF + UG Iteration 4'!P$16*(C151^'GF + UG Iteration 4'!P$15)</f>
        <v>11.244072832899795</v>
      </c>
      <c r="E151" s="37">
        <f>'GF + UG Iteration 4'!E151</f>
        <v>0</v>
      </c>
      <c r="F151" s="35">
        <f>'GF + UG Iteration 4'!F151</f>
        <v>6</v>
      </c>
      <c r="G151" s="36">
        <f>'GF + UG Iteration 4'!G151</f>
        <v>6.4297485673579153</v>
      </c>
      <c r="H151" s="38">
        <f>'GF + UG Iteration 4'!H151</f>
        <v>2014</v>
      </c>
      <c r="I151" s="35">
        <f t="shared" si="10"/>
        <v>19.3</v>
      </c>
      <c r="J151" s="36">
        <f t="shared" si="11"/>
        <v>17.673821400257708</v>
      </c>
      <c r="K151" s="38">
        <f t="shared" si="12"/>
        <v>2014</v>
      </c>
      <c r="M151" s="21">
        <f t="shared" si="18"/>
        <v>2.9601050959108397</v>
      </c>
      <c r="N151" s="21">
        <f t="shared" si="19"/>
        <v>2.8720845278200011</v>
      </c>
    </row>
    <row r="152" spans="1:14" x14ac:dyDescent="0.2">
      <c r="A152" s="33">
        <f>'GF + UG Iteration 4'!A152</f>
        <v>488</v>
      </c>
      <c r="B152" s="34" t="str">
        <f>'GF + UG Iteration 4'!B152</f>
        <v>UG</v>
      </c>
      <c r="C152" s="35">
        <f>'GF + UG Iteration 4'!C152</f>
        <v>41.3</v>
      </c>
      <c r="D152" s="36">
        <f>'GF + UG Iteration 4'!P$16*(C152^'GF + UG Iteration 4'!P$15)</f>
        <v>21.406038514853062</v>
      </c>
      <c r="E152" s="37">
        <f>'GF + UG Iteration 4'!E152</f>
        <v>1982</v>
      </c>
      <c r="F152" s="35">
        <f>'GF + UG Iteration 4'!F152</f>
        <v>24.200000000000003</v>
      </c>
      <c r="G152" s="36">
        <f>'GF + UG Iteration 4'!G152</f>
        <v>0.40462675342078769</v>
      </c>
      <c r="H152" s="38">
        <f>'GF + UG Iteration 4'!H152</f>
        <v>2006</v>
      </c>
      <c r="I152" s="35">
        <f t="shared" si="10"/>
        <v>65.5</v>
      </c>
      <c r="J152" s="36">
        <f t="shared" si="11"/>
        <v>21.810665268273851</v>
      </c>
      <c r="K152" s="38">
        <f t="shared" si="12"/>
        <v>2006</v>
      </c>
      <c r="M152" s="21">
        <f t="shared" si="18"/>
        <v>4.1820501426412067</v>
      </c>
      <c r="N152" s="21">
        <f t="shared" si="19"/>
        <v>3.0823990826494732</v>
      </c>
    </row>
    <row r="153" spans="1:14" x14ac:dyDescent="0.2">
      <c r="A153" s="33">
        <f>'GF + UG Iteration 4'!A153</f>
        <v>1692</v>
      </c>
      <c r="B153" s="34" t="str">
        <f>'GF + UG Iteration 4'!B153</f>
        <v>UG</v>
      </c>
      <c r="C153" s="35">
        <f>'GF + UG Iteration 4'!C153</f>
        <v>65.5</v>
      </c>
      <c r="D153" s="36">
        <f>'GF + UG Iteration 4'!P$16*(C153^'GF + UG Iteration 4'!P$15)</f>
        <v>27.81907852407501</v>
      </c>
      <c r="E153" s="37">
        <f>'GF + UG Iteration 4'!E153</f>
        <v>0</v>
      </c>
      <c r="F153" s="35">
        <f>'GF + UG Iteration 4'!F153</f>
        <v>0</v>
      </c>
      <c r="G153" s="36">
        <f>'GF + UG Iteration 4'!G153</f>
        <v>2.2188176481219593</v>
      </c>
      <c r="H153" s="38">
        <f>'GF + UG Iteration 4'!H153</f>
        <v>2016</v>
      </c>
      <c r="I153" s="35">
        <f t="shared" si="10"/>
        <v>65.5</v>
      </c>
      <c r="J153" s="36">
        <f t="shared" si="11"/>
        <v>30.03789617219697</v>
      </c>
      <c r="K153" s="38">
        <f t="shared" si="12"/>
        <v>2016</v>
      </c>
      <c r="M153" s="21">
        <f t="shared" si="18"/>
        <v>4.1820501426412067</v>
      </c>
      <c r="N153" s="21">
        <f t="shared" si="19"/>
        <v>3.4024597902289422</v>
      </c>
    </row>
    <row r="154" spans="1:14" x14ac:dyDescent="0.2">
      <c r="A154" s="33">
        <f>'GF + UG Iteration 4'!A154</f>
        <v>318</v>
      </c>
      <c r="B154" s="34" t="str">
        <f>'GF + UG Iteration 4'!B154</f>
        <v>UG</v>
      </c>
      <c r="C154" s="35">
        <f>'GF + UG Iteration 4'!C154</f>
        <v>22.87</v>
      </c>
      <c r="D154" s="36">
        <f>'GF + UG Iteration 4'!P$16*(C154^'GF + UG Iteration 4'!P$15)</f>
        <v>15.299854461999768</v>
      </c>
      <c r="E154" s="37">
        <f>'GF + UG Iteration 4'!E154</f>
        <v>1996</v>
      </c>
      <c r="F154" s="35">
        <f>'GF + UG Iteration 4'!F154</f>
        <v>1</v>
      </c>
      <c r="G154" s="36">
        <f>'GF + UG Iteration 4'!G154</f>
        <v>0.76702040063252341</v>
      </c>
      <c r="H154" s="38">
        <f>'GF + UG Iteration 4'!H154</f>
        <v>2001</v>
      </c>
      <c r="I154" s="35">
        <f t="shared" si="10"/>
        <v>23.87</v>
      </c>
      <c r="J154" s="36">
        <f t="shared" si="11"/>
        <v>16.066874862632293</v>
      </c>
      <c r="K154" s="38">
        <f t="shared" si="12"/>
        <v>2001</v>
      </c>
      <c r="M154" s="21">
        <f t="shared" si="18"/>
        <v>3.1726224403507386</v>
      </c>
      <c r="N154" s="21">
        <f t="shared" si="19"/>
        <v>2.7767596905596093</v>
      </c>
    </row>
    <row r="155" spans="1:14" x14ac:dyDescent="0.2">
      <c r="A155" s="33">
        <f>'GF + UG Iteration 4'!A155</f>
        <v>806</v>
      </c>
      <c r="B155" s="34" t="str">
        <f>'GF + UG Iteration 4'!B155</f>
        <v>UG</v>
      </c>
      <c r="C155" s="35">
        <f>'GF + UG Iteration 4'!C155</f>
        <v>23.867000000000001</v>
      </c>
      <c r="D155" s="36">
        <f>'GF + UG Iteration 4'!P$16*(C155^'GF + UG Iteration 4'!P$15)</f>
        <v>15.675344048083328</v>
      </c>
      <c r="E155" s="37">
        <f>'GF + UG Iteration 4'!E155</f>
        <v>1996</v>
      </c>
      <c r="F155" s="35">
        <f>'GF + UG Iteration 4'!F155</f>
        <v>5.4329999999999998</v>
      </c>
      <c r="G155" s="36">
        <f>'GF + UG Iteration 4'!G155</f>
        <v>0.68947713107767894</v>
      </c>
      <c r="H155" s="38">
        <f>'GF + UG Iteration 4'!H155</f>
        <v>2008</v>
      </c>
      <c r="I155" s="35">
        <f t="shared" si="10"/>
        <v>29.3</v>
      </c>
      <c r="J155" s="36">
        <f t="shared" si="11"/>
        <v>16.364821179161009</v>
      </c>
      <c r="K155" s="38">
        <f t="shared" si="12"/>
        <v>2008</v>
      </c>
      <c r="M155" s="21">
        <f t="shared" si="18"/>
        <v>3.3775875160230218</v>
      </c>
      <c r="N155" s="21">
        <f t="shared" si="19"/>
        <v>2.7951339808638687</v>
      </c>
    </row>
    <row r="156" spans="1:14" x14ac:dyDescent="0.2">
      <c r="A156" s="33">
        <f>'GF + UG Iteration 4'!A156</f>
        <v>1495</v>
      </c>
      <c r="B156" s="34" t="str">
        <f>'GF + UG Iteration 4'!B156</f>
        <v>UG</v>
      </c>
      <c r="C156" s="35">
        <f>'GF + UG Iteration 4'!C156</f>
        <v>29.3</v>
      </c>
      <c r="D156" s="36">
        <f>'GF + UG Iteration 4'!P$16*(C156^'GF + UG Iteration 4'!P$15)</f>
        <v>17.612741355345737</v>
      </c>
      <c r="E156" s="37">
        <f>'GF + UG Iteration 4'!E156</f>
        <v>1996</v>
      </c>
      <c r="F156" s="35">
        <f>'GF + UG Iteration 4'!F156</f>
        <v>0</v>
      </c>
      <c r="G156" s="36">
        <f>'GF + UG Iteration 4'!G156</f>
        <v>5.142810508174632</v>
      </c>
      <c r="H156" s="38">
        <f>'GF + UG Iteration 4'!H156</f>
        <v>2014</v>
      </c>
      <c r="I156" s="35">
        <f t="shared" si="10"/>
        <v>29.3</v>
      </c>
      <c r="J156" s="36">
        <f t="shared" si="11"/>
        <v>22.755551863520367</v>
      </c>
      <c r="K156" s="38">
        <f t="shared" si="12"/>
        <v>2014</v>
      </c>
      <c r="M156" s="21">
        <f t="shared" si="18"/>
        <v>3.3775875160230218</v>
      </c>
      <c r="N156" s="21">
        <f t="shared" si="19"/>
        <v>3.1248091535814799</v>
      </c>
    </row>
    <row r="157" spans="1:14" x14ac:dyDescent="0.2">
      <c r="A157" s="33">
        <f>'GF + UG Iteration 4'!A157</f>
        <v>1386</v>
      </c>
      <c r="B157" s="34" t="str">
        <f>'GF + UG Iteration 4'!B157</f>
        <v>UG</v>
      </c>
      <c r="C157" s="35">
        <f>'GF + UG Iteration 4'!C157</f>
        <v>32.700000000000003</v>
      </c>
      <c r="D157" s="36">
        <f>'GF + UG Iteration 4'!P$16*(C157^'GF + UG Iteration 4'!P$15)</f>
        <v>18.746449874779081</v>
      </c>
      <c r="E157" s="37">
        <f>'GF + UG Iteration 4'!E157</f>
        <v>0</v>
      </c>
      <c r="F157" s="35">
        <f>'GF + UG Iteration 4'!F157</f>
        <v>13.5</v>
      </c>
      <c r="G157" s="36">
        <f>'GF + UG Iteration 4'!G157</f>
        <v>0.85934464632152285</v>
      </c>
      <c r="H157" s="38">
        <f>'GF + UG Iteration 4'!H157</f>
        <v>2013</v>
      </c>
      <c r="I157" s="35">
        <f t="shared" si="10"/>
        <v>46.2</v>
      </c>
      <c r="J157" s="36">
        <f t="shared" si="11"/>
        <v>19.605794521100606</v>
      </c>
      <c r="K157" s="38">
        <f t="shared" si="12"/>
        <v>2013</v>
      </c>
      <c r="M157" s="21">
        <f t="shared" si="18"/>
        <v>3.8329797980876932</v>
      </c>
      <c r="N157" s="21">
        <f t="shared" si="19"/>
        <v>2.9758251613755871</v>
      </c>
    </row>
    <row r="158" spans="1:14" x14ac:dyDescent="0.2">
      <c r="A158" s="33">
        <f>'GF + UG Iteration 4'!A158</f>
        <v>928</v>
      </c>
      <c r="B158" s="34" t="str">
        <f>'GF + UG Iteration 4'!B158</f>
        <v>UG</v>
      </c>
      <c r="C158" s="35">
        <f>'GF + UG Iteration 4'!C158</f>
        <v>18.02</v>
      </c>
      <c r="D158" s="36">
        <f>'GF + UG Iteration 4'!P$16*(C158^'GF + UG Iteration 4'!P$15)</f>
        <v>13.36200541583869</v>
      </c>
      <c r="E158" s="37">
        <f>'GF + UG Iteration 4'!E158</f>
        <v>1992</v>
      </c>
      <c r="F158" s="35">
        <f>'GF + UG Iteration 4'!F158</f>
        <v>3.4800000000000004</v>
      </c>
      <c r="G158" s="36">
        <f>'GF + UG Iteration 4'!G158</f>
        <v>10.364367944955573</v>
      </c>
      <c r="H158" s="38">
        <f>'GF + UG Iteration 4'!H158</f>
        <v>2010</v>
      </c>
      <c r="I158" s="35">
        <f t="shared" si="10"/>
        <v>21.5</v>
      </c>
      <c r="J158" s="36">
        <f t="shared" si="11"/>
        <v>23.726373360794263</v>
      </c>
      <c r="K158" s="38">
        <f t="shared" si="12"/>
        <v>2010</v>
      </c>
      <c r="M158" s="21">
        <f t="shared" si="18"/>
        <v>3.068052935133617</v>
      </c>
      <c r="N158" s="21">
        <f t="shared" si="19"/>
        <v>3.166587229471594</v>
      </c>
    </row>
    <row r="159" spans="1:14" x14ac:dyDescent="0.2">
      <c r="A159" s="33">
        <f>'GF + UG Iteration 4'!A159</f>
        <v>1450</v>
      </c>
      <c r="B159" s="34" t="str">
        <f>'GF + UG Iteration 4'!B159</f>
        <v>UG</v>
      </c>
      <c r="C159" s="35">
        <f>'GF + UG Iteration 4'!C159</f>
        <v>21.5</v>
      </c>
      <c r="D159" s="36">
        <f>'GF + UG Iteration 4'!P$16*(C159^'GF + UG Iteration 4'!P$15)</f>
        <v>14.772148693934552</v>
      </c>
      <c r="E159" s="37">
        <f>'GF + UG Iteration 4'!E159</f>
        <v>1992</v>
      </c>
      <c r="F159" s="35">
        <f>'GF + UG Iteration 4'!F159</f>
        <v>16.299999999999997</v>
      </c>
      <c r="G159" s="36">
        <f>'GF + UG Iteration 4'!G159</f>
        <v>5.1529943993409928</v>
      </c>
      <c r="H159" s="38">
        <f>'GF + UG Iteration 4'!H159</f>
        <v>2014</v>
      </c>
      <c r="I159" s="35">
        <f t="shared" si="10"/>
        <v>37.799999999999997</v>
      </c>
      <c r="J159" s="36">
        <f t="shared" si="11"/>
        <v>19.925143093275544</v>
      </c>
      <c r="K159" s="38">
        <f t="shared" si="12"/>
        <v>2014</v>
      </c>
      <c r="M159" s="21">
        <f t="shared" si="18"/>
        <v>3.6323091026255421</v>
      </c>
      <c r="N159" s="21">
        <f t="shared" si="19"/>
        <v>2.9919824062452487</v>
      </c>
    </row>
    <row r="160" spans="1:14" x14ac:dyDescent="0.2">
      <c r="A160" s="33">
        <f>'GF + UG Iteration 4'!A160</f>
        <v>170</v>
      </c>
      <c r="B160" s="34" t="str">
        <f>'GF + UG Iteration 4'!B160</f>
        <v>UG</v>
      </c>
      <c r="C160" s="35">
        <f>'GF + UG Iteration 4'!C160</f>
        <v>17.7</v>
      </c>
      <c r="D160" s="36">
        <f>'GF + UG Iteration 4'!P$16*(C160^'GF + UG Iteration 4'!P$15)</f>
        <v>13.226658685107592</v>
      </c>
      <c r="E160" s="37" t="str">
        <f>'GF + UG Iteration 4'!E160</f>
        <v>unknown</v>
      </c>
      <c r="F160" s="35">
        <f>'GF + UG Iteration 4'!F160</f>
        <v>8.8000000000000007</v>
      </c>
      <c r="G160" s="36">
        <f>'GF + UG Iteration 4'!G160</f>
        <v>1.1342290648673055</v>
      </c>
      <c r="H160" s="38">
        <f>'GF + UG Iteration 4'!H160</f>
        <v>2001</v>
      </c>
      <c r="I160" s="35">
        <f t="shared" si="10"/>
        <v>26.5</v>
      </c>
      <c r="J160" s="36">
        <f t="shared" si="11"/>
        <v>14.360887749974898</v>
      </c>
      <c r="K160" s="38">
        <f t="shared" si="12"/>
        <v>2001</v>
      </c>
      <c r="M160" s="21">
        <f t="shared" si="18"/>
        <v>3.2771447329921766</v>
      </c>
      <c r="N160" s="21">
        <f t="shared" si="19"/>
        <v>2.6645083827381297</v>
      </c>
    </row>
    <row r="161" spans="1:14" x14ac:dyDescent="0.2">
      <c r="A161" s="33">
        <f>'GF + UG Iteration 4'!A161</f>
        <v>649</v>
      </c>
      <c r="B161" s="34" t="str">
        <f>'GF + UG Iteration 4'!B161</f>
        <v>UG</v>
      </c>
      <c r="C161" s="35">
        <f>'GF + UG Iteration 4'!C161</f>
        <v>26.5</v>
      </c>
      <c r="D161" s="36">
        <f>'GF + UG Iteration 4'!P$16*(C161^'GF + UG Iteration 4'!P$15)</f>
        <v>16.635692118303307</v>
      </c>
      <c r="E161" s="37">
        <f>'GF + UG Iteration 4'!E161</f>
        <v>1997</v>
      </c>
      <c r="F161" s="35">
        <f>'GF + UG Iteration 4'!F161</f>
        <v>33.799999999999997</v>
      </c>
      <c r="G161" s="36">
        <f>'GF + UG Iteration 4'!G161</f>
        <v>5.0180795362586865</v>
      </c>
      <c r="H161" s="38">
        <f>'GF + UG Iteration 4'!H161</f>
        <v>2007</v>
      </c>
      <c r="I161" s="35">
        <f t="shared" si="10"/>
        <v>60.3</v>
      </c>
      <c r="J161" s="36">
        <f t="shared" si="11"/>
        <v>21.653771654561993</v>
      </c>
      <c r="K161" s="38">
        <f t="shared" si="12"/>
        <v>2007</v>
      </c>
      <c r="M161" s="21">
        <f t="shared" si="18"/>
        <v>4.0993321037331398</v>
      </c>
      <c r="N161" s="21">
        <f t="shared" si="19"/>
        <v>3.0751796496480126</v>
      </c>
    </row>
    <row r="162" spans="1:14" x14ac:dyDescent="0.2">
      <c r="A162" s="33">
        <f>'GF + UG Iteration 4'!A162</f>
        <v>1203</v>
      </c>
      <c r="B162" s="34" t="str">
        <f>'GF + UG Iteration 4'!B162</f>
        <v>UG</v>
      </c>
      <c r="C162" s="35">
        <f>'GF + UG Iteration 4'!C162</f>
        <v>20.5</v>
      </c>
      <c r="D162" s="36">
        <f>'GF + UG Iteration 4'!P$16*(C162^'GF + UG Iteration 4'!P$15)</f>
        <v>14.377738593552984</v>
      </c>
      <c r="E162" s="37">
        <f>'GF + UG Iteration 4'!E162</f>
        <v>1977</v>
      </c>
      <c r="F162" s="35">
        <f>'GF + UG Iteration 4'!F162</f>
        <v>4.1000000000000014</v>
      </c>
      <c r="G162" s="36">
        <f>'GF + UG Iteration 4'!G162</f>
        <v>12.443615523285567</v>
      </c>
      <c r="H162" s="38">
        <f>'GF + UG Iteration 4'!H162</f>
        <v>2012</v>
      </c>
      <c r="I162" s="35">
        <f t="shared" si="10"/>
        <v>24.6</v>
      </c>
      <c r="J162" s="36">
        <f t="shared" si="11"/>
        <v>26.821354116838549</v>
      </c>
      <c r="K162" s="38">
        <f t="shared" si="12"/>
        <v>2012</v>
      </c>
      <c r="M162" s="21">
        <f t="shared" si="18"/>
        <v>3.202746442938317</v>
      </c>
      <c r="N162" s="21">
        <f t="shared" si="19"/>
        <v>3.2891983656482995</v>
      </c>
    </row>
    <row r="163" spans="1:14" x14ac:dyDescent="0.2">
      <c r="A163" s="33">
        <f>'GF + UG Iteration 4'!A163</f>
        <v>170</v>
      </c>
      <c r="B163" s="34" t="str">
        <f>'GF + UG Iteration 4'!B163</f>
        <v>UG</v>
      </c>
      <c r="C163" s="35">
        <f>'GF + UG Iteration 4'!C163</f>
        <v>7.9</v>
      </c>
      <c r="D163" s="36">
        <f>'GF + UG Iteration 4'!P$16*(C163^'GF + UG Iteration 4'!P$15)</f>
        <v>8.3633791791121226</v>
      </c>
      <c r="E163" s="37">
        <f>'GF + UG Iteration 4'!E163</f>
        <v>1972</v>
      </c>
      <c r="F163" s="35">
        <f>'GF + UG Iteration 4'!F163</f>
        <v>6.1</v>
      </c>
      <c r="G163" s="36">
        <f>'GF + UG Iteration 4'!G163</f>
        <v>2.9004939377112939</v>
      </c>
      <c r="H163" s="38">
        <f>'GF + UG Iteration 4'!H163</f>
        <v>2001</v>
      </c>
      <c r="I163" s="35">
        <f t="shared" si="10"/>
        <v>14</v>
      </c>
      <c r="J163" s="36">
        <f t="shared" si="11"/>
        <v>11.263873116823417</v>
      </c>
      <c r="K163" s="38">
        <f t="shared" si="12"/>
        <v>2001</v>
      </c>
      <c r="M163" s="21">
        <f t="shared" si="18"/>
        <v>2.6390573296152584</v>
      </c>
      <c r="N163" s="21">
        <f t="shared" si="19"/>
        <v>2.4216005348656844</v>
      </c>
    </row>
    <row r="164" spans="1:14" x14ac:dyDescent="0.2">
      <c r="A164" s="33">
        <f>'GF + UG Iteration 4'!A164</f>
        <v>363</v>
      </c>
      <c r="B164" s="34" t="str">
        <f>'GF + UG Iteration 4'!B164</f>
        <v>UG</v>
      </c>
      <c r="C164" s="35">
        <f>'GF + UG Iteration 4'!C164</f>
        <v>21.225999999999999</v>
      </c>
      <c r="D164" s="36">
        <f>'GF + UG Iteration 4'!P$16*(C164^'GF + UG Iteration 4'!P$15)</f>
        <v>14.664882905550934</v>
      </c>
      <c r="E164" s="37">
        <f>'GF + UG Iteration 4'!E164</f>
        <v>1975</v>
      </c>
      <c r="F164" s="35">
        <f>'GF + UG Iteration 4'!F164</f>
        <v>4.1999999999999993</v>
      </c>
      <c r="G164" s="36">
        <f>'GF + UG Iteration 4'!G164</f>
        <v>0.82194253395528394</v>
      </c>
      <c r="H164" s="38">
        <f>'GF + UG Iteration 4'!H164</f>
        <v>2004</v>
      </c>
      <c r="I164" s="35">
        <f t="shared" si="10"/>
        <v>25.425999999999998</v>
      </c>
      <c r="J164" s="36">
        <f t="shared" si="11"/>
        <v>15.486825439506218</v>
      </c>
      <c r="K164" s="38">
        <f t="shared" si="12"/>
        <v>2004</v>
      </c>
      <c r="M164" s="21">
        <f t="shared" si="18"/>
        <v>3.2357722725279308</v>
      </c>
      <c r="N164" s="21">
        <f t="shared" si="19"/>
        <v>2.7399896908497241</v>
      </c>
    </row>
    <row r="165" spans="1:14" x14ac:dyDescent="0.2">
      <c r="A165" s="33">
        <f>'GF + UG Iteration 4'!A165</f>
        <v>493</v>
      </c>
      <c r="B165" s="34" t="str">
        <f>'GF + UG Iteration 4'!B165</f>
        <v>UG</v>
      </c>
      <c r="C165" s="35">
        <f>'GF + UG Iteration 4'!C165</f>
        <v>25.4</v>
      </c>
      <c r="D165" s="36">
        <f>'GF + UG Iteration 4'!P$16*(C165^'GF + UG Iteration 4'!P$15)</f>
        <v>16.239737274788229</v>
      </c>
      <c r="E165" s="37">
        <f>'GF + UG Iteration 4'!E165</f>
        <v>1975</v>
      </c>
      <c r="F165" s="35">
        <f>'GF + UG Iteration 4'!F165</f>
        <v>3.3000000000000007</v>
      </c>
      <c r="G165" s="36">
        <f>'GF + UG Iteration 4'!G165</f>
        <v>3.4002692913337142</v>
      </c>
      <c r="H165" s="38">
        <f>'GF + UG Iteration 4'!H165</f>
        <v>2006</v>
      </c>
      <c r="I165" s="35">
        <f t="shared" si="10"/>
        <v>28.7</v>
      </c>
      <c r="J165" s="36">
        <f t="shared" si="11"/>
        <v>19.640006566121944</v>
      </c>
      <c r="K165" s="38">
        <f t="shared" si="12"/>
        <v>2006</v>
      </c>
      <c r="M165" s="21">
        <f t="shared" si="18"/>
        <v>3.3568971227655755</v>
      </c>
      <c r="N165" s="21">
        <f t="shared" si="19"/>
        <v>2.9775686372501919</v>
      </c>
    </row>
    <row r="166" spans="1:14" x14ac:dyDescent="0.2">
      <c r="A166" s="33">
        <f>'GF + UG Iteration 4'!A166</f>
        <v>685</v>
      </c>
      <c r="B166" s="34" t="str">
        <f>'GF + UG Iteration 4'!B166</f>
        <v>UG</v>
      </c>
      <c r="C166" s="35">
        <f>'GF + UG Iteration 4'!C166</f>
        <v>28.7</v>
      </c>
      <c r="D166" s="36">
        <f>'GF + UG Iteration 4'!P$16*(C166^'GF + UG Iteration 4'!P$15)</f>
        <v>17.406891675791723</v>
      </c>
      <c r="E166" s="37">
        <f>'GF + UG Iteration 4'!E166</f>
        <v>1975</v>
      </c>
      <c r="F166" s="35">
        <f>'GF + UG Iteration 4'!F166</f>
        <v>4.1999999999999993</v>
      </c>
      <c r="G166" s="36">
        <f>'GF + UG Iteration 4'!G166</f>
        <v>0.94606982488538283</v>
      </c>
      <c r="H166" s="38">
        <f>'GF + UG Iteration 4'!H166</f>
        <v>2007</v>
      </c>
      <c r="I166" s="35">
        <f t="shared" si="10"/>
        <v>32.9</v>
      </c>
      <c r="J166" s="36">
        <f t="shared" si="11"/>
        <v>18.352961500677107</v>
      </c>
      <c r="K166" s="38">
        <f t="shared" si="12"/>
        <v>2007</v>
      </c>
      <c r="M166" s="21">
        <f t="shared" si="18"/>
        <v>3.493472657771326</v>
      </c>
      <c r="N166" s="21">
        <f t="shared" si="19"/>
        <v>2.9097909511613418</v>
      </c>
    </row>
    <row r="167" spans="1:14" x14ac:dyDescent="0.2">
      <c r="A167" s="33">
        <f>'GF + UG Iteration 4'!A167</f>
        <v>1574</v>
      </c>
      <c r="B167" s="34" t="str">
        <f>'GF + UG Iteration 4'!B167</f>
        <v>UG</v>
      </c>
      <c r="C167" s="35">
        <f>'GF + UG Iteration 4'!C167</f>
        <v>28</v>
      </c>
      <c r="D167" s="36">
        <f>'GF + UG Iteration 4'!P$16*(C167^'GF + UG Iteration 4'!P$15)</f>
        <v>17.164370305834048</v>
      </c>
      <c r="E167" s="37">
        <f>'GF + UG Iteration 4'!E167</f>
        <v>2013</v>
      </c>
      <c r="F167" s="35">
        <f>'GF + UG Iteration 4'!F167</f>
        <v>0</v>
      </c>
      <c r="G167" s="36">
        <f>'GF + UG Iteration 4'!G167</f>
        <v>6.2662260340537754</v>
      </c>
      <c r="H167" s="38">
        <f>'GF + UG Iteration 4'!H167</f>
        <v>2015</v>
      </c>
      <c r="I167" s="35">
        <f t="shared" si="10"/>
        <v>28</v>
      </c>
      <c r="J167" s="36">
        <f t="shared" si="11"/>
        <v>23.430596339887824</v>
      </c>
      <c r="K167" s="38">
        <f t="shared" si="12"/>
        <v>2015</v>
      </c>
      <c r="M167" s="21">
        <f t="shared" si="18"/>
        <v>3.3322045101752038</v>
      </c>
      <c r="N167" s="21">
        <f t="shared" si="19"/>
        <v>3.1540427041756556</v>
      </c>
    </row>
    <row r="168" spans="1:14" x14ac:dyDescent="0.2">
      <c r="A168" s="33">
        <f>'GF + UG Iteration 4'!A168</f>
        <v>435</v>
      </c>
      <c r="B168" s="34" t="str">
        <f>'GF + UG Iteration 4'!B168</f>
        <v>UG</v>
      </c>
      <c r="C168" s="35">
        <f>'GF + UG Iteration 4'!C168</f>
        <v>10.6</v>
      </c>
      <c r="D168" s="36">
        <f>'GF + UG Iteration 4'!P$16*(C168^'GF + UG Iteration 4'!P$15)</f>
        <v>9.8839257131297504</v>
      </c>
      <c r="E168" s="37">
        <f>'GF + UG Iteration 4'!E168</f>
        <v>1990</v>
      </c>
      <c r="F168" s="35">
        <f>'GF + UG Iteration 4'!F168</f>
        <v>8.4</v>
      </c>
      <c r="G168" s="36">
        <f>'GF + UG Iteration 4'!G168</f>
        <v>3.0773639102073269</v>
      </c>
      <c r="H168" s="38">
        <f>'GF + UG Iteration 4'!H168</f>
        <v>2004</v>
      </c>
      <c r="I168" s="35">
        <f t="shared" si="10"/>
        <v>19</v>
      </c>
      <c r="J168" s="36">
        <f t="shared" si="11"/>
        <v>12.961289623337077</v>
      </c>
      <c r="K168" s="38">
        <f t="shared" si="12"/>
        <v>2004</v>
      </c>
      <c r="M168" s="21">
        <f t="shared" si="18"/>
        <v>2.9444389791664403</v>
      </c>
      <c r="N168" s="21">
        <f t="shared" si="19"/>
        <v>2.5619671939470785</v>
      </c>
    </row>
    <row r="169" spans="1:14" x14ac:dyDescent="0.2">
      <c r="A169" s="33">
        <f>'GF + UG Iteration 4'!A169</f>
        <v>652</v>
      </c>
      <c r="B169" s="34" t="str">
        <f>'GF + UG Iteration 4'!B169</f>
        <v>UG</v>
      </c>
      <c r="C169" s="35">
        <f>'GF + UG Iteration 4'!C169</f>
        <v>10.195</v>
      </c>
      <c r="D169" s="36">
        <f>'GF + UG Iteration 4'!P$16*(C169^'GF + UG Iteration 4'!P$15)</f>
        <v>9.6675454796413529</v>
      </c>
      <c r="E169" s="37">
        <f>'GF + UG Iteration 4'!E169</f>
        <v>1986</v>
      </c>
      <c r="F169" s="35">
        <f>'GF + UG Iteration 4'!F169</f>
        <v>3.4049999999999994</v>
      </c>
      <c r="G169" s="36">
        <f>'GF + UG Iteration 4'!G169</f>
        <v>4.380227937072533</v>
      </c>
      <c r="H169" s="38">
        <f>'GF + UG Iteration 4'!H169</f>
        <v>2007</v>
      </c>
      <c r="I169" s="35">
        <f t="shared" si="10"/>
        <v>13.6</v>
      </c>
      <c r="J169" s="36">
        <f t="shared" si="11"/>
        <v>14.047773416713886</v>
      </c>
      <c r="K169" s="38">
        <f t="shared" si="12"/>
        <v>2007</v>
      </c>
      <c r="M169" s="21">
        <f t="shared" si="18"/>
        <v>2.6100697927420065</v>
      </c>
      <c r="N169" s="21">
        <f t="shared" si="19"/>
        <v>2.6424639075424308</v>
      </c>
    </row>
    <row r="170" spans="1:14" x14ac:dyDescent="0.2">
      <c r="A170" s="33">
        <f>'GF + UG Iteration 4'!A170</f>
        <v>366</v>
      </c>
      <c r="B170" s="34" t="str">
        <f>'GF + UG Iteration 4'!B170</f>
        <v>UG</v>
      </c>
      <c r="C170" s="35">
        <f>'GF + UG Iteration 4'!C170</f>
        <v>11.1</v>
      </c>
      <c r="D170" s="36">
        <f>'GF + UG Iteration 4'!P$16*(C170^'GF + UG Iteration 4'!P$15)</f>
        <v>10.146197026479488</v>
      </c>
      <c r="E170" s="37">
        <f>'GF + UG Iteration 4'!E170</f>
        <v>1981</v>
      </c>
      <c r="F170" s="35">
        <f>'GF + UG Iteration 4'!F170</f>
        <v>4.8000000000000007</v>
      </c>
      <c r="G170" s="36">
        <f>'GF + UG Iteration 4'!G170</f>
        <v>0.60207988766843201</v>
      </c>
      <c r="H170" s="38">
        <f>'GF + UG Iteration 4'!H170</f>
        <v>2003</v>
      </c>
      <c r="I170" s="35">
        <f t="shared" si="10"/>
        <v>15.9</v>
      </c>
      <c r="J170" s="36">
        <f t="shared" si="11"/>
        <v>10.748276914147921</v>
      </c>
      <c r="K170" s="38">
        <f t="shared" si="12"/>
        <v>2003</v>
      </c>
      <c r="M170" s="21">
        <f t="shared" si="18"/>
        <v>2.7663191092261861</v>
      </c>
      <c r="N170" s="21">
        <f t="shared" si="19"/>
        <v>2.3747454546703213</v>
      </c>
    </row>
    <row r="171" spans="1:14" x14ac:dyDescent="0.2">
      <c r="A171" s="33">
        <f>'GF + UG Iteration 4'!A171</f>
        <v>1640</v>
      </c>
      <c r="B171" s="34" t="str">
        <f>'GF + UG Iteration 4'!B171</f>
        <v>UG</v>
      </c>
      <c r="C171" s="35">
        <f>'GF + UG Iteration 4'!C171</f>
        <v>15.9</v>
      </c>
      <c r="D171" s="36">
        <f>'GF + UG Iteration 4'!P$16*(C171^'GF + UG Iteration 4'!P$15)</f>
        <v>12.444726650502151</v>
      </c>
      <c r="E171" s="37">
        <f>'GF + UG Iteration 4'!E171</f>
        <v>1981</v>
      </c>
      <c r="F171" s="35">
        <f>'GF + UG Iteration 4'!F171</f>
        <v>2.4999999999999982</v>
      </c>
      <c r="G171" s="36">
        <f>'GF + UG Iteration 4'!G171</f>
        <v>8.3244002844443177</v>
      </c>
      <c r="H171" s="38">
        <f>'GF + UG Iteration 4'!H171</f>
        <v>2015</v>
      </c>
      <c r="I171" s="35">
        <f t="shared" si="10"/>
        <v>18.399999999999999</v>
      </c>
      <c r="J171" s="36">
        <f t="shared" si="11"/>
        <v>20.76912693494647</v>
      </c>
      <c r="K171" s="38">
        <f t="shared" si="12"/>
        <v>2015</v>
      </c>
      <c r="M171" s="21">
        <f t="shared" si="18"/>
        <v>2.91235066461494</v>
      </c>
      <c r="N171" s="21">
        <f t="shared" si="19"/>
        <v>3.0334676020958375</v>
      </c>
    </row>
    <row r="172" spans="1:14" x14ac:dyDescent="0.2">
      <c r="A172" s="33">
        <f>'GF + UG Iteration 4'!A172</f>
        <v>367</v>
      </c>
      <c r="B172" s="34" t="str">
        <f>'GF + UG Iteration 4'!B172</f>
        <v>UG</v>
      </c>
      <c r="C172" s="35">
        <f>'GF + UG Iteration 4'!C172</f>
        <v>11.211</v>
      </c>
      <c r="D172" s="36">
        <f>'GF + UG Iteration 4'!P$16*(C172^'GF + UG Iteration 4'!P$15)</f>
        <v>10.203724322456745</v>
      </c>
      <c r="E172" s="37">
        <f>'GF + UG Iteration 4'!E172</f>
        <v>1988</v>
      </c>
      <c r="F172" s="35">
        <f>'GF + UG Iteration 4'!F172</f>
        <v>1</v>
      </c>
      <c r="G172" s="36">
        <f>'GF + UG Iteration 4'!G172</f>
        <v>0.55588557988620213</v>
      </c>
      <c r="H172" s="38">
        <f>'GF + UG Iteration 4'!H172</f>
        <v>2004</v>
      </c>
      <c r="I172" s="35">
        <f t="shared" si="10"/>
        <v>12.211</v>
      </c>
      <c r="J172" s="36">
        <f t="shared" si="11"/>
        <v>10.759609902342948</v>
      </c>
      <c r="K172" s="38">
        <f t="shared" si="12"/>
        <v>2004</v>
      </c>
      <c r="M172" s="21">
        <f t="shared" si="18"/>
        <v>2.5023371848508846</v>
      </c>
      <c r="N172" s="21">
        <f t="shared" si="19"/>
        <v>2.3757992996473365</v>
      </c>
    </row>
    <row r="173" spans="1:14" x14ac:dyDescent="0.2">
      <c r="A173" s="33">
        <f>'GF + UG Iteration 4'!A173</f>
        <v>650</v>
      </c>
      <c r="B173" s="34" t="str">
        <f>'GF + UG Iteration 4'!B173</f>
        <v>UG</v>
      </c>
      <c r="C173" s="35">
        <f>'GF + UG Iteration 4'!C173</f>
        <v>23</v>
      </c>
      <c r="D173" s="36">
        <f>'GF + UG Iteration 4'!P$16*(C173^'GF + UG Iteration 4'!P$15)</f>
        <v>15.349210180836812</v>
      </c>
      <c r="E173" s="37">
        <f>'GF + UG Iteration 4'!E173</f>
        <v>1981</v>
      </c>
      <c r="F173" s="35">
        <f>'GF + UG Iteration 4'!F173</f>
        <v>0</v>
      </c>
      <c r="G173" s="36">
        <f>'GF + UG Iteration 4'!G173</f>
        <v>5.9476879309059552</v>
      </c>
      <c r="H173" s="38">
        <f>'GF + UG Iteration 4'!H173</f>
        <v>2007</v>
      </c>
      <c r="I173" s="35">
        <f t="shared" si="10"/>
        <v>23</v>
      </c>
      <c r="J173" s="36">
        <f t="shared" si="11"/>
        <v>21.296898111742767</v>
      </c>
      <c r="K173" s="38">
        <f t="shared" si="12"/>
        <v>2007</v>
      </c>
      <c r="M173" s="21">
        <f t="shared" si="18"/>
        <v>3.1354942159291497</v>
      </c>
      <c r="N173" s="21">
        <f t="shared" si="19"/>
        <v>3.0585614335538338</v>
      </c>
    </row>
    <row r="174" spans="1:14" x14ac:dyDescent="0.2">
      <c r="A174" s="33">
        <f>'GF + UG Iteration 4'!A174</f>
        <v>902</v>
      </c>
      <c r="B174" s="34" t="str">
        <f>'GF + UG Iteration 4'!B174</f>
        <v>UG</v>
      </c>
      <c r="C174" s="35">
        <f>'GF + UG Iteration 4'!C174</f>
        <v>19.2</v>
      </c>
      <c r="D174" s="36">
        <f>'GF + UG Iteration 4'!P$16*(C174^'GF + UG Iteration 4'!P$15)</f>
        <v>13.852356585050975</v>
      </c>
      <c r="E174" s="37">
        <f>'GF + UG Iteration 4'!E174</f>
        <v>2002</v>
      </c>
      <c r="F174" s="35">
        <f>'GF + UG Iteration 4'!F174</f>
        <v>13.500000000000004</v>
      </c>
      <c r="G174" s="36">
        <f>'GF + UG Iteration 4'!G174</f>
        <v>0.54699963688402187</v>
      </c>
      <c r="H174" s="38">
        <f>'GF + UG Iteration 4'!H174</f>
        <v>2009</v>
      </c>
      <c r="I174" s="35">
        <f t="shared" si="10"/>
        <v>32.700000000000003</v>
      </c>
      <c r="J174" s="36">
        <f t="shared" si="11"/>
        <v>14.399356221934998</v>
      </c>
      <c r="K174" s="38">
        <f t="shared" si="12"/>
        <v>2009</v>
      </c>
      <c r="M174" s="21">
        <f t="shared" si="18"/>
        <v>3.487375077903208</v>
      </c>
      <c r="N174" s="21">
        <f t="shared" si="19"/>
        <v>2.667183498772506</v>
      </c>
    </row>
    <row r="175" spans="1:14" x14ac:dyDescent="0.2">
      <c r="A175" s="33">
        <f>'GF + UG Iteration 4'!A175</f>
        <v>1202</v>
      </c>
      <c r="B175" s="34" t="str">
        <f>'GF + UG Iteration 4'!B175</f>
        <v>UG</v>
      </c>
      <c r="C175" s="35">
        <f>'GF + UG Iteration 4'!C175</f>
        <v>19.399999999999999</v>
      </c>
      <c r="D175" s="36">
        <f>'GF + UG Iteration 4'!P$16*(C175^'GF + UG Iteration 4'!P$15)</f>
        <v>13.934162427795572</v>
      </c>
      <c r="E175" s="37">
        <f>'GF + UG Iteration 4'!E175</f>
        <v>1989</v>
      </c>
      <c r="F175" s="35">
        <f>'GF + UG Iteration 4'!F175</f>
        <v>1.6000000000000014</v>
      </c>
      <c r="G175" s="36">
        <f>'GF + UG Iteration 4'!G175</f>
        <v>10.745042225505973</v>
      </c>
      <c r="H175" s="38">
        <f>'GF + UG Iteration 4'!H175</f>
        <v>2012</v>
      </c>
      <c r="I175" s="35">
        <f t="shared" si="10"/>
        <v>21</v>
      </c>
      <c r="J175" s="36">
        <f t="shared" si="11"/>
        <v>24.679204653301547</v>
      </c>
      <c r="K175" s="38">
        <f t="shared" si="12"/>
        <v>2012</v>
      </c>
      <c r="M175" s="21">
        <f t="shared" si="18"/>
        <v>3.044522437723423</v>
      </c>
      <c r="N175" s="21">
        <f t="shared" si="19"/>
        <v>3.2059609721524911</v>
      </c>
    </row>
    <row r="176" spans="1:14" x14ac:dyDescent="0.2">
      <c r="A176" s="33">
        <f>'GF + UG Iteration 4'!A176</f>
        <v>1338</v>
      </c>
      <c r="B176" s="34" t="str">
        <f>'GF + UG Iteration 4'!B176</f>
        <v>UG</v>
      </c>
      <c r="C176" s="35">
        <f>'GF + UG Iteration 4'!C176</f>
        <v>7.5</v>
      </c>
      <c r="D176" s="36">
        <f>'GF + UG Iteration 4'!P$16*(C176^'GF + UG Iteration 4'!P$15)</f>
        <v>8.1200700679575828</v>
      </c>
      <c r="E176" s="37" t="str">
        <f>'GF + UG Iteration 4'!E176</f>
        <v>unknown</v>
      </c>
      <c r="F176" s="35">
        <f>'GF + UG Iteration 4'!F176</f>
        <v>2</v>
      </c>
      <c r="G176" s="36">
        <f>'GF + UG Iteration 4'!G176</f>
        <v>6.6635813355623759</v>
      </c>
      <c r="H176" s="38">
        <f>'GF + UG Iteration 4'!H176</f>
        <v>2013</v>
      </c>
      <c r="I176" s="35">
        <f t="shared" si="10"/>
        <v>9.5</v>
      </c>
      <c r="J176" s="36">
        <f t="shared" si="11"/>
        <v>14.783651403519958</v>
      </c>
      <c r="K176" s="38">
        <f t="shared" si="12"/>
        <v>2013</v>
      </c>
      <c r="M176" s="21">
        <f t="shared" si="18"/>
        <v>2.2512917986064953</v>
      </c>
      <c r="N176" s="21">
        <f t="shared" si="19"/>
        <v>2.6935219353139699</v>
      </c>
    </row>
    <row r="177" spans="1:14" x14ac:dyDescent="0.2">
      <c r="A177" s="33">
        <f>'GF + UG Iteration 4'!A177</f>
        <v>212</v>
      </c>
      <c r="B177" s="34" t="str">
        <f>'GF + UG Iteration 4'!B177</f>
        <v>UG</v>
      </c>
      <c r="C177" s="35">
        <f>'GF + UG Iteration 4'!C177</f>
        <v>36.549999999999997</v>
      </c>
      <c r="D177" s="36">
        <f>'GF + UG Iteration 4'!P$16*(C177^'GF + UG Iteration 4'!P$15)</f>
        <v>19.970357586735204</v>
      </c>
      <c r="E177" s="37">
        <f>'GF + UG Iteration 4'!E177</f>
        <v>1978</v>
      </c>
      <c r="F177" s="35">
        <f>'GF + UG Iteration 4'!F177</f>
        <v>28</v>
      </c>
      <c r="G177" s="36">
        <f>'GF + UG Iteration 4'!G177</f>
        <v>4.6264535731184777</v>
      </c>
      <c r="H177" s="38">
        <f>'GF + UG Iteration 4'!H177</f>
        <v>2003</v>
      </c>
      <c r="I177" s="35">
        <f t="shared" si="10"/>
        <v>64.55</v>
      </c>
      <c r="J177" s="36">
        <f t="shared" si="11"/>
        <v>24.596811159853683</v>
      </c>
      <c r="K177" s="38">
        <f t="shared" si="12"/>
        <v>2003</v>
      </c>
      <c r="M177" s="21">
        <f t="shared" si="18"/>
        <v>4.1674401172926512</v>
      </c>
      <c r="N177" s="21">
        <f t="shared" si="19"/>
        <v>3.2026168068877032</v>
      </c>
    </row>
    <row r="178" spans="1:14" x14ac:dyDescent="0.2">
      <c r="A178" s="33">
        <f>'GF + UG Iteration 4'!A178</f>
        <v>653</v>
      </c>
      <c r="B178" s="34" t="str">
        <f>'GF + UG Iteration 4'!B178</f>
        <v>UG</v>
      </c>
      <c r="C178" s="35">
        <f>'GF + UG Iteration 4'!C178</f>
        <v>64.55</v>
      </c>
      <c r="D178" s="36">
        <f>'GF + UG Iteration 4'!P$16*(C178^'GF + UG Iteration 4'!P$15)</f>
        <v>27.589094764582441</v>
      </c>
      <c r="E178" s="37">
        <f>'GF + UG Iteration 4'!E178</f>
        <v>1977</v>
      </c>
      <c r="F178" s="35">
        <f>'GF + UG Iteration 4'!F178</f>
        <v>1.3200000000000074</v>
      </c>
      <c r="G178" s="36">
        <f>'GF + UG Iteration 4'!G178</f>
        <v>0.56894692945086811</v>
      </c>
      <c r="H178" s="38">
        <f>'GF + UG Iteration 4'!H178</f>
        <v>2007</v>
      </c>
      <c r="I178" s="35">
        <f t="shared" si="10"/>
        <v>65.87</v>
      </c>
      <c r="J178" s="36">
        <f t="shared" si="11"/>
        <v>28.158041694033308</v>
      </c>
      <c r="K178" s="38">
        <f t="shared" si="12"/>
        <v>2007</v>
      </c>
      <c r="M178" s="21">
        <f t="shared" si="18"/>
        <v>4.1876831026526018</v>
      </c>
      <c r="N178" s="21">
        <f t="shared" si="19"/>
        <v>3.3378329867563821</v>
      </c>
    </row>
    <row r="179" spans="1:14" x14ac:dyDescent="0.2">
      <c r="A179" s="33">
        <f>'GF + UG Iteration 4'!A179</f>
        <v>1679</v>
      </c>
      <c r="B179" s="34" t="str">
        <f>'GF + UG Iteration 4'!B179</f>
        <v>UG</v>
      </c>
      <c r="C179" s="35">
        <f>'GF + UG Iteration 4'!C179</f>
        <v>65.87</v>
      </c>
      <c r="D179" s="36">
        <f>'GF + UG Iteration 4'!P$16*(C179^'GF + UG Iteration 4'!P$15)</f>
        <v>27.908260988333755</v>
      </c>
      <c r="E179" s="37">
        <f>'GF + UG Iteration 4'!E179</f>
        <v>1977</v>
      </c>
      <c r="F179" s="35">
        <f>'GF + UG Iteration 4'!F179</f>
        <v>0</v>
      </c>
      <c r="G179" s="36">
        <f>'GF + UG Iteration 4'!G179</f>
        <v>3.0359489017822221</v>
      </c>
      <c r="H179" s="38">
        <f>'GF + UG Iteration 4'!H179</f>
        <v>2016</v>
      </c>
      <c r="I179" s="35">
        <f t="shared" si="10"/>
        <v>65.87</v>
      </c>
      <c r="J179" s="36">
        <f t="shared" si="11"/>
        <v>30.944209890115978</v>
      </c>
      <c r="K179" s="38">
        <f t="shared" si="12"/>
        <v>2016</v>
      </c>
      <c r="M179" s="21">
        <f t="shared" si="18"/>
        <v>4.1876831026526018</v>
      </c>
      <c r="N179" s="21">
        <f t="shared" si="19"/>
        <v>3.4321859021497665</v>
      </c>
    </row>
    <row r="180" spans="1:14" x14ac:dyDescent="0.2">
      <c r="A180" s="33">
        <f>'GF + UG Iteration 4'!A180</f>
        <v>1382</v>
      </c>
      <c r="B180" s="34" t="str">
        <f>'GF + UG Iteration 4'!B180</f>
        <v>UG</v>
      </c>
      <c r="C180" s="35">
        <f>'GF + UG Iteration 4'!C180</f>
        <v>24.2</v>
      </c>
      <c r="D180" s="36">
        <f>'GF + UG Iteration 4'!P$16*(C180^'GF + UG Iteration 4'!P$15)</f>
        <v>15.799242766858281</v>
      </c>
      <c r="E180" s="37" t="str">
        <f>'GF + UG Iteration 4'!E180</f>
        <v>unknown</v>
      </c>
      <c r="F180" s="35">
        <f>'GF + UG Iteration 4'!F180</f>
        <v>11.900000000000002</v>
      </c>
      <c r="G180" s="36">
        <f>'GF + UG Iteration 4'!G180</f>
        <v>2.4484361075925429</v>
      </c>
      <c r="H180" s="38">
        <f>'GF + UG Iteration 4'!H180</f>
        <v>2013</v>
      </c>
      <c r="I180" s="35">
        <f t="shared" si="10"/>
        <v>36.1</v>
      </c>
      <c r="J180" s="36">
        <f t="shared" si="11"/>
        <v>18.247678874450823</v>
      </c>
      <c r="K180" s="38">
        <f t="shared" si="12"/>
        <v>2013</v>
      </c>
      <c r="M180" s="21">
        <f t="shared" si="18"/>
        <v>3.5862928653388351</v>
      </c>
      <c r="N180" s="21">
        <f t="shared" si="19"/>
        <v>2.9040378869782089</v>
      </c>
    </row>
    <row r="181" spans="1:14" x14ac:dyDescent="0.2">
      <c r="A181" s="33">
        <f>'GF + UG Iteration 4'!A181</f>
        <v>1638</v>
      </c>
      <c r="B181" s="34" t="str">
        <f>'GF + UG Iteration 4'!B181</f>
        <v>UG</v>
      </c>
      <c r="C181" s="35">
        <f>'GF + UG Iteration 4'!C181</f>
        <v>36.1</v>
      </c>
      <c r="D181" s="36">
        <f>'GF + UG Iteration 4'!P$16*(C181^'GF + UG Iteration 4'!P$15)</f>
        <v>19.83027778507503</v>
      </c>
      <c r="E181" s="37" t="str">
        <f>'GF + UG Iteration 4'!E181</f>
        <v>unknown</v>
      </c>
      <c r="F181" s="35">
        <f>'GF + UG Iteration 4'!F181</f>
        <v>0</v>
      </c>
      <c r="G181" s="36">
        <f>'GF + UG Iteration 4'!G181</f>
        <v>1.4307693737810239</v>
      </c>
      <c r="H181" s="38">
        <f>'GF + UG Iteration 4'!H181</f>
        <v>2015</v>
      </c>
      <c r="I181" s="35">
        <f t="shared" si="10"/>
        <v>36.1</v>
      </c>
      <c r="J181" s="36">
        <f t="shared" si="11"/>
        <v>21.261047158856055</v>
      </c>
      <c r="K181" s="38">
        <f t="shared" si="12"/>
        <v>2015</v>
      </c>
      <c r="M181" s="21">
        <f t="shared" si="18"/>
        <v>3.5862928653388351</v>
      </c>
      <c r="N181" s="21">
        <f t="shared" si="19"/>
        <v>3.0568766265858649</v>
      </c>
    </row>
    <row r="182" spans="1:14" x14ac:dyDescent="0.2">
      <c r="A182" s="33">
        <f>'GF + UG Iteration 4'!A182</f>
        <v>874</v>
      </c>
      <c r="B182" s="34" t="str">
        <f>'GF + UG Iteration 4'!B182</f>
        <v>UG</v>
      </c>
      <c r="C182" s="35">
        <f>'GF + UG Iteration 4'!C182</f>
        <v>6.4</v>
      </c>
      <c r="D182" s="36">
        <f>'GF + UG Iteration 4'!P$16*(C182^'GF + UG Iteration 4'!P$15)</f>
        <v>7.4202938017313906</v>
      </c>
      <c r="E182" s="37">
        <f>'GF + UG Iteration 4'!E182</f>
        <v>1997</v>
      </c>
      <c r="F182" s="35">
        <f>'GF + UG Iteration 4'!F182</f>
        <v>0.5</v>
      </c>
      <c r="G182" s="36">
        <f>'GF + UG Iteration 4'!G182</f>
        <v>3.6333602061432981</v>
      </c>
      <c r="H182" s="38">
        <f>'GF + UG Iteration 4'!H182</f>
        <v>2009</v>
      </c>
      <c r="I182" s="35">
        <f t="shared" si="10"/>
        <v>6.9</v>
      </c>
      <c r="J182" s="36">
        <f t="shared" si="11"/>
        <v>11.053654007874689</v>
      </c>
      <c r="K182" s="38">
        <f t="shared" si="12"/>
        <v>2009</v>
      </c>
      <c r="M182" s="21">
        <f t="shared" si="18"/>
        <v>1.9315214116032138</v>
      </c>
      <c r="N182" s="21">
        <f t="shared" si="19"/>
        <v>2.4027610527470373</v>
      </c>
    </row>
    <row r="183" spans="1:14" x14ac:dyDescent="0.2">
      <c r="A183" s="33">
        <f>'GF + UG Iteration 4'!A183</f>
        <v>491</v>
      </c>
      <c r="B183" s="34" t="str">
        <f>'GF + UG Iteration 4'!B183</f>
        <v>UG</v>
      </c>
      <c r="C183" s="35">
        <f>'GF + UG Iteration 4'!C183</f>
        <v>27.9</v>
      </c>
      <c r="D183" s="36">
        <f>'GF + UG Iteration 4'!P$16*(C183^'GF + UG Iteration 4'!P$15)</f>
        <v>17.129511700130283</v>
      </c>
      <c r="E183" s="37">
        <f>'GF + UG Iteration 4'!E183</f>
        <v>1984</v>
      </c>
      <c r="F183" s="35">
        <f>'GF + UG Iteration 4'!F183</f>
        <v>1</v>
      </c>
      <c r="G183" s="36">
        <f>'GF + UG Iteration 4'!G183</f>
        <v>0.19252271805052243</v>
      </c>
      <c r="H183" s="38">
        <f>'GF + UG Iteration 4'!H183</f>
        <v>2006</v>
      </c>
      <c r="I183" s="35">
        <f t="shared" si="10"/>
        <v>28.9</v>
      </c>
      <c r="J183" s="36">
        <f t="shared" si="11"/>
        <v>17.322034418180806</v>
      </c>
      <c r="K183" s="38">
        <f t="shared" si="12"/>
        <v>2006</v>
      </c>
      <c r="M183" s="21">
        <f t="shared" si="18"/>
        <v>3.3638415951183864</v>
      </c>
      <c r="N183" s="21">
        <f t="shared" si="19"/>
        <v>2.8519793568703249</v>
      </c>
    </row>
    <row r="184" spans="1:14" x14ac:dyDescent="0.2">
      <c r="A184" s="33">
        <f>'GF + UG Iteration 4'!A184</f>
        <v>1396</v>
      </c>
      <c r="B184" s="34" t="str">
        <f>'GF + UG Iteration 4'!B184</f>
        <v>UG</v>
      </c>
      <c r="C184" s="35">
        <f>'GF + UG Iteration 4'!C184</f>
        <v>20.6</v>
      </c>
      <c r="D184" s="36">
        <f>'GF + UG Iteration 4'!P$16*(C184^'GF + UG Iteration 4'!P$15)</f>
        <v>14.417547937423492</v>
      </c>
      <c r="E184" s="37">
        <f>'GF + UG Iteration 4'!E184</f>
        <v>2009</v>
      </c>
      <c r="F184" s="35">
        <f>'GF + UG Iteration 4'!F184</f>
        <v>5.3999999999999986</v>
      </c>
      <c r="G184" s="36">
        <f>'GF + UG Iteration 4'!G184</f>
        <v>0.37351117224616898</v>
      </c>
      <c r="H184" s="38">
        <f>'GF + UG Iteration 4'!H184</f>
        <v>2013</v>
      </c>
      <c r="I184" s="35">
        <f t="shared" ref="I184:I246" si="20">C184+F184</f>
        <v>26</v>
      </c>
      <c r="J184" s="36">
        <f t="shared" ref="J184:J246" si="21">D184+G184</f>
        <v>14.791059109669661</v>
      </c>
      <c r="K184" s="38">
        <f t="shared" ref="K184:K246" si="22">MAX(E184,H184)</f>
        <v>2013</v>
      </c>
      <c r="M184" s="21">
        <f>LN(I184)</f>
        <v>3.2580965380214821</v>
      </c>
      <c r="N184" s="21">
        <f>LN(J184)</f>
        <v>2.6940228840080449</v>
      </c>
    </row>
    <row r="185" spans="1:14" x14ac:dyDescent="0.2">
      <c r="A185" s="33">
        <f>'GF + UG Iteration 4'!A185</f>
        <v>1597</v>
      </c>
      <c r="B185" s="34" t="str">
        <f>'GF + UG Iteration 4'!B185</f>
        <v>UG</v>
      </c>
      <c r="C185" s="35">
        <f>'GF + UG Iteration 4'!C185</f>
        <v>26</v>
      </c>
      <c r="D185" s="36">
        <f>'GF + UG Iteration 4'!P$16*(C185^'GF + UG Iteration 4'!P$15)</f>
        <v>16.456610325190457</v>
      </c>
      <c r="E185" s="37">
        <f>'GF + UG Iteration 4'!E185</f>
        <v>2009</v>
      </c>
      <c r="F185" s="35">
        <f>'GF + UG Iteration 4'!F185</f>
        <v>27.299999999999997</v>
      </c>
      <c r="G185" s="36">
        <f>'GF + UG Iteration 4'!G185</f>
        <v>4.2355817632178319</v>
      </c>
      <c r="H185" s="38">
        <f>'GF + UG Iteration 4'!H185</f>
        <v>2015</v>
      </c>
      <c r="I185" s="35">
        <f t="shared" si="20"/>
        <v>53.3</v>
      </c>
      <c r="J185" s="36">
        <f t="shared" si="21"/>
        <v>20.692192088408291</v>
      </c>
      <c r="K185" s="38">
        <f t="shared" si="22"/>
        <v>2015</v>
      </c>
      <c r="M185" s="21">
        <f t="shared" ref="M185:M247" si="23">LN(I185)</f>
        <v>3.9759363311717988</v>
      </c>
      <c r="N185" s="21">
        <f t="shared" ref="N185:N247" si="24">LN(J185)</f>
        <v>3.0297564353191486</v>
      </c>
    </row>
    <row r="186" spans="1:14" x14ac:dyDescent="0.2">
      <c r="A186" s="33">
        <f>'GF + UG Iteration 4'!A186</f>
        <v>1292</v>
      </c>
      <c r="B186" s="34" t="str">
        <f>'GF + UG Iteration 4'!B186</f>
        <v>UG</v>
      </c>
      <c r="C186" s="35">
        <f>'GF + UG Iteration 4'!C186</f>
        <v>30.3</v>
      </c>
      <c r="D186" s="36">
        <f>'GF + UG Iteration 4'!P$16*(C186^'GF + UG Iteration 4'!P$15)</f>
        <v>17.951822533724858</v>
      </c>
      <c r="E186" s="37" t="str">
        <f>'GF + UG Iteration 4'!E186</f>
        <v>unknown</v>
      </c>
      <c r="F186" s="35">
        <f>'GF + UG Iteration 4'!F186</f>
        <v>2.4999999999999964</v>
      </c>
      <c r="G186" s="36">
        <f>'GF + UG Iteration 4'!G186</f>
        <v>4.47116983018676</v>
      </c>
      <c r="H186" s="38">
        <f>'GF + UG Iteration 4'!H186</f>
        <v>2013</v>
      </c>
      <c r="I186" s="35">
        <f t="shared" si="20"/>
        <v>32.799999999999997</v>
      </c>
      <c r="J186" s="36">
        <f t="shared" si="21"/>
        <v>22.422992363911618</v>
      </c>
      <c r="K186" s="38">
        <f t="shared" si="22"/>
        <v>2013</v>
      </c>
      <c r="M186" s="21">
        <f t="shared" si="23"/>
        <v>3.4904285153900978</v>
      </c>
      <c r="N186" s="21">
        <f t="shared" si="24"/>
        <v>3.1100868772442016</v>
      </c>
    </row>
    <row r="187" spans="1:14" x14ac:dyDescent="0.2">
      <c r="A187" s="33">
        <f>'GF + UG Iteration 4'!A187</f>
        <v>364</v>
      </c>
      <c r="B187" s="34" t="str">
        <f>'GF + UG Iteration 4'!B187</f>
        <v>UG</v>
      </c>
      <c r="C187" s="35">
        <f>'GF + UG Iteration 4'!C187</f>
        <v>44.904000000000003</v>
      </c>
      <c r="D187" s="36">
        <f>'GF + UG Iteration 4'!P$16*(C187^'GF + UG Iteration 4'!P$15)</f>
        <v>22.448225130253658</v>
      </c>
      <c r="E187" s="37">
        <f>'GF + UG Iteration 4'!E187</f>
        <v>1975</v>
      </c>
      <c r="F187" s="35">
        <f>'GF + UG Iteration 4'!F187</f>
        <v>2</v>
      </c>
      <c r="G187" s="36">
        <f>'GF + UG Iteration 4'!G187</f>
        <v>1.3174901179839253</v>
      </c>
      <c r="H187" s="38">
        <f>'GF + UG Iteration 4'!H187</f>
        <v>2004</v>
      </c>
      <c r="I187" s="35">
        <f t="shared" si="20"/>
        <v>46.904000000000003</v>
      </c>
      <c r="J187" s="36">
        <f t="shared" si="21"/>
        <v>23.765715248237584</v>
      </c>
      <c r="K187" s="38">
        <f t="shared" si="22"/>
        <v>2004</v>
      </c>
      <c r="M187" s="21">
        <f t="shared" si="23"/>
        <v>3.8481029596619138</v>
      </c>
      <c r="N187" s="21">
        <f t="shared" si="24"/>
        <v>3.1682440063198962</v>
      </c>
    </row>
    <row r="188" spans="1:14" x14ac:dyDescent="0.2">
      <c r="A188" s="33">
        <f>'GF + UG Iteration 4'!A188</f>
        <v>1306</v>
      </c>
      <c r="B188" s="34" t="str">
        <f>'GF + UG Iteration 4'!B188</f>
        <v>UG</v>
      </c>
      <c r="C188" s="35">
        <f>'GF + UG Iteration 4'!C188</f>
        <v>23.1</v>
      </c>
      <c r="D188" s="36">
        <f>'GF + UG Iteration 4'!P$16*(C188^'GF + UG Iteration 4'!P$15)</f>
        <v>15.387094199428629</v>
      </c>
      <c r="E188" s="37">
        <f>'GF + UG Iteration 4'!E188</f>
        <v>1985</v>
      </c>
      <c r="F188" s="35">
        <f>'GF + UG Iteration 4'!F188</f>
        <v>2.0999999999999979</v>
      </c>
      <c r="G188" s="36">
        <f>'GF + UG Iteration 4'!G188</f>
        <v>5.9848606370399509</v>
      </c>
      <c r="H188" s="38">
        <f>'GF + UG Iteration 4'!H188</f>
        <v>2013</v>
      </c>
      <c r="I188" s="35">
        <f t="shared" si="20"/>
        <v>25.2</v>
      </c>
      <c r="J188" s="36">
        <f t="shared" si="21"/>
        <v>21.371954836468582</v>
      </c>
      <c r="K188" s="38">
        <f t="shared" si="22"/>
        <v>2013</v>
      </c>
      <c r="M188" s="21">
        <f t="shared" si="23"/>
        <v>3.2268439945173775</v>
      </c>
      <c r="N188" s="21">
        <f t="shared" si="24"/>
        <v>3.0620795408829506</v>
      </c>
    </row>
    <row r="189" spans="1:14" x14ac:dyDescent="0.2">
      <c r="A189" s="33">
        <f>'GF + UG Iteration 4'!A189</f>
        <v>858</v>
      </c>
      <c r="B189" s="34" t="str">
        <f>'GF + UG Iteration 4'!B189</f>
        <v>UG</v>
      </c>
      <c r="C189" s="35">
        <f>'GF + UG Iteration 4'!C189</f>
        <v>28.4</v>
      </c>
      <c r="D189" s="36">
        <f>'GF + UG Iteration 4'!P$16*(C189^'GF + UG Iteration 4'!P$15)</f>
        <v>17.303270301084375</v>
      </c>
      <c r="E189" s="37">
        <f>'GF + UG Iteration 4'!E189</f>
        <v>2009</v>
      </c>
      <c r="F189" s="35">
        <f>'GF + UG Iteration 4'!F189</f>
        <v>13.300000000000004</v>
      </c>
      <c r="G189" s="36">
        <f>'GF + UG Iteration 4'!G189</f>
        <v>5.4358775042665943</v>
      </c>
      <c r="H189" s="38">
        <f>'GF + UG Iteration 4'!H189</f>
        <v>2010</v>
      </c>
      <c r="I189" s="35">
        <f t="shared" si="20"/>
        <v>41.7</v>
      </c>
      <c r="J189" s="36">
        <f t="shared" si="21"/>
        <v>22.739147805350967</v>
      </c>
      <c r="K189" s="38">
        <f t="shared" si="22"/>
        <v>2010</v>
      </c>
      <c r="M189" s="21">
        <f t="shared" si="23"/>
        <v>3.730501128804756</v>
      </c>
      <c r="N189" s="21">
        <f t="shared" si="24"/>
        <v>3.1240880120419292</v>
      </c>
    </row>
    <row r="190" spans="1:14" x14ac:dyDescent="0.2">
      <c r="A190" s="33">
        <f>'GF + UG Iteration 4'!A190</f>
        <v>1454</v>
      </c>
      <c r="B190" s="34" t="str">
        <f>'GF + UG Iteration 4'!B190</f>
        <v>UG</v>
      </c>
      <c r="C190" s="35">
        <f>'GF + UG Iteration 4'!C190</f>
        <v>41.7</v>
      </c>
      <c r="D190" s="36">
        <f>'GF + UG Iteration 4'!P$16*(C190^'GF + UG Iteration 4'!P$15)</f>
        <v>21.523594897133442</v>
      </c>
      <c r="E190" s="37">
        <f>'GF + UG Iteration 4'!E190</f>
        <v>2009</v>
      </c>
      <c r="F190" s="35">
        <f>'GF + UG Iteration 4'!F190</f>
        <v>5.6999999999999957</v>
      </c>
      <c r="G190" s="36">
        <f>'GF + UG Iteration 4'!G190</f>
        <v>0.45762240995573644</v>
      </c>
      <c r="H190" s="38">
        <f>'GF + UG Iteration 4'!H190</f>
        <v>2013</v>
      </c>
      <c r="I190" s="35">
        <f t="shared" si="20"/>
        <v>47.4</v>
      </c>
      <c r="J190" s="36">
        <f t="shared" si="21"/>
        <v>21.981217307089178</v>
      </c>
      <c r="K190" s="38">
        <f t="shared" si="22"/>
        <v>2013</v>
      </c>
      <c r="M190" s="21">
        <f t="shared" si="23"/>
        <v>3.858622228701031</v>
      </c>
      <c r="N190" s="21">
        <f t="shared" si="24"/>
        <v>3.0901883299300557</v>
      </c>
    </row>
    <row r="191" spans="1:14" x14ac:dyDescent="0.2">
      <c r="A191" s="33">
        <f>'GF + UG Iteration 4'!A191</f>
        <v>637</v>
      </c>
      <c r="B191" s="34" t="str">
        <f>'GF + UG Iteration 4'!B191</f>
        <v>UG</v>
      </c>
      <c r="C191" s="35">
        <f>'GF + UG Iteration 4'!C191</f>
        <v>15.499999999999998</v>
      </c>
      <c r="D191" s="36">
        <f>'GF + UG Iteration 4'!P$16*(C191^'GF + UG Iteration 4'!P$15)</f>
        <v>12.26585804124899</v>
      </c>
      <c r="E191" s="37">
        <f>'GF + UG Iteration 4'!E191</f>
        <v>1989</v>
      </c>
      <c r="F191" s="35">
        <f>'GF + UG Iteration 4'!F191</f>
        <v>8.4</v>
      </c>
      <c r="G191" s="36">
        <f>'GF + UG Iteration 4'!G191</f>
        <v>5.068859840469166</v>
      </c>
      <c r="H191" s="38">
        <f>'GF + UG Iteration 4'!H191</f>
        <v>2007</v>
      </c>
      <c r="I191" s="35">
        <f t="shared" si="20"/>
        <v>23.9</v>
      </c>
      <c r="J191" s="36">
        <f t="shared" si="21"/>
        <v>17.334717881718156</v>
      </c>
      <c r="K191" s="38">
        <f t="shared" si="22"/>
        <v>2007</v>
      </c>
      <c r="M191" s="21">
        <f t="shared" si="23"/>
        <v>3.1738784589374651</v>
      </c>
      <c r="N191" s="21">
        <f t="shared" si="24"/>
        <v>2.8527113045146888</v>
      </c>
    </row>
    <row r="192" spans="1:14" x14ac:dyDescent="0.2">
      <c r="A192" s="33">
        <f>'GF + UG Iteration 4'!A192</f>
        <v>1254</v>
      </c>
      <c r="B192" s="34" t="str">
        <f>'GF + UG Iteration 4'!B192</f>
        <v>UG</v>
      </c>
      <c r="C192" s="35">
        <f>'GF + UG Iteration 4'!C192</f>
        <v>23.9</v>
      </c>
      <c r="D192" s="36">
        <f>'GF + UG Iteration 4'!P$16*(C192^'GF + UG Iteration 4'!P$15)</f>
        <v>15.687655477191671</v>
      </c>
      <c r="E192" s="37">
        <f>'GF + UG Iteration 4'!E192</f>
        <v>1989</v>
      </c>
      <c r="F192" s="35">
        <f>'GF + UG Iteration 4'!F192</f>
        <v>15.399999999999999</v>
      </c>
      <c r="G192" s="36">
        <f>'GF + UG Iteration 4'!G192</f>
        <v>6.528436764593768</v>
      </c>
      <c r="H192" s="38">
        <f>'GF + UG Iteration 4'!H192</f>
        <v>2012</v>
      </c>
      <c r="I192" s="35">
        <f t="shared" si="20"/>
        <v>39.299999999999997</v>
      </c>
      <c r="J192" s="36">
        <f t="shared" si="21"/>
        <v>22.216092241785439</v>
      </c>
      <c r="K192" s="38">
        <f t="shared" si="22"/>
        <v>2012</v>
      </c>
      <c r="M192" s="21">
        <f t="shared" si="23"/>
        <v>3.6712245188752153</v>
      </c>
      <c r="N192" s="21">
        <f t="shared" si="24"/>
        <v>3.1008169020387957</v>
      </c>
    </row>
    <row r="193" spans="1:14" x14ac:dyDescent="0.2">
      <c r="A193" s="33">
        <f>'GF + UG Iteration 4'!A193</f>
        <v>734</v>
      </c>
      <c r="B193" s="34" t="str">
        <f>'GF + UG Iteration 4'!B193</f>
        <v>UG</v>
      </c>
      <c r="C193" s="35">
        <f>'GF + UG Iteration 4'!C193</f>
        <v>20</v>
      </c>
      <c r="D193" s="36">
        <f>'GF + UG Iteration 4'!P$16*(C193^'GF + UG Iteration 4'!P$15)</f>
        <v>14.177420873103719</v>
      </c>
      <c r="E193" s="37">
        <f>'GF + UG Iteration 4'!E193</f>
        <v>1974</v>
      </c>
      <c r="F193" s="35">
        <f>'GF + UG Iteration 4'!F193</f>
        <v>4.3999999999999986</v>
      </c>
      <c r="G193" s="36">
        <f>'GF + UG Iteration 4'!G193</f>
        <v>11.261124599264825</v>
      </c>
      <c r="H193" s="38">
        <f>'GF + UG Iteration 4'!H193</f>
        <v>2011</v>
      </c>
      <c r="I193" s="35">
        <f t="shared" ref="I193" si="25">C193+F193</f>
        <v>24.4</v>
      </c>
      <c r="J193" s="36">
        <f t="shared" ref="J193" si="26">D193+G193</f>
        <v>25.438545472368546</v>
      </c>
      <c r="K193" s="38">
        <f t="shared" ref="K193" si="27">MAX(E193,H193)</f>
        <v>2011</v>
      </c>
      <c r="M193" s="21">
        <f t="shared" ref="M193" si="28">LN(I193)</f>
        <v>3.1945831322991562</v>
      </c>
      <c r="N193" s="21">
        <f t="shared" ref="N193" si="29">LN(J193)</f>
        <v>3.2362655620090983</v>
      </c>
    </row>
    <row r="194" spans="1:14" x14ac:dyDescent="0.2">
      <c r="A194" s="33">
        <f>'GF + UG Iteration 4'!A194</f>
        <v>1594</v>
      </c>
      <c r="B194" s="34" t="str">
        <f>'GF + UG Iteration 4'!B194</f>
        <v>UG</v>
      </c>
      <c r="C194" s="35">
        <f>'GF + UG Iteration 4'!C194</f>
        <v>24.4</v>
      </c>
      <c r="D194" s="36">
        <f>'GF + UG Iteration 4'!P$16*(C194^'GF + UG Iteration 4'!P$15)</f>
        <v>15.873302682219396</v>
      </c>
      <c r="E194" s="37">
        <f>'GF + UG Iteration 4'!E194</f>
        <v>1974</v>
      </c>
      <c r="F194" s="35">
        <f>'GF + UG Iteration 4'!F194</f>
        <v>0</v>
      </c>
      <c r="G194" s="36">
        <f>'GF + UG Iteration 4'!G194</f>
        <v>17.2334453477478</v>
      </c>
      <c r="H194" s="38">
        <f>'GF + UG Iteration 4'!H194</f>
        <v>2017</v>
      </c>
      <c r="I194" s="35">
        <f t="shared" si="20"/>
        <v>24.4</v>
      </c>
      <c r="J194" s="36">
        <f t="shared" si="21"/>
        <v>33.106748029967193</v>
      </c>
      <c r="K194" s="38">
        <f t="shared" si="22"/>
        <v>2017</v>
      </c>
      <c r="M194" s="21">
        <f t="shared" si="23"/>
        <v>3.1945831322991562</v>
      </c>
      <c r="N194" s="21">
        <f t="shared" si="24"/>
        <v>3.4997371295796054</v>
      </c>
    </row>
    <row r="195" spans="1:14" x14ac:dyDescent="0.2">
      <c r="A195" s="33">
        <f>'GF + UG Iteration 4'!A195</f>
        <v>1674</v>
      </c>
      <c r="B195" s="34" t="str">
        <f>'GF + UG Iteration 4'!B195</f>
        <v>UG</v>
      </c>
      <c r="C195" s="35">
        <f>'GF + UG Iteration 4'!C195</f>
        <v>17.399999999999999</v>
      </c>
      <c r="D195" s="36">
        <f>'GF + UG Iteration 4'!P$16*(C195^'GF + UG Iteration 4'!P$15)</f>
        <v>13.098808241529536</v>
      </c>
      <c r="E195" s="37">
        <f>'GF + UG Iteration 4'!E195</f>
        <v>0</v>
      </c>
      <c r="F195" s="35">
        <f>'GF + UG Iteration 4'!F195</f>
        <v>3.7000000000000028</v>
      </c>
      <c r="G195" s="36">
        <f>'GF + UG Iteration 4'!G195</f>
        <v>10.327278566796926</v>
      </c>
      <c r="H195" s="38">
        <f>'GF + UG Iteration 4'!H195</f>
        <v>2016</v>
      </c>
      <c r="I195" s="35">
        <f t="shared" si="20"/>
        <v>21.1</v>
      </c>
      <c r="J195" s="36">
        <f t="shared" si="21"/>
        <v>23.42608680832646</v>
      </c>
      <c r="K195" s="38">
        <f t="shared" si="22"/>
        <v>2016</v>
      </c>
      <c r="M195" s="21">
        <f t="shared" si="23"/>
        <v>3.0492730404820207</v>
      </c>
      <c r="N195" s="21">
        <f t="shared" si="24"/>
        <v>3.1538502222809801</v>
      </c>
    </row>
    <row r="196" spans="1:14" x14ac:dyDescent="0.2">
      <c r="A196" s="33">
        <f>'GF + UG Iteration 4'!A196</f>
        <v>711</v>
      </c>
      <c r="B196" s="34" t="str">
        <f>'GF + UG Iteration 4'!B196</f>
        <v>UG</v>
      </c>
      <c r="C196" s="35">
        <f>'GF + UG Iteration 4'!C196</f>
        <v>11.5</v>
      </c>
      <c r="D196" s="36">
        <f>'GF + UG Iteration 4'!P$16*(C196^'GF + UG Iteration 4'!P$15)</f>
        <v>10.352359875858626</v>
      </c>
      <c r="E196" s="37">
        <f>'GF + UG Iteration 4'!E196</f>
        <v>1976</v>
      </c>
      <c r="F196" s="35">
        <f>'GF + UG Iteration 4'!F196</f>
        <v>13.7</v>
      </c>
      <c r="G196" s="36">
        <f>'GF + UG Iteration 4'!G196</f>
        <v>9.2617881543087019</v>
      </c>
      <c r="H196" s="38">
        <f>'GF + UG Iteration 4'!H196</f>
        <v>2009</v>
      </c>
      <c r="I196" s="35">
        <f t="shared" si="20"/>
        <v>25.2</v>
      </c>
      <c r="J196" s="36">
        <f t="shared" si="21"/>
        <v>19.614148030167328</v>
      </c>
      <c r="K196" s="38">
        <f t="shared" si="22"/>
        <v>2009</v>
      </c>
      <c r="M196" s="21">
        <f t="shared" si="23"/>
        <v>3.2268439945173775</v>
      </c>
      <c r="N196" s="21">
        <f t="shared" si="24"/>
        <v>2.9762511441103716</v>
      </c>
    </row>
    <row r="197" spans="1:14" x14ac:dyDescent="0.2">
      <c r="A197" s="33">
        <f>'GF + UG Iteration 4'!A197</f>
        <v>408</v>
      </c>
      <c r="B197" s="34" t="str">
        <f>'GF + UG Iteration 4'!B197</f>
        <v>UG</v>
      </c>
      <c r="C197" s="35">
        <f>'GF + UG Iteration 4'!C197</f>
        <v>37.700000000000003</v>
      </c>
      <c r="D197" s="36">
        <f>'GF + UG Iteration 4'!P$16*(C197^'GF + UG Iteration 4'!P$15)</f>
        <v>20.324995136766095</v>
      </c>
      <c r="E197" s="37">
        <f>'GF + UG Iteration 4'!E197</f>
        <v>1976</v>
      </c>
      <c r="F197" s="35">
        <f>'GF + UG Iteration 4'!F197</f>
        <v>2.0419999999999945</v>
      </c>
      <c r="G197" s="36">
        <f>'GF + UG Iteration 4'!G197</f>
        <v>0.58015876995711901</v>
      </c>
      <c r="H197" s="38">
        <f>'GF + UG Iteration 4'!H197</f>
        <v>2004</v>
      </c>
      <c r="I197" s="35">
        <f t="shared" si="20"/>
        <v>39.741999999999997</v>
      </c>
      <c r="J197" s="36">
        <f t="shared" si="21"/>
        <v>20.905153906723214</v>
      </c>
      <c r="K197" s="38">
        <f t="shared" si="22"/>
        <v>2004</v>
      </c>
      <c r="M197" s="21">
        <f t="shared" si="23"/>
        <v>3.6824085629836243</v>
      </c>
      <c r="N197" s="21">
        <f t="shared" si="24"/>
        <v>3.039995726978185</v>
      </c>
    </row>
    <row r="198" spans="1:14" x14ac:dyDescent="0.2">
      <c r="A198" s="33">
        <f>'GF + UG Iteration 4'!A198</f>
        <v>698</v>
      </c>
      <c r="B198" s="34" t="str">
        <f>'GF + UG Iteration 4'!B198</f>
        <v>UG</v>
      </c>
      <c r="C198" s="35">
        <f>'GF + UG Iteration 4'!C198</f>
        <v>39.700000000000003</v>
      </c>
      <c r="D198" s="36">
        <f>'GF + UG Iteration 4'!P$16*(C198^'GF + UG Iteration 4'!P$15)</f>
        <v>20.930816373924717</v>
      </c>
      <c r="E198" s="37">
        <f>'GF + UG Iteration 4'!E198</f>
        <v>1976</v>
      </c>
      <c r="F198" s="35">
        <f>'GF + UG Iteration 4'!F198</f>
        <v>20.9</v>
      </c>
      <c r="G198" s="36">
        <f>'GF + UG Iteration 4'!G198</f>
        <v>1.4406821685518079</v>
      </c>
      <c r="H198" s="38">
        <f>'GF + UG Iteration 4'!H198</f>
        <v>2007</v>
      </c>
      <c r="I198" s="35">
        <f t="shared" si="20"/>
        <v>60.6</v>
      </c>
      <c r="J198" s="36">
        <f t="shared" si="21"/>
        <v>22.371498542476523</v>
      </c>
      <c r="K198" s="38">
        <f t="shared" si="22"/>
        <v>2007</v>
      </c>
      <c r="M198" s="21">
        <f t="shared" si="23"/>
        <v>4.1042948930752692</v>
      </c>
      <c r="N198" s="21">
        <f t="shared" si="24"/>
        <v>3.1077877621934054</v>
      </c>
    </row>
    <row r="199" spans="1:14" x14ac:dyDescent="0.2">
      <c r="A199" s="33">
        <f>'GF + UG Iteration 4'!A199</f>
        <v>696</v>
      </c>
      <c r="B199" s="34" t="str">
        <f>'GF + UG Iteration 4'!B199</f>
        <v>UG</v>
      </c>
      <c r="C199" s="35">
        <f>'GF + UG Iteration 4'!C199</f>
        <v>9.1370000000000005</v>
      </c>
      <c r="D199" s="36">
        <f>'GF + UG Iteration 4'!P$16*(C199^'GF + UG Iteration 4'!P$15)</f>
        <v>9.0840390719301372</v>
      </c>
      <c r="E199" s="37">
        <f>'GF + UG Iteration 4'!E199</f>
        <v>1981</v>
      </c>
      <c r="F199" s="35">
        <f>'GF + UG Iteration 4'!F199</f>
        <v>8.0629999999999988</v>
      </c>
      <c r="G199" s="36">
        <f>'GF + UG Iteration 4'!G199</f>
        <v>0.26810351472539734</v>
      </c>
      <c r="H199" s="38">
        <f>'GF + UG Iteration 4'!H199</f>
        <v>2007</v>
      </c>
      <c r="I199" s="35">
        <f t="shared" si="20"/>
        <v>17.2</v>
      </c>
      <c r="J199" s="36">
        <f t="shared" si="21"/>
        <v>9.3521425866555337</v>
      </c>
      <c r="K199" s="38">
        <f t="shared" si="22"/>
        <v>2007</v>
      </c>
      <c r="M199" s="21">
        <f t="shared" si="23"/>
        <v>2.8449093838194073</v>
      </c>
      <c r="N199" s="21">
        <f t="shared" si="24"/>
        <v>2.235605470701906</v>
      </c>
    </row>
    <row r="200" spans="1:14" x14ac:dyDescent="0.2">
      <c r="A200" s="33">
        <f>'GF + UG Iteration 4'!A200</f>
        <v>1636</v>
      </c>
      <c r="B200" s="34" t="str">
        <f>'GF + UG Iteration 4'!B200</f>
        <v>UG</v>
      </c>
      <c r="C200" s="35">
        <f>'GF + UG Iteration 4'!C200</f>
        <v>17.2</v>
      </c>
      <c r="D200" s="36">
        <f>'GF + UG Iteration 4'!P$16*(C200^'GF + UG Iteration 4'!P$15)</f>
        <v>13.013045287786071</v>
      </c>
      <c r="E200" s="37">
        <f>'GF + UG Iteration 4'!E200</f>
        <v>1981</v>
      </c>
      <c r="F200" s="35">
        <f>'GF + UG Iteration 4'!F200</f>
        <v>0</v>
      </c>
      <c r="G200" s="36">
        <f>'GF + UG Iteration 4'!G200</f>
        <v>6.6058972937468434</v>
      </c>
      <c r="H200" s="38">
        <f>'GF + UG Iteration 4'!H200</f>
        <v>2015</v>
      </c>
      <c r="I200" s="35">
        <f t="shared" si="20"/>
        <v>17.2</v>
      </c>
      <c r="J200" s="36">
        <f t="shared" si="21"/>
        <v>19.618942581532913</v>
      </c>
      <c r="K200" s="38">
        <f t="shared" si="22"/>
        <v>2015</v>
      </c>
      <c r="M200" s="21">
        <f t="shared" si="23"/>
        <v>2.8449093838194073</v>
      </c>
      <c r="N200" s="21">
        <f t="shared" si="24"/>
        <v>2.9764955577578665</v>
      </c>
    </row>
    <row r="201" spans="1:14" x14ac:dyDescent="0.2">
      <c r="A201" s="33">
        <f>'GF + UG Iteration 4'!A201</f>
        <v>1185</v>
      </c>
      <c r="B201" s="34" t="str">
        <f>'GF + UG Iteration 4'!B201</f>
        <v>UG</v>
      </c>
      <c r="C201" s="35">
        <f>'GF + UG Iteration 4'!C201</f>
        <v>32.4</v>
      </c>
      <c r="D201" s="36">
        <f>'GF + UG Iteration 4'!P$16*(C201^'GF + UG Iteration 4'!P$15)</f>
        <v>18.64853232541742</v>
      </c>
      <c r="E201" s="37">
        <f>'GF + UG Iteration 4'!E201</f>
        <v>1988</v>
      </c>
      <c r="F201" s="35">
        <f>'GF + UG Iteration 4'!F201</f>
        <v>2.5</v>
      </c>
      <c r="G201" s="36">
        <f>'GF + UG Iteration 4'!G201</f>
        <v>2.8087836612562955</v>
      </c>
      <c r="H201" s="38">
        <f>'GF + UG Iteration 4'!H201</f>
        <v>2011</v>
      </c>
      <c r="I201" s="35">
        <f t="shared" si="20"/>
        <v>34.9</v>
      </c>
      <c r="J201" s="36">
        <f t="shared" si="21"/>
        <v>21.457315986673716</v>
      </c>
      <c r="K201" s="38">
        <f t="shared" si="22"/>
        <v>2011</v>
      </c>
      <c r="M201" s="21">
        <f t="shared" si="23"/>
        <v>3.5524868292083815</v>
      </c>
      <c r="N201" s="21">
        <f t="shared" si="24"/>
        <v>3.0660656588621169</v>
      </c>
    </row>
    <row r="202" spans="1:14" x14ac:dyDescent="0.2">
      <c r="A202" s="33">
        <f>'GF + UG Iteration 4'!A202</f>
        <v>568</v>
      </c>
      <c r="B202" s="34" t="str">
        <f>'GF + UG Iteration 4'!B202</f>
        <v>UG</v>
      </c>
      <c r="C202" s="35">
        <f>'GF + UG Iteration 4'!C202</f>
        <v>38.04</v>
      </c>
      <c r="D202" s="36">
        <f>'GF + UG Iteration 4'!P$16*(C202^'GF + UG Iteration 4'!P$15)</f>
        <v>20.428946470863398</v>
      </c>
      <c r="E202" s="37">
        <f>'GF + UG Iteration 4'!E202</f>
        <v>1978</v>
      </c>
      <c r="F202" s="35">
        <f>'GF + UG Iteration 4'!F202</f>
        <v>1</v>
      </c>
      <c r="G202" s="36">
        <f>'GF + UG Iteration 4'!G202</f>
        <v>2.8818936071529556E-2</v>
      </c>
      <c r="H202" s="38">
        <f>'GF + UG Iteration 4'!H202</f>
        <v>2006</v>
      </c>
      <c r="I202" s="35">
        <f t="shared" si="20"/>
        <v>39.04</v>
      </c>
      <c r="J202" s="36">
        <f t="shared" si="21"/>
        <v>20.457765406934929</v>
      </c>
      <c r="K202" s="38">
        <f t="shared" si="22"/>
        <v>2006</v>
      </c>
      <c r="M202" s="21">
        <f t="shared" si="23"/>
        <v>3.6645867615448919</v>
      </c>
      <c r="N202" s="21">
        <f t="shared" si="24"/>
        <v>3.0183625369114346</v>
      </c>
    </row>
    <row r="203" spans="1:14" x14ac:dyDescent="0.2">
      <c r="A203" s="33">
        <f>'GF + UG Iteration 4'!A203</f>
        <v>853</v>
      </c>
      <c r="B203" s="34" t="str">
        <f>'GF + UG Iteration 4'!B203</f>
        <v>UG</v>
      </c>
      <c r="C203" s="35">
        <f>'GF + UG Iteration 4'!C203</f>
        <v>20</v>
      </c>
      <c r="D203" s="36">
        <f>'GF + UG Iteration 4'!P$16*(C203^'GF + UG Iteration 4'!P$15)</f>
        <v>14.177420873103719</v>
      </c>
      <c r="E203" s="37">
        <f>'GF + UG Iteration 4'!E203</f>
        <v>1991</v>
      </c>
      <c r="F203" s="35">
        <f>'GF + UG Iteration 4'!F203</f>
        <v>21.700000000000003</v>
      </c>
      <c r="G203" s="36">
        <f>'GF + UG Iteration 4'!G203</f>
        <v>4.2556245512411124</v>
      </c>
      <c r="H203" s="38">
        <f>'GF + UG Iteration 4'!H203</f>
        <v>2009</v>
      </c>
      <c r="I203" s="35">
        <f t="shared" si="20"/>
        <v>41.7</v>
      </c>
      <c r="J203" s="36">
        <f t="shared" si="21"/>
        <v>18.433045424344833</v>
      </c>
      <c r="K203" s="38">
        <f t="shared" si="22"/>
        <v>2009</v>
      </c>
      <c r="M203" s="21">
        <f t="shared" si="23"/>
        <v>3.730501128804756</v>
      </c>
      <c r="N203" s="21">
        <f t="shared" si="24"/>
        <v>2.9141450008057341</v>
      </c>
    </row>
    <row r="204" spans="1:14" x14ac:dyDescent="0.2">
      <c r="A204" s="33">
        <f>'GF + UG Iteration 4'!A204</f>
        <v>1201</v>
      </c>
      <c r="B204" s="34" t="str">
        <f>'GF + UG Iteration 4'!B204</f>
        <v>UG</v>
      </c>
      <c r="C204" s="35">
        <f>'GF + UG Iteration 4'!C204</f>
        <v>13.3</v>
      </c>
      <c r="D204" s="36">
        <f>'GF + UG Iteration 4'!P$16*(C204^'GF + UG Iteration 4'!P$15)</f>
        <v>11.244072832899795</v>
      </c>
      <c r="E204" s="37" t="str">
        <f>'GF + UG Iteration 4'!E204</f>
        <v>unknown</v>
      </c>
      <c r="F204" s="35">
        <f>'GF + UG Iteration 4'!F204</f>
        <v>10.599999999999998</v>
      </c>
      <c r="G204" s="36">
        <f>'GF + UG Iteration 4'!G204</f>
        <v>7.6364894321569698</v>
      </c>
      <c r="H204" s="38">
        <f>'GF + UG Iteration 4'!H204</f>
        <v>2012</v>
      </c>
      <c r="I204" s="35">
        <f t="shared" si="20"/>
        <v>23.9</v>
      </c>
      <c r="J204" s="36">
        <f t="shared" si="21"/>
        <v>18.880562265056763</v>
      </c>
      <c r="K204" s="38">
        <f t="shared" si="22"/>
        <v>2012</v>
      </c>
      <c r="M204" s="21">
        <f t="shared" si="23"/>
        <v>3.1738784589374651</v>
      </c>
      <c r="N204" s="21">
        <f t="shared" si="24"/>
        <v>2.938132941262086</v>
      </c>
    </row>
    <row r="205" spans="1:14" x14ac:dyDescent="0.2">
      <c r="A205" s="33">
        <f>'GF + UG Iteration 4'!A205</f>
        <v>654</v>
      </c>
      <c r="B205" s="34" t="str">
        <f>'GF + UG Iteration 4'!B205</f>
        <v>UG</v>
      </c>
      <c r="C205" s="35">
        <f>'GF + UG Iteration 4'!C205</f>
        <v>7.29</v>
      </c>
      <c r="D205" s="36">
        <f>'GF + UG Iteration 4'!P$16*(C205^'GF + UG Iteration 4'!P$15)</f>
        <v>7.9900903451271388</v>
      </c>
      <c r="E205" s="37">
        <f>'GF + UG Iteration 4'!E205</f>
        <v>1976</v>
      </c>
      <c r="F205" s="35">
        <f>'GF + UG Iteration 4'!F205</f>
        <v>4.4099999999999993</v>
      </c>
      <c r="G205" s="36">
        <f>'GF + UG Iteration 4'!G205</f>
        <v>0.73672544554632269</v>
      </c>
      <c r="H205" s="38">
        <f>'GF + UG Iteration 4'!H205</f>
        <v>2007</v>
      </c>
      <c r="I205" s="35">
        <f t="shared" si="20"/>
        <v>11.7</v>
      </c>
      <c r="J205" s="36">
        <f t="shared" si="21"/>
        <v>8.7268157906734611</v>
      </c>
      <c r="K205" s="38">
        <f t="shared" si="22"/>
        <v>2007</v>
      </c>
      <c r="M205" s="21">
        <f t="shared" si="23"/>
        <v>2.4595888418037104</v>
      </c>
      <c r="N205" s="21">
        <f t="shared" si="24"/>
        <v>2.1664005599801075</v>
      </c>
    </row>
    <row r="206" spans="1:14" x14ac:dyDescent="0.2">
      <c r="A206" s="33">
        <f>'GF + UG Iteration 4'!A206</f>
        <v>1394</v>
      </c>
      <c r="B206" s="34" t="str">
        <f>'GF + UG Iteration 4'!B206</f>
        <v>UG</v>
      </c>
      <c r="C206" s="35">
        <f>'GF + UG Iteration 4'!C206</f>
        <v>11.7</v>
      </c>
      <c r="D206" s="36">
        <f>'GF + UG Iteration 4'!P$16*(C206^'GF + UG Iteration 4'!P$15)</f>
        <v>10.45427909421816</v>
      </c>
      <c r="E206" s="37">
        <f>'GF + UG Iteration 4'!E206</f>
        <v>1976</v>
      </c>
      <c r="F206" s="35">
        <f>'GF + UG Iteration 4'!F206</f>
        <v>10</v>
      </c>
      <c r="G206" s="36">
        <f>'GF + UG Iteration 4'!G206</f>
        <v>5.0057806862702598</v>
      </c>
      <c r="H206" s="38">
        <f>'GF + UG Iteration 4'!H206</f>
        <v>2014</v>
      </c>
      <c r="I206" s="35">
        <f t="shared" si="20"/>
        <v>21.7</v>
      </c>
      <c r="J206" s="36">
        <f t="shared" si="21"/>
        <v>15.46005978048842</v>
      </c>
      <c r="K206" s="38">
        <f t="shared" si="22"/>
        <v>2014</v>
      </c>
      <c r="M206" s="21">
        <f t="shared" si="23"/>
        <v>3.0773122605464138</v>
      </c>
      <c r="N206" s="21">
        <f t="shared" si="24"/>
        <v>2.738259909936303</v>
      </c>
    </row>
    <row r="207" spans="1:14" x14ac:dyDescent="0.2">
      <c r="A207" s="33">
        <f>'GF + UG Iteration 4'!A207</f>
        <v>1294</v>
      </c>
      <c r="B207" s="34" t="str">
        <f>'GF + UG Iteration 4'!B207</f>
        <v>UG</v>
      </c>
      <c r="C207" s="35">
        <f>'GF + UG Iteration 4'!C207</f>
        <v>8.5</v>
      </c>
      <c r="D207" s="36">
        <f>'GF + UG Iteration 4'!P$16*(C207^'GF + UG Iteration 4'!P$15)</f>
        <v>8.7185860543317624</v>
      </c>
      <c r="E207" s="37">
        <f>'GF + UG Iteration 4'!E207</f>
        <v>0</v>
      </c>
      <c r="F207" s="35">
        <f>'GF + UG Iteration 4'!F207</f>
        <v>1.5999999999999996</v>
      </c>
      <c r="G207" s="36">
        <f>'GF + UG Iteration 4'!G207</f>
        <v>4.5619922667121129</v>
      </c>
      <c r="H207" s="38">
        <f>'GF + UG Iteration 4'!H207</f>
        <v>2014</v>
      </c>
      <c r="I207" s="35">
        <f t="shared" si="20"/>
        <v>10.1</v>
      </c>
      <c r="J207" s="36">
        <f t="shared" si="21"/>
        <v>13.280578321043876</v>
      </c>
      <c r="K207" s="38">
        <f t="shared" si="22"/>
        <v>2014</v>
      </c>
      <c r="M207" s="21">
        <f t="shared" si="23"/>
        <v>2.3125354238472138</v>
      </c>
      <c r="N207" s="21">
        <f t="shared" si="24"/>
        <v>2.5863026913714657</v>
      </c>
    </row>
    <row r="208" spans="1:14" x14ac:dyDescent="0.2">
      <c r="A208" s="33">
        <f>'GF + UG Iteration 4'!A208</f>
        <v>1670</v>
      </c>
      <c r="B208" s="34" t="str">
        <f>'GF + UG Iteration 4'!B208</f>
        <v>UG</v>
      </c>
      <c r="C208" s="35">
        <f>'GF + UG Iteration 4'!C208</f>
        <v>31.45</v>
      </c>
      <c r="D208" s="36">
        <f>'GF + UG Iteration 4'!P$16*(C208^'GF + UG Iteration 4'!P$15)</f>
        <v>18.335846930345689</v>
      </c>
      <c r="E208" s="37">
        <f>'GF + UG Iteration 4'!E208</f>
        <v>0</v>
      </c>
      <c r="F208" s="35">
        <f>'GF + UG Iteration 4'!F208</f>
        <v>24.250000000000004</v>
      </c>
      <c r="G208" s="36">
        <f>'GF + UG Iteration 4'!G208</f>
        <v>2.7943521582603679</v>
      </c>
      <c r="H208" s="38">
        <f>'GF + UG Iteration 4'!H208</f>
        <v>2016</v>
      </c>
      <c r="I208" s="35">
        <f t="shared" si="20"/>
        <v>55.7</v>
      </c>
      <c r="J208" s="36">
        <f t="shared" si="21"/>
        <v>21.130199088606055</v>
      </c>
      <c r="K208" s="38">
        <f t="shared" si="22"/>
        <v>2016</v>
      </c>
      <c r="M208" s="21">
        <f t="shared" si="23"/>
        <v>4.0199801469332384</v>
      </c>
      <c r="N208" s="21">
        <f t="shared" si="24"/>
        <v>3.0507032536662115</v>
      </c>
    </row>
    <row r="209" spans="1:14" x14ac:dyDescent="0.2">
      <c r="A209" s="33">
        <f>'GF + UG Iteration 4'!A209</f>
        <v>579</v>
      </c>
      <c r="B209" s="34" t="str">
        <f>'GF + UG Iteration 4'!B209</f>
        <v>UG</v>
      </c>
      <c r="C209" s="35">
        <f>'GF + UG Iteration 4'!C209</f>
        <v>17.100000000000001</v>
      </c>
      <c r="D209" s="36">
        <f>'GF + UG Iteration 4'!P$16*(C209^'GF + UG Iteration 4'!P$15)</f>
        <v>12.970002374314031</v>
      </c>
      <c r="E209" s="37" t="str">
        <f>'GF + UG Iteration 4'!E209</f>
        <v>unknown</v>
      </c>
      <c r="F209" s="35">
        <f>'GF + UG Iteration 4'!F209</f>
        <v>11</v>
      </c>
      <c r="G209" s="36">
        <f>'GF + UG Iteration 4'!G209</f>
        <v>3.6516230200538073</v>
      </c>
      <c r="H209" s="38">
        <f>'GF + UG Iteration 4'!H209</f>
        <v>2008</v>
      </c>
      <c r="I209" s="35">
        <f t="shared" si="20"/>
        <v>28.1</v>
      </c>
      <c r="J209" s="36">
        <f t="shared" si="21"/>
        <v>16.62162539436784</v>
      </c>
      <c r="K209" s="38">
        <f t="shared" si="22"/>
        <v>2008</v>
      </c>
      <c r="M209" s="21">
        <f t="shared" si="23"/>
        <v>3.3357695763396999</v>
      </c>
      <c r="N209" s="21">
        <f t="shared" si="24"/>
        <v>2.8107045821404952</v>
      </c>
    </row>
    <row r="210" spans="1:14" x14ac:dyDescent="0.2">
      <c r="A210" s="33">
        <f>'GF + UG Iteration 4'!A210</f>
        <v>1670</v>
      </c>
      <c r="B210" s="34" t="str">
        <f>'GF + UG Iteration 4'!B210</f>
        <v>UG</v>
      </c>
      <c r="C210" s="35">
        <f>'GF + UG Iteration 4'!C210</f>
        <v>18.79</v>
      </c>
      <c r="D210" s="36">
        <f>'GF + UG Iteration 4'!P$16*(C210^'GF + UG Iteration 4'!P$15)</f>
        <v>13.683495584035493</v>
      </c>
      <c r="E210" s="37">
        <f>'GF + UG Iteration 4'!E210</f>
        <v>0</v>
      </c>
      <c r="F210" s="35">
        <f>'GF + UG Iteration 4'!F210</f>
        <v>30.509999999999998</v>
      </c>
      <c r="G210" s="36">
        <f>'GF + UG Iteration 4'!G210</f>
        <v>18.363697996227653</v>
      </c>
      <c r="H210" s="38">
        <f>'GF + UG Iteration 4'!H210</f>
        <v>2016</v>
      </c>
      <c r="I210" s="35">
        <f t="shared" si="20"/>
        <v>49.3</v>
      </c>
      <c r="J210" s="36">
        <f t="shared" si="21"/>
        <v>32.047193580263148</v>
      </c>
      <c r="K210" s="38">
        <f t="shared" si="22"/>
        <v>2016</v>
      </c>
      <c r="M210" s="21">
        <f t="shared" si="23"/>
        <v>3.8979240810486444</v>
      </c>
      <c r="N210" s="21">
        <f t="shared" si="24"/>
        <v>3.4672096157344043</v>
      </c>
    </row>
    <row r="211" spans="1:14" x14ac:dyDescent="0.2">
      <c r="A211" s="33">
        <f>'GF + UG Iteration 4'!A211</f>
        <v>1083</v>
      </c>
      <c r="B211" s="34" t="str">
        <f>'GF + UG Iteration 4'!B211</f>
        <v>UG</v>
      </c>
      <c r="C211" s="35">
        <f>'GF + UG Iteration 4'!C211</f>
        <v>7.53</v>
      </c>
      <c r="D211" s="36">
        <f>'GF + UG Iteration 4'!P$16*(C211^'GF + UG Iteration 4'!P$15)</f>
        <v>8.1385096097598648</v>
      </c>
      <c r="E211" s="37">
        <f>'GF + UG Iteration 4'!E211</f>
        <v>1981</v>
      </c>
      <c r="F211" s="35">
        <f>'GF + UG Iteration 4'!F211</f>
        <v>5.87</v>
      </c>
      <c r="G211" s="36">
        <f>'GF + UG Iteration 4'!G211</f>
        <v>7.4125108979310461</v>
      </c>
      <c r="H211" s="38">
        <f>'GF + UG Iteration 4'!H211</f>
        <v>2011</v>
      </c>
      <c r="I211" s="35">
        <f t="shared" si="20"/>
        <v>13.4</v>
      </c>
      <c r="J211" s="36">
        <f t="shared" si="21"/>
        <v>15.551020507690911</v>
      </c>
      <c r="K211" s="38">
        <f t="shared" si="22"/>
        <v>2011</v>
      </c>
      <c r="M211" s="21">
        <f t="shared" si="23"/>
        <v>2.5952547069568657</v>
      </c>
      <c r="N211" s="21">
        <f t="shared" si="24"/>
        <v>2.7441262639760913</v>
      </c>
    </row>
    <row r="212" spans="1:14" x14ac:dyDescent="0.2">
      <c r="A212" s="33">
        <f>'GF + UG Iteration 4'!A212</f>
        <v>552</v>
      </c>
      <c r="B212" s="34" t="str">
        <f>'GF + UG Iteration 4'!B212</f>
        <v>UG</v>
      </c>
      <c r="C212" s="35">
        <f>'GF + UG Iteration 4'!C212</f>
        <v>20.229999999999997</v>
      </c>
      <c r="D212" s="36">
        <f>'GF + UG Iteration 4'!P$16*(C212^'GF + UG Iteration 4'!P$15)</f>
        <v>14.269832412329931</v>
      </c>
      <c r="E212" s="37">
        <f>'GF + UG Iteration 4'!E212</f>
        <v>1991</v>
      </c>
      <c r="F212" s="35">
        <f>'GF + UG Iteration 4'!F212</f>
        <v>10.470000000000002</v>
      </c>
      <c r="G212" s="36">
        <f>'GF + UG Iteration 4'!G212</f>
        <v>1.1457716756011658</v>
      </c>
      <c r="H212" s="38">
        <f>'GF + UG Iteration 4'!H212</f>
        <v>2006</v>
      </c>
      <c r="I212" s="35">
        <f t="shared" si="20"/>
        <v>30.7</v>
      </c>
      <c r="J212" s="36">
        <f t="shared" si="21"/>
        <v>15.415604087931097</v>
      </c>
      <c r="K212" s="38">
        <f t="shared" si="22"/>
        <v>2006</v>
      </c>
      <c r="M212" s="21">
        <f t="shared" si="23"/>
        <v>3.4242626545931514</v>
      </c>
      <c r="N212" s="21">
        <f t="shared" si="24"/>
        <v>2.7353802488888639</v>
      </c>
    </row>
    <row r="213" spans="1:14" x14ac:dyDescent="0.2">
      <c r="A213" s="33">
        <f>'GF + UG Iteration 4'!A213</f>
        <v>1311</v>
      </c>
      <c r="B213" s="34" t="str">
        <f>'GF + UG Iteration 4'!B213</f>
        <v>UG</v>
      </c>
      <c r="C213" s="35">
        <f>'GF + UG Iteration 4'!C213</f>
        <v>30.7</v>
      </c>
      <c r="D213" s="36">
        <f>'GF + UG Iteration 4'!P$16*(C213^'GF + UG Iteration 4'!P$15)</f>
        <v>18.086098708333008</v>
      </c>
      <c r="E213" s="37">
        <f>'GF + UG Iteration 4'!E213</f>
        <v>1991</v>
      </c>
      <c r="F213" s="35">
        <f>'GF + UG Iteration 4'!F213</f>
        <v>19.3</v>
      </c>
      <c r="G213" s="36">
        <f>'GF + UG Iteration 4'!G213</f>
        <v>5.9841430822776953</v>
      </c>
      <c r="H213" s="38">
        <f>'GF + UG Iteration 4'!H213</f>
        <v>2013</v>
      </c>
      <c r="I213" s="35">
        <f t="shared" si="20"/>
        <v>50</v>
      </c>
      <c r="J213" s="36">
        <f t="shared" si="21"/>
        <v>24.070241790610702</v>
      </c>
      <c r="K213" s="38">
        <f t="shared" si="22"/>
        <v>2013</v>
      </c>
      <c r="M213" s="21">
        <f t="shared" si="23"/>
        <v>3.912023005428146</v>
      </c>
      <c r="N213" s="21">
        <f t="shared" si="24"/>
        <v>3.1809762970544853</v>
      </c>
    </row>
    <row r="214" spans="1:14" x14ac:dyDescent="0.2">
      <c r="A214" s="33">
        <f>'GF + UG Iteration 4'!A214</f>
        <v>1078</v>
      </c>
      <c r="B214" s="34" t="str">
        <f>'GF + UG Iteration 4'!B214</f>
        <v>UG</v>
      </c>
      <c r="C214" s="35">
        <f>'GF + UG Iteration 4'!C214</f>
        <v>17.66</v>
      </c>
      <c r="D214" s="36">
        <f>'GF + UG Iteration 4'!P$16*(C214^'GF + UG Iteration 4'!P$15)</f>
        <v>13.20966632122412</v>
      </c>
      <c r="E214" s="37">
        <f>'GF + UG Iteration 4'!E214</f>
        <v>1957</v>
      </c>
      <c r="F214" s="35">
        <f>'GF + UG Iteration 4'!F214</f>
        <v>7.34</v>
      </c>
      <c r="G214" s="36">
        <f>'GF + UG Iteration 4'!G214</f>
        <v>1.0936387702296273</v>
      </c>
      <c r="H214" s="38">
        <f>'GF + UG Iteration 4'!H214</f>
        <v>2011</v>
      </c>
      <c r="I214" s="35">
        <f t="shared" si="20"/>
        <v>25</v>
      </c>
      <c r="J214" s="36">
        <f t="shared" si="21"/>
        <v>14.303305091453748</v>
      </c>
      <c r="K214" s="38">
        <f t="shared" si="22"/>
        <v>2011</v>
      </c>
      <c r="M214" s="21">
        <f t="shared" si="23"/>
        <v>3.2188758248682006</v>
      </c>
      <c r="N214" s="21">
        <f t="shared" si="24"/>
        <v>2.6604906358370153</v>
      </c>
    </row>
    <row r="215" spans="1:14" x14ac:dyDescent="0.2">
      <c r="A215" s="33">
        <f>'GF + UG Iteration 4'!A215</f>
        <v>495</v>
      </c>
      <c r="B215" s="34" t="str">
        <f>'GF + UG Iteration 4'!B215</f>
        <v>UG</v>
      </c>
      <c r="C215" s="35">
        <f>'GF + UG Iteration 4'!C215</f>
        <v>12.974</v>
      </c>
      <c r="D215" s="36">
        <f>'GF + UG Iteration 4'!P$16*(C215^'GF + UG Iteration 4'!P$15)</f>
        <v>11.086633293784853</v>
      </c>
      <c r="E215" s="37">
        <f>'GF + UG Iteration 4'!E215</f>
        <v>1982</v>
      </c>
      <c r="F215" s="35">
        <f>'GF + UG Iteration 4'!F215</f>
        <v>0</v>
      </c>
      <c r="G215" s="36">
        <f>'GF + UG Iteration 4'!G215</f>
        <v>3.5907902166068872</v>
      </c>
      <c r="H215" s="38">
        <f>'GF + UG Iteration 4'!H215</f>
        <v>2006</v>
      </c>
      <c r="I215" s="35">
        <f t="shared" si="20"/>
        <v>12.974</v>
      </c>
      <c r="J215" s="36">
        <f t="shared" si="21"/>
        <v>14.677423510391741</v>
      </c>
      <c r="K215" s="38">
        <f t="shared" si="22"/>
        <v>2006</v>
      </c>
      <c r="M215" s="21">
        <f t="shared" si="23"/>
        <v>2.5629473547908637</v>
      </c>
      <c r="N215" s="21">
        <f t="shared" si="24"/>
        <v>2.686310497591355</v>
      </c>
    </row>
    <row r="216" spans="1:14" x14ac:dyDescent="0.2">
      <c r="A216" s="33">
        <f>'GF + UG Iteration 4'!A216</f>
        <v>383</v>
      </c>
      <c r="B216" s="34" t="str">
        <f>'GF + UG Iteration 4'!B216</f>
        <v>UG</v>
      </c>
      <c r="C216" s="35">
        <f>'GF + UG Iteration 4'!C216</f>
        <v>0.51</v>
      </c>
      <c r="D216" s="36">
        <f>'GF + UG Iteration 4'!P$16*(C216^'GF + UG Iteration 4'!P$15)</f>
        <v>1.7627300172843083</v>
      </c>
      <c r="E216" s="37">
        <f>'GF + UG Iteration 4'!E216</f>
        <v>1984</v>
      </c>
      <c r="F216" s="35">
        <f>'GF + UG Iteration 4'!F216</f>
        <v>8</v>
      </c>
      <c r="G216" s="36">
        <f>'GF + UG Iteration 4'!G216</f>
        <v>3.9501723720469593</v>
      </c>
      <c r="H216" s="38">
        <f>'GF + UG Iteration 4'!H216</f>
        <v>2005</v>
      </c>
      <c r="I216" s="35">
        <f t="shared" si="20"/>
        <v>8.51</v>
      </c>
      <c r="J216" s="36">
        <f t="shared" si="21"/>
        <v>5.7129023893312674</v>
      </c>
      <c r="K216" s="38">
        <f t="shared" si="22"/>
        <v>2005</v>
      </c>
      <c r="M216" s="21">
        <f t="shared" si="23"/>
        <v>2.1412419425852827</v>
      </c>
      <c r="N216" s="21">
        <f t="shared" si="24"/>
        <v>1.7427271938850497</v>
      </c>
    </row>
    <row r="217" spans="1:14" x14ac:dyDescent="0.2">
      <c r="A217" s="33">
        <f>'GF + UG Iteration 4'!A217</f>
        <v>1020</v>
      </c>
      <c r="B217" s="34" t="str">
        <f>'GF + UG Iteration 4'!B217</f>
        <v>UG</v>
      </c>
      <c r="C217" s="35">
        <f>'GF + UG Iteration 4'!C217</f>
        <v>13</v>
      </c>
      <c r="D217" s="36">
        <f>'GF + UG Iteration 4'!P$16*(C217^'GF + UG Iteration 4'!P$15)</f>
        <v>11.099252040723213</v>
      </c>
      <c r="E217" s="37">
        <f>'GF + UG Iteration 4'!E217</f>
        <v>1977</v>
      </c>
      <c r="F217" s="35">
        <f>'GF + UG Iteration 4'!F217</f>
        <v>9</v>
      </c>
      <c r="G217" s="36">
        <f>'GF + UG Iteration 4'!G217</f>
        <v>7.3449786888029998</v>
      </c>
      <c r="H217" s="38">
        <f>'GF + UG Iteration 4'!H217</f>
        <v>2010</v>
      </c>
      <c r="I217" s="35">
        <f t="shared" si="20"/>
        <v>22</v>
      </c>
      <c r="J217" s="36">
        <f t="shared" si="21"/>
        <v>18.444230729526211</v>
      </c>
      <c r="K217" s="38">
        <f t="shared" si="22"/>
        <v>2010</v>
      </c>
      <c r="M217" s="21">
        <f t="shared" si="23"/>
        <v>3.0910424533583161</v>
      </c>
      <c r="N217" s="21">
        <f t="shared" si="24"/>
        <v>2.9147516239997966</v>
      </c>
    </row>
    <row r="218" spans="1:14" x14ac:dyDescent="0.2">
      <c r="A218" s="33">
        <f>'GF + UG Iteration 4'!A218</f>
        <v>1364</v>
      </c>
      <c r="B218" s="34" t="str">
        <f>'GF + UG Iteration 4'!B218</f>
        <v>UG</v>
      </c>
      <c r="C218" s="35">
        <f>'GF + UG Iteration 4'!C218</f>
        <v>8.5</v>
      </c>
      <c r="D218" s="36">
        <f>'GF + UG Iteration 4'!P$16*(C218^'GF + UG Iteration 4'!P$15)</f>
        <v>8.7185860543317624</v>
      </c>
      <c r="E218" s="37">
        <f>'GF + UG Iteration 4'!E218</f>
        <v>0</v>
      </c>
      <c r="F218" s="35">
        <f>'GF + UG Iteration 4'!F218</f>
        <v>34</v>
      </c>
      <c r="G218" s="36">
        <f>'GF + UG Iteration 4'!G218</f>
        <v>8.7951197470845859</v>
      </c>
      <c r="H218" s="38">
        <f>'GF + UG Iteration 4'!H218</f>
        <v>2013</v>
      </c>
      <c r="I218" s="35">
        <f t="shared" si="20"/>
        <v>42.5</v>
      </c>
      <c r="J218" s="36">
        <f t="shared" si="21"/>
        <v>17.51370580141635</v>
      </c>
      <c r="K218" s="38">
        <f t="shared" si="22"/>
        <v>2013</v>
      </c>
      <c r="M218" s="21">
        <f t="shared" si="23"/>
        <v>3.7495040759303713</v>
      </c>
      <c r="N218" s="21">
        <f t="shared" si="24"/>
        <v>2.8629837630496366</v>
      </c>
    </row>
    <row r="219" spans="1:14" x14ac:dyDescent="0.2">
      <c r="A219" s="33">
        <f>'GF + UG Iteration 4'!A219</f>
        <v>503</v>
      </c>
      <c r="B219" s="34" t="str">
        <f>'GF + UG Iteration 4'!B219</f>
        <v>UG</v>
      </c>
      <c r="C219" s="35">
        <f>'GF + UG Iteration 4'!C219</f>
        <v>31</v>
      </c>
      <c r="D219" s="36">
        <f>'GF + UG Iteration 4'!P$16*(C219^'GF + UG Iteration 4'!P$15)</f>
        <v>18.186310694480454</v>
      </c>
      <c r="E219" s="37">
        <f>'GF + UG Iteration 4'!E219</f>
        <v>1972</v>
      </c>
      <c r="F219" s="35">
        <f>'GF + UG Iteration 4'!F219</f>
        <v>16</v>
      </c>
      <c r="G219" s="36">
        <f>'GF + UG Iteration 4'!G219</f>
        <v>3.8033222269089473</v>
      </c>
      <c r="H219" s="38">
        <f>'GF + UG Iteration 4'!H219</f>
        <v>2007</v>
      </c>
      <c r="I219" s="35">
        <f t="shared" si="20"/>
        <v>47</v>
      </c>
      <c r="J219" s="36">
        <f t="shared" si="21"/>
        <v>21.989632921389401</v>
      </c>
      <c r="K219" s="38">
        <f t="shared" si="22"/>
        <v>2007</v>
      </c>
      <c r="M219" s="21">
        <f t="shared" si="23"/>
        <v>3.8501476017100584</v>
      </c>
      <c r="N219" s="21">
        <f t="shared" si="24"/>
        <v>3.0905711114482317</v>
      </c>
    </row>
    <row r="220" spans="1:14" x14ac:dyDescent="0.2">
      <c r="A220" s="33">
        <f>'GF + UG Iteration 4'!A220</f>
        <v>925</v>
      </c>
      <c r="B220" s="34" t="str">
        <f>'GF + UG Iteration 4'!B220</f>
        <v>UG</v>
      </c>
      <c r="C220" s="35">
        <f>'GF + UG Iteration 4'!C220</f>
        <v>47</v>
      </c>
      <c r="D220" s="36">
        <f>'GF + UG Iteration 4'!P$16*(C220^'GF + UG Iteration 4'!P$15)</f>
        <v>23.037733629348427</v>
      </c>
      <c r="E220" s="37">
        <f>'GF + UG Iteration 4'!E220</f>
        <v>1972</v>
      </c>
      <c r="F220" s="35">
        <f>'GF + UG Iteration 4'!F220</f>
        <v>9</v>
      </c>
      <c r="G220" s="36">
        <f>'GF + UG Iteration 4'!G220</f>
        <v>3.3164697860941139</v>
      </c>
      <c r="H220" s="38">
        <f>'GF + UG Iteration 4'!H220</f>
        <v>2011</v>
      </c>
      <c r="I220" s="35">
        <f t="shared" si="20"/>
        <v>56</v>
      </c>
      <c r="J220" s="36">
        <f t="shared" si="21"/>
        <v>26.354203415442541</v>
      </c>
      <c r="K220" s="38">
        <f t="shared" si="22"/>
        <v>2011</v>
      </c>
      <c r="M220" s="21">
        <f t="shared" si="23"/>
        <v>4.0253516907351496</v>
      </c>
      <c r="N220" s="21">
        <f t="shared" si="24"/>
        <v>3.2716277846727118</v>
      </c>
    </row>
    <row r="221" spans="1:14" x14ac:dyDescent="0.2">
      <c r="A221" s="33">
        <f>'GF + UG Iteration 4'!A221</f>
        <v>821</v>
      </c>
      <c r="B221" s="34" t="str">
        <f>'GF + UG Iteration 4'!B221</f>
        <v>UG</v>
      </c>
      <c r="C221" s="35">
        <f>'GF + UG Iteration 4'!C221</f>
        <v>25</v>
      </c>
      <c r="D221" s="36">
        <f>'GF + UG Iteration 4'!P$16*(C221^'GF + UG Iteration 4'!P$15)</f>
        <v>16.093924565877725</v>
      </c>
      <c r="E221" s="37">
        <f>'GF + UG Iteration 4'!E221</f>
        <v>2006</v>
      </c>
      <c r="F221" s="35">
        <f>'GF + UG Iteration 4'!F221</f>
        <v>32</v>
      </c>
      <c r="G221" s="36">
        <f>'GF + UG Iteration 4'!G221</f>
        <v>9.4177371403666275</v>
      </c>
      <c r="H221" s="38">
        <f>'GF + UG Iteration 4'!H221</f>
        <v>2011</v>
      </c>
      <c r="I221" s="35">
        <f t="shared" si="20"/>
        <v>57</v>
      </c>
      <c r="J221" s="36">
        <f t="shared" si="21"/>
        <v>25.511661706244354</v>
      </c>
      <c r="K221" s="38">
        <f t="shared" si="22"/>
        <v>2011</v>
      </c>
      <c r="M221" s="21">
        <f t="shared" si="23"/>
        <v>4.0430512678345503</v>
      </c>
      <c r="N221" s="21">
        <f t="shared" si="24"/>
        <v>3.2391356694381348</v>
      </c>
    </row>
    <row r="222" spans="1:14" x14ac:dyDescent="0.2">
      <c r="A222" s="33">
        <f>'GF + UG Iteration 4'!A222</f>
        <v>486</v>
      </c>
      <c r="B222" s="34" t="str">
        <f>'GF + UG Iteration 4'!B222</f>
        <v>UG</v>
      </c>
      <c r="C222" s="35">
        <f>'GF + UG Iteration 4'!C222</f>
        <v>10.81</v>
      </c>
      <c r="D222" s="36">
        <f>'GF + UG Iteration 4'!P$16*(C222^'GF + UG Iteration 4'!P$15)</f>
        <v>9.9947164963252888</v>
      </c>
      <c r="E222" s="37">
        <f>'GF + UG Iteration 4'!E222</f>
        <v>1993</v>
      </c>
      <c r="F222" s="35">
        <f>'GF + UG Iteration 4'!F222</f>
        <v>3.1399999999999988</v>
      </c>
      <c r="G222" s="36">
        <f>'GF + UG Iteration 4'!G222</f>
        <v>0.34692120274319505</v>
      </c>
      <c r="H222" s="38">
        <f>'GF + UG Iteration 4'!H222</f>
        <v>2005</v>
      </c>
      <c r="I222" s="35">
        <f t="shared" si="20"/>
        <v>13.95</v>
      </c>
      <c r="J222" s="36">
        <f t="shared" si="21"/>
        <v>10.341637699068484</v>
      </c>
      <c r="K222" s="38">
        <f t="shared" si="22"/>
        <v>2005</v>
      </c>
      <c r="M222" s="21">
        <f t="shared" si="23"/>
        <v>2.6354795082673745</v>
      </c>
      <c r="N222" s="21">
        <f t="shared" si="24"/>
        <v>2.3361782413616021</v>
      </c>
    </row>
    <row r="223" spans="1:14" x14ac:dyDescent="0.2">
      <c r="A223" s="33">
        <f>'GF + UG Iteration 4'!A223</f>
        <v>779</v>
      </c>
      <c r="B223" s="34" t="str">
        <f>'GF + UG Iteration 4'!B223</f>
        <v>UG</v>
      </c>
      <c r="C223" s="35">
        <f>'GF + UG Iteration 4'!C223</f>
        <v>13.95</v>
      </c>
      <c r="D223" s="36">
        <f>'GF + UG Iteration 4'!P$16*(C223^'GF + UG Iteration 4'!P$15)</f>
        <v>11.553094102449242</v>
      </c>
      <c r="E223" s="37">
        <f>'GF + UG Iteration 4'!E223</f>
        <v>1993</v>
      </c>
      <c r="F223" s="35">
        <f>'GF + UG Iteration 4'!F223</f>
        <v>4.0500000000000007</v>
      </c>
      <c r="G223" s="36">
        <f>'GF + UG Iteration 4'!G223</f>
        <v>0.91575874480529229</v>
      </c>
      <c r="H223" s="38">
        <f>'GF + UG Iteration 4'!H223</f>
        <v>2008</v>
      </c>
      <c r="I223" s="35">
        <f t="shared" si="20"/>
        <v>18</v>
      </c>
      <c r="J223" s="36">
        <f t="shared" si="21"/>
        <v>12.468852847254533</v>
      </c>
      <c r="K223" s="38">
        <f t="shared" si="22"/>
        <v>2008</v>
      </c>
      <c r="M223" s="21">
        <f t="shared" si="23"/>
        <v>2.8903717578961645</v>
      </c>
      <c r="N223" s="21">
        <f t="shared" si="24"/>
        <v>2.523233762457485</v>
      </c>
    </row>
    <row r="224" spans="1:14" x14ac:dyDescent="0.2">
      <c r="A224" s="33">
        <f>'GF + UG Iteration 4'!A224</f>
        <v>1416</v>
      </c>
      <c r="B224" s="34" t="str">
        <f>'GF + UG Iteration 4'!B224</f>
        <v>UG</v>
      </c>
      <c r="C224" s="35">
        <f>'GF + UG Iteration 4'!C224</f>
        <v>18</v>
      </c>
      <c r="D224" s="36">
        <f>'GF + UG Iteration 4'!P$16*(C224^'GF + UG Iteration 4'!P$15)</f>
        <v>13.353576808583126</v>
      </c>
      <c r="E224" s="37">
        <f>'GF + UG Iteration 4'!E224</f>
        <v>1993</v>
      </c>
      <c r="F224" s="35">
        <f>'GF + UG Iteration 4'!F224</f>
        <v>6</v>
      </c>
      <c r="G224" s="36">
        <f>'GF + UG Iteration 4'!G224</f>
        <v>1.4181567457767223</v>
      </c>
      <c r="H224" s="38">
        <f>'GF + UG Iteration 4'!H224</f>
        <v>2014</v>
      </c>
      <c r="I224" s="35">
        <f t="shared" si="20"/>
        <v>24</v>
      </c>
      <c r="J224" s="36">
        <f t="shared" si="21"/>
        <v>14.771733554359848</v>
      </c>
      <c r="K224" s="38">
        <f t="shared" si="22"/>
        <v>2014</v>
      </c>
      <c r="M224" s="21">
        <f t="shared" si="23"/>
        <v>3.1780538303479458</v>
      </c>
      <c r="N224" s="21">
        <f t="shared" si="24"/>
        <v>2.6927154596194023</v>
      </c>
    </row>
    <row r="225" spans="1:14" x14ac:dyDescent="0.2">
      <c r="A225" s="33">
        <f>'GF + UG Iteration 4'!A225</f>
        <v>554</v>
      </c>
      <c r="B225" s="34" t="str">
        <f>'GF + UG Iteration 4'!B225</f>
        <v>UG</v>
      </c>
      <c r="C225" s="35">
        <f>'GF + UG Iteration 4'!C225</f>
        <v>23</v>
      </c>
      <c r="D225" s="36">
        <f>'GF + UG Iteration 4'!P$16*(C225^'GF + UG Iteration 4'!P$15)</f>
        <v>15.349210180836812</v>
      </c>
      <c r="E225" s="37">
        <f>'GF + UG Iteration 4'!E225</f>
        <v>1968</v>
      </c>
      <c r="F225" s="35">
        <f>'GF + UG Iteration 4'!F225</f>
        <v>8.2600000000000016</v>
      </c>
      <c r="G225" s="36">
        <f>'GF + UG Iteration 4'!G225</f>
        <v>1.061095708813089</v>
      </c>
      <c r="H225" s="38">
        <f>'GF + UG Iteration 4'!H225</f>
        <v>2006</v>
      </c>
      <c r="I225" s="35">
        <f t="shared" si="20"/>
        <v>31.26</v>
      </c>
      <c r="J225" s="36">
        <f t="shared" si="21"/>
        <v>16.410305889649901</v>
      </c>
      <c r="K225" s="38">
        <f t="shared" si="22"/>
        <v>2006</v>
      </c>
      <c r="M225" s="21">
        <f t="shared" si="23"/>
        <v>3.4423393249933305</v>
      </c>
      <c r="N225" s="21">
        <f t="shared" si="24"/>
        <v>2.7979095453700666</v>
      </c>
    </row>
    <row r="226" spans="1:14" x14ac:dyDescent="0.2">
      <c r="A226" s="33">
        <f>'GF + UG Iteration 4'!A226</f>
        <v>1581</v>
      </c>
      <c r="B226" s="34" t="str">
        <f>'GF + UG Iteration 4'!B226</f>
        <v>UG</v>
      </c>
      <c r="C226" s="35">
        <f>'GF + UG Iteration 4'!C226</f>
        <v>7.44</v>
      </c>
      <c r="D226" s="36">
        <f>'GF + UG Iteration 4'!P$16*(C226^'GF + UG Iteration 4'!P$15)</f>
        <v>8.0830951727504381</v>
      </c>
      <c r="E226" s="37" t="str">
        <f>'GF + UG Iteration 4'!E226</f>
        <v>unknown</v>
      </c>
      <c r="F226" s="35">
        <f>'GF + UG Iteration 4'!F226</f>
        <v>9.36</v>
      </c>
      <c r="G226" s="36">
        <f>'GF + UG Iteration 4'!G226</f>
        <v>5.3848313505476417</v>
      </c>
      <c r="H226" s="38">
        <f>'GF + UG Iteration 4'!H226</f>
        <v>2015</v>
      </c>
      <c r="I226" s="35">
        <f t="shared" si="20"/>
        <v>16.8</v>
      </c>
      <c r="J226" s="36">
        <f t="shared" si="21"/>
        <v>13.467926523298079</v>
      </c>
      <c r="K226" s="38">
        <f t="shared" si="22"/>
        <v>2015</v>
      </c>
      <c r="M226" s="21">
        <f t="shared" si="23"/>
        <v>2.8213788864092133</v>
      </c>
      <c r="N226" s="21">
        <f t="shared" si="24"/>
        <v>2.6003110456333727</v>
      </c>
    </row>
    <row r="227" spans="1:14" x14ac:dyDescent="0.2">
      <c r="A227" s="33">
        <f>'GF + UG Iteration 4'!A227</f>
        <v>880</v>
      </c>
      <c r="B227" s="34" t="str">
        <f>'GF + UG Iteration 4'!B227</f>
        <v>UG</v>
      </c>
      <c r="C227" s="35">
        <f>'GF + UG Iteration 4'!C227</f>
        <v>8.9499999999999993</v>
      </c>
      <c r="D227" s="36">
        <f>'GF + UG Iteration 4'!P$16*(C227^'GF + UG Iteration 4'!P$15)</f>
        <v>8.9779292757162246</v>
      </c>
      <c r="E227" s="37">
        <f>'GF + UG Iteration 4'!E227</f>
        <v>1966</v>
      </c>
      <c r="F227" s="35">
        <f>'GF + UG Iteration 4'!F227</f>
        <v>2.0500000000000007</v>
      </c>
      <c r="G227" s="36">
        <f>'GF + UG Iteration 4'!G227</f>
        <v>4.5763928166345611</v>
      </c>
      <c r="H227" s="38">
        <f>'GF + UG Iteration 4'!H227</f>
        <v>2010</v>
      </c>
      <c r="I227" s="35">
        <f t="shared" si="20"/>
        <v>11</v>
      </c>
      <c r="J227" s="36">
        <f t="shared" si="21"/>
        <v>13.554322092350786</v>
      </c>
      <c r="K227" s="38">
        <f t="shared" si="22"/>
        <v>2010</v>
      </c>
      <c r="M227" s="21">
        <f t="shared" si="23"/>
        <v>2.3978952727983707</v>
      </c>
      <c r="N227" s="21">
        <f t="shared" si="24"/>
        <v>2.6067054700696688</v>
      </c>
    </row>
    <row r="228" spans="1:14" x14ac:dyDescent="0.2">
      <c r="A228" s="33">
        <f>'GF + UG Iteration 4'!A228</f>
        <v>1047</v>
      </c>
      <c r="B228" s="34" t="str">
        <f>'GF + UG Iteration 4'!B228</f>
        <v>UG</v>
      </c>
      <c r="C228" s="35">
        <f>'GF + UG Iteration 4'!C228</f>
        <v>10</v>
      </c>
      <c r="D228" s="36">
        <f>'GF + UG Iteration 4'!P$16*(C228^'GF + UG Iteration 4'!P$15)</f>
        <v>9.5620400828909595</v>
      </c>
      <c r="E228" s="37">
        <f>'GF + UG Iteration 4'!E228</f>
        <v>1965</v>
      </c>
      <c r="F228" s="35">
        <f>'GF + UG Iteration 4'!F228</f>
        <v>5</v>
      </c>
      <c r="G228" s="36">
        <f>'GF + UG Iteration 4'!G228</f>
        <v>6.2586429220605622</v>
      </c>
      <c r="H228" s="38">
        <f>'GF + UG Iteration 4'!H228</f>
        <v>2012</v>
      </c>
      <c r="I228" s="35">
        <f t="shared" si="20"/>
        <v>15</v>
      </c>
      <c r="J228" s="36">
        <f t="shared" si="21"/>
        <v>15.820683004951523</v>
      </c>
      <c r="K228" s="38">
        <f t="shared" si="22"/>
        <v>2012</v>
      </c>
      <c r="M228" s="21">
        <f t="shared" si="23"/>
        <v>2.7080502011022101</v>
      </c>
      <c r="N228" s="21">
        <f t="shared" si="24"/>
        <v>2.761318134919033</v>
      </c>
    </row>
    <row r="229" spans="1:14" x14ac:dyDescent="0.2">
      <c r="A229" s="33">
        <f>'GF + UG Iteration 4'!A229</f>
        <v>1045</v>
      </c>
      <c r="B229" s="34" t="str">
        <f>'GF + UG Iteration 4'!B229</f>
        <v>UG</v>
      </c>
      <c r="C229" s="35">
        <f>'GF + UG Iteration 4'!C229</f>
        <v>24.065999999999999</v>
      </c>
      <c r="D229" s="36">
        <f>'GF + UG Iteration 4'!P$16*(C229^'GF + UG Iteration 4'!P$15)</f>
        <v>15.749474695506615</v>
      </c>
      <c r="E229" s="37">
        <f>'GF + UG Iteration 4'!E229</f>
        <v>1971</v>
      </c>
      <c r="F229" s="35">
        <f>'GF + UG Iteration 4'!F229</f>
        <v>7.9340000000000011</v>
      </c>
      <c r="G229" s="36">
        <f>'GF + UG Iteration 4'!G229</f>
        <v>3.8009199870921253</v>
      </c>
      <c r="H229" s="38">
        <f>'GF + UG Iteration 4'!H229</f>
        <v>2011</v>
      </c>
      <c r="I229" s="35">
        <f t="shared" si="20"/>
        <v>32</v>
      </c>
      <c r="J229" s="36">
        <f t="shared" si="21"/>
        <v>19.550394682598739</v>
      </c>
      <c r="K229" s="38">
        <f t="shared" si="22"/>
        <v>2011</v>
      </c>
      <c r="M229" s="21">
        <f t="shared" si="23"/>
        <v>3.4657359027997265</v>
      </c>
      <c r="N229" s="21">
        <f t="shared" si="24"/>
        <v>2.9729954745958143</v>
      </c>
    </row>
    <row r="230" spans="1:14" x14ac:dyDescent="0.2">
      <c r="A230" s="33">
        <f>'GF + UG Iteration 4'!A230</f>
        <v>1616</v>
      </c>
      <c r="B230" s="34" t="str">
        <f>'GF + UG Iteration 4'!B230</f>
        <v>UG</v>
      </c>
      <c r="C230" s="35">
        <f>'GF + UG Iteration 4'!C230</f>
        <v>21.68</v>
      </c>
      <c r="D230" s="36">
        <f>'GF + UG Iteration 4'!P$16*(C230^'GF + UG Iteration 4'!P$15)</f>
        <v>14.842294222947119</v>
      </c>
      <c r="E230" s="37" t="str">
        <f>'GF + UG Iteration 4'!E230</f>
        <v>unknown</v>
      </c>
      <c r="F230" s="35">
        <f>'GF + UG Iteration 4'!F230</f>
        <v>25.75</v>
      </c>
      <c r="G230" s="36">
        <f>'GF + UG Iteration 4'!G230</f>
        <v>0.84818580502502572</v>
      </c>
      <c r="H230" s="38">
        <f>'GF + UG Iteration 4'!H230</f>
        <v>2015</v>
      </c>
      <c r="I230" s="35">
        <f t="shared" si="20"/>
        <v>47.43</v>
      </c>
      <c r="J230" s="36">
        <f t="shared" si="21"/>
        <v>15.690480027972145</v>
      </c>
      <c r="K230" s="38">
        <f t="shared" si="22"/>
        <v>2015</v>
      </c>
      <c r="M230" s="21">
        <f t="shared" si="23"/>
        <v>3.8592549398894902</v>
      </c>
      <c r="N230" s="21">
        <f t="shared" si="24"/>
        <v>2.7530541607939649</v>
      </c>
    </row>
    <row r="231" spans="1:14" x14ac:dyDescent="0.2">
      <c r="A231" s="33">
        <f>'GF + UG Iteration 4'!A231</f>
        <v>362</v>
      </c>
      <c r="B231" s="34" t="str">
        <f>'GF + UG Iteration 4'!B231</f>
        <v>UG</v>
      </c>
      <c r="C231" s="35">
        <f>'GF + UG Iteration 4'!C231</f>
        <v>51.8</v>
      </c>
      <c r="D231" s="36">
        <f>'GF + UG Iteration 4'!P$16*(C231^'GF + UG Iteration 4'!P$15)</f>
        <v>24.346476608051841</v>
      </c>
      <c r="E231" s="37">
        <f>'GF + UG Iteration 4'!E231</f>
        <v>1971</v>
      </c>
      <c r="F231" s="35">
        <f>'GF + UG Iteration 4'!F231</f>
        <v>1</v>
      </c>
      <c r="G231" s="36">
        <f>'GF + UG Iteration 4'!G231</f>
        <v>0.78848028183233532</v>
      </c>
      <c r="H231" s="38">
        <f>'GF + UG Iteration 4'!H231</f>
        <v>2004</v>
      </c>
      <c r="I231" s="35">
        <f t="shared" si="20"/>
        <v>52.8</v>
      </c>
      <c r="J231" s="36">
        <f t="shared" si="21"/>
        <v>25.134956889884176</v>
      </c>
      <c r="K231" s="38">
        <f t="shared" si="22"/>
        <v>2004</v>
      </c>
      <c r="M231" s="21">
        <f t="shared" si="23"/>
        <v>3.9665111907122159</v>
      </c>
      <c r="N231" s="21">
        <f t="shared" si="24"/>
        <v>3.2242595820002062</v>
      </c>
    </row>
    <row r="232" spans="1:14" x14ac:dyDescent="0.2">
      <c r="A232" s="33">
        <f>'GF + UG Iteration 4'!A232</f>
        <v>924</v>
      </c>
      <c r="B232" s="34" t="str">
        <f>'GF + UG Iteration 4'!B232</f>
        <v>UG</v>
      </c>
      <c r="C232" s="35">
        <f>'GF + UG Iteration 4'!C232</f>
        <v>45.94</v>
      </c>
      <c r="D232" s="36">
        <f>'GF + UG Iteration 4'!P$16*(C232^'GF + UG Iteration 4'!P$15)</f>
        <v>22.741055788480139</v>
      </c>
      <c r="E232" s="37">
        <f>'GF + UG Iteration 4'!E232</f>
        <v>1982</v>
      </c>
      <c r="F232" s="35">
        <f>'GF + UG Iteration 4'!F232</f>
        <v>6.0600000000000023</v>
      </c>
      <c r="G232" s="36">
        <f>'GF + UG Iteration 4'!G232</f>
        <v>1.4264307906682692</v>
      </c>
      <c r="H232" s="38">
        <f>'GF + UG Iteration 4'!H232</f>
        <v>2010</v>
      </c>
      <c r="I232" s="35">
        <f t="shared" si="20"/>
        <v>52</v>
      </c>
      <c r="J232" s="36">
        <f t="shared" si="21"/>
        <v>24.167486579148409</v>
      </c>
      <c r="K232" s="38">
        <f t="shared" si="22"/>
        <v>2010</v>
      </c>
      <c r="M232" s="21">
        <f t="shared" si="23"/>
        <v>3.9512437185814275</v>
      </c>
      <c r="N232" s="21">
        <f t="shared" si="24"/>
        <v>3.1850082000300355</v>
      </c>
    </row>
    <row r="233" spans="1:14" x14ac:dyDescent="0.2">
      <c r="A233" s="33">
        <f>'GF + UG Iteration 4'!A233</f>
        <v>1241</v>
      </c>
      <c r="B233" s="34" t="str">
        <f>'GF + UG Iteration 4'!B233</f>
        <v>UG</v>
      </c>
      <c r="C233" s="35">
        <f>'GF + UG Iteration 4'!C233</f>
        <v>20.29</v>
      </c>
      <c r="D233" s="36">
        <f>'GF + UG Iteration 4'!P$16*(C233^'GF + UG Iteration 4'!P$15)</f>
        <v>14.293865042865701</v>
      </c>
      <c r="E233" s="37" t="str">
        <f>'GF + UG Iteration 4'!E233</f>
        <v>unknown</v>
      </c>
      <c r="F233" s="35">
        <f>'GF + UG Iteration 4'!F233</f>
        <v>6</v>
      </c>
      <c r="G233" s="36">
        <f>'GF + UG Iteration 4'!G233</f>
        <v>2.625007735639064</v>
      </c>
      <c r="H233" s="38">
        <f>'GF + UG Iteration 4'!H233</f>
        <v>2012</v>
      </c>
      <c r="I233" s="35">
        <f t="shared" si="20"/>
        <v>26.29</v>
      </c>
      <c r="J233" s="36">
        <f t="shared" si="21"/>
        <v>16.918872778504763</v>
      </c>
      <c r="K233" s="38">
        <f t="shared" si="22"/>
        <v>2012</v>
      </c>
      <c r="M233" s="21">
        <f t="shared" si="23"/>
        <v>3.2691886387417899</v>
      </c>
      <c r="N233" s="21">
        <f t="shared" si="24"/>
        <v>2.8284297313030757</v>
      </c>
    </row>
    <row r="234" spans="1:14" x14ac:dyDescent="0.2">
      <c r="A234" s="33">
        <f>'GF + UG Iteration 4'!A234</f>
        <v>438</v>
      </c>
      <c r="B234" s="34" t="str">
        <f>'GF + UG Iteration 4'!B234</f>
        <v>UG</v>
      </c>
      <c r="C234" s="35">
        <f>'GF + UG Iteration 4'!C234</f>
        <v>8.2460000000000004</v>
      </c>
      <c r="D234" s="36">
        <f>'GF + UG Iteration 4'!P$16*(C234^'GF + UG Iteration 4'!P$15)</f>
        <v>8.5695816834028715</v>
      </c>
      <c r="E234" s="37">
        <f>'GF + UG Iteration 4'!E234</f>
        <v>1978</v>
      </c>
      <c r="F234" s="35">
        <f>'GF + UG Iteration 4'!F234</f>
        <v>1</v>
      </c>
      <c r="G234" s="36">
        <f>'GF + UG Iteration 4'!G234</f>
        <v>0.18095315250984781</v>
      </c>
      <c r="H234" s="38">
        <f>'GF + UG Iteration 4'!H234</f>
        <v>2004</v>
      </c>
      <c r="I234" s="35">
        <f t="shared" si="20"/>
        <v>9.2460000000000004</v>
      </c>
      <c r="J234" s="36">
        <f t="shared" si="21"/>
        <v>8.7505348359127186</v>
      </c>
      <c r="K234" s="38">
        <f t="shared" si="22"/>
        <v>2004</v>
      </c>
      <c r="M234" s="21">
        <f t="shared" si="23"/>
        <v>2.2241910255660335</v>
      </c>
      <c r="N234" s="21">
        <f t="shared" si="24"/>
        <v>2.1691148226058319</v>
      </c>
    </row>
    <row r="235" spans="1:14" x14ac:dyDescent="0.2">
      <c r="A235" s="33">
        <f>'GF + UG Iteration 4'!A235</f>
        <v>748</v>
      </c>
      <c r="B235" s="34" t="str">
        <f>'GF + UG Iteration 4'!B235</f>
        <v>UG</v>
      </c>
      <c r="C235" s="35">
        <f>'GF + UG Iteration 4'!C235</f>
        <v>25.541</v>
      </c>
      <c r="D235" s="36">
        <f>'GF + UG Iteration 4'!P$16*(C235^'GF + UG Iteration 4'!P$15)</f>
        <v>16.290899546464889</v>
      </c>
      <c r="E235" s="37">
        <f>'GF + UG Iteration 4'!E235</f>
        <v>1995</v>
      </c>
      <c r="F235" s="35">
        <f>'GF + UG Iteration 4'!F235</f>
        <v>1</v>
      </c>
      <c r="G235" s="36">
        <f>'GF + UG Iteration 4'!G235</f>
        <v>0.38858476644316492</v>
      </c>
      <c r="H235" s="38">
        <f>'GF + UG Iteration 4'!H235</f>
        <v>2008</v>
      </c>
      <c r="I235" s="35">
        <f t="shared" si="20"/>
        <v>26.541</v>
      </c>
      <c r="J235" s="36">
        <f t="shared" si="21"/>
        <v>16.679484312908055</v>
      </c>
      <c r="K235" s="38">
        <f t="shared" si="22"/>
        <v>2008</v>
      </c>
      <c r="M235" s="21">
        <f t="shared" si="23"/>
        <v>3.2786907071693587</v>
      </c>
      <c r="N235" s="21">
        <f t="shared" si="24"/>
        <v>2.8141794799603534</v>
      </c>
    </row>
    <row r="236" spans="1:14" x14ac:dyDescent="0.2">
      <c r="A236" s="33">
        <f>'GF + UG Iteration 4'!A236</f>
        <v>1319</v>
      </c>
      <c r="B236" s="34" t="str">
        <f>'GF + UG Iteration 4'!B236</f>
        <v>UG</v>
      </c>
      <c r="C236" s="35">
        <f>'GF + UG Iteration 4'!C236</f>
        <v>15.71</v>
      </c>
      <c r="D236" s="36">
        <f>'GF + UG Iteration 4'!P$16*(C236^'GF + UG Iteration 4'!P$15)</f>
        <v>12.360009349188086</v>
      </c>
      <c r="E236" s="37">
        <f>'GF + UG Iteration 4'!E236</f>
        <v>0</v>
      </c>
      <c r="F236" s="35">
        <f>'GF + UG Iteration 4'!F236</f>
        <v>4.2899999999999991</v>
      </c>
      <c r="G236" s="36">
        <f>'GF + UG Iteration 4'!G236</f>
        <v>3.2376779482440865</v>
      </c>
      <c r="H236" s="38">
        <f>'GF + UG Iteration 4'!H236</f>
        <v>2014</v>
      </c>
      <c r="I236" s="35">
        <f t="shared" si="20"/>
        <v>20</v>
      </c>
      <c r="J236" s="36">
        <f t="shared" si="21"/>
        <v>15.597687297432174</v>
      </c>
      <c r="K236" s="38">
        <f t="shared" si="22"/>
        <v>2014</v>
      </c>
      <c r="M236" s="21">
        <f t="shared" si="23"/>
        <v>2.9957322735539909</v>
      </c>
      <c r="N236" s="21">
        <f t="shared" si="24"/>
        <v>2.7471226531007451</v>
      </c>
    </row>
    <row r="237" spans="1:14" x14ac:dyDescent="0.2">
      <c r="A237" s="33">
        <f>'GF + UG Iteration 4'!A237</f>
        <v>892</v>
      </c>
      <c r="B237" s="34" t="str">
        <f>'GF + UG Iteration 4'!B237</f>
        <v>UG</v>
      </c>
      <c r="C237" s="35">
        <f>'GF + UG Iteration 4'!C237</f>
        <v>13.05</v>
      </c>
      <c r="D237" s="36">
        <f>'GF + UG Iteration 4'!P$16*(C237^'GF + UG Iteration 4'!P$15)</f>
        <v>11.123488272996507</v>
      </c>
      <c r="E237" s="37">
        <f>'GF + UG Iteration 4'!E237</f>
        <v>1972</v>
      </c>
      <c r="F237" s="35">
        <f>'GF + UG Iteration 4'!F237</f>
        <v>0</v>
      </c>
      <c r="G237" s="36">
        <f>'GF + UG Iteration 4'!G237</f>
        <v>3.2490818561124843</v>
      </c>
      <c r="H237" s="38">
        <f>'GF + UG Iteration 4'!H237</f>
        <v>2011</v>
      </c>
      <c r="I237" s="35">
        <f t="shared" si="20"/>
        <v>13.05</v>
      </c>
      <c r="J237" s="36">
        <f t="shared" si="21"/>
        <v>14.372570129108992</v>
      </c>
      <c r="K237" s="38">
        <f t="shared" si="22"/>
        <v>2011</v>
      </c>
      <c r="M237" s="21">
        <f t="shared" si="23"/>
        <v>2.5687881337687024</v>
      </c>
      <c r="N237" s="21">
        <f t="shared" si="24"/>
        <v>2.6653215378987078</v>
      </c>
    </row>
    <row r="238" spans="1:14" x14ac:dyDescent="0.2">
      <c r="A238" s="33">
        <f>'GF + UG Iteration 4'!A238</f>
        <v>504</v>
      </c>
      <c r="B238" s="34" t="str">
        <f>'GF + UG Iteration 4'!B238</f>
        <v>UG</v>
      </c>
      <c r="C238" s="35">
        <f>'GF + UG Iteration 4'!C238</f>
        <v>10.496</v>
      </c>
      <c r="D238" s="36">
        <f>'GF + UG Iteration 4'!P$16*(C238^'GF + UG Iteration 4'!P$15)</f>
        <v>9.8287071507842061</v>
      </c>
      <c r="E238" s="37">
        <f>'GF + UG Iteration 4'!E238</f>
        <v>2007</v>
      </c>
      <c r="F238" s="35">
        <f>'GF + UG Iteration 4'!F238</f>
        <v>0</v>
      </c>
      <c r="G238" s="36">
        <f>'GF + UG Iteration 4'!G238</f>
        <v>2.1923137026225539</v>
      </c>
      <c r="H238" s="38">
        <f>'GF + UG Iteration 4'!H238</f>
        <v>2006</v>
      </c>
      <c r="I238" s="35">
        <f t="shared" si="20"/>
        <v>10.496</v>
      </c>
      <c r="J238" s="36">
        <f t="shared" si="21"/>
        <v>12.02102085340676</v>
      </c>
      <c r="K238" s="38">
        <f t="shared" si="22"/>
        <v>2007</v>
      </c>
      <c r="M238" s="21">
        <f t="shared" si="23"/>
        <v>2.3509942322017334</v>
      </c>
      <c r="N238" s="21">
        <f t="shared" si="24"/>
        <v>2.4866568550687003</v>
      </c>
    </row>
    <row r="239" spans="1:14" x14ac:dyDescent="0.2">
      <c r="A239" s="33">
        <f>'GF + UG Iteration 4'!A239</f>
        <v>618</v>
      </c>
      <c r="B239" s="34" t="str">
        <f>'GF + UG Iteration 4'!B239</f>
        <v>UG</v>
      </c>
      <c r="C239" s="35">
        <f>'GF + UG Iteration 4'!C239</f>
        <v>11</v>
      </c>
      <c r="D239" s="36">
        <f>'GF + UG Iteration 4'!P$16*(C239^'GF + UG Iteration 4'!P$15)</f>
        <v>10.094157575373245</v>
      </c>
      <c r="E239" s="37">
        <f>'GF + UG Iteration 4'!E239</f>
        <v>1995</v>
      </c>
      <c r="F239" s="35">
        <f>'GF + UG Iteration 4'!F239</f>
        <v>11.5</v>
      </c>
      <c r="G239" s="36">
        <f>'GF + UG Iteration 4'!G239</f>
        <v>2.3464649770982668</v>
      </c>
      <c r="H239" s="38">
        <f>'GF + UG Iteration 4'!H239</f>
        <v>2006</v>
      </c>
      <c r="I239" s="35">
        <f t="shared" si="20"/>
        <v>22.5</v>
      </c>
      <c r="J239" s="36">
        <f t="shared" si="21"/>
        <v>12.440622552471511</v>
      </c>
      <c r="K239" s="38">
        <f t="shared" si="22"/>
        <v>2006</v>
      </c>
      <c r="M239" s="21">
        <f t="shared" si="23"/>
        <v>3.1135153092103742</v>
      </c>
      <c r="N239" s="21">
        <f t="shared" si="24"/>
        <v>2.5209671304697467</v>
      </c>
    </row>
    <row r="240" spans="1:14" x14ac:dyDescent="0.2">
      <c r="A240" s="33">
        <f>'GF + UG Iteration 4'!A240</f>
        <v>712</v>
      </c>
      <c r="B240" s="34" t="str">
        <f>'GF + UG Iteration 4'!B240</f>
        <v>UG</v>
      </c>
      <c r="C240" s="35">
        <f>'GF + UG Iteration 4'!C240</f>
        <v>7.5</v>
      </c>
      <c r="D240" s="36">
        <f>'GF + UG Iteration 4'!P$16*(C240^'GF + UG Iteration 4'!P$15)</f>
        <v>8.1200700679575828</v>
      </c>
      <c r="E240" s="37">
        <f>'GF + UG Iteration 4'!E240</f>
        <v>1980</v>
      </c>
      <c r="F240" s="35">
        <f>'GF + UG Iteration 4'!F240</f>
        <v>1</v>
      </c>
      <c r="G240" s="36">
        <f>'GF + UG Iteration 4'!G240</f>
        <v>7.8904141673966368</v>
      </c>
      <c r="H240" s="38">
        <f>'GF + UG Iteration 4'!H240</f>
        <v>2011</v>
      </c>
      <c r="I240" s="35">
        <f t="shared" si="20"/>
        <v>8.5</v>
      </c>
      <c r="J240" s="36">
        <f t="shared" si="21"/>
        <v>16.01048423535422</v>
      </c>
      <c r="K240" s="38">
        <f t="shared" si="22"/>
        <v>2011</v>
      </c>
      <c r="M240" s="21">
        <f t="shared" si="23"/>
        <v>2.1400661634962708</v>
      </c>
      <c r="N240" s="21">
        <f t="shared" si="24"/>
        <v>2.7732437723572381</v>
      </c>
    </row>
    <row r="241" spans="1:14" x14ac:dyDescent="0.2">
      <c r="A241" s="33">
        <f>'GF + UG Iteration 4'!A241</f>
        <v>726</v>
      </c>
      <c r="B241" s="34" t="str">
        <f>'GF + UG Iteration 4'!B241</f>
        <v>UG</v>
      </c>
      <c r="C241" s="35">
        <f>'GF + UG Iteration 4'!C241</f>
        <v>25.635400000000001</v>
      </c>
      <c r="D241" s="36">
        <f>'GF + UG Iteration 4'!P$16*(C241^'GF + UG Iteration 4'!P$15)</f>
        <v>16.325084732022585</v>
      </c>
      <c r="E241" s="37">
        <f>'GF + UG Iteration 4'!E241</f>
        <v>1982</v>
      </c>
      <c r="F241" s="35">
        <f>'GF + UG Iteration 4'!F241</f>
        <v>5.3645999999999994</v>
      </c>
      <c r="G241" s="36">
        <f>'GF + UG Iteration 4'!G241</f>
        <v>1.031633192087684</v>
      </c>
      <c r="H241" s="38">
        <f>'GF + UG Iteration 4'!H241</f>
        <v>2008</v>
      </c>
      <c r="I241" s="35">
        <f t="shared" si="20"/>
        <v>31</v>
      </c>
      <c r="J241" s="36">
        <f t="shared" si="21"/>
        <v>17.356717924110271</v>
      </c>
      <c r="K241" s="38">
        <f t="shared" si="22"/>
        <v>2008</v>
      </c>
      <c r="M241" s="21">
        <f t="shared" si="23"/>
        <v>3.4339872044851463</v>
      </c>
      <c r="N241" s="21">
        <f t="shared" si="24"/>
        <v>2.8539796316871042</v>
      </c>
    </row>
    <row r="242" spans="1:14" x14ac:dyDescent="0.2">
      <c r="A242" s="33">
        <f>'GF + UG Iteration 4'!A242</f>
        <v>530</v>
      </c>
      <c r="B242" s="34" t="str">
        <f>'GF + UG Iteration 4'!B242</f>
        <v>UG</v>
      </c>
      <c r="C242" s="35">
        <f>'GF + UG Iteration 4'!C242</f>
        <v>25</v>
      </c>
      <c r="D242" s="36">
        <f>'GF + UG Iteration 4'!P$16*(C242^'GF + UG Iteration 4'!P$15)</f>
        <v>16.093924565877725</v>
      </c>
      <c r="E242" s="37">
        <f>'GF + UG Iteration 4'!E242</f>
        <v>1982</v>
      </c>
      <c r="F242" s="35">
        <f>'GF + UG Iteration 4'!F242</f>
        <v>20</v>
      </c>
      <c r="G242" s="36">
        <f>'GF + UG Iteration 4'!G242</f>
        <v>4.5022608459814819</v>
      </c>
      <c r="H242" s="38">
        <f>'GF + UG Iteration 4'!H242</f>
        <v>2006</v>
      </c>
      <c r="I242" s="35">
        <f t="shared" si="20"/>
        <v>45</v>
      </c>
      <c r="J242" s="36">
        <f t="shared" si="21"/>
        <v>20.596185411859206</v>
      </c>
      <c r="K242" s="38">
        <f t="shared" si="22"/>
        <v>2006</v>
      </c>
      <c r="M242" s="21">
        <f t="shared" si="23"/>
        <v>3.8066624897703196</v>
      </c>
      <c r="N242" s="21">
        <f t="shared" si="24"/>
        <v>3.0251058844670879</v>
      </c>
    </row>
    <row r="243" spans="1:14" x14ac:dyDescent="0.2">
      <c r="A243" s="33">
        <f>'GF + UG Iteration 4'!A243</f>
        <v>755</v>
      </c>
      <c r="B243" s="34" t="str">
        <f>'GF + UG Iteration 4'!B243</f>
        <v>UG</v>
      </c>
      <c r="C243" s="35">
        <f>'GF + UG Iteration 4'!C243</f>
        <v>8.6980000000000004</v>
      </c>
      <c r="D243" s="36">
        <f>'GF + UG Iteration 4'!P$16*(C243^'GF + UG Iteration 4'!P$15)</f>
        <v>8.8334097718308691</v>
      </c>
      <c r="E243" s="37">
        <f>'GF + UG Iteration 4'!E243</f>
        <v>1983</v>
      </c>
      <c r="F243" s="35">
        <f>'GF + UG Iteration 4'!F243</f>
        <v>3.3019999999999996</v>
      </c>
      <c r="G243" s="36">
        <f>'GF + UG Iteration 4'!G243</f>
        <v>0.74649134624932623</v>
      </c>
      <c r="H243" s="38">
        <f>'GF + UG Iteration 4'!H243</f>
        <v>2008</v>
      </c>
      <c r="I243" s="35">
        <f t="shared" si="20"/>
        <v>12</v>
      </c>
      <c r="J243" s="36">
        <f t="shared" si="21"/>
        <v>9.5799011180801958</v>
      </c>
      <c r="K243" s="38">
        <f t="shared" si="22"/>
        <v>2008</v>
      </c>
      <c r="M243" s="21">
        <f t="shared" si="23"/>
        <v>2.4849066497880004</v>
      </c>
      <c r="N243" s="21">
        <f t="shared" si="24"/>
        <v>2.2596672702259712</v>
      </c>
    </row>
    <row r="244" spans="1:14" x14ac:dyDescent="0.2">
      <c r="A244" s="33">
        <f>'GF + UG Iteration 4'!A244</f>
        <v>1081</v>
      </c>
      <c r="B244" s="34" t="str">
        <f>'GF + UG Iteration 4'!B244</f>
        <v>UG</v>
      </c>
      <c r="C244" s="35">
        <f>'GF + UG Iteration 4'!C244</f>
        <v>12</v>
      </c>
      <c r="D244" s="36">
        <f>'GF + UG Iteration 4'!P$16*(C244^'GF + UG Iteration 4'!P$15)</f>
        <v>10.60575815663112</v>
      </c>
      <c r="E244" s="37">
        <f>'GF + UG Iteration 4'!E244</f>
        <v>1983</v>
      </c>
      <c r="F244" s="35">
        <f>'GF + UG Iteration 4'!F244</f>
        <v>4</v>
      </c>
      <c r="G244" s="36">
        <f>'GF + UG Iteration 4'!G244</f>
        <v>0.74615854172219498</v>
      </c>
      <c r="H244" s="38">
        <f>'GF + UG Iteration 4'!H244</f>
        <v>2010</v>
      </c>
      <c r="I244" s="35">
        <f t="shared" si="20"/>
        <v>16</v>
      </c>
      <c r="J244" s="36">
        <f t="shared" si="21"/>
        <v>11.351916698353316</v>
      </c>
      <c r="K244" s="38">
        <f t="shared" si="22"/>
        <v>2010</v>
      </c>
      <c r="M244" s="21">
        <f t="shared" si="23"/>
        <v>2.7725887222397811</v>
      </c>
      <c r="N244" s="21">
        <f t="shared" si="24"/>
        <v>2.4293866017717369</v>
      </c>
    </row>
    <row r="245" spans="1:14" x14ac:dyDescent="0.2">
      <c r="A245" s="33">
        <f>'GF + UG Iteration 4'!A245</f>
        <v>307</v>
      </c>
      <c r="B245" s="34" t="str">
        <f>'GF + UG Iteration 4'!B245</f>
        <v>UG</v>
      </c>
      <c r="C245" s="35">
        <f>'GF + UG Iteration 4'!C245</f>
        <v>9.07</v>
      </c>
      <c r="D245" s="36">
        <f>'GF + UG Iteration 4'!P$16*(C245^'GF + UG Iteration 4'!P$15)</f>
        <v>9.0461298870637208</v>
      </c>
      <c r="E245" s="37">
        <f>'GF + UG Iteration 4'!E245</f>
        <v>1985</v>
      </c>
      <c r="F245" s="35">
        <f>'GF + UG Iteration 4'!F245</f>
        <v>1.0019999999999989</v>
      </c>
      <c r="G245" s="36">
        <f>'GF + UG Iteration 4'!G245</f>
        <v>2.5230801807757093</v>
      </c>
      <c r="H245" s="38">
        <f>'GF + UG Iteration 4'!H245</f>
        <v>2003</v>
      </c>
      <c r="I245" s="35">
        <f t="shared" si="20"/>
        <v>10.071999999999999</v>
      </c>
      <c r="J245" s="36">
        <f t="shared" si="21"/>
        <v>11.56921006783943</v>
      </c>
      <c r="K245" s="38">
        <f t="shared" si="22"/>
        <v>2003</v>
      </c>
      <c r="M245" s="21">
        <f t="shared" si="23"/>
        <v>2.3097592967420462</v>
      </c>
      <c r="N245" s="21">
        <f t="shared" si="24"/>
        <v>2.4483472647036164</v>
      </c>
    </row>
    <row r="246" spans="1:14" x14ac:dyDescent="0.2">
      <c r="A246" s="33">
        <f>'GF + UG Iteration 4'!A246</f>
        <v>1466</v>
      </c>
      <c r="B246" s="34" t="str">
        <f>'GF + UG Iteration 4'!B246</f>
        <v>UG</v>
      </c>
      <c r="C246" s="35">
        <f>'GF + UG Iteration 4'!C246</f>
        <v>10.07</v>
      </c>
      <c r="D246" s="36">
        <f>'GF + UG Iteration 4'!P$16*(C246^'GF + UG Iteration 4'!P$15)</f>
        <v>9.6000151722973719</v>
      </c>
      <c r="E246" s="37">
        <f>'GF + UG Iteration 4'!E246</f>
        <v>1985</v>
      </c>
      <c r="F246" s="35">
        <f>'GF + UG Iteration 4'!F246</f>
        <v>4.93</v>
      </c>
      <c r="G246" s="36">
        <f>'GF + UG Iteration 4'!G246</f>
        <v>4.634839878669343</v>
      </c>
      <c r="H246" s="38">
        <f>'GF + UG Iteration 4'!H246</f>
        <v>2015</v>
      </c>
      <c r="I246" s="35">
        <f t="shared" si="20"/>
        <v>15</v>
      </c>
      <c r="J246" s="36">
        <f t="shared" si="21"/>
        <v>14.234855050966715</v>
      </c>
      <c r="K246" s="38">
        <f t="shared" si="22"/>
        <v>2015</v>
      </c>
      <c r="M246" s="21">
        <f t="shared" si="23"/>
        <v>2.7080502011022101</v>
      </c>
      <c r="N246" s="21">
        <f t="shared" si="24"/>
        <v>2.6556935380976672</v>
      </c>
    </row>
    <row r="247" spans="1:14" x14ac:dyDescent="0.2">
      <c r="A247" s="33">
        <f>'GF + UG Iteration 4'!A247</f>
        <v>1091</v>
      </c>
      <c r="B247" s="34" t="str">
        <f>'GF + UG Iteration 4'!B247</f>
        <v>UG</v>
      </c>
      <c r="C247" s="35">
        <f>'GF + UG Iteration 4'!C247</f>
        <v>16.059999999999999</v>
      </c>
      <c r="D247" s="36">
        <f>'GF + UG Iteration 4'!P$16*(C247^'GF + UG Iteration 4'!P$15)</f>
        <v>12.515729051620214</v>
      </c>
      <c r="E247" s="37">
        <f>'GF + UG Iteration 4'!E247</f>
        <v>1982</v>
      </c>
      <c r="F247" s="35">
        <f>'GF + UG Iteration 4'!F247</f>
        <v>24.34</v>
      </c>
      <c r="G247" s="36">
        <f>'GF + UG Iteration 4'!G247</f>
        <v>7.6638380518522098</v>
      </c>
      <c r="H247" s="38">
        <f>'GF + UG Iteration 4'!H247</f>
        <v>2011</v>
      </c>
      <c r="I247" s="35">
        <f t="shared" ref="I247:I292" si="30">C247+F247</f>
        <v>40.4</v>
      </c>
      <c r="J247" s="36">
        <f t="shared" ref="J247:J292" si="31">D247+G247</f>
        <v>20.179567103472422</v>
      </c>
      <c r="K247" s="38">
        <f t="shared" ref="K247:K292" si="32">MAX(E247,H247)</f>
        <v>2011</v>
      </c>
      <c r="M247" s="21">
        <f t="shared" si="23"/>
        <v>3.6988297849671046</v>
      </c>
      <c r="N247" s="21">
        <f t="shared" si="24"/>
        <v>3.0046705629348365</v>
      </c>
    </row>
    <row r="248" spans="1:14" x14ac:dyDescent="0.2">
      <c r="A248" s="33">
        <f>'GF + UG Iteration 4'!A248</f>
        <v>666</v>
      </c>
      <c r="B248" s="34" t="str">
        <f>'GF + UG Iteration 4'!B248</f>
        <v>UG</v>
      </c>
      <c r="C248" s="35">
        <f>'GF + UG Iteration 4'!C248</f>
        <v>25.92</v>
      </c>
      <c r="D248" s="36">
        <f>'GF + UG Iteration 4'!P$16*(C248^'GF + UG Iteration 4'!P$15)</f>
        <v>16.427819725443289</v>
      </c>
      <c r="E248" s="37">
        <f>'GF + UG Iteration 4'!E248</f>
        <v>1987</v>
      </c>
      <c r="F248" s="35">
        <f>'GF + UG Iteration 4'!F248</f>
        <v>14.079999999999998</v>
      </c>
      <c r="G248" s="36">
        <f>'GF + UG Iteration 4'!G248</f>
        <v>3.6887760601263184</v>
      </c>
      <c r="H248" s="38">
        <f>'GF + UG Iteration 4'!H248</f>
        <v>2008</v>
      </c>
      <c r="I248" s="35">
        <f t="shared" si="30"/>
        <v>40</v>
      </c>
      <c r="J248" s="36">
        <f t="shared" si="31"/>
        <v>20.116595785569608</v>
      </c>
      <c r="K248" s="38">
        <f t="shared" si="32"/>
        <v>2008</v>
      </c>
      <c r="M248" s="21">
        <f t="shared" ref="M248:M292" si="33">LN(I248)</f>
        <v>3.6888794541139363</v>
      </c>
      <c r="N248" s="21">
        <f t="shared" ref="N248:N292" si="34">LN(J248)</f>
        <v>3.0015451353681266</v>
      </c>
    </row>
    <row r="249" spans="1:14" x14ac:dyDescent="0.2">
      <c r="A249" s="33">
        <f>'GF + UG Iteration 4'!A249</f>
        <v>556</v>
      </c>
      <c r="B249" s="34" t="str">
        <f>'GF + UG Iteration 4'!B249</f>
        <v>UG</v>
      </c>
      <c r="C249" s="35">
        <f>'GF + UG Iteration 4'!C249</f>
        <v>8.6560000000000006</v>
      </c>
      <c r="D249" s="36">
        <f>'GF + UG Iteration 4'!P$16*(C249^'GF + UG Iteration 4'!P$15)</f>
        <v>8.8091483256629317</v>
      </c>
      <c r="E249" s="37">
        <f>'GF + UG Iteration 4'!E249</f>
        <v>1985</v>
      </c>
      <c r="F249" s="35">
        <f>'GF + UG Iteration 4'!F249</f>
        <v>4.3439999999999994</v>
      </c>
      <c r="G249" s="36">
        <f>'GF + UG Iteration 4'!G249</f>
        <v>3.2483692675760008</v>
      </c>
      <c r="H249" s="38">
        <f>'GF + UG Iteration 4'!H249</f>
        <v>2007</v>
      </c>
      <c r="I249" s="35">
        <f t="shared" si="30"/>
        <v>13</v>
      </c>
      <c r="J249" s="36">
        <f t="shared" si="31"/>
        <v>12.057517593238932</v>
      </c>
      <c r="K249" s="38">
        <f t="shared" si="32"/>
        <v>2007</v>
      </c>
      <c r="M249" s="21">
        <f t="shared" si="33"/>
        <v>2.5649493574615367</v>
      </c>
      <c r="N249" s="21">
        <f t="shared" si="34"/>
        <v>2.489688332071593</v>
      </c>
    </row>
    <row r="250" spans="1:14" x14ac:dyDescent="0.2">
      <c r="A250" s="33">
        <f>'GF + UG Iteration 4'!A250</f>
        <v>452</v>
      </c>
      <c r="B250" s="34" t="str">
        <f>'GF + UG Iteration 4'!B250</f>
        <v>UG</v>
      </c>
      <c r="C250" s="35">
        <f>'GF + UG Iteration 4'!C250</f>
        <v>10.781000000000001</v>
      </c>
      <c r="D250" s="36">
        <f>'GF + UG Iteration 4'!P$16*(C250^'GF + UG Iteration 4'!P$15)</f>
        <v>9.9794724791779874</v>
      </c>
      <c r="E250" s="37">
        <f>'GF + UG Iteration 4'!E250</f>
        <v>1986</v>
      </c>
      <c r="F250" s="35">
        <f>'GF + UG Iteration 4'!F250</f>
        <v>3.6189999999999998</v>
      </c>
      <c r="G250" s="36">
        <f>'GF + UG Iteration 4'!G250</f>
        <v>3.4437072461958511</v>
      </c>
      <c r="H250" s="38">
        <f>'GF + UG Iteration 4'!H250</f>
        <v>2005</v>
      </c>
      <c r="I250" s="35">
        <f t="shared" si="30"/>
        <v>14.4</v>
      </c>
      <c r="J250" s="36">
        <f t="shared" si="31"/>
        <v>13.423179725373839</v>
      </c>
      <c r="K250" s="38">
        <f t="shared" si="32"/>
        <v>2005</v>
      </c>
      <c r="M250" s="21">
        <f t="shared" si="33"/>
        <v>2.6672282065819548</v>
      </c>
      <c r="N250" s="21">
        <f t="shared" si="34"/>
        <v>2.5969830427754568</v>
      </c>
    </row>
    <row r="251" spans="1:14" x14ac:dyDescent="0.2">
      <c r="A251" s="33">
        <f>'GF + UG Iteration 4'!A251</f>
        <v>613</v>
      </c>
      <c r="B251" s="34" t="str">
        <f>'GF + UG Iteration 4'!B251</f>
        <v>UG</v>
      </c>
      <c r="C251" s="35">
        <f>'GF + UG Iteration 4'!C251</f>
        <v>6.2</v>
      </c>
      <c r="D251" s="36">
        <f>'GF + UG Iteration 4'!P$16*(C251^'GF + UG Iteration 4'!P$15)</f>
        <v>7.287633650908484</v>
      </c>
      <c r="E251" s="37">
        <f>'GF + UG Iteration 4'!E251</f>
        <v>1999</v>
      </c>
      <c r="F251" s="35">
        <f>'GF + UG Iteration 4'!F251</f>
        <v>2.2000000000000002</v>
      </c>
      <c r="G251" s="36">
        <f>'GF + UG Iteration 4'!G251</f>
        <v>0.43131820582676678</v>
      </c>
      <c r="H251" s="38">
        <f>'GF + UG Iteration 4'!H251</f>
        <v>2006</v>
      </c>
      <c r="I251" s="35">
        <f t="shared" si="30"/>
        <v>8.4</v>
      </c>
      <c r="J251" s="36">
        <f t="shared" si="31"/>
        <v>7.7189518567352504</v>
      </c>
      <c r="K251" s="38">
        <f t="shared" si="32"/>
        <v>2006</v>
      </c>
      <c r="M251" s="21">
        <f t="shared" si="33"/>
        <v>2.1282317058492679</v>
      </c>
      <c r="N251" s="21">
        <f t="shared" si="34"/>
        <v>2.0436785849661772</v>
      </c>
    </row>
    <row r="252" spans="1:14" x14ac:dyDescent="0.2">
      <c r="A252" s="33">
        <f>'GF + UG Iteration 4'!A252</f>
        <v>778</v>
      </c>
      <c r="B252" s="34" t="str">
        <f>'GF + UG Iteration 4'!B252</f>
        <v>UG</v>
      </c>
      <c r="C252" s="35">
        <f>'GF + UG Iteration 4'!C252</f>
        <v>0.1</v>
      </c>
      <c r="D252" s="36">
        <f>'GF + UG Iteration 4'!P$16*(C252^'GF + UG Iteration 4'!P$15)</f>
        <v>0.6984592414466001</v>
      </c>
      <c r="E252" s="37">
        <f>'GF + UG Iteration 4'!E252</f>
        <v>1988</v>
      </c>
      <c r="F252" s="35">
        <f>'GF + UG Iteration 4'!F252</f>
        <v>1.9</v>
      </c>
      <c r="G252" s="36">
        <f>'GF + UG Iteration 4'!G252</f>
        <v>0.48701021540648831</v>
      </c>
      <c r="H252" s="38">
        <f>'GF + UG Iteration 4'!H252</f>
        <v>2008</v>
      </c>
      <c r="I252" s="35">
        <f t="shared" si="30"/>
        <v>2</v>
      </c>
      <c r="J252" s="36">
        <f t="shared" si="31"/>
        <v>1.1854694568530884</v>
      </c>
      <c r="K252" s="38">
        <f t="shared" si="32"/>
        <v>2008</v>
      </c>
      <c r="M252" s="21">
        <f t="shared" si="33"/>
        <v>0.69314718055994529</v>
      </c>
      <c r="N252" s="21">
        <f t="shared" si="34"/>
        <v>0.17013886225476618</v>
      </c>
    </row>
    <row r="253" spans="1:14" x14ac:dyDescent="0.2">
      <c r="A253" s="33">
        <f>'GF + UG Iteration 4'!A253</f>
        <v>1571</v>
      </c>
      <c r="B253" s="34" t="str">
        <f>'GF + UG Iteration 4'!B253</f>
        <v>UG</v>
      </c>
      <c r="C253" s="35">
        <f>'GF + UG Iteration 4'!C253</f>
        <v>2</v>
      </c>
      <c r="D253" s="36">
        <f>'GF + UG Iteration 4'!P$16*(C253^'GF + UG Iteration 4'!P$15)</f>
        <v>3.8317087093734283</v>
      </c>
      <c r="E253" s="37">
        <f>'GF + UG Iteration 4'!E253</f>
        <v>1988</v>
      </c>
      <c r="F253" s="35">
        <f>'GF + UG Iteration 4'!F253</f>
        <v>11</v>
      </c>
      <c r="G253" s="36">
        <f>'GF + UG Iteration 4'!G253</f>
        <v>1.5920457896917759</v>
      </c>
      <c r="H253" s="38">
        <f>'GF + UG Iteration 4'!H253</f>
        <v>2016</v>
      </c>
      <c r="I253" s="35">
        <f t="shared" si="30"/>
        <v>13</v>
      </c>
      <c r="J253" s="36">
        <f t="shared" si="31"/>
        <v>5.423754499065204</v>
      </c>
      <c r="K253" s="38">
        <f t="shared" si="32"/>
        <v>2016</v>
      </c>
      <c r="M253" s="21">
        <f t="shared" si="33"/>
        <v>2.5649493574615367</v>
      </c>
      <c r="N253" s="21">
        <f t="shared" si="34"/>
        <v>1.690788287641986</v>
      </c>
    </row>
    <row r="254" spans="1:14" x14ac:dyDescent="0.2">
      <c r="A254" s="33">
        <f>'GF + UG Iteration 4'!A254</f>
        <v>525</v>
      </c>
      <c r="B254" s="34" t="str">
        <f>'GF + UG Iteration 4'!B254</f>
        <v>UG</v>
      </c>
      <c r="C254" s="35">
        <f>'GF + UG Iteration 4'!C254</f>
        <v>11.55</v>
      </c>
      <c r="D254" s="36">
        <f>'GF + UG Iteration 4'!P$16*(C254^'GF + UG Iteration 4'!P$15)</f>
        <v>10.377910962161158</v>
      </c>
      <c r="E254" s="37">
        <f>'GF + UG Iteration 4'!E254</f>
        <v>1995</v>
      </c>
      <c r="F254" s="35">
        <f>'GF + UG Iteration 4'!F254</f>
        <v>14</v>
      </c>
      <c r="G254" s="36">
        <f>'GF + UG Iteration 4'!G254</f>
        <v>2.107818995325883</v>
      </c>
      <c r="H254" s="38">
        <f>'GF + UG Iteration 4'!H254</f>
        <v>2006</v>
      </c>
      <c r="I254" s="35">
        <f t="shared" si="30"/>
        <v>25.55</v>
      </c>
      <c r="J254" s="36">
        <f t="shared" si="31"/>
        <v>12.485729957487042</v>
      </c>
      <c r="K254" s="38">
        <f t="shared" si="32"/>
        <v>2006</v>
      </c>
      <c r="M254" s="21">
        <f t="shared" si="33"/>
        <v>3.2406373166497136</v>
      </c>
      <c r="N254" s="21">
        <f t="shared" si="34"/>
        <v>2.5245863887816964</v>
      </c>
    </row>
    <row r="255" spans="1:14" x14ac:dyDescent="0.2">
      <c r="A255" s="33">
        <f>'GF + UG Iteration 4'!A255</f>
        <v>1324</v>
      </c>
      <c r="B255" s="34" t="str">
        <f>'GF + UG Iteration 4'!B255</f>
        <v>UG</v>
      </c>
      <c r="C255" s="35">
        <f>'GF + UG Iteration 4'!C255</f>
        <v>15.8</v>
      </c>
      <c r="D255" s="36">
        <f>'GF + UG Iteration 4'!P$16*(C255^'GF + UG Iteration 4'!P$15)</f>
        <v>12.400193422717468</v>
      </c>
      <c r="E255" s="37">
        <f>'GF + UG Iteration 4'!E255</f>
        <v>2012</v>
      </c>
      <c r="F255" s="35">
        <f>'GF + UG Iteration 4'!F255</f>
        <v>12.3</v>
      </c>
      <c r="G255" s="36">
        <f>'GF + UG Iteration 4'!G255</f>
        <v>2.2692987542218521</v>
      </c>
      <c r="H255" s="38">
        <f>'GF + UG Iteration 4'!H255</f>
        <v>2014</v>
      </c>
      <c r="I255" s="35">
        <f t="shared" si="30"/>
        <v>28.1</v>
      </c>
      <c r="J255" s="36">
        <f t="shared" si="31"/>
        <v>14.66949217693932</v>
      </c>
      <c r="K255" s="38">
        <f t="shared" si="32"/>
        <v>2014</v>
      </c>
      <c r="M255" s="21">
        <f t="shared" si="33"/>
        <v>3.3357695763396999</v>
      </c>
      <c r="N255" s="21">
        <f t="shared" si="34"/>
        <v>2.6857699751235069</v>
      </c>
    </row>
    <row r="256" spans="1:14" x14ac:dyDescent="0.2">
      <c r="A256" s="33">
        <f>'GF + UG Iteration 4'!A256</f>
        <v>511</v>
      </c>
      <c r="B256" s="34" t="str">
        <f>'GF + UG Iteration 4'!B256</f>
        <v>UG</v>
      </c>
      <c r="C256" s="35">
        <f>'GF + UG Iteration 4'!C256</f>
        <v>13.95</v>
      </c>
      <c r="D256" s="36">
        <f>'GF + UG Iteration 4'!P$16*(C256^'GF + UG Iteration 4'!P$15)</f>
        <v>11.553094102449242</v>
      </c>
      <c r="E256" s="37">
        <f>'GF + UG Iteration 4'!E256</f>
        <v>2004</v>
      </c>
      <c r="F256" s="35">
        <f>'GF + UG Iteration 4'!F256</f>
        <v>4.0500000000000007</v>
      </c>
      <c r="G256" s="36">
        <f>'GF + UG Iteration 4'!G256</f>
        <v>0.42903557118440139</v>
      </c>
      <c r="H256" s="38">
        <f>'GF + UG Iteration 4'!H256</f>
        <v>2004</v>
      </c>
      <c r="I256" s="35">
        <f t="shared" si="30"/>
        <v>18</v>
      </c>
      <c r="J256" s="36">
        <f t="shared" si="31"/>
        <v>11.982129673633644</v>
      </c>
      <c r="K256" s="38">
        <f t="shared" si="32"/>
        <v>2004</v>
      </c>
      <c r="M256" s="21">
        <f t="shared" si="33"/>
        <v>2.8903717578961645</v>
      </c>
      <c r="N256" s="21">
        <f t="shared" si="34"/>
        <v>2.4834163459728633</v>
      </c>
    </row>
    <row r="257" spans="1:14" x14ac:dyDescent="0.2">
      <c r="A257" s="33">
        <f>'GF + UG Iteration 4'!A257</f>
        <v>1094</v>
      </c>
      <c r="B257" s="34" t="str">
        <f>'GF + UG Iteration 4'!B257</f>
        <v>UG</v>
      </c>
      <c r="C257" s="35">
        <f>'GF + UG Iteration 4'!C257</f>
        <v>18</v>
      </c>
      <c r="D257" s="36">
        <f>'GF + UG Iteration 4'!P$16*(C257^'GF + UG Iteration 4'!P$15)</f>
        <v>13.353576808583126</v>
      </c>
      <c r="E257" s="37">
        <f>'GF + UG Iteration 4'!E257</f>
        <v>2004</v>
      </c>
      <c r="F257" s="35">
        <f>'GF + UG Iteration 4'!F257</f>
        <v>6</v>
      </c>
      <c r="G257" s="36">
        <f>'GF + UG Iteration 4'!G257</f>
        <v>1.0646458657975095</v>
      </c>
      <c r="H257" s="38">
        <f>'GF + UG Iteration 4'!H257</f>
        <v>2011</v>
      </c>
      <c r="I257" s="35">
        <f t="shared" si="30"/>
        <v>24</v>
      </c>
      <c r="J257" s="36">
        <f t="shared" si="31"/>
        <v>14.418222674380635</v>
      </c>
      <c r="K257" s="38">
        <f t="shared" si="32"/>
        <v>2011</v>
      </c>
      <c r="M257" s="21">
        <f t="shared" si="33"/>
        <v>3.1780538303479458</v>
      </c>
      <c r="N257" s="21">
        <f t="shared" si="34"/>
        <v>2.6684928700565398</v>
      </c>
    </row>
    <row r="258" spans="1:14" x14ac:dyDescent="0.2">
      <c r="A258" s="33">
        <f>'GF + UG Iteration 4'!A258</f>
        <v>775</v>
      </c>
      <c r="B258" s="34" t="str">
        <f>'GF + UG Iteration 4'!B258</f>
        <v>UG</v>
      </c>
      <c r="C258" s="35">
        <f>'GF + UG Iteration 4'!C258</f>
        <v>8</v>
      </c>
      <c r="D258" s="36">
        <f>'GF + UG Iteration 4'!P$16*(C258^'GF + UG Iteration 4'!P$15)</f>
        <v>8.4233690860001413</v>
      </c>
      <c r="E258" s="37">
        <f>'GF + UG Iteration 4'!E258</f>
        <v>2002</v>
      </c>
      <c r="F258" s="35">
        <f>'GF + UG Iteration 4'!F258</f>
        <v>7</v>
      </c>
      <c r="G258" s="36">
        <f>'GF + UG Iteration 4'!G258</f>
        <v>1.4058744428987999</v>
      </c>
      <c r="H258" s="38">
        <f>'GF + UG Iteration 4'!H258</f>
        <v>2008</v>
      </c>
      <c r="I258" s="35">
        <f t="shared" si="30"/>
        <v>15</v>
      </c>
      <c r="J258" s="36">
        <f t="shared" si="31"/>
        <v>9.8292435288989406</v>
      </c>
      <c r="K258" s="38">
        <f t="shared" si="32"/>
        <v>2008</v>
      </c>
      <c r="M258" s="21">
        <f t="shared" si="33"/>
        <v>2.7080502011022101</v>
      </c>
      <c r="N258" s="21">
        <f t="shared" si="34"/>
        <v>2.285361975846786</v>
      </c>
    </row>
    <row r="259" spans="1:14" x14ac:dyDescent="0.2">
      <c r="A259" s="33">
        <f>'GF + UG Iteration 4'!A259</f>
        <v>1646</v>
      </c>
      <c r="B259" s="34" t="str">
        <f>'GF + UG Iteration 4'!B259</f>
        <v>UG</v>
      </c>
      <c r="C259" s="35">
        <f>'GF + UG Iteration 4'!C259</f>
        <v>2.88</v>
      </c>
      <c r="D259" s="36">
        <f>'GF + UG Iteration 4'!P$16*(C259^'GF + UG Iteration 4'!P$15)</f>
        <v>4.7138396566183065</v>
      </c>
      <c r="E259" s="37" t="str">
        <f>'GF + UG Iteration 4'!E259</f>
        <v>unknown</v>
      </c>
      <c r="F259" s="35">
        <f>'GF + UG Iteration 4'!F259</f>
        <v>3.5200000000000005</v>
      </c>
      <c r="G259" s="36">
        <f>'GF + UG Iteration 4'!G259</f>
        <v>6.6895680450065891</v>
      </c>
      <c r="H259" s="38">
        <f>'GF + UG Iteration 4'!H259</f>
        <v>2016</v>
      </c>
      <c r="I259" s="35">
        <f t="shared" si="30"/>
        <v>6.4</v>
      </c>
      <c r="J259" s="36">
        <f t="shared" si="31"/>
        <v>11.403407701624896</v>
      </c>
      <c r="K259" s="38">
        <f t="shared" si="32"/>
        <v>2016</v>
      </c>
      <c r="M259" s="21">
        <f t="shared" si="33"/>
        <v>1.8562979903656263</v>
      </c>
      <c r="N259" s="21">
        <f t="shared" si="34"/>
        <v>2.433912231927577</v>
      </c>
    </row>
    <row r="260" spans="1:14" x14ac:dyDescent="0.2">
      <c r="A260" s="33">
        <f>'GF + UG Iteration 4'!A260</f>
        <v>467</v>
      </c>
      <c r="B260" s="34" t="str">
        <f>'GF + UG Iteration 4'!B260</f>
        <v>UG</v>
      </c>
      <c r="C260" s="35">
        <f>'GF + UG Iteration 4'!C260</f>
        <v>5.7</v>
      </c>
      <c r="D260" s="36">
        <f>'GF + UG Iteration 4'!P$16*(C260^'GF + UG Iteration 4'!P$15)</f>
        <v>6.9476429974683374</v>
      </c>
      <c r="E260" s="37">
        <f>'GF + UG Iteration 4'!E260</f>
        <v>1996</v>
      </c>
      <c r="F260" s="35">
        <f>'GF + UG Iteration 4'!F260</f>
        <v>7.8999999999999995</v>
      </c>
      <c r="G260" s="36">
        <f>'GF + UG Iteration 4'!G260</f>
        <v>3.4855022233326953</v>
      </c>
      <c r="H260" s="38">
        <f>'GF + UG Iteration 4'!H260</f>
        <v>2005</v>
      </c>
      <c r="I260" s="35">
        <f t="shared" si="30"/>
        <v>13.6</v>
      </c>
      <c r="J260" s="36">
        <f t="shared" si="31"/>
        <v>10.433145220801032</v>
      </c>
      <c r="K260" s="38">
        <f t="shared" si="32"/>
        <v>2005</v>
      </c>
      <c r="M260" s="21">
        <f t="shared" si="33"/>
        <v>2.6100697927420065</v>
      </c>
      <c r="N260" s="21">
        <f t="shared" si="34"/>
        <v>2.3449877787602835</v>
      </c>
    </row>
    <row r="261" spans="1:14" x14ac:dyDescent="0.2">
      <c r="A261" s="33">
        <f>'GF + UG Iteration 4'!A261</f>
        <v>437</v>
      </c>
      <c r="B261" s="34" t="str">
        <f>'GF + UG Iteration 4'!B261</f>
        <v>UG</v>
      </c>
      <c r="C261" s="35">
        <f>'GF + UG Iteration 4'!C261</f>
        <v>23</v>
      </c>
      <c r="D261" s="36">
        <f>'GF + UG Iteration 4'!P$16*(C261^'GF + UG Iteration 4'!P$15)</f>
        <v>15.349210180836812</v>
      </c>
      <c r="E261" s="37">
        <f>'GF + UG Iteration 4'!E261</f>
        <v>2001</v>
      </c>
      <c r="F261" s="35">
        <f>'GF + UG Iteration 4'!F261</f>
        <v>17</v>
      </c>
      <c r="G261" s="36">
        <f>'GF + UG Iteration 4'!G261</f>
        <v>3.6313804067567292</v>
      </c>
      <c r="H261" s="38">
        <f>'GF + UG Iteration 4'!H261</f>
        <v>2008</v>
      </c>
      <c r="I261" s="35">
        <f t="shared" si="30"/>
        <v>40</v>
      </c>
      <c r="J261" s="36">
        <f t="shared" si="31"/>
        <v>18.980590587593539</v>
      </c>
      <c r="K261" s="38">
        <f t="shared" si="32"/>
        <v>2008</v>
      </c>
      <c r="M261" s="21">
        <f t="shared" si="33"/>
        <v>3.6888794541139363</v>
      </c>
      <c r="N261" s="21">
        <f t="shared" si="34"/>
        <v>2.9434169090092461</v>
      </c>
    </row>
    <row r="262" spans="1:14" x14ac:dyDescent="0.2">
      <c r="A262" s="33">
        <f>'GF + UG Iteration 4'!A262</f>
        <v>1233</v>
      </c>
      <c r="B262" s="34" t="str">
        <f>'GF + UG Iteration 4'!B262</f>
        <v>UG</v>
      </c>
      <c r="C262" s="35">
        <f>'GF + UG Iteration 4'!C262</f>
        <v>40</v>
      </c>
      <c r="D262" s="36">
        <f>'GF + UG Iteration 4'!P$16*(C262^'GF + UG Iteration 4'!P$15)</f>
        <v>21.020541732800144</v>
      </c>
      <c r="E262" s="37">
        <f>'GF + UG Iteration 4'!E262</f>
        <v>2001</v>
      </c>
      <c r="F262" s="35">
        <f>'GF + UG Iteration 4'!F262</f>
        <v>10</v>
      </c>
      <c r="G262" s="36">
        <f>'GF + UG Iteration 4'!G262</f>
        <v>3.8904117673360803</v>
      </c>
      <c r="H262" s="38">
        <f>'GF + UG Iteration 4'!H262</f>
        <v>2011</v>
      </c>
      <c r="I262" s="35">
        <f t="shared" si="30"/>
        <v>50</v>
      </c>
      <c r="J262" s="36">
        <f t="shared" si="31"/>
        <v>24.910953500136223</v>
      </c>
      <c r="K262" s="38">
        <f t="shared" si="32"/>
        <v>2011</v>
      </c>
      <c r="M262" s="21">
        <f t="shared" si="33"/>
        <v>3.912023005428146</v>
      </c>
      <c r="N262" s="21">
        <f t="shared" si="34"/>
        <v>3.2153076063470616</v>
      </c>
    </row>
    <row r="263" spans="1:14" x14ac:dyDescent="0.2">
      <c r="A263" s="33">
        <f>'GF + UG Iteration 4'!A263</f>
        <v>361</v>
      </c>
      <c r="B263" s="34" t="str">
        <f>'GF + UG Iteration 4'!B263</f>
        <v>UG</v>
      </c>
      <c r="C263" s="35">
        <f>'GF + UG Iteration 4'!C263</f>
        <v>12.22</v>
      </c>
      <c r="D263" s="36">
        <f>'GF + UG Iteration 4'!P$16*(C263^'GF + UG Iteration 4'!P$15)</f>
        <v>10.715805748502106</v>
      </c>
      <c r="E263" s="37">
        <f>'GF + UG Iteration 4'!E263</f>
        <v>1986</v>
      </c>
      <c r="F263" s="35">
        <f>'GF + UG Iteration 4'!F263</f>
        <v>12.999999999999998</v>
      </c>
      <c r="G263" s="36">
        <f>'GF + UG Iteration 4'!G263</f>
        <v>1.1719780512644304</v>
      </c>
      <c r="H263" s="38">
        <f>'GF + UG Iteration 4'!H263</f>
        <v>2002</v>
      </c>
      <c r="I263" s="35">
        <f t="shared" si="30"/>
        <v>25.22</v>
      </c>
      <c r="J263" s="36">
        <f t="shared" si="31"/>
        <v>11.887783799766536</v>
      </c>
      <c r="K263" s="38">
        <f t="shared" si="32"/>
        <v>2002</v>
      </c>
      <c r="M263" s="21">
        <f t="shared" si="33"/>
        <v>3.2276373305367736</v>
      </c>
      <c r="N263" s="21">
        <f t="shared" si="34"/>
        <v>2.4755113013839294</v>
      </c>
    </row>
    <row r="264" spans="1:14" x14ac:dyDescent="0.2">
      <c r="A264" s="33">
        <f>'GF + UG Iteration 4'!A264</f>
        <v>645</v>
      </c>
      <c r="B264" s="34" t="str">
        <f>'GF + UG Iteration 4'!B264</f>
        <v>UG</v>
      </c>
      <c r="C264" s="35">
        <f>'GF + UG Iteration 4'!C264</f>
        <v>25.22</v>
      </c>
      <c r="D264" s="36">
        <f>'GF + UG Iteration 4'!P$16*(C264^'GF + UG Iteration 4'!P$15)</f>
        <v>16.174245184268216</v>
      </c>
      <c r="E264" s="37">
        <f>'GF + UG Iteration 4'!E264</f>
        <v>1986</v>
      </c>
      <c r="F264" s="35">
        <f>'GF + UG Iteration 4'!F264</f>
        <v>1</v>
      </c>
      <c r="G264" s="36">
        <f>'GF + UG Iteration 4'!G264</f>
        <v>0.22667756309168191</v>
      </c>
      <c r="H264" s="38">
        <f>'GF + UG Iteration 4'!H264</f>
        <v>2006</v>
      </c>
      <c r="I264" s="35">
        <f t="shared" si="30"/>
        <v>26.22</v>
      </c>
      <c r="J264" s="36">
        <f t="shared" si="31"/>
        <v>16.400922747359896</v>
      </c>
      <c r="K264" s="38">
        <f t="shared" si="32"/>
        <v>2006</v>
      </c>
      <c r="M264" s="21">
        <f t="shared" si="33"/>
        <v>3.2665224783355535</v>
      </c>
      <c r="N264" s="21">
        <f t="shared" si="34"/>
        <v>2.7973375983302526</v>
      </c>
    </row>
    <row r="265" spans="1:14" x14ac:dyDescent="0.2">
      <c r="A265" s="33">
        <f>'GF + UG Iteration 4'!A265</f>
        <v>720</v>
      </c>
      <c r="B265" s="34" t="str">
        <f>'GF + UG Iteration 4'!B265</f>
        <v>UG</v>
      </c>
      <c r="C265" s="35">
        <f>'GF + UG Iteration 4'!C265</f>
        <v>5.29</v>
      </c>
      <c r="D265" s="36">
        <f>'GF + UG Iteration 4'!P$16*(C265^'GF + UG Iteration 4'!P$15)</f>
        <v>6.6591187600389228</v>
      </c>
      <c r="E265" s="37">
        <f>'GF + UG Iteration 4'!E265</f>
        <v>1974</v>
      </c>
      <c r="F265" s="35">
        <f>'GF + UG Iteration 4'!F265</f>
        <v>3.9099999999999993</v>
      </c>
      <c r="G265" s="36">
        <f>'GF + UG Iteration 4'!G265</f>
        <v>3.214674226156069</v>
      </c>
      <c r="H265" s="38">
        <f>'GF + UG Iteration 4'!H265</f>
        <v>2009</v>
      </c>
      <c r="I265" s="35">
        <f t="shared" si="30"/>
        <v>9.1999999999999993</v>
      </c>
      <c r="J265" s="36">
        <f t="shared" si="31"/>
        <v>9.8737929861949922</v>
      </c>
      <c r="K265" s="38">
        <f t="shared" si="32"/>
        <v>2009</v>
      </c>
      <c r="M265" s="21">
        <f t="shared" si="33"/>
        <v>2.2192034840549946</v>
      </c>
      <c r="N265" s="21">
        <f t="shared" si="34"/>
        <v>2.289884074070506</v>
      </c>
    </row>
    <row r="266" spans="1:14" x14ac:dyDescent="0.2">
      <c r="A266" s="33">
        <f>'GF + UG Iteration 4'!A266</f>
        <v>1554</v>
      </c>
      <c r="B266" s="34" t="str">
        <f>'GF + UG Iteration 4'!B266</f>
        <v>UG</v>
      </c>
      <c r="C266" s="35">
        <f>'GF + UG Iteration 4'!C266</f>
        <v>18</v>
      </c>
      <c r="D266" s="36">
        <f>'GF + UG Iteration 4'!P$16*(C266^'GF + UG Iteration 4'!P$15)</f>
        <v>13.353576808583126</v>
      </c>
      <c r="E266" s="37">
        <f>'GF + UG Iteration 4'!E266</f>
        <v>2013</v>
      </c>
      <c r="F266" s="35">
        <f>'GF + UG Iteration 4'!F266</f>
        <v>13</v>
      </c>
      <c r="G266" s="36">
        <f>'GF + UG Iteration 4'!G266</f>
        <v>4.0040929633677633</v>
      </c>
      <c r="H266" s="38">
        <f>'GF + UG Iteration 4'!H266</f>
        <v>2015</v>
      </c>
      <c r="I266" s="35">
        <f t="shared" si="30"/>
        <v>31</v>
      </c>
      <c r="J266" s="36">
        <f t="shared" si="31"/>
        <v>17.357669771950889</v>
      </c>
      <c r="K266" s="38">
        <f t="shared" si="32"/>
        <v>2015</v>
      </c>
      <c r="M266" s="21">
        <f t="shared" si="33"/>
        <v>3.4339872044851463</v>
      </c>
      <c r="N266" s="21">
        <f t="shared" si="34"/>
        <v>2.854034470496257</v>
      </c>
    </row>
    <row r="267" spans="1:14" x14ac:dyDescent="0.2">
      <c r="A267" s="33">
        <f>'GF + UG Iteration 4'!A267</f>
        <v>1570</v>
      </c>
      <c r="B267" s="34" t="str">
        <f>'GF + UG Iteration 4'!B267</f>
        <v>UG</v>
      </c>
      <c r="C267" s="35">
        <f>'GF + UG Iteration 4'!C267</f>
        <v>12</v>
      </c>
      <c r="D267" s="36">
        <f>'GF + UG Iteration 4'!P$16*(C267^'GF + UG Iteration 4'!P$15)</f>
        <v>10.60575815663112</v>
      </c>
      <c r="E267" s="37">
        <f>'GF + UG Iteration 4'!E267</f>
        <v>0</v>
      </c>
      <c r="F267" s="35">
        <f>'GF + UG Iteration 4'!F267</f>
        <v>7</v>
      </c>
      <c r="G267" s="36">
        <f>'GF + UG Iteration 4'!G267</f>
        <v>5.7128729653456798</v>
      </c>
      <c r="H267" s="38">
        <f>'GF + UG Iteration 4'!H267</f>
        <v>2016</v>
      </c>
      <c r="I267" s="35">
        <f t="shared" si="30"/>
        <v>19</v>
      </c>
      <c r="J267" s="36">
        <f t="shared" si="31"/>
        <v>16.3186311219768</v>
      </c>
      <c r="K267" s="38">
        <f t="shared" si="32"/>
        <v>2016</v>
      </c>
      <c r="M267" s="21">
        <f t="shared" si="33"/>
        <v>2.9444389791664403</v>
      </c>
      <c r="N267" s="21">
        <f t="shared" si="34"/>
        <v>2.7923074686882079</v>
      </c>
    </row>
    <row r="268" spans="1:14" x14ac:dyDescent="0.2">
      <c r="A268" s="33">
        <f>'GF + UG Iteration 4'!A268</f>
        <v>1280</v>
      </c>
      <c r="B268" s="34" t="str">
        <f>'GF + UG Iteration 4'!B268</f>
        <v>UG</v>
      </c>
      <c r="C268" s="35">
        <f>'GF + UG Iteration 4'!C268</f>
        <v>10</v>
      </c>
      <c r="D268" s="36">
        <f>'GF + UG Iteration 4'!P$16*(C268^'GF + UG Iteration 4'!P$15)</f>
        <v>9.5620400828909595</v>
      </c>
      <c r="E268" s="37">
        <f>'GF + UG Iteration 4'!E268</f>
        <v>0</v>
      </c>
      <c r="F268" s="35">
        <f>'GF + UG Iteration 4'!F268</f>
        <v>10</v>
      </c>
      <c r="G268" s="36">
        <f>'GF + UG Iteration 4'!G268</f>
        <v>3.9567117678399111</v>
      </c>
      <c r="H268" s="38">
        <f>'GF + UG Iteration 4'!H268</f>
        <v>2013</v>
      </c>
      <c r="I268" s="35">
        <f t="shared" si="30"/>
        <v>20</v>
      </c>
      <c r="J268" s="36">
        <f t="shared" si="31"/>
        <v>13.518751850730871</v>
      </c>
      <c r="K268" s="38">
        <f t="shared" si="32"/>
        <v>2013</v>
      </c>
      <c r="M268" s="21">
        <f t="shared" si="33"/>
        <v>2.9957322735539909</v>
      </c>
      <c r="N268" s="21">
        <f t="shared" si="34"/>
        <v>2.6040777476202579</v>
      </c>
    </row>
    <row r="269" spans="1:14" x14ac:dyDescent="0.2">
      <c r="A269" s="33">
        <f>'GF + UG Iteration 4'!A269</f>
        <v>659</v>
      </c>
      <c r="B269" s="34" t="str">
        <f>'GF + UG Iteration 4'!B269</f>
        <v>UG</v>
      </c>
      <c r="C269" s="35">
        <f>'GF + UG Iteration 4'!C269</f>
        <v>51</v>
      </c>
      <c r="D269" s="36">
        <f>'GF + UG Iteration 4'!P$16*(C269^'GF + UG Iteration 4'!P$15)</f>
        <v>24.132109764455432</v>
      </c>
      <c r="E269" s="37">
        <f>'GF + UG Iteration 4'!E269</f>
        <v>1974</v>
      </c>
      <c r="F269" s="35">
        <f>'GF + UG Iteration 4'!F269</f>
        <v>7</v>
      </c>
      <c r="G269" s="36">
        <f>'GF + UG Iteration 4'!G269</f>
        <v>0.19038861907506671</v>
      </c>
      <c r="H269" s="38">
        <f>'GF + UG Iteration 4'!H269</f>
        <v>2006</v>
      </c>
      <c r="I269" s="35">
        <f t="shared" si="30"/>
        <v>58</v>
      </c>
      <c r="J269" s="36">
        <f t="shared" si="31"/>
        <v>24.322498383530498</v>
      </c>
      <c r="K269" s="38">
        <f t="shared" si="32"/>
        <v>2006</v>
      </c>
      <c r="M269" s="21">
        <f t="shared" si="33"/>
        <v>4.0604430105464191</v>
      </c>
      <c r="N269" s="21">
        <f t="shared" si="34"/>
        <v>3.1914017814076017</v>
      </c>
    </row>
    <row r="270" spans="1:14" x14ac:dyDescent="0.2">
      <c r="A270" s="33">
        <f>'GF + UG Iteration 4'!A270</f>
        <v>1240</v>
      </c>
      <c r="B270" s="34" t="str">
        <f>'GF + UG Iteration 4'!B270</f>
        <v>UG</v>
      </c>
      <c r="C270" s="35">
        <f>'GF + UG Iteration 4'!C270</f>
        <v>9</v>
      </c>
      <c r="D270" s="36">
        <f>'GF + UG Iteration 4'!P$16*(C270^'GF + UG Iteration 4'!P$15)</f>
        <v>9.0063938876127629</v>
      </c>
      <c r="E270" s="37">
        <f>'GF + UG Iteration 4'!E270</f>
        <v>0</v>
      </c>
      <c r="F270" s="35">
        <f>'GF + UG Iteration 4'!F270</f>
        <v>12</v>
      </c>
      <c r="G270" s="36">
        <f>'GF + UG Iteration 4'!G270</f>
        <v>2.4762389627807444</v>
      </c>
      <c r="H270" s="38">
        <f>'GF + UG Iteration 4'!H270</f>
        <v>2013</v>
      </c>
      <c r="I270" s="35">
        <f t="shared" si="30"/>
        <v>21</v>
      </c>
      <c r="J270" s="36">
        <f t="shared" si="31"/>
        <v>11.482632850393507</v>
      </c>
      <c r="K270" s="38">
        <f t="shared" si="32"/>
        <v>2013</v>
      </c>
      <c r="M270" s="21">
        <f t="shared" si="33"/>
        <v>3.044522437723423</v>
      </c>
      <c r="N270" s="21">
        <f t="shared" si="34"/>
        <v>2.440835706965252</v>
      </c>
    </row>
    <row r="271" spans="1:14" x14ac:dyDescent="0.2">
      <c r="A271" s="33">
        <f>'GF + UG Iteration 4'!A271</f>
        <v>317</v>
      </c>
      <c r="B271" s="34" t="str">
        <f>'GF + UG Iteration 4'!B271</f>
        <v>UG</v>
      </c>
      <c r="C271" s="35">
        <f>'GF + UG Iteration 4'!C271</f>
        <v>26.67</v>
      </c>
      <c r="D271" s="36">
        <f>'GF + UG Iteration 4'!P$16*(C271^'GF + UG Iteration 4'!P$15)</f>
        <v>16.69624693573402</v>
      </c>
      <c r="E271" s="37">
        <f>'GF + UG Iteration 4'!E271</f>
        <v>1978</v>
      </c>
      <c r="F271" s="35">
        <f>'GF + UG Iteration 4'!F271</f>
        <v>8.4600000000000009</v>
      </c>
      <c r="G271" s="36">
        <f>'GF + UG Iteration 4'!G271</f>
        <v>3.7336154837609361</v>
      </c>
      <c r="H271" s="38">
        <f>'GF + UG Iteration 4'!H271</f>
        <v>2002</v>
      </c>
      <c r="I271" s="35">
        <f t="shared" si="30"/>
        <v>35.130000000000003</v>
      </c>
      <c r="J271" s="36">
        <f t="shared" si="31"/>
        <v>20.429862419494956</v>
      </c>
      <c r="K271" s="38">
        <f t="shared" si="32"/>
        <v>2002</v>
      </c>
      <c r="M271" s="21">
        <f t="shared" si="33"/>
        <v>3.5590554662777358</v>
      </c>
      <c r="N271" s="21">
        <f t="shared" si="34"/>
        <v>3.0169976745677443</v>
      </c>
    </row>
    <row r="272" spans="1:14" x14ac:dyDescent="0.2">
      <c r="A272" s="33">
        <f>'GF + UG Iteration 4'!A272</f>
        <v>1510</v>
      </c>
      <c r="B272" s="34" t="str">
        <f>'GF + UG Iteration 4'!B272</f>
        <v>UG</v>
      </c>
      <c r="C272" s="35">
        <f>'GF + UG Iteration 4'!C272</f>
        <v>35.130000000000003</v>
      </c>
      <c r="D272" s="36">
        <f>'GF + UG Iteration 4'!P$16*(C272^'GF + UG Iteration 4'!P$15)</f>
        <v>19.525738754422694</v>
      </c>
      <c r="E272" s="37">
        <f>'GF + UG Iteration 4'!E272</f>
        <v>1978</v>
      </c>
      <c r="F272" s="35">
        <f>'GF + UG Iteration 4'!F272</f>
        <v>0</v>
      </c>
      <c r="G272" s="36">
        <f>'GF + UG Iteration 4'!G272</f>
        <v>1.0378442790997116</v>
      </c>
      <c r="H272" s="38">
        <f>'GF + UG Iteration 4'!H272</f>
        <v>2014</v>
      </c>
      <c r="I272" s="35">
        <f t="shared" si="30"/>
        <v>35.130000000000003</v>
      </c>
      <c r="J272" s="36">
        <f t="shared" si="31"/>
        <v>20.563583033522406</v>
      </c>
      <c r="K272" s="38">
        <f t="shared" si="32"/>
        <v>2014</v>
      </c>
      <c r="M272" s="21">
        <f t="shared" si="33"/>
        <v>3.5590554662777358</v>
      </c>
      <c r="N272" s="21">
        <f t="shared" si="34"/>
        <v>3.023521697461836</v>
      </c>
    </row>
    <row r="273" spans="1:14" x14ac:dyDescent="0.2">
      <c r="A273" s="33">
        <f>'GF + UG Iteration 4'!A273</f>
        <v>1678</v>
      </c>
      <c r="B273" s="34" t="str">
        <f>'GF + UG Iteration 4'!B273</f>
        <v>UG</v>
      </c>
      <c r="C273" s="35">
        <f>'GF + UG Iteration 4'!C273</f>
        <v>71.19</v>
      </c>
      <c r="D273" s="36">
        <f>'GF + UG Iteration 4'!P$16*(C273^'GF + UG Iteration 4'!P$15)</f>
        <v>29.167491313739657</v>
      </c>
      <c r="E273" s="37">
        <f>'GF + UG Iteration 4'!E273</f>
        <v>0</v>
      </c>
      <c r="F273" s="35">
        <f>'GF + UG Iteration 4'!F273</f>
        <v>3.8100000000000023</v>
      </c>
      <c r="G273" s="36">
        <f>'GF + UG Iteration 4'!G273</f>
        <v>0.1876880715541229</v>
      </c>
      <c r="H273" s="38">
        <f>'GF + UG Iteration 4'!H273</f>
        <v>2015</v>
      </c>
      <c r="I273" s="35">
        <f t="shared" si="30"/>
        <v>75</v>
      </c>
      <c r="J273" s="36">
        <f t="shared" si="31"/>
        <v>29.355179385293781</v>
      </c>
      <c r="K273" s="38">
        <f t="shared" si="32"/>
        <v>2015</v>
      </c>
      <c r="M273" s="21">
        <f t="shared" si="33"/>
        <v>4.3174881135363101</v>
      </c>
      <c r="N273" s="21">
        <f t="shared" si="34"/>
        <v>3.379469000391492</v>
      </c>
    </row>
    <row r="274" spans="1:14" x14ac:dyDescent="0.2">
      <c r="A274" s="33">
        <f>'GF + UG Iteration 4'!A274</f>
        <v>409</v>
      </c>
      <c r="B274" s="34" t="str">
        <f>'GF + UG Iteration 4'!B274</f>
        <v>UG</v>
      </c>
      <c r="C274" s="35">
        <f>'GF + UG Iteration 4'!C274</f>
        <v>50.9</v>
      </c>
      <c r="D274" s="36">
        <f>'GF + UG Iteration 4'!P$16*(C274^'GF + UG Iteration 4'!P$15)</f>
        <v>24.105212138159718</v>
      </c>
      <c r="E274" s="37" t="str">
        <f>'GF + UG Iteration 4'!E274</f>
        <v>unknown</v>
      </c>
      <c r="F274" s="35">
        <f>'GF + UG Iteration 4'!F274</f>
        <v>0</v>
      </c>
      <c r="G274" s="36">
        <f>'GF + UG Iteration 4'!G274</f>
        <v>6.9500275644125207</v>
      </c>
      <c r="H274" s="38">
        <f>'GF + UG Iteration 4'!H274</f>
        <v>2004</v>
      </c>
      <c r="I274" s="35">
        <f t="shared" si="30"/>
        <v>50.9</v>
      </c>
      <c r="J274" s="36">
        <f t="shared" si="31"/>
        <v>31.055239702572237</v>
      </c>
      <c r="K274" s="38">
        <f t="shared" si="32"/>
        <v>2004</v>
      </c>
      <c r="M274" s="21">
        <f t="shared" si="33"/>
        <v>3.929862923556477</v>
      </c>
      <c r="N274" s="21">
        <f t="shared" si="34"/>
        <v>3.4357675446281446</v>
      </c>
    </row>
    <row r="275" spans="1:14" x14ac:dyDescent="0.2">
      <c r="A275" s="33">
        <f>'GF + UG Iteration 4'!A275</f>
        <v>620</v>
      </c>
      <c r="B275" s="34" t="str">
        <f>'GF + UG Iteration 4'!B275</f>
        <v>UG</v>
      </c>
      <c r="C275" s="35">
        <f>'GF + UG Iteration 4'!C275</f>
        <v>66.040000000000006</v>
      </c>
      <c r="D275" s="36">
        <f>'GF + UG Iteration 4'!P$16*(C275^'GF + UG Iteration 4'!P$15)</f>
        <v>27.949164173955285</v>
      </c>
      <c r="E275" s="37" t="str">
        <f>'GF + UG Iteration 4'!E275</f>
        <v>unknown</v>
      </c>
      <c r="F275" s="35">
        <f>'GF + UG Iteration 4'!F275</f>
        <v>1</v>
      </c>
      <c r="G275" s="36">
        <f>'GF + UG Iteration 4'!G275</f>
        <v>5.2327101351069411E-2</v>
      </c>
      <c r="H275" s="38">
        <f>'GF + UG Iteration 4'!H275</f>
        <v>2006</v>
      </c>
      <c r="I275" s="35">
        <f t="shared" si="30"/>
        <v>67.040000000000006</v>
      </c>
      <c r="J275" s="36">
        <f t="shared" si="31"/>
        <v>28.001491275306353</v>
      </c>
      <c r="K275" s="38">
        <f t="shared" si="32"/>
        <v>2006</v>
      </c>
      <c r="M275" s="21">
        <f t="shared" si="33"/>
        <v>4.2052894561738281</v>
      </c>
      <c r="N275" s="21">
        <f t="shared" si="34"/>
        <v>3.3322577685893191</v>
      </c>
    </row>
    <row r="276" spans="1:14" x14ac:dyDescent="0.2">
      <c r="A276" s="33">
        <f>'GF + UG Iteration 4'!A276</f>
        <v>1085</v>
      </c>
      <c r="B276" s="34" t="str">
        <f>'GF + UG Iteration 4'!B276</f>
        <v>UG</v>
      </c>
      <c r="C276" s="35">
        <f>'GF + UG Iteration 4'!C276</f>
        <v>67.040000000000006</v>
      </c>
      <c r="D276" s="36">
        <f>'GF + UG Iteration 4'!P$16*(C276^'GF + UG Iteration 4'!P$15)</f>
        <v>28.188856813702845</v>
      </c>
      <c r="E276" s="37" t="str">
        <f>'GF + UG Iteration 4'!E276</f>
        <v>unknown</v>
      </c>
      <c r="F276" s="35">
        <f>'GF + UG Iteration 4'!F276</f>
        <v>2</v>
      </c>
      <c r="G276" s="36">
        <f>'GF + UG Iteration 4'!G276</f>
        <v>7.9312358901564406E-2</v>
      </c>
      <c r="H276" s="38">
        <f>'GF + UG Iteration 4'!H276</f>
        <v>2010</v>
      </c>
      <c r="I276" s="35">
        <f t="shared" si="30"/>
        <v>69.040000000000006</v>
      </c>
      <c r="J276" s="36">
        <f t="shared" si="31"/>
        <v>28.268169172604409</v>
      </c>
      <c r="K276" s="38">
        <f t="shared" si="32"/>
        <v>2010</v>
      </c>
      <c r="M276" s="21">
        <f t="shared" si="33"/>
        <v>4.234686046775173</v>
      </c>
      <c r="N276" s="21">
        <f t="shared" si="34"/>
        <v>3.3417364074082809</v>
      </c>
    </row>
    <row r="277" spans="1:14" x14ac:dyDescent="0.2">
      <c r="A277" s="33">
        <f>'GF + UG Iteration 4'!A277</f>
        <v>589</v>
      </c>
      <c r="B277" s="34" t="str">
        <f>'GF + UG Iteration 4'!B277</f>
        <v>UG</v>
      </c>
      <c r="C277" s="35">
        <f>'GF + UG Iteration 4'!C277</f>
        <v>36.963000000000001</v>
      </c>
      <c r="D277" s="36">
        <f>'GF + UG Iteration 4'!P$16*(C277^'GF + UG Iteration 4'!P$15)</f>
        <v>20.098265754431701</v>
      </c>
      <c r="E277" s="37">
        <f>'GF + UG Iteration 4'!E277</f>
        <v>1974</v>
      </c>
      <c r="F277" s="35">
        <f>'GF + UG Iteration 4'!F277</f>
        <v>0</v>
      </c>
      <c r="G277" s="36">
        <f>'GF + UG Iteration 4'!G277</f>
        <v>3.2007376892660457E-2</v>
      </c>
      <c r="H277" s="38">
        <f>'GF + UG Iteration 4'!H277</f>
        <v>2005</v>
      </c>
      <c r="I277" s="35">
        <f t="shared" si="30"/>
        <v>36.963000000000001</v>
      </c>
      <c r="J277" s="36">
        <f t="shared" si="31"/>
        <v>20.130273131324362</v>
      </c>
      <c r="K277" s="38">
        <f t="shared" si="32"/>
        <v>2005</v>
      </c>
      <c r="M277" s="21">
        <f t="shared" si="33"/>
        <v>3.609917412310641</v>
      </c>
      <c r="N277" s="21">
        <f t="shared" si="34"/>
        <v>3.002224807931452</v>
      </c>
    </row>
    <row r="278" spans="1:14" x14ac:dyDescent="0.2">
      <c r="A278" s="33">
        <f>'GF + UG Iteration 4'!A278</f>
        <v>836</v>
      </c>
      <c r="B278" s="34" t="str">
        <f>'GF + UG Iteration 4'!B278</f>
        <v>UG</v>
      </c>
      <c r="C278" s="35">
        <f>'GF + UG Iteration 4'!C278</f>
        <v>33.963000000000001</v>
      </c>
      <c r="D278" s="36">
        <f>'GF + UG Iteration 4'!P$16*(C278^'GF + UG Iteration 4'!P$15)</f>
        <v>19.154495368506268</v>
      </c>
      <c r="E278" s="37">
        <f>'GF + UG Iteration 4'!E278</f>
        <v>1974</v>
      </c>
      <c r="F278" s="35">
        <f>'GF + UG Iteration 4'!F278</f>
        <v>10.036999999999999</v>
      </c>
      <c r="G278" s="36">
        <f>'GF + UG Iteration 4'!G278</f>
        <v>0.20824846319974696</v>
      </c>
      <c r="H278" s="38">
        <f>'GF + UG Iteration 4'!H278</f>
        <v>2008</v>
      </c>
      <c r="I278" s="35">
        <f t="shared" si="30"/>
        <v>44</v>
      </c>
      <c r="J278" s="36">
        <f t="shared" si="31"/>
        <v>19.362743831706016</v>
      </c>
      <c r="K278" s="38">
        <f t="shared" si="32"/>
        <v>2008</v>
      </c>
      <c r="M278" s="21">
        <f t="shared" si="33"/>
        <v>3.784189633918261</v>
      </c>
      <c r="N278" s="21">
        <f t="shared" si="34"/>
        <v>2.9633507986504495</v>
      </c>
    </row>
    <row r="279" spans="1:14" x14ac:dyDescent="0.2">
      <c r="A279" s="33">
        <f>'GF + UG Iteration 4'!A279</f>
        <v>1417</v>
      </c>
      <c r="B279" s="34" t="str">
        <f>'GF + UG Iteration 4'!B279</f>
        <v>UG</v>
      </c>
      <c r="C279" s="35">
        <f>'GF + UG Iteration 4'!C279</f>
        <v>53.176000000000002</v>
      </c>
      <c r="D279" s="36">
        <f>'GF + UG Iteration 4'!P$16*(C279^'GF + UG Iteration 4'!P$15)</f>
        <v>24.711871976721412</v>
      </c>
      <c r="E279" s="37">
        <f>'GF + UG Iteration 4'!E279</f>
        <v>0</v>
      </c>
      <c r="F279" s="35">
        <f>'GF + UG Iteration 4'!F279</f>
        <v>2.8239999999999981</v>
      </c>
      <c r="G279" s="36">
        <f>'GF + UG Iteration 4'!G279</f>
        <v>0.36631755287404399</v>
      </c>
      <c r="H279" s="38">
        <f>'GF + UG Iteration 4'!H279</f>
        <v>2013</v>
      </c>
      <c r="I279" s="35">
        <f t="shared" si="30"/>
        <v>56</v>
      </c>
      <c r="J279" s="36">
        <f t="shared" si="31"/>
        <v>25.078189529595456</v>
      </c>
      <c r="K279" s="38">
        <f t="shared" si="32"/>
        <v>2013</v>
      </c>
      <c r="M279" s="21">
        <f t="shared" si="33"/>
        <v>4.0253516907351496</v>
      </c>
      <c r="N279" s="21">
        <f t="shared" si="34"/>
        <v>3.221998525343881</v>
      </c>
    </row>
    <row r="280" spans="1:14" x14ac:dyDescent="0.2">
      <c r="A280" s="33">
        <f>'GF + UG Iteration 4'!A280</f>
        <v>1575</v>
      </c>
      <c r="B280" s="34" t="str">
        <f>'GF + UG Iteration 4'!B280</f>
        <v>UG</v>
      </c>
      <c r="C280" s="35">
        <f>'GF + UG Iteration 4'!C280</f>
        <v>107.8</v>
      </c>
      <c r="D280" s="36">
        <f>'GF + UG Iteration 4'!P$16*(C280^'GF + UG Iteration 4'!P$15)</f>
        <v>36.922358989737162</v>
      </c>
      <c r="E280" s="37">
        <f>'GF + UG Iteration 4'!E280</f>
        <v>0</v>
      </c>
      <c r="F280" s="35">
        <f>'GF + UG Iteration 4'!F280</f>
        <v>2.2000000000000028</v>
      </c>
      <c r="G280" s="36">
        <f>'GF + UG Iteration 4'!G280</f>
        <v>8.4606138058298655E-2</v>
      </c>
      <c r="H280" s="38">
        <f>'GF + UG Iteration 4'!H280</f>
        <v>2014</v>
      </c>
      <c r="I280" s="35">
        <f t="shared" si="30"/>
        <v>110</v>
      </c>
      <c r="J280" s="36">
        <f t="shared" si="31"/>
        <v>37.006965127795461</v>
      </c>
      <c r="K280" s="38">
        <f t="shared" si="32"/>
        <v>2014</v>
      </c>
      <c r="M280" s="21">
        <f t="shared" si="33"/>
        <v>4.7004803657924166</v>
      </c>
      <c r="N280" s="21">
        <f t="shared" si="34"/>
        <v>3.6111061416252128</v>
      </c>
    </row>
    <row r="281" spans="1:14" x14ac:dyDescent="0.2">
      <c r="A281" s="33">
        <f>'GF + UG Iteration 4'!A281</f>
        <v>1480</v>
      </c>
      <c r="B281" s="34" t="str">
        <f>'GF + UG Iteration 4'!B281</f>
        <v>UG</v>
      </c>
      <c r="C281" s="35">
        <f>'GF + UG Iteration 4'!C281</f>
        <v>92</v>
      </c>
      <c r="D281" s="36">
        <f>'GF + UG Iteration 4'!P$16*(C281^'GF + UG Iteration 4'!P$15)</f>
        <v>33.742664784380665</v>
      </c>
      <c r="E281" s="37">
        <f>'GF + UG Iteration 4'!E281</f>
        <v>0</v>
      </c>
      <c r="F281" s="35">
        <f>'GF + UG Iteration 4'!F281</f>
        <v>9</v>
      </c>
      <c r="G281" s="36">
        <f>'GF + UG Iteration 4'!G281</f>
        <v>1.4186292000498641</v>
      </c>
      <c r="H281" s="38">
        <f>'GF + UG Iteration 4'!H281</f>
        <v>2015</v>
      </c>
      <c r="I281" s="35">
        <f t="shared" si="30"/>
        <v>101</v>
      </c>
      <c r="J281" s="36">
        <f t="shared" si="31"/>
        <v>35.161293984430529</v>
      </c>
      <c r="K281" s="38">
        <f t="shared" si="32"/>
        <v>2015</v>
      </c>
      <c r="M281" s="21">
        <f t="shared" si="33"/>
        <v>4.6151205168412597</v>
      </c>
      <c r="N281" s="21">
        <f t="shared" si="34"/>
        <v>3.5599458748823922</v>
      </c>
    </row>
    <row r="282" spans="1:14" x14ac:dyDescent="0.2">
      <c r="A282" s="33">
        <f>'GF + UG Iteration 4'!A282</f>
        <v>1644</v>
      </c>
      <c r="B282" s="34" t="str">
        <f>'GF + UG Iteration 4'!B282</f>
        <v>UG</v>
      </c>
      <c r="C282" s="35">
        <f>'GF + UG Iteration 4'!C282</f>
        <v>25</v>
      </c>
      <c r="D282" s="36">
        <f>'GF + UG Iteration 4'!P$16*(C282^'GF + UG Iteration 4'!P$15)</f>
        <v>16.093924565877725</v>
      </c>
      <c r="E282" s="37">
        <f>'GF + UG Iteration 4'!E282</f>
        <v>0</v>
      </c>
      <c r="F282" s="35">
        <f>'GF + UG Iteration 4'!F282</f>
        <v>14</v>
      </c>
      <c r="G282" s="36">
        <f>'GF + UG Iteration 4'!G282</f>
        <v>6.4881768587089867</v>
      </c>
      <c r="H282" s="38">
        <f>'GF + UG Iteration 4'!H282</f>
        <v>2016</v>
      </c>
      <c r="I282" s="35">
        <f t="shared" si="30"/>
        <v>39</v>
      </c>
      <c r="J282" s="36">
        <f t="shared" si="31"/>
        <v>22.58210142458671</v>
      </c>
      <c r="K282" s="38">
        <f t="shared" si="32"/>
        <v>2016</v>
      </c>
      <c r="M282" s="21">
        <f t="shared" si="33"/>
        <v>3.6635616461296463</v>
      </c>
      <c r="N282" s="21">
        <f t="shared" si="34"/>
        <v>3.1171576201390292</v>
      </c>
    </row>
    <row r="283" spans="1:14" x14ac:dyDescent="0.2">
      <c r="A283" s="33">
        <f>'GF + UG Iteration 4'!A283</f>
        <v>1276</v>
      </c>
      <c r="B283" s="34" t="str">
        <f>'GF + UG Iteration 4'!B283</f>
        <v>UG</v>
      </c>
      <c r="C283" s="35">
        <f>'GF + UG Iteration 4'!C283</f>
        <v>34</v>
      </c>
      <c r="D283" s="36">
        <f>'GF + UG Iteration 4'!P$16*(C283^'GF + UG Iteration 4'!P$15)</f>
        <v>19.166349483726602</v>
      </c>
      <c r="E283" s="37" t="str">
        <f>'GF + UG Iteration 4'!E283</f>
        <v>unknown</v>
      </c>
      <c r="F283" s="35">
        <f>'GF + UG Iteration 4'!F283</f>
        <v>4</v>
      </c>
      <c r="G283" s="36">
        <f>'GF + UG Iteration 4'!G283</f>
        <v>0.69755192087391271</v>
      </c>
      <c r="H283" s="38">
        <f>'GF + UG Iteration 4'!H283</f>
        <v>2012</v>
      </c>
      <c r="I283" s="35">
        <f t="shared" si="30"/>
        <v>38</v>
      </c>
      <c r="J283" s="36">
        <f t="shared" si="31"/>
        <v>19.863901404600515</v>
      </c>
      <c r="K283" s="38">
        <f t="shared" si="32"/>
        <v>2012</v>
      </c>
      <c r="M283" s="21">
        <f t="shared" si="33"/>
        <v>3.6375861597263857</v>
      </c>
      <c r="N283" s="21">
        <f t="shared" si="34"/>
        <v>2.9889040846716237</v>
      </c>
    </row>
    <row r="284" spans="1:14" x14ac:dyDescent="0.2">
      <c r="A284" s="33">
        <f>'GF + UG Iteration 4'!A284</f>
        <v>823</v>
      </c>
      <c r="B284" s="34" t="str">
        <f>'GF + UG Iteration 4'!B284</f>
        <v>UG</v>
      </c>
      <c r="C284" s="35">
        <f>'GF + UG Iteration 4'!C284</f>
        <v>10</v>
      </c>
      <c r="D284" s="36">
        <f>'GF + UG Iteration 4'!P$16*(C284^'GF + UG Iteration 4'!P$15)</f>
        <v>9.5620400828909595</v>
      </c>
      <c r="E284" s="37" t="str">
        <f>'GF + UG Iteration 4'!E284</f>
        <v>unknown</v>
      </c>
      <c r="F284" s="35">
        <f>'GF + UG Iteration 4'!F284</f>
        <v>25</v>
      </c>
      <c r="G284" s="36">
        <f>'GF + UG Iteration 4'!G284</f>
        <v>8.3156614233786232</v>
      </c>
      <c r="H284" s="38">
        <f>'GF + UG Iteration 4'!H284</f>
        <v>2009</v>
      </c>
      <c r="I284" s="35">
        <f t="shared" si="30"/>
        <v>35</v>
      </c>
      <c r="J284" s="36">
        <f t="shared" si="31"/>
        <v>17.877701506269581</v>
      </c>
      <c r="K284" s="38">
        <f t="shared" si="32"/>
        <v>2009</v>
      </c>
      <c r="M284" s="21">
        <f t="shared" si="33"/>
        <v>3.5553480614894135</v>
      </c>
      <c r="N284" s="21">
        <f t="shared" si="34"/>
        <v>2.8835542103784757</v>
      </c>
    </row>
    <row r="285" spans="1:14" x14ac:dyDescent="0.2">
      <c r="A285" s="33">
        <f>'GF + UG Iteration 4'!A285</f>
        <v>1601</v>
      </c>
      <c r="B285" s="34" t="str">
        <f>'GF + UG Iteration 4'!B285</f>
        <v>UG</v>
      </c>
      <c r="C285" s="35">
        <f>'GF + UG Iteration 4'!C285</f>
        <v>77</v>
      </c>
      <c r="D285" s="36">
        <f>'GF + UG Iteration 4'!P$16*(C285^'GF + UG Iteration 4'!P$15)</f>
        <v>30.497117790997947</v>
      </c>
      <c r="E285" s="37">
        <f>'GF + UG Iteration 4'!E285</f>
        <v>0</v>
      </c>
      <c r="F285" s="35">
        <f>'GF + UG Iteration 4'!F285</f>
        <v>0</v>
      </c>
      <c r="G285" s="36">
        <f>'GF + UG Iteration 4'!G285</f>
        <v>4.0094648670350015</v>
      </c>
      <c r="H285" s="38">
        <f>'GF + UG Iteration 4'!H285</f>
        <v>2015</v>
      </c>
      <c r="I285" s="35">
        <f t="shared" si="30"/>
        <v>77</v>
      </c>
      <c r="J285" s="36">
        <f t="shared" si="31"/>
        <v>34.506582658032947</v>
      </c>
      <c r="K285" s="38">
        <f t="shared" si="32"/>
        <v>2015</v>
      </c>
      <c r="M285" s="21">
        <f t="shared" si="33"/>
        <v>4.3438054218536841</v>
      </c>
      <c r="N285" s="21">
        <f t="shared" si="34"/>
        <v>3.5411501075191025</v>
      </c>
    </row>
    <row r="286" spans="1:14" x14ac:dyDescent="0.2">
      <c r="A286" s="33">
        <f>'GF + UG Iteration 4'!A286</f>
        <v>1046</v>
      </c>
      <c r="B286" s="34" t="str">
        <f>'GF + UG Iteration 4'!B286</f>
        <v>UG</v>
      </c>
      <c r="C286" s="35">
        <f>'GF + UG Iteration 4'!C286</f>
        <v>33</v>
      </c>
      <c r="D286" s="36">
        <f>'GF + UG Iteration 4'!P$16*(C286^'GF + UG Iteration 4'!P$15)</f>
        <v>18.843980291877052</v>
      </c>
      <c r="E286" s="37" t="str">
        <f>'GF + UG Iteration 4'!E286</f>
        <v>unknown</v>
      </c>
      <c r="F286" s="35">
        <f>'GF + UG Iteration 4'!F286</f>
        <v>17</v>
      </c>
      <c r="G286" s="36">
        <f>'GF + UG Iteration 4'!G286</f>
        <v>13.838101419471103</v>
      </c>
      <c r="H286" s="38">
        <f>'GF + UG Iteration 4'!H286</f>
        <v>2011</v>
      </c>
      <c r="I286" s="35">
        <f t="shared" si="30"/>
        <v>50</v>
      </c>
      <c r="J286" s="36">
        <f t="shared" si="31"/>
        <v>32.682081711348154</v>
      </c>
      <c r="K286" s="38">
        <f t="shared" si="32"/>
        <v>2011</v>
      </c>
      <c r="M286" s="21">
        <f t="shared" si="33"/>
        <v>3.912023005428146</v>
      </c>
      <c r="N286" s="21">
        <f t="shared" si="34"/>
        <v>3.4868269678207069</v>
      </c>
    </row>
    <row r="287" spans="1:14" x14ac:dyDescent="0.2">
      <c r="A287" s="33">
        <f>'GF + UG Iteration 4'!A287</f>
        <v>873</v>
      </c>
      <c r="B287" s="34" t="str">
        <f>'GF + UG Iteration 4'!B287</f>
        <v>UG</v>
      </c>
      <c r="C287" s="35">
        <f>'GF + UG Iteration 4'!C287</f>
        <v>38</v>
      </c>
      <c r="D287" s="36">
        <f>'GF + UG Iteration 4'!P$16*(C287^'GF + UG Iteration 4'!P$15)</f>
        <v>20.416737784332472</v>
      </c>
      <c r="E287" s="37" t="str">
        <f>'GF + UG Iteration 4'!E287</f>
        <v>unknown</v>
      </c>
      <c r="F287" s="35">
        <f>'GF + UG Iteration 4'!F287</f>
        <v>10</v>
      </c>
      <c r="G287" s="36">
        <f>'GF + UG Iteration 4'!G287</f>
        <v>10.835025062169574</v>
      </c>
      <c r="H287" s="38">
        <f>'GF + UG Iteration 4'!H287</f>
        <v>2011</v>
      </c>
      <c r="I287" s="35">
        <f t="shared" si="30"/>
        <v>48</v>
      </c>
      <c r="J287" s="36">
        <f t="shared" si="31"/>
        <v>31.251762846502047</v>
      </c>
      <c r="K287" s="38">
        <f t="shared" si="32"/>
        <v>2011</v>
      </c>
      <c r="M287" s="21">
        <f t="shared" si="33"/>
        <v>3.8712010109078911</v>
      </c>
      <c r="N287" s="21">
        <f t="shared" si="34"/>
        <v>3.4420757856794304</v>
      </c>
    </row>
    <row r="288" spans="1:14" x14ac:dyDescent="0.2">
      <c r="A288" s="33">
        <f>'GF + UG Iteration 4'!A288</f>
        <v>630</v>
      </c>
      <c r="B288" s="34" t="str">
        <f>'GF + UG Iteration 4'!B288</f>
        <v>UG</v>
      </c>
      <c r="C288" s="35">
        <f>'GF + UG Iteration 4'!C288</f>
        <v>36.4</v>
      </c>
      <c r="D288" s="36">
        <f>'GF + UG Iteration 4'!P$16*(C288^'GF + UG Iteration 4'!P$15)</f>
        <v>19.923747494599372</v>
      </c>
      <c r="E288" s="37" t="str">
        <f>'GF + UG Iteration 4'!E288</f>
        <v>unknown</v>
      </c>
      <c r="F288" s="35">
        <f>'GF + UG Iteration 4'!F288</f>
        <v>3.6000000000000014</v>
      </c>
      <c r="G288" s="36">
        <f>'GF + UG Iteration 4'!G288</f>
        <v>0.76181860016629799</v>
      </c>
      <c r="H288" s="38">
        <f>'GF + UG Iteration 4'!H288</f>
        <v>2007</v>
      </c>
      <c r="I288" s="35">
        <f t="shared" si="30"/>
        <v>40</v>
      </c>
      <c r="J288" s="36">
        <f t="shared" si="31"/>
        <v>20.685566094765669</v>
      </c>
      <c r="K288" s="38">
        <f t="shared" si="32"/>
        <v>2007</v>
      </c>
      <c r="M288" s="21">
        <f t="shared" si="33"/>
        <v>3.6888794541139363</v>
      </c>
      <c r="N288" s="21">
        <f t="shared" si="34"/>
        <v>3.0294361669435674</v>
      </c>
    </row>
    <row r="289" spans="1:20" x14ac:dyDescent="0.2">
      <c r="A289" s="33">
        <f>'GF + UG Iteration 4'!A289</f>
        <v>1107</v>
      </c>
      <c r="B289" s="34" t="str">
        <f>'GF + UG Iteration 4'!B289</f>
        <v>UG</v>
      </c>
      <c r="C289" s="35">
        <f>'GF + UG Iteration 4'!C289</f>
        <v>16</v>
      </c>
      <c r="D289" s="36">
        <f>'GF + UG Iteration 4'!P$16*(C289^'GF + UG Iteration 4'!P$15)</f>
        <v>12.489139102793789</v>
      </c>
      <c r="E289" s="37">
        <f>'GF + UG Iteration 4'!E289</f>
        <v>2010</v>
      </c>
      <c r="F289" s="35">
        <f>'GF + UG Iteration 4'!F289</f>
        <v>24</v>
      </c>
      <c r="G289" s="36">
        <f>'GF + UG Iteration 4'!G289</f>
        <v>7.7000094501504579</v>
      </c>
      <c r="H289" s="38">
        <f>'GF + UG Iteration 4'!H289</f>
        <v>2014</v>
      </c>
      <c r="I289" s="35">
        <f t="shared" si="30"/>
        <v>40</v>
      </c>
      <c r="J289" s="36">
        <f t="shared" si="31"/>
        <v>20.189148552944246</v>
      </c>
      <c r="K289" s="38">
        <f t="shared" si="32"/>
        <v>2014</v>
      </c>
      <c r="M289" s="21">
        <f t="shared" si="33"/>
        <v>3.6888794541139363</v>
      </c>
      <c r="N289" s="21">
        <f t="shared" si="34"/>
        <v>3.0051452597140602</v>
      </c>
    </row>
    <row r="290" spans="1:20" x14ac:dyDescent="0.2">
      <c r="A290" s="33">
        <f>'GF + UG Iteration 4'!A290</f>
        <v>682</v>
      </c>
      <c r="B290" s="34" t="str">
        <f>'GF + UG Iteration 4'!B290</f>
        <v>UG</v>
      </c>
      <c r="C290" s="35">
        <f>'GF + UG Iteration 4'!C290</f>
        <v>12</v>
      </c>
      <c r="D290" s="36">
        <f>'GF + UG Iteration 4'!P$16*(C290^'GF + UG Iteration 4'!P$15)</f>
        <v>10.60575815663112</v>
      </c>
      <c r="E290" s="37">
        <f>'GF + UG Iteration 4'!E290</f>
        <v>2005</v>
      </c>
      <c r="F290" s="35">
        <f>'GF + UG Iteration 4'!F290</f>
        <v>18</v>
      </c>
      <c r="G290" s="36">
        <f>'GF + UG Iteration 4'!G290</f>
        <v>4.2252233548626927</v>
      </c>
      <c r="H290" s="38">
        <f>'GF + UG Iteration 4'!H290</f>
        <v>2009</v>
      </c>
      <c r="I290" s="35">
        <f t="shared" ref="I290:I291" si="35">C290+F290</f>
        <v>30</v>
      </c>
      <c r="J290" s="36">
        <f t="shared" ref="J290:J291" si="36">D290+G290</f>
        <v>14.830981511493814</v>
      </c>
      <c r="K290" s="38">
        <f t="shared" ref="K290:K291" si="37">MAX(E290,H290)</f>
        <v>2009</v>
      </c>
      <c r="M290" s="21">
        <f t="shared" ref="M290:M291" si="38">LN(I290)</f>
        <v>3.4011973816621555</v>
      </c>
      <c r="N290" s="21">
        <f t="shared" ref="N290:N291" si="39">LN(J290)</f>
        <v>2.6967183381468049</v>
      </c>
    </row>
    <row r="291" spans="1:20" x14ac:dyDescent="0.2">
      <c r="A291" s="33">
        <f>'GF + UG Iteration 4'!A291</f>
        <v>677</v>
      </c>
      <c r="B291" s="34" t="str">
        <f>'GF + UG Iteration 4'!B291</f>
        <v>UG</v>
      </c>
      <c r="C291" s="35">
        <f>'GF + UG Iteration 4'!C291</f>
        <v>117</v>
      </c>
      <c r="D291" s="36">
        <f>'GF + UG Iteration 4'!P$16*(C291^'GF + UG Iteration 4'!P$15)</f>
        <v>38.68110179697269</v>
      </c>
      <c r="E291" s="37" t="str">
        <f>'GF + UG Iteration 4'!E291</f>
        <v>unknown</v>
      </c>
      <c r="F291" s="35">
        <f>'GF + UG Iteration 4'!F291</f>
        <v>0</v>
      </c>
      <c r="G291" s="36">
        <f>'GF + UG Iteration 4'!G291</f>
        <v>5.9672660834890454</v>
      </c>
      <c r="H291" s="38">
        <f>'GF + UG Iteration 4'!H291</f>
        <v>2009</v>
      </c>
      <c r="I291" s="35">
        <f t="shared" si="35"/>
        <v>117</v>
      </c>
      <c r="J291" s="36">
        <f t="shared" si="36"/>
        <v>44.648367880461734</v>
      </c>
      <c r="K291" s="38">
        <f t="shared" si="37"/>
        <v>2009</v>
      </c>
      <c r="M291" s="21">
        <f t="shared" si="38"/>
        <v>4.7621739347977563</v>
      </c>
      <c r="N291" s="21">
        <f t="shared" si="39"/>
        <v>3.7988177530253315</v>
      </c>
    </row>
    <row r="292" spans="1:20" x14ac:dyDescent="0.2">
      <c r="A292" s="33">
        <f>'GF + UG Iteration 4'!A292</f>
        <v>643</v>
      </c>
      <c r="B292" s="34" t="str">
        <f>'GF + UG Iteration 4'!B292</f>
        <v>UG</v>
      </c>
      <c r="C292" s="35">
        <f>'GF + UG Iteration 4'!C292</f>
        <v>53.37</v>
      </c>
      <c r="D292" s="36">
        <f>'GF + UG Iteration 4'!P$16*(C292^'GF + UG Iteration 4'!P$15)</f>
        <v>24.76305842005166</v>
      </c>
      <c r="E292" s="37" t="str">
        <f>'GF + UG Iteration 4'!E292</f>
        <v>unknown</v>
      </c>
      <c r="F292" s="35">
        <f>'GF + UG Iteration 4'!F292</f>
        <v>0.5</v>
      </c>
      <c r="G292" s="36">
        <f>'GF + UG Iteration 4'!G292</f>
        <v>4.4086715648995529</v>
      </c>
      <c r="H292" s="38">
        <f>'GF + UG Iteration 4'!H292</f>
        <v>2009</v>
      </c>
      <c r="I292" s="35">
        <f t="shared" si="30"/>
        <v>53.87</v>
      </c>
      <c r="J292" s="36">
        <f t="shared" si="31"/>
        <v>29.171729984951213</v>
      </c>
      <c r="K292" s="38">
        <f t="shared" si="32"/>
        <v>2009</v>
      </c>
      <c r="M292" s="21">
        <f t="shared" si="33"/>
        <v>3.9865737366924425</v>
      </c>
      <c r="N292" s="21">
        <f t="shared" si="34"/>
        <v>3.3732000891128537</v>
      </c>
    </row>
    <row r="294" spans="1:20" s="9" customFormat="1" x14ac:dyDescent="0.2">
      <c r="A294" s="26" t="s">
        <v>29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40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8" activePane="bottomLeft" state="frozen"/>
      <selection activeCell="A4" sqref="A4"/>
      <selection pane="bottomLeft" activeCell="A8" sqref="A8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54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G - Point of Delivery Cost Function Workbook</v>
      </c>
    </row>
    <row r="4" spans="1:20" s="1" customFormat="1" x14ac:dyDescent="0.2">
      <c r="A4" s="1" t="s">
        <v>974</v>
      </c>
      <c r="B4" s="42"/>
    </row>
    <row r="5" spans="1:20" s="1" customFormat="1" x14ac:dyDescent="0.2">
      <c r="A5" s="43" t="str">
        <f>TableDate</f>
        <v>August 17, 2018</v>
      </c>
      <c r="B5" s="44"/>
    </row>
    <row r="6" spans="1:20" x14ac:dyDescent="0.2">
      <c r="E6" s="28"/>
    </row>
    <row r="7" spans="1:20" ht="25.5" x14ac:dyDescent="0.2">
      <c r="A7" s="10" t="s">
        <v>0</v>
      </c>
      <c r="B7" s="11" t="s">
        <v>7</v>
      </c>
      <c r="C7" s="12" t="s">
        <v>8</v>
      </c>
      <c r="D7" s="13" t="s">
        <v>30</v>
      </c>
      <c r="E7" s="14" t="s">
        <v>10</v>
      </c>
      <c r="F7" s="12" t="s">
        <v>11</v>
      </c>
      <c r="G7" s="13" t="s">
        <v>12</v>
      </c>
      <c r="H7" s="14" t="s">
        <v>13</v>
      </c>
      <c r="I7" s="12" t="s">
        <v>2</v>
      </c>
      <c r="J7" s="13" t="s">
        <v>14</v>
      </c>
      <c r="K7" s="14" t="s">
        <v>15</v>
      </c>
      <c r="M7" s="11" t="s">
        <v>16</v>
      </c>
      <c r="N7" s="11" t="s">
        <v>17</v>
      </c>
      <c r="P7" s="41" t="s">
        <v>53</v>
      </c>
      <c r="Q7" s="15"/>
      <c r="T7" s="3"/>
    </row>
    <row r="8" spans="1:20" x14ac:dyDescent="0.2">
      <c r="A8" s="25">
        <f>'GF + UG Iteration 5'!A8</f>
        <v>476</v>
      </c>
      <c r="B8" s="25" t="str">
        <f>'GF + UG Iteration 5'!B8</f>
        <v>GF</v>
      </c>
      <c r="C8" s="18">
        <f>'GF + UG Iteration 5'!C8</f>
        <v>14</v>
      </c>
      <c r="D8" s="19">
        <f>'GF + UG Iteration 5'!D8</f>
        <v>16.861812370959647</v>
      </c>
      <c r="E8" s="30">
        <f>'GF + UG Iteration 5'!E8</f>
        <v>2003</v>
      </c>
      <c r="F8" s="18"/>
      <c r="G8" s="19"/>
      <c r="H8" s="20"/>
      <c r="I8" s="18">
        <f>C8+F8</f>
        <v>14</v>
      </c>
      <c r="J8" s="19">
        <f>D8+G8</f>
        <v>16.861812370959647</v>
      </c>
      <c r="K8" s="20">
        <f>MAX(E8,H8)</f>
        <v>2003</v>
      </c>
      <c r="M8" s="21">
        <f>LN(I8)</f>
        <v>2.6390573296152584</v>
      </c>
      <c r="N8" s="21">
        <f>LN(J8)</f>
        <v>2.8250514421084625</v>
      </c>
      <c r="O8" s="3" t="s">
        <v>19</v>
      </c>
      <c r="P8" s="22">
        <f t="array" ref="P8:Q12">LINEST(N8:N292,M8:M292,TRUE,TRUE)</f>
        <v>0.5716420664756785</v>
      </c>
      <c r="Q8" s="22">
        <v>0.94053942636319343</v>
      </c>
      <c r="R8" s="5" t="s">
        <v>20</v>
      </c>
    </row>
    <row r="9" spans="1:20" x14ac:dyDescent="0.2">
      <c r="A9" s="25">
        <f>'GF + UG Iteration 5'!A9</f>
        <v>478</v>
      </c>
      <c r="B9" s="25" t="str">
        <f>'GF + UG Iteration 5'!B9</f>
        <v>GF</v>
      </c>
      <c r="C9" s="18">
        <f>'GF + UG Iteration 5'!C9</f>
        <v>8.5</v>
      </c>
      <c r="D9" s="19">
        <f>'GF + UG Iteration 5'!D9</f>
        <v>6.0182252638842719</v>
      </c>
      <c r="E9" s="30">
        <f>'GF + UG Iteration 5'!E9</f>
        <v>2003</v>
      </c>
      <c r="F9" s="18"/>
      <c r="G9" s="19"/>
      <c r="H9" s="20"/>
      <c r="I9" s="18">
        <f t="shared" ref="I9:I71" si="0">C9+F9</f>
        <v>8.5</v>
      </c>
      <c r="J9" s="19">
        <f t="shared" ref="J9:J71" si="1">D9+G9</f>
        <v>6.0182252638842719</v>
      </c>
      <c r="K9" s="20">
        <f t="shared" ref="K9:K71" si="2">MAX(E9,H9)</f>
        <v>2003</v>
      </c>
      <c r="M9" s="21">
        <f t="shared" ref="M9:M71" si="3">LN(I9)</f>
        <v>2.1400661634962708</v>
      </c>
      <c r="N9" s="21">
        <f t="shared" ref="N9:N71" si="4">LN(J9)</f>
        <v>1.7947924091929603</v>
      </c>
      <c r="O9" s="3" t="s">
        <v>21</v>
      </c>
      <c r="P9" s="22">
        <v>3.208446276494395E-2</v>
      </c>
      <c r="Q9" s="22">
        <v>0.10230833797646607</v>
      </c>
      <c r="R9" s="5" t="s">
        <v>22</v>
      </c>
    </row>
    <row r="10" spans="1:20" x14ac:dyDescent="0.2">
      <c r="A10" s="25">
        <f>'GF + UG Iteration 5'!A10</f>
        <v>473</v>
      </c>
      <c r="B10" s="25" t="str">
        <f>'GF + UG Iteration 5'!B10</f>
        <v>GF</v>
      </c>
      <c r="C10" s="18">
        <f>'GF + UG Iteration 5'!C10</f>
        <v>30</v>
      </c>
      <c r="D10" s="19">
        <f>'GF + UG Iteration 5'!D10</f>
        <v>14.998991377977235</v>
      </c>
      <c r="E10" s="30">
        <f>'GF + UG Iteration 5'!E10</f>
        <v>2003</v>
      </c>
      <c r="F10" s="18"/>
      <c r="G10" s="19"/>
      <c r="H10" s="20"/>
      <c r="I10" s="18">
        <f t="shared" si="0"/>
        <v>30</v>
      </c>
      <c r="J10" s="19">
        <f t="shared" si="1"/>
        <v>14.998991377977235</v>
      </c>
      <c r="K10" s="20">
        <f t="shared" si="2"/>
        <v>2003</v>
      </c>
      <c r="M10" s="21">
        <f t="shared" si="3"/>
        <v>3.4011973816621555</v>
      </c>
      <c r="N10" s="21">
        <f t="shared" si="4"/>
        <v>2.707982957373217</v>
      </c>
      <c r="O10" s="3" t="s">
        <v>1</v>
      </c>
      <c r="P10" s="22">
        <v>0.52867734342598693</v>
      </c>
      <c r="Q10" s="22">
        <v>0.3930402421791786</v>
      </c>
      <c r="R10" s="5" t="s">
        <v>23</v>
      </c>
    </row>
    <row r="11" spans="1:20" x14ac:dyDescent="0.2">
      <c r="A11" s="25">
        <f>'GF + UG Iteration 5'!A11</f>
        <v>1042</v>
      </c>
      <c r="B11" s="25" t="str">
        <f>'GF + UG Iteration 5'!B11</f>
        <v>GF</v>
      </c>
      <c r="C11" s="18">
        <f>'GF + UG Iteration 5'!C11</f>
        <v>13</v>
      </c>
      <c r="D11" s="19">
        <f>'GF + UG Iteration 5'!D11</f>
        <v>11.164764224012115</v>
      </c>
      <c r="E11" s="30">
        <f>'GF + UG Iteration 5'!E11</f>
        <v>2011</v>
      </c>
      <c r="F11" s="18"/>
      <c r="G11" s="19"/>
      <c r="H11" s="20"/>
      <c r="I11" s="18">
        <f t="shared" si="0"/>
        <v>13</v>
      </c>
      <c r="J11" s="19">
        <f t="shared" si="1"/>
        <v>11.164764224012115</v>
      </c>
      <c r="K11" s="20">
        <f t="shared" si="2"/>
        <v>2011</v>
      </c>
      <c r="M11" s="21">
        <f t="shared" si="3"/>
        <v>2.5649493574615367</v>
      </c>
      <c r="N11" s="21">
        <f t="shared" si="4"/>
        <v>2.4127627676497201</v>
      </c>
      <c r="O11" s="3" t="s">
        <v>24</v>
      </c>
      <c r="P11" s="22">
        <v>317.43792941568415</v>
      </c>
      <c r="Q11" s="22">
        <v>283</v>
      </c>
      <c r="R11" s="5" t="s">
        <v>25</v>
      </c>
    </row>
    <row r="12" spans="1:20" x14ac:dyDescent="0.2">
      <c r="A12" s="25">
        <f>'GF + UG Iteration 5'!A12</f>
        <v>443</v>
      </c>
      <c r="B12" s="25" t="str">
        <f>'GF + UG Iteration 5'!B12</f>
        <v>GF</v>
      </c>
      <c r="C12" s="18">
        <f>'GF + UG Iteration 5'!C12</f>
        <v>24.3</v>
      </c>
      <c r="D12" s="19">
        <f>'GF + UG Iteration 5'!D12</f>
        <v>11.705577131494863</v>
      </c>
      <c r="E12" s="30">
        <f>'GF + UG Iteration 5'!E12</f>
        <v>2006</v>
      </c>
      <c r="F12" s="18"/>
      <c r="G12" s="19"/>
      <c r="H12" s="20"/>
      <c r="I12" s="18">
        <f t="shared" si="0"/>
        <v>24.3</v>
      </c>
      <c r="J12" s="19">
        <f t="shared" si="1"/>
        <v>11.705577131494863</v>
      </c>
      <c r="K12" s="20">
        <f t="shared" si="2"/>
        <v>2006</v>
      </c>
      <c r="M12" s="21">
        <f t="shared" si="3"/>
        <v>3.1904763503465028</v>
      </c>
      <c r="N12" s="21">
        <f t="shared" si="4"/>
        <v>2.4600654061344325</v>
      </c>
      <c r="O12" s="3" t="s">
        <v>26</v>
      </c>
      <c r="P12" s="22">
        <v>49.038011948102891</v>
      </c>
      <c r="Q12" s="22">
        <v>43.718018848151672</v>
      </c>
      <c r="R12" s="5" t="s">
        <v>27</v>
      </c>
    </row>
    <row r="13" spans="1:20" x14ac:dyDescent="0.2">
      <c r="A13" s="25">
        <f>'GF + UG Iteration 5'!A13</f>
        <v>1195</v>
      </c>
      <c r="B13" s="25" t="str">
        <f>'GF + UG Iteration 5'!B13</f>
        <v>GF</v>
      </c>
      <c r="C13" s="18">
        <f>'GF + UG Iteration 5'!C13</f>
        <v>18</v>
      </c>
      <c r="D13" s="19">
        <f>'GF + UG Iteration 5'!D13</f>
        <v>31.659927445331629</v>
      </c>
      <c r="E13" s="30">
        <f>'GF + UG Iteration 5'!E13</f>
        <v>2011</v>
      </c>
      <c r="F13" s="18"/>
      <c r="G13" s="19"/>
      <c r="H13" s="20"/>
      <c r="I13" s="18">
        <f t="shared" si="0"/>
        <v>18</v>
      </c>
      <c r="J13" s="19">
        <f t="shared" si="1"/>
        <v>31.659927445331629</v>
      </c>
      <c r="K13" s="20">
        <f t="shared" si="2"/>
        <v>2011</v>
      </c>
      <c r="M13" s="21">
        <f t="shared" si="3"/>
        <v>2.8903717578961645</v>
      </c>
      <c r="N13" s="21">
        <f t="shared" si="4"/>
        <v>3.4550517627677269</v>
      </c>
    </row>
    <row r="14" spans="1:20" x14ac:dyDescent="0.2">
      <c r="A14" s="25">
        <f>'GF + UG Iteration 5'!A14</f>
        <v>420</v>
      </c>
      <c r="B14" s="25" t="str">
        <f>'GF + UG Iteration 5'!B14</f>
        <v>GF</v>
      </c>
      <c r="C14" s="18">
        <f>'GF + UG Iteration 5'!C14</f>
        <v>6</v>
      </c>
      <c r="D14" s="19">
        <f>'GF + UG Iteration 5'!D14</f>
        <v>9.6396451057157435</v>
      </c>
      <c r="E14" s="30">
        <f>'GF + UG Iteration 5'!E14</f>
        <v>2007</v>
      </c>
      <c r="F14" s="18"/>
      <c r="G14" s="19"/>
      <c r="H14" s="20"/>
      <c r="I14" s="18">
        <f t="shared" si="0"/>
        <v>6</v>
      </c>
      <c r="J14" s="19">
        <f t="shared" si="1"/>
        <v>9.6396451057157435</v>
      </c>
      <c r="K14" s="20">
        <f t="shared" si="2"/>
        <v>2007</v>
      </c>
      <c r="M14" s="21">
        <f t="shared" si="3"/>
        <v>1.791759469228055</v>
      </c>
      <c r="N14" s="21">
        <f t="shared" si="4"/>
        <v>2.2658842931849965</v>
      </c>
      <c r="P14" s="15" t="s">
        <v>6</v>
      </c>
      <c r="Q14" s="15"/>
    </row>
    <row r="15" spans="1:20" x14ac:dyDescent="0.2">
      <c r="A15" s="25">
        <f>'GF + UG Iteration 5'!A15</f>
        <v>440</v>
      </c>
      <c r="B15" s="25" t="str">
        <f>'GF + UG Iteration 5'!B15</f>
        <v>GF</v>
      </c>
      <c r="C15" s="18">
        <f>'GF + UG Iteration 5'!C15</f>
        <v>10</v>
      </c>
      <c r="D15" s="19">
        <f>'GF + UG Iteration 5'!D15</f>
        <v>16.009559216092757</v>
      </c>
      <c r="E15" s="30">
        <f>'GF + UG Iteration 5'!E15</f>
        <v>2006</v>
      </c>
      <c r="F15" s="18"/>
      <c r="G15" s="19"/>
      <c r="H15" s="20"/>
      <c r="I15" s="18">
        <f t="shared" si="0"/>
        <v>10</v>
      </c>
      <c r="J15" s="19">
        <f t="shared" si="1"/>
        <v>16.009559216092757</v>
      </c>
      <c r="K15" s="20">
        <f t="shared" si="2"/>
        <v>2006</v>
      </c>
      <c r="M15" s="21">
        <f t="shared" si="3"/>
        <v>2.3025850929940459</v>
      </c>
      <c r="N15" s="21">
        <f t="shared" si="4"/>
        <v>2.7731859948427808</v>
      </c>
      <c r="O15" s="3" t="s">
        <v>19</v>
      </c>
      <c r="P15" s="23">
        <f>P8</f>
        <v>0.5716420664756785</v>
      </c>
      <c r="Q15" s="31">
        <f>(P15-'GF + UG Iteration 5'!P15)/'GF + UG Iteration 5'!P15</f>
        <v>2.0176969650041458E-3</v>
      </c>
      <c r="R15" s="32" t="s">
        <v>31</v>
      </c>
    </row>
    <row r="16" spans="1:20" x14ac:dyDescent="0.2">
      <c r="A16" s="25">
        <f>'GF + UG Iteration 5'!A16</f>
        <v>1102</v>
      </c>
      <c r="B16" s="25" t="str">
        <f>'GF + UG Iteration 5'!B16</f>
        <v>GF</v>
      </c>
      <c r="C16" s="18">
        <f>'GF + UG Iteration 5'!C16</f>
        <v>20</v>
      </c>
      <c r="D16" s="19">
        <f>'GF + UG Iteration 5'!D16</f>
        <v>16.293644713264708</v>
      </c>
      <c r="E16" s="30">
        <f>'GF + UG Iteration 5'!E16</f>
        <v>2011</v>
      </c>
      <c r="F16" s="18"/>
      <c r="G16" s="19"/>
      <c r="H16" s="20"/>
      <c r="I16" s="18">
        <f t="shared" si="0"/>
        <v>20</v>
      </c>
      <c r="J16" s="19">
        <f t="shared" si="1"/>
        <v>16.293644713264708</v>
      </c>
      <c r="K16" s="20">
        <f t="shared" si="2"/>
        <v>2011</v>
      </c>
      <c r="M16" s="21">
        <f t="shared" si="3"/>
        <v>2.9957322735539909</v>
      </c>
      <c r="N16" s="21">
        <f t="shared" si="4"/>
        <v>2.7907751368922047</v>
      </c>
      <c r="O16" s="3" t="s">
        <v>28</v>
      </c>
      <c r="P16" s="23">
        <f>EXP(Q8)</f>
        <v>2.5613627123153053</v>
      </c>
      <c r="Q16" s="31">
        <f>(P16-'GF + UG Iteration 5'!P16)/'GF + UG Iteration 5'!P16</f>
        <v>-3.0926994209729865E-3</v>
      </c>
      <c r="R16" s="32" t="s">
        <v>32</v>
      </c>
    </row>
    <row r="17" spans="1:18" x14ac:dyDescent="0.2">
      <c r="A17" s="25">
        <f>'GF + UG Iteration 5'!A17</f>
        <v>324</v>
      </c>
      <c r="B17" s="25" t="str">
        <f>'GF + UG Iteration 5'!B17</f>
        <v>GF</v>
      </c>
      <c r="C17" s="18">
        <f>'GF + UG Iteration 5'!C17</f>
        <v>17.2</v>
      </c>
      <c r="D17" s="19">
        <f>'GF + UG Iteration 5'!D17</f>
        <v>8.9094125785416409</v>
      </c>
      <c r="E17" s="30">
        <f>'GF + UG Iteration 5'!E17</f>
        <v>2003</v>
      </c>
      <c r="F17" s="18"/>
      <c r="G17" s="19"/>
      <c r="H17" s="20"/>
      <c r="I17" s="18">
        <f t="shared" si="0"/>
        <v>17.2</v>
      </c>
      <c r="J17" s="19">
        <f t="shared" si="1"/>
        <v>8.9094125785416409</v>
      </c>
      <c r="K17" s="20">
        <f t="shared" si="2"/>
        <v>2003</v>
      </c>
      <c r="M17" s="21">
        <f t="shared" si="3"/>
        <v>2.8449093838194073</v>
      </c>
      <c r="N17" s="21">
        <f t="shared" si="4"/>
        <v>2.1871083109750784</v>
      </c>
      <c r="O17" s="3"/>
      <c r="P17" s="24"/>
      <c r="R17" s="32" t="s">
        <v>33</v>
      </c>
    </row>
    <row r="18" spans="1:18" x14ac:dyDescent="0.2">
      <c r="A18" s="25">
        <f>'GF + UG Iteration 5'!A18</f>
        <v>1103</v>
      </c>
      <c r="B18" s="25" t="str">
        <f>'GF + UG Iteration 5'!B18</f>
        <v>GF</v>
      </c>
      <c r="C18" s="18">
        <f>'GF + UG Iteration 5'!C18</f>
        <v>20</v>
      </c>
      <c r="D18" s="19">
        <f>'GF + UG Iteration 5'!D18</f>
        <v>17.299482978955592</v>
      </c>
      <c r="E18" s="30">
        <f>'GF + UG Iteration 5'!E18</f>
        <v>2011</v>
      </c>
      <c r="F18" s="18"/>
      <c r="G18" s="19"/>
      <c r="H18" s="20"/>
      <c r="I18" s="18">
        <f t="shared" si="0"/>
        <v>20</v>
      </c>
      <c r="J18" s="19">
        <f t="shared" si="1"/>
        <v>17.299482978955592</v>
      </c>
      <c r="K18" s="20">
        <f t="shared" si="2"/>
        <v>2011</v>
      </c>
      <c r="M18" s="21">
        <f t="shared" si="3"/>
        <v>2.9957322735539909</v>
      </c>
      <c r="N18" s="21">
        <f t="shared" si="4"/>
        <v>2.8506766154476462</v>
      </c>
      <c r="P18"/>
      <c r="Q18"/>
      <c r="R18" s="32" t="s">
        <v>34</v>
      </c>
    </row>
    <row r="19" spans="1:18" x14ac:dyDescent="0.2">
      <c r="A19" s="25">
        <f>'GF + UG Iteration 5'!A19</f>
        <v>386</v>
      </c>
      <c r="B19" s="25" t="str">
        <f>'GF + UG Iteration 5'!B19</f>
        <v>GF</v>
      </c>
      <c r="C19" s="18">
        <f>'GF + UG Iteration 5'!C19</f>
        <v>9</v>
      </c>
      <c r="D19" s="19">
        <f>'GF + UG Iteration 5'!D19</f>
        <v>9.9511250787738224</v>
      </c>
      <c r="E19" s="30">
        <f>'GF + UG Iteration 5'!E19</f>
        <v>2003</v>
      </c>
      <c r="F19" s="18"/>
      <c r="G19" s="19"/>
      <c r="H19" s="20"/>
      <c r="I19" s="18">
        <f t="shared" si="0"/>
        <v>9</v>
      </c>
      <c r="J19" s="19">
        <f t="shared" si="1"/>
        <v>9.9511250787738224</v>
      </c>
      <c r="K19" s="20">
        <f t="shared" si="2"/>
        <v>2003</v>
      </c>
      <c r="M19" s="21">
        <f t="shared" si="3"/>
        <v>2.1972245773362196</v>
      </c>
      <c r="N19" s="21">
        <f t="shared" si="4"/>
        <v>2.2976856180218044</v>
      </c>
      <c r="P19"/>
      <c r="Q19"/>
    </row>
    <row r="20" spans="1:18" x14ac:dyDescent="0.2">
      <c r="A20" s="25">
        <f>'GF + UG Iteration 5'!A20</f>
        <v>80</v>
      </c>
      <c r="B20" s="25" t="str">
        <f>'GF + UG Iteration 5'!B20</f>
        <v>GF</v>
      </c>
      <c r="C20" s="18">
        <f>'GF + UG Iteration 5'!C20</f>
        <v>8</v>
      </c>
      <c r="D20" s="19">
        <f>'GF + UG Iteration 5'!D20</f>
        <v>6.0754029342110369</v>
      </c>
      <c r="E20" s="30">
        <f>'GF + UG Iteration 5'!E20</f>
        <v>2001</v>
      </c>
      <c r="F20" s="18"/>
      <c r="G20" s="19"/>
      <c r="H20" s="20"/>
      <c r="I20" s="18">
        <f t="shared" si="0"/>
        <v>8</v>
      </c>
      <c r="J20" s="19">
        <f t="shared" si="1"/>
        <v>6.0754029342110369</v>
      </c>
      <c r="K20" s="20">
        <f t="shared" si="2"/>
        <v>2001</v>
      </c>
      <c r="M20" s="21">
        <f t="shared" si="3"/>
        <v>2.0794415416798357</v>
      </c>
      <c r="N20" s="21">
        <f t="shared" si="4"/>
        <v>1.8042483136462</v>
      </c>
      <c r="P20"/>
      <c r="Q20"/>
    </row>
    <row r="21" spans="1:18" x14ac:dyDescent="0.2">
      <c r="A21" s="25">
        <f>'GF + UG Iteration 5'!A21</f>
        <v>1052</v>
      </c>
      <c r="B21" s="25" t="str">
        <f>'GF + UG Iteration 5'!B21</f>
        <v>GF</v>
      </c>
      <c r="C21" s="18">
        <f>'GF + UG Iteration 5'!C21</f>
        <v>13.6</v>
      </c>
      <c r="D21" s="19">
        <f>'GF + UG Iteration 5'!D21</f>
        <v>10.90270245998838</v>
      </c>
      <c r="E21" s="30">
        <f>'GF + UG Iteration 5'!E21</f>
        <v>2011</v>
      </c>
      <c r="F21" s="18"/>
      <c r="G21" s="19"/>
      <c r="H21" s="20"/>
      <c r="I21" s="18">
        <f t="shared" si="0"/>
        <v>13.6</v>
      </c>
      <c r="J21" s="19">
        <f t="shared" si="1"/>
        <v>10.90270245998838</v>
      </c>
      <c r="K21" s="20">
        <f t="shared" si="2"/>
        <v>2011</v>
      </c>
      <c r="M21" s="21">
        <f t="shared" si="3"/>
        <v>2.6100697927420065</v>
      </c>
      <c r="N21" s="21">
        <f t="shared" si="4"/>
        <v>2.3890106906140374</v>
      </c>
      <c r="P21"/>
      <c r="Q21"/>
    </row>
    <row r="22" spans="1:18" x14ac:dyDescent="0.2">
      <c r="A22" s="25">
        <f>'GF + UG Iteration 5'!A22</f>
        <v>347</v>
      </c>
      <c r="B22" s="25" t="str">
        <f>'GF + UG Iteration 5'!B22</f>
        <v>GF</v>
      </c>
      <c r="C22" s="18">
        <f>'GF + UG Iteration 5'!C22</f>
        <v>10.548</v>
      </c>
      <c r="D22" s="19">
        <f>'GF + UG Iteration 5'!D22</f>
        <v>9.3004925979781259</v>
      </c>
      <c r="E22" s="30">
        <f>'GF + UG Iteration 5'!E22</f>
        <v>2003</v>
      </c>
      <c r="F22" s="18"/>
      <c r="G22" s="19"/>
      <c r="H22" s="20"/>
      <c r="I22" s="18">
        <f t="shared" si="0"/>
        <v>10.548</v>
      </c>
      <c r="J22" s="19">
        <f t="shared" si="1"/>
        <v>9.3004925979781259</v>
      </c>
      <c r="K22" s="20">
        <f t="shared" si="2"/>
        <v>2003</v>
      </c>
      <c r="M22" s="21">
        <f t="shared" si="3"/>
        <v>2.3559362684910403</v>
      </c>
      <c r="N22" s="21">
        <f t="shared" si="4"/>
        <v>2.23006736628101</v>
      </c>
    </row>
    <row r="23" spans="1:18" x14ac:dyDescent="0.2">
      <c r="A23" s="25">
        <f>'GF + UG Iteration 5'!A23</f>
        <v>1358</v>
      </c>
      <c r="B23" s="25" t="str">
        <f>'GF + UG Iteration 5'!B23</f>
        <v>GF</v>
      </c>
      <c r="C23" s="18">
        <f>'GF + UG Iteration 5'!C23</f>
        <v>27</v>
      </c>
      <c r="D23" s="19">
        <f>'GF + UG Iteration 5'!D23</f>
        <v>13.07265503282744</v>
      </c>
      <c r="E23" s="30">
        <f>'GF + UG Iteration 5'!E23</f>
        <v>2011</v>
      </c>
      <c r="F23" s="18"/>
      <c r="G23" s="19"/>
      <c r="H23" s="20"/>
      <c r="I23" s="18">
        <f t="shared" si="0"/>
        <v>27</v>
      </c>
      <c r="J23" s="19">
        <f t="shared" si="1"/>
        <v>13.07265503282744</v>
      </c>
      <c r="K23" s="20">
        <f t="shared" si="2"/>
        <v>2011</v>
      </c>
      <c r="M23" s="21">
        <f t="shared" si="3"/>
        <v>3.2958368660043291</v>
      </c>
      <c r="N23" s="21">
        <f t="shared" si="4"/>
        <v>2.5705226464726247</v>
      </c>
    </row>
    <row r="24" spans="1:18" x14ac:dyDescent="0.2">
      <c r="A24" s="25">
        <f>'GF + UG Iteration 5'!A24</f>
        <v>584</v>
      </c>
      <c r="B24" s="25" t="str">
        <f>'GF + UG Iteration 5'!B24</f>
        <v>GF</v>
      </c>
      <c r="C24" s="18">
        <f>'GF + UG Iteration 5'!C24</f>
        <v>28</v>
      </c>
      <c r="D24" s="19">
        <f>'GF + UG Iteration 5'!D24</f>
        <v>34.903749706800433</v>
      </c>
      <c r="E24" s="30">
        <f>'GF + UG Iteration 5'!E24</f>
        <v>2011</v>
      </c>
      <c r="F24" s="18"/>
      <c r="G24" s="19"/>
      <c r="H24" s="20"/>
      <c r="I24" s="18">
        <f t="shared" si="0"/>
        <v>28</v>
      </c>
      <c r="J24" s="19">
        <f t="shared" si="1"/>
        <v>34.903749706800433</v>
      </c>
      <c r="K24" s="20">
        <f t="shared" si="2"/>
        <v>2011</v>
      </c>
      <c r="M24" s="21">
        <f t="shared" si="3"/>
        <v>3.3322045101752038</v>
      </c>
      <c r="N24" s="21">
        <f t="shared" si="4"/>
        <v>3.5525942648925612</v>
      </c>
    </row>
    <row r="25" spans="1:18" x14ac:dyDescent="0.2">
      <c r="A25" s="25">
        <f>'GF + UG Iteration 5'!A25</f>
        <v>422</v>
      </c>
      <c r="B25" s="25" t="str">
        <f>'GF + UG Iteration 5'!B25</f>
        <v>GF</v>
      </c>
      <c r="C25" s="18">
        <f>'GF + UG Iteration 5'!C25</f>
        <v>24</v>
      </c>
      <c r="D25" s="19">
        <f>'GF + UG Iteration 5'!D25</f>
        <v>13.650794587226329</v>
      </c>
      <c r="E25" s="30">
        <f>'GF + UG Iteration 5'!E25</f>
        <v>2003</v>
      </c>
      <c r="F25" s="18"/>
      <c r="G25" s="19"/>
      <c r="H25" s="20"/>
      <c r="I25" s="18">
        <f t="shared" si="0"/>
        <v>24</v>
      </c>
      <c r="J25" s="19">
        <f t="shared" si="1"/>
        <v>13.650794587226329</v>
      </c>
      <c r="K25" s="20">
        <f t="shared" si="2"/>
        <v>2003</v>
      </c>
      <c r="M25" s="21">
        <f t="shared" si="3"/>
        <v>3.1780538303479458</v>
      </c>
      <c r="N25" s="21">
        <f t="shared" si="4"/>
        <v>2.6137977314551564</v>
      </c>
    </row>
    <row r="26" spans="1:18" x14ac:dyDescent="0.2">
      <c r="A26" s="25">
        <f>'GF + UG Iteration 5'!A26</f>
        <v>944</v>
      </c>
      <c r="B26" s="25" t="str">
        <f>'GF + UG Iteration 5'!B26</f>
        <v>GF</v>
      </c>
      <c r="C26" s="18">
        <f>'GF + UG Iteration 5'!C26</f>
        <v>43</v>
      </c>
      <c r="D26" s="19">
        <f>'GF + UG Iteration 5'!D26</f>
        <v>26.816090615909914</v>
      </c>
      <c r="E26" s="30">
        <f>'GF + UG Iteration 5'!E26</f>
        <v>2010</v>
      </c>
      <c r="F26" s="18"/>
      <c r="G26" s="19"/>
      <c r="H26" s="20"/>
      <c r="I26" s="18">
        <f t="shared" si="0"/>
        <v>43</v>
      </c>
      <c r="J26" s="19">
        <f t="shared" si="1"/>
        <v>26.816090615909914</v>
      </c>
      <c r="K26" s="20">
        <f t="shared" si="2"/>
        <v>2010</v>
      </c>
      <c r="M26" s="21">
        <f t="shared" si="3"/>
        <v>3.7612001156935624</v>
      </c>
      <c r="N26" s="21">
        <f t="shared" si="4"/>
        <v>3.2890021034672148</v>
      </c>
    </row>
    <row r="27" spans="1:18" x14ac:dyDescent="0.2">
      <c r="A27" s="25">
        <f>'GF + UG Iteration 5'!A27</f>
        <v>387</v>
      </c>
      <c r="B27" s="25" t="str">
        <f>'GF + UG Iteration 5'!B27</f>
        <v>GF</v>
      </c>
      <c r="C27" s="18">
        <f>'GF + UG Iteration 5'!C27</f>
        <v>7.5</v>
      </c>
      <c r="D27" s="19">
        <f>'GF + UG Iteration 5'!D27</f>
        <v>9.5130592102135658</v>
      </c>
      <c r="E27" s="30">
        <f>'GF + UG Iteration 5'!E27</f>
        <v>2003</v>
      </c>
      <c r="F27" s="18"/>
      <c r="G27" s="19"/>
      <c r="H27" s="20"/>
      <c r="I27" s="18">
        <f t="shared" si="0"/>
        <v>7.5</v>
      </c>
      <c r="J27" s="19">
        <f t="shared" si="1"/>
        <v>9.5130592102135658</v>
      </c>
      <c r="K27" s="20">
        <f t="shared" si="2"/>
        <v>2003</v>
      </c>
      <c r="M27" s="21">
        <f t="shared" si="3"/>
        <v>2.0149030205422647</v>
      </c>
      <c r="N27" s="21">
        <f t="shared" si="4"/>
        <v>2.2526655083417699</v>
      </c>
    </row>
    <row r="28" spans="1:18" x14ac:dyDescent="0.2">
      <c r="A28" s="25">
        <f>'GF + UG Iteration 5'!A28</f>
        <v>587</v>
      </c>
      <c r="B28" s="25" t="str">
        <f>'GF + UG Iteration 5'!B28</f>
        <v>GF</v>
      </c>
      <c r="C28" s="18">
        <f>'GF + UG Iteration 5'!C28</f>
        <v>17.8</v>
      </c>
      <c r="D28" s="19">
        <f>'GF + UG Iteration 5'!D28</f>
        <v>13.152201549137706</v>
      </c>
      <c r="E28" s="30">
        <f>'GF + UG Iteration 5'!E28</f>
        <v>2006</v>
      </c>
      <c r="F28" s="18"/>
      <c r="G28" s="19"/>
      <c r="H28" s="20"/>
      <c r="I28" s="18">
        <f t="shared" si="0"/>
        <v>17.8</v>
      </c>
      <c r="J28" s="19">
        <f t="shared" si="1"/>
        <v>13.152201549137706</v>
      </c>
      <c r="K28" s="20">
        <f t="shared" si="2"/>
        <v>2006</v>
      </c>
      <c r="M28" s="21">
        <f t="shared" si="3"/>
        <v>2.8791984572980396</v>
      </c>
      <c r="N28" s="21">
        <f t="shared" si="4"/>
        <v>2.57658916279629</v>
      </c>
    </row>
    <row r="29" spans="1:18" x14ac:dyDescent="0.2">
      <c r="A29" s="25">
        <f>'GF + UG Iteration 5'!A29</f>
        <v>585</v>
      </c>
      <c r="B29" s="25" t="str">
        <f>'GF + UG Iteration 5'!B29</f>
        <v>GF</v>
      </c>
      <c r="C29" s="18">
        <f>'GF + UG Iteration 5'!C29</f>
        <v>20.6</v>
      </c>
      <c r="D29" s="19">
        <f>'GF + UG Iteration 5'!D29</f>
        <v>11.291169205189183</v>
      </c>
      <c r="E29" s="30">
        <f>'GF + UG Iteration 5'!E29</f>
        <v>2007</v>
      </c>
      <c r="F29" s="18"/>
      <c r="G29" s="19"/>
      <c r="H29" s="20"/>
      <c r="I29" s="18">
        <f t="shared" si="0"/>
        <v>20.6</v>
      </c>
      <c r="J29" s="19">
        <f t="shared" si="1"/>
        <v>11.291169205189183</v>
      </c>
      <c r="K29" s="20">
        <f t="shared" si="2"/>
        <v>2007</v>
      </c>
      <c r="M29" s="21">
        <f t="shared" si="3"/>
        <v>3.0252910757955354</v>
      </c>
      <c r="N29" s="21">
        <f t="shared" si="4"/>
        <v>2.4240209339322751</v>
      </c>
    </row>
    <row r="30" spans="1:18" x14ac:dyDescent="0.2">
      <c r="A30" s="25">
        <f>'GF + UG Iteration 5'!A30</f>
        <v>831</v>
      </c>
      <c r="B30" s="25" t="str">
        <f>'GF + UG Iteration 5'!B30</f>
        <v>GF</v>
      </c>
      <c r="C30" s="18">
        <f>'GF + UG Iteration 5'!C30</f>
        <v>19.600000000000001</v>
      </c>
      <c r="D30" s="19">
        <f>'GF + UG Iteration 5'!D30</f>
        <v>20.965601428070691</v>
      </c>
      <c r="E30" s="30">
        <f>'GF + UG Iteration 5'!E30</f>
        <v>2011</v>
      </c>
      <c r="F30" s="18"/>
      <c r="G30" s="19"/>
      <c r="H30" s="20"/>
      <c r="I30" s="18">
        <f t="shared" si="0"/>
        <v>19.600000000000001</v>
      </c>
      <c r="J30" s="19">
        <f t="shared" si="1"/>
        <v>20.965601428070691</v>
      </c>
      <c r="K30" s="20">
        <f t="shared" si="2"/>
        <v>2011</v>
      </c>
      <c r="M30" s="21">
        <f t="shared" si="3"/>
        <v>2.9755295662364718</v>
      </c>
      <c r="N30" s="21">
        <f t="shared" si="4"/>
        <v>3.042883067455266</v>
      </c>
    </row>
    <row r="31" spans="1:18" x14ac:dyDescent="0.2">
      <c r="A31" s="25">
        <f>'GF + UG Iteration 5'!A31</f>
        <v>340</v>
      </c>
      <c r="B31" s="25" t="str">
        <f>'GF + UG Iteration 5'!B31</f>
        <v>GF</v>
      </c>
      <c r="C31" s="18">
        <f>'GF + UG Iteration 5'!C31</f>
        <v>22</v>
      </c>
      <c r="D31" s="19">
        <f>'GF + UG Iteration 5'!D31</f>
        <v>13.309615571039751</v>
      </c>
      <c r="E31" s="30">
        <f>'GF + UG Iteration 5'!E31</f>
        <v>2003</v>
      </c>
      <c r="F31" s="18"/>
      <c r="G31" s="19"/>
      <c r="H31" s="20"/>
      <c r="I31" s="18">
        <f t="shared" si="0"/>
        <v>22</v>
      </c>
      <c r="J31" s="19">
        <f t="shared" si="1"/>
        <v>13.309615571039751</v>
      </c>
      <c r="K31" s="20">
        <f t="shared" si="2"/>
        <v>2003</v>
      </c>
      <c r="M31" s="21">
        <f t="shared" si="3"/>
        <v>3.0910424533583161</v>
      </c>
      <c r="N31" s="21">
        <f t="shared" si="4"/>
        <v>2.5884867492731334</v>
      </c>
    </row>
    <row r="32" spans="1:18" x14ac:dyDescent="0.2">
      <c r="A32" s="25">
        <f>'GF + UG Iteration 5'!A32</f>
        <v>334</v>
      </c>
      <c r="B32" s="25" t="str">
        <f>'GF + UG Iteration 5'!B32</f>
        <v>GF</v>
      </c>
      <c r="C32" s="18">
        <f>'GF + UG Iteration 5'!C32</f>
        <v>18.8</v>
      </c>
      <c r="D32" s="19">
        <f>'GF + UG Iteration 5'!D32</f>
        <v>7.9463711126733889</v>
      </c>
      <c r="E32" s="30">
        <f>'GF + UG Iteration 5'!E32</f>
        <v>2003</v>
      </c>
      <c r="F32" s="18"/>
      <c r="G32" s="19"/>
      <c r="H32" s="20"/>
      <c r="I32" s="18">
        <f t="shared" si="0"/>
        <v>18.8</v>
      </c>
      <c r="J32" s="19">
        <f t="shared" si="1"/>
        <v>7.9463711126733889</v>
      </c>
      <c r="K32" s="20">
        <f t="shared" si="2"/>
        <v>2003</v>
      </c>
      <c r="M32" s="21">
        <f t="shared" si="3"/>
        <v>2.9338568698359038</v>
      </c>
      <c r="N32" s="21">
        <f t="shared" si="4"/>
        <v>2.072715360640252</v>
      </c>
    </row>
    <row r="33" spans="1:14" x14ac:dyDescent="0.2">
      <c r="A33" s="25">
        <f>'GF + UG Iteration 5'!A33</f>
        <v>343</v>
      </c>
      <c r="B33" s="25" t="str">
        <f>'GF + UG Iteration 5'!B33</f>
        <v>GF</v>
      </c>
      <c r="C33" s="18">
        <f>'GF + UG Iteration 5'!C33</f>
        <v>15.6</v>
      </c>
      <c r="D33" s="19">
        <f>'GF + UG Iteration 5'!D33</f>
        <v>13.99971574022935</v>
      </c>
      <c r="E33" s="30">
        <f>'GF + UG Iteration 5'!E33</f>
        <v>2003</v>
      </c>
      <c r="F33" s="18"/>
      <c r="G33" s="19"/>
      <c r="H33" s="20"/>
      <c r="I33" s="18">
        <f t="shared" si="0"/>
        <v>15.6</v>
      </c>
      <c r="J33" s="19">
        <f t="shared" si="1"/>
        <v>13.99971574022935</v>
      </c>
      <c r="K33" s="20">
        <f t="shared" si="2"/>
        <v>2003</v>
      </c>
      <c r="M33" s="21">
        <f t="shared" si="3"/>
        <v>2.7472709142554912</v>
      </c>
      <c r="N33" s="21">
        <f t="shared" si="4"/>
        <v>2.6390370251397921</v>
      </c>
    </row>
    <row r="34" spans="1:14" x14ac:dyDescent="0.2">
      <c r="A34" s="25">
        <f>'GF + UG Iteration 5'!A34</f>
        <v>358</v>
      </c>
      <c r="B34" s="25" t="str">
        <f>'GF + UG Iteration 5'!B34</f>
        <v>GF</v>
      </c>
      <c r="C34" s="18">
        <f>'GF + UG Iteration 5'!C34</f>
        <v>19.8</v>
      </c>
      <c r="D34" s="19">
        <f>'GF + UG Iteration 5'!D34</f>
        <v>7.2248521864398549</v>
      </c>
      <c r="E34" s="30">
        <f>'GF + UG Iteration 5'!E34</f>
        <v>2003</v>
      </c>
      <c r="F34" s="18"/>
      <c r="G34" s="19"/>
      <c r="H34" s="20"/>
      <c r="I34" s="18">
        <f t="shared" si="0"/>
        <v>19.8</v>
      </c>
      <c r="J34" s="19">
        <f t="shared" si="1"/>
        <v>7.2248521864398549</v>
      </c>
      <c r="K34" s="20">
        <f t="shared" si="2"/>
        <v>2003</v>
      </c>
      <c r="M34" s="21">
        <f t="shared" si="3"/>
        <v>2.9856819377004897</v>
      </c>
      <c r="N34" s="21">
        <f t="shared" si="4"/>
        <v>1.9775267751649739</v>
      </c>
    </row>
    <row r="35" spans="1:14" x14ac:dyDescent="0.2">
      <c r="A35" s="25">
        <f>'GF + UG Iteration 5'!A35</f>
        <v>702</v>
      </c>
      <c r="B35" s="25" t="str">
        <f>'GF + UG Iteration 5'!B35</f>
        <v>GF</v>
      </c>
      <c r="C35" s="18">
        <f>'GF + UG Iteration 5'!C35</f>
        <v>28.4</v>
      </c>
      <c r="D35" s="19">
        <f>'GF + UG Iteration 5'!D35</f>
        <v>5.2101531080390755</v>
      </c>
      <c r="E35" s="30">
        <f>'GF + UG Iteration 5'!E35</f>
        <v>2007</v>
      </c>
      <c r="F35" s="18"/>
      <c r="G35" s="19"/>
      <c r="H35" s="20"/>
      <c r="I35" s="18">
        <f t="shared" si="0"/>
        <v>28.4</v>
      </c>
      <c r="J35" s="19">
        <f t="shared" si="1"/>
        <v>5.2101531080390755</v>
      </c>
      <c r="K35" s="20">
        <f t="shared" si="2"/>
        <v>2007</v>
      </c>
      <c r="M35" s="21">
        <f t="shared" si="3"/>
        <v>3.3463891451671604</v>
      </c>
      <c r="N35" s="21">
        <f t="shared" si="4"/>
        <v>1.6506092426730299</v>
      </c>
    </row>
    <row r="36" spans="1:14" x14ac:dyDescent="0.2">
      <c r="A36" s="25">
        <f>'GF + UG Iteration 5'!A36</f>
        <v>526</v>
      </c>
      <c r="B36" s="25" t="str">
        <f>'GF + UG Iteration 5'!B36</f>
        <v>GF</v>
      </c>
      <c r="C36" s="18">
        <f>'GF + UG Iteration 5'!C36</f>
        <v>19</v>
      </c>
      <c r="D36" s="19">
        <f>'GF + UG Iteration 5'!D36</f>
        <v>13.758834109767626</v>
      </c>
      <c r="E36" s="30">
        <f>'GF + UG Iteration 5'!E36</f>
        <v>2007</v>
      </c>
      <c r="F36" s="18"/>
      <c r="G36" s="19"/>
      <c r="H36" s="20"/>
      <c r="I36" s="18">
        <f t="shared" si="0"/>
        <v>19</v>
      </c>
      <c r="J36" s="19">
        <f t="shared" si="1"/>
        <v>13.758834109767626</v>
      </c>
      <c r="K36" s="20">
        <f t="shared" si="2"/>
        <v>2007</v>
      </c>
      <c r="M36" s="21">
        <f t="shared" si="3"/>
        <v>2.9444389791664403</v>
      </c>
      <c r="N36" s="21">
        <f t="shared" si="4"/>
        <v>2.6216810985205803</v>
      </c>
    </row>
    <row r="37" spans="1:14" x14ac:dyDescent="0.2">
      <c r="A37" s="25">
        <f>'GF + UG Iteration 5'!A37</f>
        <v>288</v>
      </c>
      <c r="B37" s="25" t="str">
        <f>'GF + UG Iteration 5'!B37</f>
        <v>GF</v>
      </c>
      <c r="C37" s="18">
        <f>'GF + UG Iteration 5'!C37</f>
        <v>12</v>
      </c>
      <c r="D37" s="19">
        <f>'GF + UG Iteration 5'!D37</f>
        <v>4.4533584840568787</v>
      </c>
      <c r="E37" s="30">
        <f>'GF + UG Iteration 5'!E37</f>
        <v>2001</v>
      </c>
      <c r="F37" s="18"/>
      <c r="G37" s="19"/>
      <c r="H37" s="20"/>
      <c r="I37" s="18">
        <f t="shared" si="0"/>
        <v>12</v>
      </c>
      <c r="J37" s="19">
        <f t="shared" si="1"/>
        <v>4.4533584840568787</v>
      </c>
      <c r="K37" s="20">
        <f t="shared" si="2"/>
        <v>2001</v>
      </c>
      <c r="M37" s="21">
        <f t="shared" si="3"/>
        <v>2.4849066497880004</v>
      </c>
      <c r="N37" s="21">
        <f t="shared" si="4"/>
        <v>1.4936585270420049</v>
      </c>
    </row>
    <row r="38" spans="1:14" x14ac:dyDescent="0.2">
      <c r="A38" s="25">
        <f>'GF + UG Iteration 5'!A38</f>
        <v>851</v>
      </c>
      <c r="B38" s="25" t="str">
        <f>'GF + UG Iteration 5'!B38</f>
        <v>GF</v>
      </c>
      <c r="C38" s="18">
        <f>'GF + UG Iteration 5'!C38</f>
        <v>25</v>
      </c>
      <c r="D38" s="19">
        <f>'GF + UG Iteration 5'!D38</f>
        <v>12.931754132918639</v>
      </c>
      <c r="E38" s="30">
        <f>'GF + UG Iteration 5'!E38</f>
        <v>2007</v>
      </c>
      <c r="F38" s="18"/>
      <c r="G38" s="19"/>
      <c r="H38" s="20"/>
      <c r="I38" s="18">
        <f t="shared" si="0"/>
        <v>25</v>
      </c>
      <c r="J38" s="19">
        <f t="shared" si="1"/>
        <v>12.931754132918639</v>
      </c>
      <c r="K38" s="20">
        <f t="shared" si="2"/>
        <v>2007</v>
      </c>
      <c r="M38" s="21">
        <f t="shared" si="3"/>
        <v>3.2188758248682006</v>
      </c>
      <c r="N38" s="21">
        <f t="shared" si="4"/>
        <v>2.5596858473810773</v>
      </c>
    </row>
    <row r="39" spans="1:14" x14ac:dyDescent="0.2">
      <c r="A39" s="25">
        <f>'GF + UG Iteration 5'!A39</f>
        <v>648</v>
      </c>
      <c r="B39" s="25" t="str">
        <f>'GF + UG Iteration 5'!B39</f>
        <v>GF</v>
      </c>
      <c r="C39" s="18">
        <f>'GF + UG Iteration 5'!C39</f>
        <v>15</v>
      </c>
      <c r="D39" s="19">
        <f>'GF + UG Iteration 5'!D39</f>
        <v>14.973718181093032</v>
      </c>
      <c r="E39" s="30">
        <f>'GF + UG Iteration 5'!E39</f>
        <v>2007</v>
      </c>
      <c r="F39" s="18"/>
      <c r="G39" s="19"/>
      <c r="H39" s="20"/>
      <c r="I39" s="18">
        <f t="shared" si="0"/>
        <v>15</v>
      </c>
      <c r="J39" s="19">
        <f t="shared" si="1"/>
        <v>14.973718181093032</v>
      </c>
      <c r="K39" s="20">
        <f t="shared" si="2"/>
        <v>2007</v>
      </c>
      <c r="M39" s="21">
        <f t="shared" si="3"/>
        <v>2.7080502011022101</v>
      </c>
      <c r="N39" s="21">
        <f t="shared" si="4"/>
        <v>2.7062965430819679</v>
      </c>
    </row>
    <row r="40" spans="1:14" x14ac:dyDescent="0.2">
      <c r="A40" s="25">
        <f>'GF + UG Iteration 5'!A40</f>
        <v>855</v>
      </c>
      <c r="B40" s="25" t="str">
        <f>'GF + UG Iteration 5'!B40</f>
        <v>GF</v>
      </c>
      <c r="C40" s="18">
        <f>'GF + UG Iteration 5'!C40</f>
        <v>23</v>
      </c>
      <c r="D40" s="19">
        <f>'GF + UG Iteration 5'!D40</f>
        <v>28.66706963950903</v>
      </c>
      <c r="E40" s="30">
        <f>'GF + UG Iteration 5'!E40</f>
        <v>2011</v>
      </c>
      <c r="F40" s="18"/>
      <c r="G40" s="19"/>
      <c r="H40" s="20"/>
      <c r="I40" s="18">
        <f t="shared" si="0"/>
        <v>23</v>
      </c>
      <c r="J40" s="19">
        <f t="shared" si="1"/>
        <v>28.66706963950903</v>
      </c>
      <c r="K40" s="20">
        <f t="shared" si="2"/>
        <v>2011</v>
      </c>
      <c r="M40" s="21">
        <f t="shared" si="3"/>
        <v>3.1354942159291497</v>
      </c>
      <c r="N40" s="21">
        <f t="shared" si="4"/>
        <v>3.355749064678772</v>
      </c>
    </row>
    <row r="41" spans="1:14" x14ac:dyDescent="0.2">
      <c r="A41" s="25">
        <f>'GF + UG Iteration 5'!A41</f>
        <v>700</v>
      </c>
      <c r="B41" s="25" t="str">
        <f>'GF + UG Iteration 5'!B41</f>
        <v>GF</v>
      </c>
      <c r="C41" s="18">
        <f>'GF + UG Iteration 5'!C41</f>
        <v>9.8000000000000007</v>
      </c>
      <c r="D41" s="19">
        <f>'GF + UG Iteration 5'!D41</f>
        <v>7.0657947644327148</v>
      </c>
      <c r="E41" s="30">
        <f>'GF + UG Iteration 5'!E41</f>
        <v>2007</v>
      </c>
      <c r="F41" s="18"/>
      <c r="G41" s="19"/>
      <c r="H41" s="20"/>
      <c r="I41" s="18">
        <f t="shared" si="0"/>
        <v>9.8000000000000007</v>
      </c>
      <c r="J41" s="19">
        <f t="shared" si="1"/>
        <v>7.0657947644327148</v>
      </c>
      <c r="K41" s="20">
        <f t="shared" si="2"/>
        <v>2007</v>
      </c>
      <c r="M41" s="21">
        <f t="shared" si="3"/>
        <v>2.2823823856765264</v>
      </c>
      <c r="N41" s="21">
        <f t="shared" si="4"/>
        <v>1.9552655030060266</v>
      </c>
    </row>
    <row r="42" spans="1:14" x14ac:dyDescent="0.2">
      <c r="A42" s="25">
        <f>'GF + UG Iteration 5'!A42</f>
        <v>683</v>
      </c>
      <c r="B42" s="25" t="str">
        <f>'GF + UG Iteration 5'!B42</f>
        <v>GF</v>
      </c>
      <c r="C42" s="18">
        <f>'GF + UG Iteration 5'!C42</f>
        <v>30</v>
      </c>
      <c r="D42" s="19">
        <f>'GF + UG Iteration 5'!D42</f>
        <v>16.03232257186292</v>
      </c>
      <c r="E42" s="30">
        <f>'GF + UG Iteration 5'!E42</f>
        <v>2011</v>
      </c>
      <c r="F42" s="18"/>
      <c r="G42" s="19"/>
      <c r="H42" s="20"/>
      <c r="I42" s="18">
        <f t="shared" si="0"/>
        <v>30</v>
      </c>
      <c r="J42" s="19">
        <f t="shared" si="1"/>
        <v>16.03232257186292</v>
      </c>
      <c r="K42" s="20">
        <f t="shared" si="2"/>
        <v>2011</v>
      </c>
      <c r="M42" s="21">
        <f t="shared" si="3"/>
        <v>3.4011973816621555</v>
      </c>
      <c r="N42" s="21">
        <f t="shared" si="4"/>
        <v>2.7746068452004713</v>
      </c>
    </row>
    <row r="43" spans="1:14" x14ac:dyDescent="0.2">
      <c r="A43" s="25">
        <f>'GF + UG Iteration 5'!A43</f>
        <v>559</v>
      </c>
      <c r="B43" s="25" t="str">
        <f>'GF + UG Iteration 5'!B43</f>
        <v>GF</v>
      </c>
      <c r="C43" s="18">
        <f>'GF + UG Iteration 5'!C43</f>
        <v>115</v>
      </c>
      <c r="D43" s="19">
        <f>'GF + UG Iteration 5'!D43</f>
        <v>56.859498956472109</v>
      </c>
      <c r="E43" s="30">
        <f>'GF + UG Iteration 5'!E43</f>
        <v>2011</v>
      </c>
      <c r="F43" s="18"/>
      <c r="G43" s="19"/>
      <c r="H43" s="20"/>
      <c r="I43" s="18">
        <f t="shared" si="0"/>
        <v>115</v>
      </c>
      <c r="J43" s="19">
        <f t="shared" si="1"/>
        <v>56.859498956472109</v>
      </c>
      <c r="K43" s="20">
        <f t="shared" si="2"/>
        <v>2011</v>
      </c>
      <c r="M43" s="21">
        <f t="shared" si="3"/>
        <v>4.7449321283632502</v>
      </c>
      <c r="N43" s="21">
        <f t="shared" si="4"/>
        <v>4.0405832943034818</v>
      </c>
    </row>
    <row r="44" spans="1:14" x14ac:dyDescent="0.2">
      <c r="A44" s="25">
        <f>'GF + UG Iteration 5'!A44</f>
        <v>1074</v>
      </c>
      <c r="B44" s="25" t="str">
        <f>'GF + UG Iteration 5'!B44</f>
        <v>GF</v>
      </c>
      <c r="C44" s="18">
        <f>'GF + UG Iteration 5'!C44</f>
        <v>67</v>
      </c>
      <c r="D44" s="19">
        <f>'GF + UG Iteration 5'!D44</f>
        <v>43.13883453102715</v>
      </c>
      <c r="E44" s="30">
        <f>'GF + UG Iteration 5'!E44</f>
        <v>2011</v>
      </c>
      <c r="F44" s="18"/>
      <c r="G44" s="19"/>
      <c r="H44" s="20"/>
      <c r="I44" s="18">
        <f t="shared" si="0"/>
        <v>67</v>
      </c>
      <c r="J44" s="19">
        <f t="shared" si="1"/>
        <v>43.13883453102715</v>
      </c>
      <c r="K44" s="20">
        <f t="shared" si="2"/>
        <v>2011</v>
      </c>
      <c r="M44" s="21">
        <f t="shared" si="3"/>
        <v>4.2046926193909657</v>
      </c>
      <c r="N44" s="21">
        <f t="shared" si="4"/>
        <v>3.7644236246254454</v>
      </c>
    </row>
    <row r="45" spans="1:14" x14ac:dyDescent="0.2">
      <c r="A45" s="25">
        <f>'GF + UG Iteration 5'!A45</f>
        <v>34</v>
      </c>
      <c r="B45" s="25" t="str">
        <f>'GF + UG Iteration 5'!B45</f>
        <v>GF</v>
      </c>
      <c r="C45" s="18">
        <f>'GF + UG Iteration 5'!C45</f>
        <v>16</v>
      </c>
      <c r="D45" s="19">
        <f>'GF + UG Iteration 5'!D45</f>
        <v>7.5134124542159286</v>
      </c>
      <c r="E45" s="30">
        <f>'GF + UG Iteration 5'!E45</f>
        <v>2000</v>
      </c>
      <c r="F45" s="18"/>
      <c r="G45" s="19"/>
      <c r="H45" s="20"/>
      <c r="I45" s="18">
        <f t="shared" si="0"/>
        <v>16</v>
      </c>
      <c r="J45" s="19">
        <f t="shared" si="1"/>
        <v>7.5134124542159286</v>
      </c>
      <c r="K45" s="20">
        <f t="shared" si="2"/>
        <v>2000</v>
      </c>
      <c r="M45" s="21">
        <f t="shared" si="3"/>
        <v>2.7725887222397811</v>
      </c>
      <c r="N45" s="21">
        <f t="shared" si="4"/>
        <v>2.0166897506177883</v>
      </c>
    </row>
    <row r="46" spans="1:14" x14ac:dyDescent="0.2">
      <c r="A46" s="25">
        <f>'GF + UG Iteration 5'!A46</f>
        <v>433</v>
      </c>
      <c r="B46" s="25" t="str">
        <f>'GF + UG Iteration 5'!B46</f>
        <v>GF</v>
      </c>
      <c r="C46" s="18">
        <f>'GF + UG Iteration 5'!C46</f>
        <v>25</v>
      </c>
      <c r="D46" s="19">
        <f>'GF + UG Iteration 5'!D46</f>
        <v>22.308265318441425</v>
      </c>
      <c r="E46" s="30">
        <f>'GF + UG Iteration 5'!E46</f>
        <v>2003</v>
      </c>
      <c r="F46" s="18"/>
      <c r="G46" s="19"/>
      <c r="H46" s="20"/>
      <c r="I46" s="18">
        <f t="shared" si="0"/>
        <v>25</v>
      </c>
      <c r="J46" s="19">
        <f t="shared" si="1"/>
        <v>22.308265318441425</v>
      </c>
      <c r="K46" s="20">
        <f t="shared" si="2"/>
        <v>2003</v>
      </c>
      <c r="M46" s="21">
        <f t="shared" si="3"/>
        <v>3.2188758248682006</v>
      </c>
      <c r="N46" s="21">
        <f t="shared" si="4"/>
        <v>3.1049572518778392</v>
      </c>
    </row>
    <row r="47" spans="1:14" x14ac:dyDescent="0.2">
      <c r="A47" s="25" t="str">
        <f>'GF + UG Iteration 5'!A47</f>
        <v>79A</v>
      </c>
      <c r="B47" s="25" t="str">
        <f>'GF + UG Iteration 5'!B47</f>
        <v>GF</v>
      </c>
      <c r="C47" s="18">
        <f>'GF + UG Iteration 5'!C47</f>
        <v>8</v>
      </c>
      <c r="D47" s="19">
        <f>'GF + UG Iteration 5'!D47</f>
        <v>5.0823375539699818</v>
      </c>
      <c r="E47" s="30">
        <f>'GF + UG Iteration 5'!E47</f>
        <v>2000</v>
      </c>
      <c r="F47" s="18"/>
      <c r="G47" s="19"/>
      <c r="H47" s="20"/>
      <c r="I47" s="18">
        <f t="shared" si="0"/>
        <v>8</v>
      </c>
      <c r="J47" s="19">
        <f t="shared" si="1"/>
        <v>5.0823375539699818</v>
      </c>
      <c r="K47" s="20">
        <f t="shared" si="2"/>
        <v>2000</v>
      </c>
      <c r="M47" s="21">
        <f t="shared" si="3"/>
        <v>2.0794415416798357</v>
      </c>
      <c r="N47" s="21">
        <f t="shared" si="4"/>
        <v>1.62577130417386</v>
      </c>
    </row>
    <row r="48" spans="1:14" x14ac:dyDescent="0.2">
      <c r="A48" s="25" t="str">
        <f>'GF + UG Iteration 5'!A48</f>
        <v>10A</v>
      </c>
      <c r="B48" s="25" t="str">
        <f>'GF + UG Iteration 5'!B48</f>
        <v>GF</v>
      </c>
      <c r="C48" s="18">
        <f>'GF + UG Iteration 5'!C48</f>
        <v>6.2</v>
      </c>
      <c r="D48" s="19">
        <f>'GF + UG Iteration 5'!D48</f>
        <v>8.9160103759227685</v>
      </c>
      <c r="E48" s="30">
        <f>'GF + UG Iteration 5'!E48</f>
        <v>2001</v>
      </c>
      <c r="F48" s="18"/>
      <c r="G48" s="19"/>
      <c r="H48" s="20"/>
      <c r="I48" s="18">
        <f t="shared" si="0"/>
        <v>6.2</v>
      </c>
      <c r="J48" s="19">
        <f t="shared" si="1"/>
        <v>8.9160103759227685</v>
      </c>
      <c r="K48" s="20">
        <f t="shared" si="2"/>
        <v>2001</v>
      </c>
      <c r="M48" s="21">
        <f t="shared" si="3"/>
        <v>1.824549292051046</v>
      </c>
      <c r="N48" s="21">
        <f t="shared" si="4"/>
        <v>2.1878485792648439</v>
      </c>
    </row>
    <row r="49" spans="1:14" x14ac:dyDescent="0.2">
      <c r="A49" s="25">
        <f>'GF + UG Iteration 5'!A49</f>
        <v>345</v>
      </c>
      <c r="B49" s="25" t="str">
        <f>'GF + UG Iteration 5'!B49</f>
        <v>GF</v>
      </c>
      <c r="C49" s="18">
        <f>'GF + UG Iteration 5'!C49</f>
        <v>35</v>
      </c>
      <c r="D49" s="19">
        <f>'GF + UG Iteration 5'!D49</f>
        <v>8.3689831482940882</v>
      </c>
      <c r="E49" s="30">
        <f>'GF + UG Iteration 5'!E49</f>
        <v>2003</v>
      </c>
      <c r="F49" s="18"/>
      <c r="G49" s="19"/>
      <c r="H49" s="20"/>
      <c r="I49" s="18">
        <f t="shared" si="0"/>
        <v>35</v>
      </c>
      <c r="J49" s="19">
        <f t="shared" si="1"/>
        <v>8.3689831482940882</v>
      </c>
      <c r="K49" s="20">
        <f t="shared" si="2"/>
        <v>2003</v>
      </c>
      <c r="M49" s="21">
        <f t="shared" si="3"/>
        <v>3.5553480614894135</v>
      </c>
      <c r="N49" s="21">
        <f t="shared" si="4"/>
        <v>2.1245323894621508</v>
      </c>
    </row>
    <row r="50" spans="1:14" x14ac:dyDescent="0.2">
      <c r="A50" s="25">
        <f>'GF + UG Iteration 5'!A50</f>
        <v>1049</v>
      </c>
      <c r="B50" s="25" t="str">
        <f>'GF + UG Iteration 5'!B50</f>
        <v>GF</v>
      </c>
      <c r="C50" s="18">
        <f>'GF + UG Iteration 5'!C50</f>
        <v>15.2</v>
      </c>
      <c r="D50" s="19">
        <f>'GF + UG Iteration 5'!D50</f>
        <v>54.551770509232071</v>
      </c>
      <c r="E50" s="30">
        <f>'GF + UG Iteration 5'!E50</f>
        <v>2011</v>
      </c>
      <c r="F50" s="18"/>
      <c r="G50" s="19"/>
      <c r="H50" s="20"/>
      <c r="I50" s="18">
        <f t="shared" si="0"/>
        <v>15.2</v>
      </c>
      <c r="J50" s="19">
        <f t="shared" si="1"/>
        <v>54.551770509232071</v>
      </c>
      <c r="K50" s="20">
        <f t="shared" si="2"/>
        <v>2011</v>
      </c>
      <c r="M50" s="21">
        <f t="shared" si="3"/>
        <v>2.7212954278522306</v>
      </c>
      <c r="N50" s="21">
        <f t="shared" si="4"/>
        <v>3.9991501683835766</v>
      </c>
    </row>
    <row r="51" spans="1:14" x14ac:dyDescent="0.2">
      <c r="A51" s="25">
        <f>'GF + UG Iteration 5'!A51</f>
        <v>230</v>
      </c>
      <c r="B51" s="25" t="str">
        <f>'GF + UG Iteration 5'!B51</f>
        <v>GF</v>
      </c>
      <c r="C51" s="18">
        <f>'GF + UG Iteration 5'!C51</f>
        <v>17</v>
      </c>
      <c r="D51" s="19">
        <f>'GF + UG Iteration 5'!D51</f>
        <v>10.739901169983137</v>
      </c>
      <c r="E51" s="30">
        <f>'GF + UG Iteration 5'!E51</f>
        <v>2003</v>
      </c>
      <c r="F51" s="18"/>
      <c r="G51" s="19"/>
      <c r="H51" s="20"/>
      <c r="I51" s="18">
        <f t="shared" si="0"/>
        <v>17</v>
      </c>
      <c r="J51" s="19">
        <f t="shared" si="1"/>
        <v>10.739901169983137</v>
      </c>
      <c r="K51" s="20">
        <f t="shared" si="2"/>
        <v>2003</v>
      </c>
      <c r="M51" s="21">
        <f t="shared" si="3"/>
        <v>2.8332133440562162</v>
      </c>
      <c r="N51" s="21">
        <f t="shared" si="4"/>
        <v>2.3739658869883922</v>
      </c>
    </row>
    <row r="52" spans="1:14" x14ac:dyDescent="0.2">
      <c r="A52" s="25" t="str">
        <f>'GF + UG Iteration 5'!A52</f>
        <v>79B</v>
      </c>
      <c r="B52" s="25" t="str">
        <f>'GF + UG Iteration 5'!B52</f>
        <v>GF</v>
      </c>
      <c r="C52" s="18">
        <f>'GF + UG Iteration 5'!C52</f>
        <v>8</v>
      </c>
      <c r="D52" s="19">
        <f>'GF + UG Iteration 5'!D52</f>
        <v>3.3788339951362953</v>
      </c>
      <c r="E52" s="30">
        <f>'GF + UG Iteration 5'!E52</f>
        <v>2000</v>
      </c>
      <c r="F52" s="18"/>
      <c r="G52" s="19"/>
      <c r="H52" s="20"/>
      <c r="I52" s="18">
        <f t="shared" si="0"/>
        <v>8</v>
      </c>
      <c r="J52" s="19">
        <f t="shared" si="1"/>
        <v>3.3788339951362953</v>
      </c>
      <c r="K52" s="20">
        <f t="shared" si="2"/>
        <v>2000</v>
      </c>
      <c r="M52" s="21">
        <f t="shared" si="3"/>
        <v>2.0794415416798357</v>
      </c>
      <c r="N52" s="21">
        <f t="shared" si="4"/>
        <v>1.2175306781252826</v>
      </c>
    </row>
    <row r="53" spans="1:14" x14ac:dyDescent="0.2">
      <c r="A53" s="25" t="str">
        <f>'GF + UG Iteration 5'!A53</f>
        <v>10B</v>
      </c>
      <c r="B53" s="25" t="str">
        <f>'GF + UG Iteration 5'!B53</f>
        <v>GF</v>
      </c>
      <c r="C53" s="18">
        <f>'GF + UG Iteration 5'!C53</f>
        <v>9.4060000000000006</v>
      </c>
      <c r="D53" s="19">
        <f>'GF + UG Iteration 5'!D53</f>
        <v>9.7991326901064184</v>
      </c>
      <c r="E53" s="30">
        <f>'GF + UG Iteration 5'!E53</f>
        <v>2001</v>
      </c>
      <c r="F53" s="18"/>
      <c r="G53" s="19"/>
      <c r="H53" s="20"/>
      <c r="I53" s="18">
        <f t="shared" si="0"/>
        <v>9.4060000000000006</v>
      </c>
      <c r="J53" s="19">
        <f t="shared" si="1"/>
        <v>9.7991326901064184</v>
      </c>
      <c r="K53" s="20">
        <f t="shared" si="2"/>
        <v>2001</v>
      </c>
      <c r="M53" s="21">
        <f t="shared" si="3"/>
        <v>2.2413477835228561</v>
      </c>
      <c r="N53" s="21">
        <f t="shared" si="4"/>
        <v>2.2822938807505317</v>
      </c>
    </row>
    <row r="54" spans="1:14" x14ac:dyDescent="0.2">
      <c r="A54" s="25">
        <f>'GF + UG Iteration 5'!A54</f>
        <v>8</v>
      </c>
      <c r="B54" s="25" t="str">
        <f>'GF + UG Iteration 5'!B54</f>
        <v>GF</v>
      </c>
      <c r="C54" s="18">
        <f>'GF + UG Iteration 5'!C54</f>
        <v>18</v>
      </c>
      <c r="D54" s="19">
        <f>'GF + UG Iteration 5'!D54</f>
        <v>11.984110505191126</v>
      </c>
      <c r="E54" s="30">
        <f>'GF + UG Iteration 5'!E54</f>
        <v>2000</v>
      </c>
      <c r="F54" s="18"/>
      <c r="G54" s="19"/>
      <c r="H54" s="20"/>
      <c r="I54" s="18">
        <f t="shared" si="0"/>
        <v>18</v>
      </c>
      <c r="J54" s="19">
        <f t="shared" si="1"/>
        <v>11.984110505191126</v>
      </c>
      <c r="K54" s="20">
        <f t="shared" si="2"/>
        <v>2000</v>
      </c>
      <c r="M54" s="21">
        <f t="shared" si="3"/>
        <v>2.8903717578961645</v>
      </c>
      <c r="N54" s="21">
        <f t="shared" si="4"/>
        <v>2.4835816477930246</v>
      </c>
    </row>
    <row r="55" spans="1:14" x14ac:dyDescent="0.2">
      <c r="A55" s="25">
        <f>'GF + UG Iteration 5'!A55</f>
        <v>487</v>
      </c>
      <c r="B55" s="25" t="str">
        <f>'GF + UG Iteration 5'!B55</f>
        <v>GF</v>
      </c>
      <c r="C55" s="18">
        <f>'GF + UG Iteration 5'!C55</f>
        <v>22</v>
      </c>
      <c r="D55" s="19">
        <f>'GF + UG Iteration 5'!D55</f>
        <v>16.606728766354362</v>
      </c>
      <c r="E55" s="30">
        <f>'GF + UG Iteration 5'!E55</f>
        <v>2007</v>
      </c>
      <c r="F55" s="18"/>
      <c r="G55" s="19"/>
      <c r="H55" s="20"/>
      <c r="I55" s="18">
        <f t="shared" si="0"/>
        <v>22</v>
      </c>
      <c r="J55" s="19">
        <f t="shared" si="1"/>
        <v>16.606728766354362</v>
      </c>
      <c r="K55" s="20">
        <f t="shared" si="2"/>
        <v>2007</v>
      </c>
      <c r="M55" s="21">
        <f t="shared" si="3"/>
        <v>3.0910424533583161</v>
      </c>
      <c r="N55" s="21">
        <f t="shared" si="4"/>
        <v>2.8098079606021904</v>
      </c>
    </row>
    <row r="56" spans="1:14" x14ac:dyDescent="0.2">
      <c r="A56" s="25">
        <f>'GF + UG Iteration 5'!A56</f>
        <v>385</v>
      </c>
      <c r="B56" s="25" t="str">
        <f>'GF + UG Iteration 5'!B56</f>
        <v>GF</v>
      </c>
      <c r="C56" s="18">
        <f>'GF + UG Iteration 5'!C56</f>
        <v>7.5</v>
      </c>
      <c r="D56" s="19">
        <f>'GF + UG Iteration 5'!D56</f>
        <v>8.5880709825089685</v>
      </c>
      <c r="E56" s="30">
        <f>'GF + UG Iteration 5'!E56</f>
        <v>2003</v>
      </c>
      <c r="F56" s="18"/>
      <c r="G56" s="19"/>
      <c r="H56" s="20"/>
      <c r="I56" s="18">
        <f t="shared" si="0"/>
        <v>7.5</v>
      </c>
      <c r="J56" s="19">
        <f t="shared" si="1"/>
        <v>8.5880709825089685</v>
      </c>
      <c r="K56" s="20">
        <f t="shared" si="2"/>
        <v>2003</v>
      </c>
      <c r="M56" s="21">
        <f t="shared" si="3"/>
        <v>2.0149030205422647</v>
      </c>
      <c r="N56" s="21">
        <f t="shared" si="4"/>
        <v>2.1503741452954848</v>
      </c>
    </row>
    <row r="57" spans="1:14" x14ac:dyDescent="0.2">
      <c r="A57" s="25">
        <f>'GF + UG Iteration 5'!A57</f>
        <v>865</v>
      </c>
      <c r="B57" s="25" t="str">
        <f>'GF + UG Iteration 5'!B57</f>
        <v>GF</v>
      </c>
      <c r="C57" s="18">
        <f>'GF + UG Iteration 5'!C57</f>
        <v>25</v>
      </c>
      <c r="D57" s="19">
        <f>'GF + UG Iteration 5'!D57</f>
        <v>8.6091983279462436</v>
      </c>
      <c r="E57" s="30">
        <f>'GF + UG Iteration 5'!E57</f>
        <v>2007</v>
      </c>
      <c r="F57" s="18"/>
      <c r="G57" s="19"/>
      <c r="H57" s="20"/>
      <c r="I57" s="18">
        <f t="shared" si="0"/>
        <v>25</v>
      </c>
      <c r="J57" s="19">
        <f t="shared" si="1"/>
        <v>8.6091983279462436</v>
      </c>
      <c r="K57" s="20">
        <f t="shared" si="2"/>
        <v>2007</v>
      </c>
      <c r="M57" s="21">
        <f t="shared" si="3"/>
        <v>3.2188758248682006</v>
      </c>
      <c r="N57" s="21">
        <f t="shared" si="4"/>
        <v>2.1528312046907798</v>
      </c>
    </row>
    <row r="58" spans="1:14" x14ac:dyDescent="0.2">
      <c r="A58" s="25">
        <f>'GF + UG Iteration 5'!A58</f>
        <v>863</v>
      </c>
      <c r="B58" s="25" t="str">
        <f>'GF + UG Iteration 5'!B58</f>
        <v>GF</v>
      </c>
      <c r="C58" s="18">
        <f>'GF + UG Iteration 5'!C58</f>
        <v>25</v>
      </c>
      <c r="D58" s="19">
        <f>'GF + UG Iteration 5'!D58</f>
        <v>8.2434360504581008</v>
      </c>
      <c r="E58" s="30">
        <f>'GF + UG Iteration 5'!E58</f>
        <v>2007</v>
      </c>
      <c r="F58" s="18"/>
      <c r="G58" s="19"/>
      <c r="H58" s="20"/>
      <c r="I58" s="18">
        <f t="shared" si="0"/>
        <v>25</v>
      </c>
      <c r="J58" s="19">
        <f t="shared" si="1"/>
        <v>8.2434360504581008</v>
      </c>
      <c r="K58" s="20">
        <f t="shared" si="2"/>
        <v>2007</v>
      </c>
      <c r="M58" s="21">
        <f t="shared" si="3"/>
        <v>3.2188758248682006</v>
      </c>
      <c r="N58" s="21">
        <f t="shared" si="4"/>
        <v>2.1094172534173556</v>
      </c>
    </row>
    <row r="59" spans="1:14" x14ac:dyDescent="0.2">
      <c r="A59" s="25">
        <f>'GF + UG Iteration 5'!A59</f>
        <v>527</v>
      </c>
      <c r="B59" s="25" t="str">
        <f>'GF + UG Iteration 5'!B59</f>
        <v>GF</v>
      </c>
      <c r="C59" s="18">
        <f>'GF + UG Iteration 5'!C59</f>
        <v>17</v>
      </c>
      <c r="D59" s="19">
        <f>'GF + UG Iteration 5'!D59</f>
        <v>6.9318595783251213</v>
      </c>
      <c r="E59" s="30">
        <f>'GF + UG Iteration 5'!E59</f>
        <v>2007</v>
      </c>
      <c r="F59" s="18"/>
      <c r="G59" s="19"/>
      <c r="H59" s="20"/>
      <c r="I59" s="18">
        <f t="shared" si="0"/>
        <v>17</v>
      </c>
      <c r="J59" s="19">
        <f t="shared" si="1"/>
        <v>6.9318595783251213</v>
      </c>
      <c r="K59" s="20">
        <f t="shared" si="2"/>
        <v>2007</v>
      </c>
      <c r="M59" s="21">
        <f t="shared" si="3"/>
        <v>2.8332133440562162</v>
      </c>
      <c r="N59" s="21">
        <f t="shared" si="4"/>
        <v>1.936128114626418</v>
      </c>
    </row>
    <row r="60" spans="1:14" x14ac:dyDescent="0.2">
      <c r="A60" s="25">
        <f>'GF + UG Iteration 5'!A60</f>
        <v>595</v>
      </c>
      <c r="B60" s="25" t="str">
        <f>'GF + UG Iteration 5'!B60</f>
        <v>GF</v>
      </c>
      <c r="C60" s="18">
        <f>'GF + UG Iteration 5'!C60</f>
        <v>11</v>
      </c>
      <c r="D60" s="19">
        <f>'GF + UG Iteration 5'!D60</f>
        <v>19.087371326529755</v>
      </c>
      <c r="E60" s="30">
        <f>'GF + UG Iteration 5'!E60</f>
        <v>2007</v>
      </c>
      <c r="F60" s="18"/>
      <c r="G60" s="19"/>
      <c r="H60" s="20"/>
      <c r="I60" s="18">
        <f t="shared" si="0"/>
        <v>11</v>
      </c>
      <c r="J60" s="19">
        <f t="shared" si="1"/>
        <v>19.087371326529755</v>
      </c>
      <c r="K60" s="20">
        <f t="shared" si="2"/>
        <v>2007</v>
      </c>
      <c r="M60" s="21">
        <f t="shared" si="3"/>
        <v>2.3978952727983707</v>
      </c>
      <c r="N60" s="21">
        <f t="shared" si="4"/>
        <v>2.9490269292793174</v>
      </c>
    </row>
    <row r="61" spans="1:14" x14ac:dyDescent="0.2">
      <c r="A61" s="25">
        <f>'GF + UG Iteration 5'!A61</f>
        <v>528</v>
      </c>
      <c r="B61" s="25" t="str">
        <f>'GF + UG Iteration 5'!B61</f>
        <v>GF</v>
      </c>
      <c r="C61" s="18">
        <f>'GF + UG Iteration 5'!C61</f>
        <v>17</v>
      </c>
      <c r="D61" s="19">
        <f>'GF + UG Iteration 5'!D61</f>
        <v>5.2657663175025586</v>
      </c>
      <c r="E61" s="30">
        <f>'GF + UG Iteration 5'!E61</f>
        <v>2007</v>
      </c>
      <c r="F61" s="18"/>
      <c r="G61" s="19"/>
      <c r="H61" s="20"/>
      <c r="I61" s="18">
        <f t="shared" si="0"/>
        <v>17</v>
      </c>
      <c r="J61" s="19">
        <f t="shared" si="1"/>
        <v>5.2657663175025586</v>
      </c>
      <c r="K61" s="20">
        <f t="shared" si="2"/>
        <v>2007</v>
      </c>
      <c r="M61" s="21">
        <f t="shared" si="3"/>
        <v>2.8332133440562162</v>
      </c>
      <c r="N61" s="21">
        <f t="shared" si="4"/>
        <v>1.6612266843778571</v>
      </c>
    </row>
    <row r="62" spans="1:14" x14ac:dyDescent="0.2">
      <c r="A62" s="25">
        <f>'GF + UG Iteration 5'!A62</f>
        <v>529</v>
      </c>
      <c r="B62" s="25" t="str">
        <f>'GF + UG Iteration 5'!B62</f>
        <v>GF</v>
      </c>
      <c r="C62" s="18">
        <f>'GF + UG Iteration 5'!C62</f>
        <v>17</v>
      </c>
      <c r="D62" s="19">
        <f>'GF + UG Iteration 5'!D62</f>
        <v>7.7921694439597555</v>
      </c>
      <c r="E62" s="30">
        <f>'GF + UG Iteration 5'!E62</f>
        <v>2007</v>
      </c>
      <c r="F62" s="18"/>
      <c r="G62" s="19"/>
      <c r="H62" s="20"/>
      <c r="I62" s="18">
        <f t="shared" si="0"/>
        <v>17</v>
      </c>
      <c r="J62" s="19">
        <f t="shared" si="1"/>
        <v>7.7921694439597555</v>
      </c>
      <c r="K62" s="20">
        <f t="shared" si="2"/>
        <v>2007</v>
      </c>
      <c r="M62" s="21">
        <f t="shared" si="3"/>
        <v>2.8332133440562162</v>
      </c>
      <c r="N62" s="21">
        <f t="shared" si="4"/>
        <v>2.0531193119918547</v>
      </c>
    </row>
    <row r="63" spans="1:14" x14ac:dyDescent="0.2">
      <c r="A63" s="25">
        <f>'GF + UG Iteration 5'!A63</f>
        <v>1095</v>
      </c>
      <c r="B63" s="25" t="str">
        <f>'GF + UG Iteration 5'!B63</f>
        <v>GF</v>
      </c>
      <c r="C63" s="18">
        <f>'GF + UG Iteration 5'!C63</f>
        <v>18</v>
      </c>
      <c r="D63" s="19">
        <f>'GF + UG Iteration 5'!D63</f>
        <v>11.923356574074873</v>
      </c>
      <c r="E63" s="30">
        <f>'GF + UG Iteration 5'!E63</f>
        <v>2011</v>
      </c>
      <c r="F63" s="18"/>
      <c r="G63" s="19"/>
      <c r="H63" s="20"/>
      <c r="I63" s="18">
        <f t="shared" si="0"/>
        <v>18</v>
      </c>
      <c r="J63" s="19">
        <f t="shared" si="1"/>
        <v>11.923356574074873</v>
      </c>
      <c r="K63" s="20">
        <f t="shared" si="2"/>
        <v>2011</v>
      </c>
      <c r="M63" s="21">
        <f t="shared" si="3"/>
        <v>2.8903717578961645</v>
      </c>
      <c r="N63" s="21">
        <f t="shared" si="4"/>
        <v>2.4784992137824831</v>
      </c>
    </row>
    <row r="64" spans="1:14" x14ac:dyDescent="0.2">
      <c r="A64" s="25">
        <f>'GF + UG Iteration 5'!A64</f>
        <v>561</v>
      </c>
      <c r="B64" s="25" t="str">
        <f>'GF + UG Iteration 5'!B64</f>
        <v>GF</v>
      </c>
      <c r="C64" s="18">
        <f>'GF + UG Iteration 5'!C64</f>
        <v>46</v>
      </c>
      <c r="D64" s="19">
        <f>'GF + UG Iteration 5'!D64</f>
        <v>58.100097147658744</v>
      </c>
      <c r="E64" s="30">
        <f>'GF + UG Iteration 5'!E64</f>
        <v>2011</v>
      </c>
      <c r="F64" s="18"/>
      <c r="G64" s="19"/>
      <c r="H64" s="20"/>
      <c r="I64" s="18">
        <f t="shared" si="0"/>
        <v>46</v>
      </c>
      <c r="J64" s="19">
        <f t="shared" si="1"/>
        <v>58.100097147658744</v>
      </c>
      <c r="K64" s="20">
        <f t="shared" si="2"/>
        <v>2011</v>
      </c>
      <c r="M64" s="21">
        <f t="shared" si="3"/>
        <v>3.8286413964890951</v>
      </c>
      <c r="N64" s="21">
        <f t="shared" si="4"/>
        <v>4.0621673359332098</v>
      </c>
    </row>
    <row r="65" spans="1:14" x14ac:dyDescent="0.2">
      <c r="A65" s="25">
        <f>'GF + UG Iteration 5'!A65</f>
        <v>1018</v>
      </c>
      <c r="B65" s="25" t="str">
        <f>'GF + UG Iteration 5'!B65</f>
        <v>GF</v>
      </c>
      <c r="C65" s="18">
        <f>'GF + UG Iteration 5'!C65</f>
        <v>3</v>
      </c>
      <c r="D65" s="19">
        <f>'GF + UG Iteration 5'!D65</f>
        <v>10.634643135603309</v>
      </c>
      <c r="E65" s="30">
        <f>'GF + UG Iteration 5'!E65</f>
        <v>2011</v>
      </c>
      <c r="F65" s="18"/>
      <c r="G65" s="19"/>
      <c r="H65" s="20"/>
      <c r="I65" s="18">
        <f t="shared" si="0"/>
        <v>3</v>
      </c>
      <c r="J65" s="19">
        <f t="shared" si="1"/>
        <v>10.634643135603309</v>
      </c>
      <c r="K65" s="20">
        <f t="shared" si="2"/>
        <v>2011</v>
      </c>
      <c r="M65" s="21">
        <f t="shared" si="3"/>
        <v>1.0986122886681098</v>
      </c>
      <c r="N65" s="21">
        <f t="shared" si="4"/>
        <v>2.3641168924336546</v>
      </c>
    </row>
    <row r="66" spans="1:14" x14ac:dyDescent="0.2">
      <c r="A66" s="25">
        <f>'GF + UG Iteration 5'!A66</f>
        <v>360</v>
      </c>
      <c r="B66" s="25" t="str">
        <f>'GF + UG Iteration 5'!B66</f>
        <v>GF</v>
      </c>
      <c r="C66" s="18">
        <f>'GF + UG Iteration 5'!C66</f>
        <v>22</v>
      </c>
      <c r="D66" s="19">
        <f>'GF + UG Iteration 5'!D66</f>
        <v>7.1174715515965792</v>
      </c>
      <c r="E66" s="30">
        <f>'GF + UG Iteration 5'!E66</f>
        <v>2003</v>
      </c>
      <c r="F66" s="18"/>
      <c r="G66" s="19"/>
      <c r="H66" s="20"/>
      <c r="I66" s="18">
        <f t="shared" si="0"/>
        <v>22</v>
      </c>
      <c r="J66" s="19">
        <f t="shared" si="1"/>
        <v>7.1174715515965792</v>
      </c>
      <c r="K66" s="20">
        <f t="shared" si="2"/>
        <v>2003</v>
      </c>
      <c r="M66" s="21">
        <f t="shared" si="3"/>
        <v>3.0910424533583161</v>
      </c>
      <c r="N66" s="21">
        <f t="shared" si="4"/>
        <v>1.9625525431963604</v>
      </c>
    </row>
    <row r="67" spans="1:14" x14ac:dyDescent="0.2">
      <c r="A67" s="25">
        <f>'GF + UG Iteration 5'!A67</f>
        <v>1106</v>
      </c>
      <c r="B67" s="25" t="str">
        <f>'GF + UG Iteration 5'!B67</f>
        <v>GF</v>
      </c>
      <c r="C67" s="18">
        <f>'GF + UG Iteration 5'!C67</f>
        <v>12</v>
      </c>
      <c r="D67" s="19">
        <f>'GF + UG Iteration 5'!D67</f>
        <v>20.217898457447252</v>
      </c>
      <c r="E67" s="30">
        <f>'GF + UG Iteration 5'!E67</f>
        <v>2011</v>
      </c>
      <c r="F67" s="18"/>
      <c r="G67" s="19"/>
      <c r="H67" s="20"/>
      <c r="I67" s="18">
        <f t="shared" si="0"/>
        <v>12</v>
      </c>
      <c r="J67" s="19">
        <f t="shared" si="1"/>
        <v>20.217898457447252</v>
      </c>
      <c r="K67" s="20">
        <f t="shared" si="2"/>
        <v>2011</v>
      </c>
      <c r="M67" s="21">
        <f t="shared" si="3"/>
        <v>2.4849066497880004</v>
      </c>
      <c r="N67" s="21">
        <f t="shared" si="4"/>
        <v>3.0065682743355979</v>
      </c>
    </row>
    <row r="68" spans="1:14" x14ac:dyDescent="0.2">
      <c r="A68" s="25">
        <f>'GF + UG Iteration 5'!A68</f>
        <v>899</v>
      </c>
      <c r="B68" s="25" t="str">
        <f>'GF + UG Iteration 5'!B68</f>
        <v>GF</v>
      </c>
      <c r="C68" s="18">
        <f>'GF + UG Iteration 5'!C68</f>
        <v>25</v>
      </c>
      <c r="D68" s="19">
        <f>'GF + UG Iteration 5'!D68</f>
        <v>15.17251837286627</v>
      </c>
      <c r="E68" s="30">
        <f>'GF + UG Iteration 5'!E68</f>
        <v>2010</v>
      </c>
      <c r="F68" s="18"/>
      <c r="G68" s="19"/>
      <c r="H68" s="20"/>
      <c r="I68" s="18">
        <f t="shared" si="0"/>
        <v>25</v>
      </c>
      <c r="J68" s="19">
        <f t="shared" si="1"/>
        <v>15.17251837286627</v>
      </c>
      <c r="K68" s="20">
        <f t="shared" si="2"/>
        <v>2010</v>
      </c>
      <c r="M68" s="21">
        <f t="shared" si="3"/>
        <v>3.2188758248682006</v>
      </c>
      <c r="N68" s="21">
        <f t="shared" si="4"/>
        <v>2.7194857896591729</v>
      </c>
    </row>
    <row r="69" spans="1:14" x14ac:dyDescent="0.2">
      <c r="A69" s="25">
        <f>'GF + UG Iteration 5'!A69</f>
        <v>1191</v>
      </c>
      <c r="B69" s="25" t="str">
        <f>'GF + UG Iteration 5'!B69</f>
        <v>GF</v>
      </c>
      <c r="C69" s="18">
        <f>'GF + UG Iteration 5'!C69</f>
        <v>11</v>
      </c>
      <c r="D69" s="19">
        <f>'GF + UG Iteration 5'!D69</f>
        <v>12.628076471206382</v>
      </c>
      <c r="E69" s="30">
        <f>'GF + UG Iteration 5'!E69</f>
        <v>2011</v>
      </c>
      <c r="F69" s="18"/>
      <c r="G69" s="19"/>
      <c r="H69" s="20"/>
      <c r="I69" s="18">
        <f t="shared" si="0"/>
        <v>11</v>
      </c>
      <c r="J69" s="19">
        <f t="shared" si="1"/>
        <v>12.628076471206382</v>
      </c>
      <c r="K69" s="20">
        <f t="shared" si="2"/>
        <v>2011</v>
      </c>
      <c r="M69" s="21">
        <f t="shared" si="3"/>
        <v>2.3978952727983707</v>
      </c>
      <c r="N69" s="21">
        <f t="shared" si="4"/>
        <v>2.5359226263636927</v>
      </c>
    </row>
    <row r="70" spans="1:14" x14ac:dyDescent="0.2">
      <c r="A70" s="25">
        <f>'GF + UG Iteration 5'!A70</f>
        <v>1115</v>
      </c>
      <c r="B70" s="25" t="str">
        <f>'GF + UG Iteration 5'!B70</f>
        <v>GF</v>
      </c>
      <c r="C70" s="18">
        <f>'GF + UG Iteration 5'!C70</f>
        <v>10</v>
      </c>
      <c r="D70" s="19">
        <f>'GF + UG Iteration 5'!D70</f>
        <v>24.362790290493837</v>
      </c>
      <c r="E70" s="30">
        <f>'GF + UG Iteration 5'!E70</f>
        <v>2011</v>
      </c>
      <c r="F70" s="18"/>
      <c r="G70" s="19"/>
      <c r="H70" s="20"/>
      <c r="I70" s="18">
        <f t="shared" si="0"/>
        <v>10</v>
      </c>
      <c r="J70" s="19">
        <f t="shared" si="1"/>
        <v>24.362790290493837</v>
      </c>
      <c r="K70" s="20">
        <f t="shared" si="2"/>
        <v>2011</v>
      </c>
      <c r="M70" s="21">
        <f t="shared" si="3"/>
        <v>2.3025850929940459</v>
      </c>
      <c r="N70" s="21">
        <f t="shared" si="4"/>
        <v>3.1930569802267783</v>
      </c>
    </row>
    <row r="71" spans="1:14" x14ac:dyDescent="0.2">
      <c r="A71" s="25">
        <f>'GF + UG Iteration 5'!A71</f>
        <v>1053</v>
      </c>
      <c r="B71" s="25" t="str">
        <f>'GF + UG Iteration 5'!B71</f>
        <v>GF</v>
      </c>
      <c r="C71" s="18">
        <f>'GF + UG Iteration 5'!C71</f>
        <v>9</v>
      </c>
      <c r="D71" s="19">
        <f>'GF + UG Iteration 5'!D71</f>
        <v>14.71443826778331</v>
      </c>
      <c r="E71" s="30">
        <f>'GF + UG Iteration 5'!E71</f>
        <v>2011</v>
      </c>
      <c r="F71" s="18"/>
      <c r="G71" s="19"/>
      <c r="H71" s="20"/>
      <c r="I71" s="18">
        <f t="shared" si="0"/>
        <v>9</v>
      </c>
      <c r="J71" s="19">
        <f t="shared" si="1"/>
        <v>14.71443826778331</v>
      </c>
      <c r="K71" s="20">
        <f t="shared" si="2"/>
        <v>2011</v>
      </c>
      <c r="M71" s="21">
        <f t="shared" si="3"/>
        <v>2.1972245773362196</v>
      </c>
      <c r="N71" s="21">
        <f t="shared" si="4"/>
        <v>2.6888292068340069</v>
      </c>
    </row>
    <row r="72" spans="1:14" x14ac:dyDescent="0.2">
      <c r="A72" s="25">
        <f>'GF + UG Iteration 5'!A72</f>
        <v>864</v>
      </c>
      <c r="B72" s="25" t="str">
        <f>'GF + UG Iteration 5'!B72</f>
        <v>GF</v>
      </c>
      <c r="C72" s="18">
        <f>'GF + UG Iteration 5'!C72</f>
        <v>25</v>
      </c>
      <c r="D72" s="19">
        <f>'GF + UG Iteration 5'!D72</f>
        <v>9.825778201045452</v>
      </c>
      <c r="E72" s="30">
        <f>'GF + UG Iteration 5'!E72</f>
        <v>2007</v>
      </c>
      <c r="F72" s="18"/>
      <c r="G72" s="19"/>
      <c r="H72" s="20"/>
      <c r="I72" s="18">
        <f t="shared" ref="I72:I117" si="5">C72+F72</f>
        <v>25</v>
      </c>
      <c r="J72" s="19">
        <f t="shared" ref="J72:J117" si="6">D72+G72</f>
        <v>9.825778201045452</v>
      </c>
      <c r="K72" s="20">
        <f t="shared" ref="K72:K117" si="7">MAX(E72,H72)</f>
        <v>2007</v>
      </c>
      <c r="M72" s="21">
        <f t="shared" ref="M72:M135" si="8">LN(I72)</f>
        <v>3.2188758248682006</v>
      </c>
      <c r="N72" s="21">
        <f t="shared" ref="N72:N135" si="9">LN(J72)</f>
        <v>2.2850093608319559</v>
      </c>
    </row>
    <row r="73" spans="1:14" x14ac:dyDescent="0.2">
      <c r="A73" s="25">
        <f>'GF + UG Iteration 5'!A73</f>
        <v>834</v>
      </c>
      <c r="B73" s="25" t="str">
        <f>'GF + UG Iteration 5'!B73</f>
        <v>GF</v>
      </c>
      <c r="C73" s="18">
        <f>'GF + UG Iteration 5'!C73</f>
        <v>45</v>
      </c>
      <c r="D73" s="19">
        <f>'GF + UG Iteration 5'!D73</f>
        <v>25.798393978216257</v>
      </c>
      <c r="E73" s="30">
        <f>'GF + UG Iteration 5'!E73</f>
        <v>2010</v>
      </c>
      <c r="F73" s="18"/>
      <c r="G73" s="19"/>
      <c r="H73" s="20"/>
      <c r="I73" s="18">
        <f t="shared" si="5"/>
        <v>45</v>
      </c>
      <c r="J73" s="19">
        <f t="shared" si="6"/>
        <v>25.798393978216257</v>
      </c>
      <c r="K73" s="20">
        <f t="shared" si="7"/>
        <v>2010</v>
      </c>
      <c r="M73" s="21">
        <f t="shared" si="8"/>
        <v>3.8066624897703196</v>
      </c>
      <c r="N73" s="21">
        <f t="shared" si="9"/>
        <v>3.2503122410836816</v>
      </c>
    </row>
    <row r="74" spans="1:14" x14ac:dyDescent="0.2">
      <c r="A74" s="25">
        <f>'GF + UG Iteration 5'!A74</f>
        <v>722</v>
      </c>
      <c r="B74" s="25" t="str">
        <f>'GF + UG Iteration 5'!B74</f>
        <v>GF</v>
      </c>
      <c r="C74" s="18">
        <f>'GF + UG Iteration 5'!C74</f>
        <v>10.5</v>
      </c>
      <c r="D74" s="19">
        <f>'GF + UG Iteration 5'!D74</f>
        <v>13.501544643115857</v>
      </c>
      <c r="E74" s="30">
        <f>'GF + UG Iteration 5'!E74</f>
        <v>2010</v>
      </c>
      <c r="F74" s="18"/>
      <c r="G74" s="19"/>
      <c r="H74" s="20"/>
      <c r="I74" s="18">
        <f t="shared" si="5"/>
        <v>10.5</v>
      </c>
      <c r="J74" s="19">
        <f t="shared" si="6"/>
        <v>13.501544643115857</v>
      </c>
      <c r="K74" s="20">
        <f t="shared" si="7"/>
        <v>2010</v>
      </c>
      <c r="M74" s="21">
        <f t="shared" si="8"/>
        <v>2.3513752571634776</v>
      </c>
      <c r="N74" s="21">
        <f t="shared" si="9"/>
        <v>2.6028040969077249</v>
      </c>
    </row>
    <row r="75" spans="1:14" x14ac:dyDescent="0.2">
      <c r="A75" s="25">
        <f>'GF + UG Iteration 5'!A75</f>
        <v>927</v>
      </c>
      <c r="B75" s="25" t="str">
        <f>'GF + UG Iteration 5'!B75</f>
        <v>GF</v>
      </c>
      <c r="C75" s="18">
        <f>'GF + UG Iteration 5'!C75</f>
        <v>60</v>
      </c>
      <c r="D75" s="19">
        <f>'GF + UG Iteration 5'!D75</f>
        <v>25.887106037100622</v>
      </c>
      <c r="E75" s="30">
        <f>'GF + UG Iteration 5'!E75</f>
        <v>2011</v>
      </c>
      <c r="F75" s="18"/>
      <c r="G75" s="19"/>
      <c r="H75" s="20"/>
      <c r="I75" s="18">
        <f t="shared" si="5"/>
        <v>60</v>
      </c>
      <c r="J75" s="19">
        <f t="shared" si="6"/>
        <v>25.887106037100622</v>
      </c>
      <c r="K75" s="20">
        <f t="shared" si="7"/>
        <v>2011</v>
      </c>
      <c r="M75" s="21">
        <f t="shared" si="8"/>
        <v>4.0943445622221004</v>
      </c>
      <c r="N75" s="21">
        <f t="shared" si="9"/>
        <v>3.2537450083384241</v>
      </c>
    </row>
    <row r="76" spans="1:14" x14ac:dyDescent="0.2">
      <c r="A76" s="25">
        <f>'GF + UG Iteration 5'!A76</f>
        <v>1068</v>
      </c>
      <c r="B76" s="25" t="str">
        <f>'GF + UG Iteration 5'!B76</f>
        <v>GF</v>
      </c>
      <c r="C76" s="18">
        <f>'GF + UG Iteration 5'!C76</f>
        <v>11.2</v>
      </c>
      <c r="D76" s="19">
        <f>'GF + UG Iteration 5'!D76</f>
        <v>26.918199168374588</v>
      </c>
      <c r="E76" s="30">
        <f>'GF + UG Iteration 5'!E76</f>
        <v>2011</v>
      </c>
      <c r="F76" s="18"/>
      <c r="G76" s="19"/>
      <c r="H76" s="20"/>
      <c r="I76" s="18">
        <f t="shared" si="5"/>
        <v>11.2</v>
      </c>
      <c r="J76" s="19">
        <f t="shared" si="6"/>
        <v>26.918199168374588</v>
      </c>
      <c r="K76" s="20">
        <f t="shared" si="7"/>
        <v>2011</v>
      </c>
      <c r="M76" s="21">
        <f t="shared" si="8"/>
        <v>2.4159137783010487</v>
      </c>
      <c r="N76" s="21">
        <f t="shared" si="9"/>
        <v>3.2928026068618901</v>
      </c>
    </row>
    <row r="77" spans="1:14" x14ac:dyDescent="0.2">
      <c r="A77" s="25">
        <f>'GF + UG Iteration 5'!A77</f>
        <v>506</v>
      </c>
      <c r="B77" s="25" t="str">
        <f>'GF + UG Iteration 5'!B77</f>
        <v>GF</v>
      </c>
      <c r="C77" s="18">
        <f>'GF + UG Iteration 5'!C77</f>
        <v>20</v>
      </c>
      <c r="D77" s="19">
        <f>'GF + UG Iteration 5'!D77</f>
        <v>13.969254162639503</v>
      </c>
      <c r="E77" s="30">
        <f>'GF + UG Iteration 5'!E77</f>
        <v>2003</v>
      </c>
      <c r="F77" s="18"/>
      <c r="G77" s="19"/>
      <c r="H77" s="20"/>
      <c r="I77" s="18">
        <f t="shared" si="5"/>
        <v>20</v>
      </c>
      <c r="J77" s="19">
        <f t="shared" si="6"/>
        <v>13.969254162639503</v>
      </c>
      <c r="K77" s="20">
        <f t="shared" si="7"/>
        <v>2003</v>
      </c>
      <c r="M77" s="21">
        <f t="shared" si="8"/>
        <v>2.9957322735539909</v>
      </c>
      <c r="N77" s="21">
        <f t="shared" si="9"/>
        <v>2.6368587833425443</v>
      </c>
    </row>
    <row r="78" spans="1:14" x14ac:dyDescent="0.2">
      <c r="A78" s="25">
        <f>'GF + UG Iteration 5'!A78</f>
        <v>456</v>
      </c>
      <c r="B78" s="25" t="str">
        <f>'GF + UG Iteration 5'!B78</f>
        <v>GF</v>
      </c>
      <c r="C78" s="18">
        <f>'GF + UG Iteration 5'!C78</f>
        <v>16</v>
      </c>
      <c r="D78" s="19">
        <f>'GF + UG Iteration 5'!D78</f>
        <v>17.647037003819346</v>
      </c>
      <c r="E78" s="30">
        <f>'GF + UG Iteration 5'!E78</f>
        <v>2007</v>
      </c>
      <c r="F78" s="18"/>
      <c r="G78" s="19"/>
      <c r="H78" s="20"/>
      <c r="I78" s="18">
        <f t="shared" si="5"/>
        <v>16</v>
      </c>
      <c r="J78" s="19">
        <f t="shared" si="6"/>
        <v>17.647037003819346</v>
      </c>
      <c r="K78" s="20">
        <f t="shared" si="7"/>
        <v>2007</v>
      </c>
      <c r="M78" s="21">
        <f t="shared" si="8"/>
        <v>2.7725887222397811</v>
      </c>
      <c r="N78" s="21">
        <f t="shared" si="9"/>
        <v>2.8705678941489836</v>
      </c>
    </row>
    <row r="79" spans="1:14" x14ac:dyDescent="0.2">
      <c r="A79" s="25">
        <f>'GF + UG Iteration 5'!A79</f>
        <v>130</v>
      </c>
      <c r="B79" s="25" t="str">
        <f>'GF + UG Iteration 5'!B79</f>
        <v>GF</v>
      </c>
      <c r="C79" s="18">
        <f>'GF + UG Iteration 5'!C79</f>
        <v>18</v>
      </c>
      <c r="D79" s="19">
        <f>'GF + UG Iteration 5'!D79</f>
        <v>8.4369732753123952</v>
      </c>
      <c r="E79" s="30">
        <f>'GF + UG Iteration 5'!E79</f>
        <v>2001</v>
      </c>
      <c r="F79" s="18"/>
      <c r="G79" s="19"/>
      <c r="H79" s="20"/>
      <c r="I79" s="18">
        <f t="shared" si="5"/>
        <v>18</v>
      </c>
      <c r="J79" s="19">
        <f t="shared" si="6"/>
        <v>8.4369732753123952</v>
      </c>
      <c r="K79" s="20">
        <f t="shared" si="7"/>
        <v>2001</v>
      </c>
      <c r="M79" s="21">
        <f t="shared" si="8"/>
        <v>2.8903717578961645</v>
      </c>
      <c r="N79" s="21">
        <f t="shared" si="9"/>
        <v>2.1326236276203829</v>
      </c>
    </row>
    <row r="80" spans="1:14" x14ac:dyDescent="0.2">
      <c r="A80" s="25">
        <f>'GF + UG Iteration 5'!A80</f>
        <v>308</v>
      </c>
      <c r="B80" s="25" t="str">
        <f>'GF + UG Iteration 5'!B80</f>
        <v>GF</v>
      </c>
      <c r="C80" s="18">
        <f>'GF + UG Iteration 5'!C80</f>
        <v>10</v>
      </c>
      <c r="D80" s="19">
        <f>'GF + UG Iteration 5'!D80</f>
        <v>8.8753762889293544</v>
      </c>
      <c r="E80" s="30">
        <f>'GF + UG Iteration 5'!E80</f>
        <v>2003</v>
      </c>
      <c r="F80" s="18"/>
      <c r="G80" s="19"/>
      <c r="H80" s="20"/>
      <c r="I80" s="18">
        <f t="shared" si="5"/>
        <v>10</v>
      </c>
      <c r="J80" s="19">
        <f t="shared" si="6"/>
        <v>8.8753762889293544</v>
      </c>
      <c r="K80" s="20">
        <f t="shared" si="7"/>
        <v>2003</v>
      </c>
      <c r="M80" s="21">
        <f t="shared" si="8"/>
        <v>2.3025850929940459</v>
      </c>
      <c r="N80" s="21">
        <f t="shared" si="9"/>
        <v>2.1832807332152813</v>
      </c>
    </row>
    <row r="81" spans="1:14" x14ac:dyDescent="0.2">
      <c r="A81" s="25">
        <f>'GF + UG Iteration 5'!A81</f>
        <v>829</v>
      </c>
      <c r="B81" s="25" t="str">
        <f>'GF + UG Iteration 5'!B81</f>
        <v>GF</v>
      </c>
      <c r="C81" s="18">
        <f>'GF + UG Iteration 5'!C81</f>
        <v>20</v>
      </c>
      <c r="D81" s="19">
        <f>'GF + UG Iteration 5'!D81</f>
        <v>27.761077137379147</v>
      </c>
      <c r="E81" s="30">
        <f>'GF + UG Iteration 5'!E81</f>
        <v>2011</v>
      </c>
      <c r="F81" s="18"/>
      <c r="G81" s="19"/>
      <c r="H81" s="20"/>
      <c r="I81" s="18">
        <f t="shared" si="5"/>
        <v>20</v>
      </c>
      <c r="J81" s="19">
        <f t="shared" si="6"/>
        <v>27.761077137379147</v>
      </c>
      <c r="K81" s="20">
        <f t="shared" si="7"/>
        <v>2011</v>
      </c>
      <c r="M81" s="21">
        <f t="shared" si="8"/>
        <v>2.9957322735539909</v>
      </c>
      <c r="N81" s="21">
        <f t="shared" si="9"/>
        <v>3.3236349366646221</v>
      </c>
    </row>
    <row r="82" spans="1:14" x14ac:dyDescent="0.2">
      <c r="A82" s="25">
        <f>'GF + UG Iteration 5'!A82</f>
        <v>425</v>
      </c>
      <c r="B82" s="25" t="str">
        <f>'GF + UG Iteration 5'!B82</f>
        <v>GF</v>
      </c>
      <c r="C82" s="18">
        <f>'GF + UG Iteration 5'!C82</f>
        <v>17</v>
      </c>
      <c r="D82" s="19">
        <f>'GF + UG Iteration 5'!D82</f>
        <v>11.725448588458148</v>
      </c>
      <c r="E82" s="30">
        <f>'GF + UG Iteration 5'!E82</f>
        <v>2006</v>
      </c>
      <c r="F82" s="18"/>
      <c r="G82" s="19"/>
      <c r="H82" s="20"/>
      <c r="I82" s="18">
        <f t="shared" si="5"/>
        <v>17</v>
      </c>
      <c r="J82" s="19">
        <f t="shared" si="6"/>
        <v>11.725448588458148</v>
      </c>
      <c r="K82" s="20">
        <f t="shared" si="7"/>
        <v>2006</v>
      </c>
      <c r="M82" s="21">
        <f t="shared" si="8"/>
        <v>2.8332133440562162</v>
      </c>
      <c r="N82" s="21">
        <f t="shared" si="9"/>
        <v>2.4617615727440327</v>
      </c>
    </row>
    <row r="83" spans="1:14" x14ac:dyDescent="0.2">
      <c r="A83" s="25">
        <f>'GF + UG Iteration 5'!A83</f>
        <v>333</v>
      </c>
      <c r="B83" s="25" t="str">
        <f>'GF + UG Iteration 5'!B83</f>
        <v>GF</v>
      </c>
      <c r="C83" s="18">
        <f>'GF + UG Iteration 5'!C83</f>
        <v>12</v>
      </c>
      <c r="D83" s="19">
        <f>'GF + UG Iteration 5'!D83</f>
        <v>7.5607136656563343</v>
      </c>
      <c r="E83" s="30">
        <f>'GF + UG Iteration 5'!E83</f>
        <v>2003</v>
      </c>
      <c r="F83" s="18"/>
      <c r="G83" s="19"/>
      <c r="H83" s="20"/>
      <c r="I83" s="18">
        <f t="shared" si="5"/>
        <v>12</v>
      </c>
      <c r="J83" s="19">
        <f t="shared" si="6"/>
        <v>7.5607136656563343</v>
      </c>
      <c r="K83" s="20">
        <f t="shared" si="7"/>
        <v>2003</v>
      </c>
      <c r="M83" s="21">
        <f t="shared" si="8"/>
        <v>2.4849066497880004</v>
      </c>
      <c r="N83" s="21">
        <f t="shared" si="9"/>
        <v>2.022965585955113</v>
      </c>
    </row>
    <row r="84" spans="1:14" x14ac:dyDescent="0.2">
      <c r="A84" s="25">
        <f>'GF + UG Iteration 5'!A84</f>
        <v>769</v>
      </c>
      <c r="B84" s="25" t="str">
        <f>'GF + UG Iteration 5'!B84</f>
        <v>GF</v>
      </c>
      <c r="C84" s="18">
        <f>'GF + UG Iteration 5'!C84</f>
        <v>40</v>
      </c>
      <c r="D84" s="19">
        <f>'GF + UG Iteration 5'!D84</f>
        <v>26.381292343151443</v>
      </c>
      <c r="E84" s="30">
        <f>'GF + UG Iteration 5'!E84</f>
        <v>2007</v>
      </c>
      <c r="F84" s="18"/>
      <c r="G84" s="19"/>
      <c r="H84" s="20"/>
      <c r="I84" s="18">
        <f t="shared" si="5"/>
        <v>40</v>
      </c>
      <c r="J84" s="19">
        <f t="shared" si="6"/>
        <v>26.381292343151443</v>
      </c>
      <c r="K84" s="20">
        <f t="shared" si="7"/>
        <v>2007</v>
      </c>
      <c r="M84" s="21">
        <f t="shared" si="8"/>
        <v>3.6888794541139363</v>
      </c>
      <c r="N84" s="21">
        <f t="shared" si="9"/>
        <v>3.2726551355945839</v>
      </c>
    </row>
    <row r="85" spans="1:14" x14ac:dyDescent="0.2">
      <c r="A85" s="25">
        <f>'GF + UG Iteration 5'!A85</f>
        <v>948</v>
      </c>
      <c r="B85" s="25" t="str">
        <f>'GF + UG Iteration 5'!B85</f>
        <v>GF</v>
      </c>
      <c r="C85" s="18">
        <f>'GF + UG Iteration 5'!C85</f>
        <v>57</v>
      </c>
      <c r="D85" s="19">
        <f>'GF + UG Iteration 5'!D85</f>
        <v>12.653662771089085</v>
      </c>
      <c r="E85" s="30">
        <f>'GF + UG Iteration 5'!E85</f>
        <v>2014</v>
      </c>
      <c r="F85" s="18"/>
      <c r="G85" s="19"/>
      <c r="H85" s="20"/>
      <c r="I85" s="18">
        <f t="shared" si="5"/>
        <v>57</v>
      </c>
      <c r="J85" s="19">
        <f t="shared" si="6"/>
        <v>12.653662771089085</v>
      </c>
      <c r="K85" s="20">
        <f t="shared" si="7"/>
        <v>2014</v>
      </c>
      <c r="M85" s="21">
        <f t="shared" si="8"/>
        <v>4.0430512678345503</v>
      </c>
      <c r="N85" s="21">
        <f t="shared" si="9"/>
        <v>2.5379467203845181</v>
      </c>
    </row>
    <row r="86" spans="1:14" x14ac:dyDescent="0.2">
      <c r="A86" s="25">
        <f>'GF + UG Iteration 5'!A86</f>
        <v>1128</v>
      </c>
      <c r="B86" s="25" t="str">
        <f>'GF + UG Iteration 5'!B86</f>
        <v>GF</v>
      </c>
      <c r="C86" s="18">
        <f>'GF + UG Iteration 5'!C86</f>
        <v>45</v>
      </c>
      <c r="D86" s="19">
        <f>'GF + UG Iteration 5'!D86</f>
        <v>63.556235718349399</v>
      </c>
      <c r="E86" s="30">
        <f>'GF + UG Iteration 5'!E86</f>
        <v>2013</v>
      </c>
      <c r="F86" s="18"/>
      <c r="G86" s="19"/>
      <c r="H86" s="20"/>
      <c r="I86" s="18">
        <f t="shared" si="5"/>
        <v>45</v>
      </c>
      <c r="J86" s="19">
        <f t="shared" si="6"/>
        <v>63.556235718349399</v>
      </c>
      <c r="K86" s="20">
        <f t="shared" si="7"/>
        <v>2013</v>
      </c>
      <c r="M86" s="21">
        <f t="shared" si="8"/>
        <v>3.8066624897703196</v>
      </c>
      <c r="N86" s="21">
        <f t="shared" si="9"/>
        <v>4.1519251158484547</v>
      </c>
    </row>
    <row r="87" spans="1:14" x14ac:dyDescent="0.2">
      <c r="A87" s="25">
        <f>'GF + UG Iteration 5'!A87</f>
        <v>1214</v>
      </c>
      <c r="B87" s="25" t="str">
        <f>'GF + UG Iteration 5'!B87</f>
        <v>GF</v>
      </c>
      <c r="C87" s="18">
        <f>'GF + UG Iteration 5'!C87</f>
        <v>52</v>
      </c>
      <c r="D87" s="19">
        <f>'GF + UG Iteration 5'!D87</f>
        <v>22.631695273294461</v>
      </c>
      <c r="E87" s="30">
        <f>'GF + UG Iteration 5'!E87</f>
        <v>2013</v>
      </c>
      <c r="F87" s="18"/>
      <c r="G87" s="19"/>
      <c r="H87" s="20"/>
      <c r="I87" s="18">
        <f t="shared" si="5"/>
        <v>52</v>
      </c>
      <c r="J87" s="19">
        <f t="shared" si="6"/>
        <v>22.631695273294461</v>
      </c>
      <c r="K87" s="20">
        <f t="shared" si="7"/>
        <v>2013</v>
      </c>
      <c r="M87" s="21">
        <f t="shared" si="8"/>
        <v>3.9512437185814275</v>
      </c>
      <c r="N87" s="21">
        <f t="shared" si="9"/>
        <v>3.1193513694907367</v>
      </c>
    </row>
    <row r="88" spans="1:14" x14ac:dyDescent="0.2">
      <c r="A88" s="25">
        <f>'GF + UG Iteration 5'!A88</f>
        <v>1225</v>
      </c>
      <c r="B88" s="25" t="str">
        <f>'GF + UG Iteration 5'!B88</f>
        <v>GF</v>
      </c>
      <c r="C88" s="18">
        <f>'GF + UG Iteration 5'!C88</f>
        <v>20</v>
      </c>
      <c r="D88" s="19">
        <f>'GF + UG Iteration 5'!D88</f>
        <v>18.636695744675041</v>
      </c>
      <c r="E88" s="30">
        <f>'GF + UG Iteration 5'!E88</f>
        <v>2013</v>
      </c>
      <c r="F88" s="18"/>
      <c r="G88" s="19"/>
      <c r="H88" s="20"/>
      <c r="I88" s="18">
        <f t="shared" si="5"/>
        <v>20</v>
      </c>
      <c r="J88" s="19">
        <f t="shared" si="6"/>
        <v>18.636695744675041</v>
      </c>
      <c r="K88" s="20">
        <f t="shared" si="7"/>
        <v>2013</v>
      </c>
      <c r="M88" s="21">
        <f t="shared" si="8"/>
        <v>2.9957322735539909</v>
      </c>
      <c r="N88" s="21">
        <f t="shared" si="9"/>
        <v>2.925132526627233</v>
      </c>
    </row>
    <row r="89" spans="1:14" x14ac:dyDescent="0.2">
      <c r="A89" s="25">
        <f>'GF + UG Iteration 5'!A89</f>
        <v>1263</v>
      </c>
      <c r="B89" s="25" t="str">
        <f>'GF + UG Iteration 5'!B89</f>
        <v>GF</v>
      </c>
      <c r="C89" s="18">
        <f>'GF + UG Iteration 5'!C89</f>
        <v>8</v>
      </c>
      <c r="D89" s="19">
        <f>'GF + UG Iteration 5'!D89</f>
        <v>19.611656992669992</v>
      </c>
      <c r="E89" s="30">
        <f>'GF + UG Iteration 5'!E89</f>
        <v>2013</v>
      </c>
      <c r="F89" s="18"/>
      <c r="G89" s="19"/>
      <c r="H89" s="20"/>
      <c r="I89" s="18">
        <f t="shared" si="5"/>
        <v>8</v>
      </c>
      <c r="J89" s="19">
        <f t="shared" si="6"/>
        <v>19.611656992669992</v>
      </c>
      <c r="K89" s="20">
        <f t="shared" si="7"/>
        <v>2013</v>
      </c>
      <c r="M89" s="21">
        <f t="shared" si="8"/>
        <v>2.0794415416798357</v>
      </c>
      <c r="N89" s="21">
        <f t="shared" si="9"/>
        <v>2.9761241339700195</v>
      </c>
    </row>
    <row r="90" spans="1:14" x14ac:dyDescent="0.2">
      <c r="A90" s="25">
        <f>'GF + UG Iteration 5'!A90</f>
        <v>1309</v>
      </c>
      <c r="B90" s="25" t="str">
        <f>'GF + UG Iteration 5'!B90</f>
        <v>GF</v>
      </c>
      <c r="C90" s="18">
        <f>'GF + UG Iteration 5'!C90</f>
        <v>15</v>
      </c>
      <c r="D90" s="19">
        <f>'GF + UG Iteration 5'!D90</f>
        <v>16.109333942693336</v>
      </c>
      <c r="E90" s="30">
        <f>'GF + UG Iteration 5'!E90</f>
        <v>2013</v>
      </c>
      <c r="F90" s="18"/>
      <c r="G90" s="19"/>
      <c r="H90" s="20"/>
      <c r="I90" s="18">
        <f t="shared" si="5"/>
        <v>15</v>
      </c>
      <c r="J90" s="19">
        <f t="shared" si="6"/>
        <v>16.109333942693336</v>
      </c>
      <c r="K90" s="20">
        <f t="shared" si="7"/>
        <v>2013</v>
      </c>
      <c r="M90" s="21">
        <f t="shared" si="8"/>
        <v>2.7080502011022101</v>
      </c>
      <c r="N90" s="21">
        <f t="shared" si="9"/>
        <v>2.7793988519948485</v>
      </c>
    </row>
    <row r="91" spans="1:14" x14ac:dyDescent="0.2">
      <c r="A91" s="25">
        <f>'GF + UG Iteration 5'!A91</f>
        <v>1349</v>
      </c>
      <c r="B91" s="25" t="str">
        <f>'GF + UG Iteration 5'!B91</f>
        <v>GF</v>
      </c>
      <c r="C91" s="18">
        <f>'GF + UG Iteration 5'!C91</f>
        <v>34</v>
      </c>
      <c r="D91" s="19">
        <f>'GF + UG Iteration 5'!D91</f>
        <v>8.9679522578977586</v>
      </c>
      <c r="E91" s="30">
        <f>'GF + UG Iteration 5'!E91</f>
        <v>2013</v>
      </c>
      <c r="F91" s="18"/>
      <c r="G91" s="19"/>
      <c r="H91" s="20"/>
      <c r="I91" s="18">
        <f t="shared" si="5"/>
        <v>34</v>
      </c>
      <c r="J91" s="19">
        <f t="shared" si="6"/>
        <v>8.9679522578977586</v>
      </c>
      <c r="K91" s="20">
        <f t="shared" si="7"/>
        <v>2013</v>
      </c>
      <c r="M91" s="21">
        <f t="shared" si="8"/>
        <v>3.5263605246161616</v>
      </c>
      <c r="N91" s="21">
        <f t="shared" si="9"/>
        <v>2.193657362149283</v>
      </c>
    </row>
    <row r="92" spans="1:14" x14ac:dyDescent="0.2">
      <c r="A92" s="25">
        <f>'GF + UG Iteration 5'!A92</f>
        <v>1358</v>
      </c>
      <c r="B92" s="25" t="str">
        <f>'GF + UG Iteration 5'!B92</f>
        <v>GF</v>
      </c>
      <c r="C92" s="18">
        <f>'GF + UG Iteration 5'!C92</f>
        <v>27</v>
      </c>
      <c r="D92" s="19">
        <f>'GF + UG Iteration 5'!D92</f>
        <v>13.07265503282744</v>
      </c>
      <c r="E92" s="30">
        <f>'GF + UG Iteration 5'!E92</f>
        <v>2013</v>
      </c>
      <c r="F92" s="18"/>
      <c r="G92" s="19"/>
      <c r="H92" s="20"/>
      <c r="I92" s="18">
        <f t="shared" si="5"/>
        <v>27</v>
      </c>
      <c r="J92" s="19">
        <f t="shared" si="6"/>
        <v>13.07265503282744</v>
      </c>
      <c r="K92" s="20">
        <f t="shared" si="7"/>
        <v>2013</v>
      </c>
      <c r="M92" s="21">
        <f t="shared" si="8"/>
        <v>3.2958368660043291</v>
      </c>
      <c r="N92" s="21">
        <f t="shared" si="9"/>
        <v>2.5705226464726247</v>
      </c>
    </row>
    <row r="93" spans="1:14" x14ac:dyDescent="0.2">
      <c r="A93" s="25">
        <f>'GF + UG Iteration 5'!A93</f>
        <v>1404</v>
      </c>
      <c r="B93" s="25" t="str">
        <f>'GF + UG Iteration 5'!B93</f>
        <v>GF</v>
      </c>
      <c r="C93" s="18">
        <f>'GF + UG Iteration 5'!C93</f>
        <v>35</v>
      </c>
      <c r="D93" s="19">
        <f>'GF + UG Iteration 5'!D93</f>
        <v>35.276341164894447</v>
      </c>
      <c r="E93" s="30">
        <f>'GF + UG Iteration 5'!E93</f>
        <v>2013</v>
      </c>
      <c r="F93" s="18"/>
      <c r="G93" s="19"/>
      <c r="H93" s="20"/>
      <c r="I93" s="18">
        <f t="shared" si="5"/>
        <v>35</v>
      </c>
      <c r="J93" s="19">
        <f t="shared" si="6"/>
        <v>35.276341164894447</v>
      </c>
      <c r="K93" s="20">
        <f t="shared" si="7"/>
        <v>2013</v>
      </c>
      <c r="M93" s="21">
        <f t="shared" si="8"/>
        <v>3.5553480614894135</v>
      </c>
      <c r="N93" s="21">
        <f t="shared" si="9"/>
        <v>3.5632125172824458</v>
      </c>
    </row>
    <row r="94" spans="1:14" x14ac:dyDescent="0.2">
      <c r="A94" s="25">
        <f>'GF + UG Iteration 5'!A94</f>
        <v>1482</v>
      </c>
      <c r="B94" s="25" t="str">
        <f>'GF + UG Iteration 5'!B94</f>
        <v>GF</v>
      </c>
      <c r="C94" s="18">
        <f>'GF + UG Iteration 5'!C94</f>
        <v>18.399999999999999</v>
      </c>
      <c r="D94" s="19">
        <f>'GF + UG Iteration 5'!D94</f>
        <v>18.765793673519447</v>
      </c>
      <c r="E94" s="30">
        <f>'GF + UG Iteration 5'!E94</f>
        <v>2013</v>
      </c>
      <c r="F94" s="18"/>
      <c r="G94" s="19"/>
      <c r="H94" s="20"/>
      <c r="I94" s="18">
        <f t="shared" si="5"/>
        <v>18.399999999999999</v>
      </c>
      <c r="J94" s="19">
        <f t="shared" si="6"/>
        <v>18.765793673519447</v>
      </c>
      <c r="K94" s="20">
        <f t="shared" si="7"/>
        <v>2013</v>
      </c>
      <c r="M94" s="21">
        <f t="shared" si="8"/>
        <v>2.91235066461494</v>
      </c>
      <c r="N94" s="21">
        <f t="shared" si="9"/>
        <v>2.9320357271105943</v>
      </c>
    </row>
    <row r="95" spans="1:14" x14ac:dyDescent="0.2">
      <c r="A95" s="25">
        <f>'GF + UG Iteration 5'!A95</f>
        <v>1515</v>
      </c>
      <c r="B95" s="25" t="str">
        <f>'GF + UG Iteration 5'!B95</f>
        <v>GF</v>
      </c>
      <c r="C95" s="18">
        <f>'GF + UG Iteration 5'!C95</f>
        <v>7.2</v>
      </c>
      <c r="D95" s="19">
        <f>'GF + UG Iteration 5'!D95</f>
        <v>12.99271394051414</v>
      </c>
      <c r="E95" s="30">
        <f>'GF + UG Iteration 5'!E95</f>
        <v>2013</v>
      </c>
      <c r="F95" s="18"/>
      <c r="G95" s="19"/>
      <c r="H95" s="20"/>
      <c r="I95" s="18">
        <f t="shared" si="5"/>
        <v>7.2</v>
      </c>
      <c r="J95" s="19">
        <f t="shared" si="6"/>
        <v>12.99271394051414</v>
      </c>
      <c r="K95" s="20">
        <f t="shared" si="7"/>
        <v>2013</v>
      </c>
      <c r="M95" s="21">
        <f t="shared" si="8"/>
        <v>1.9740810260220096</v>
      </c>
      <c r="N95" s="21">
        <f t="shared" si="9"/>
        <v>2.5643887342273977</v>
      </c>
    </row>
    <row r="96" spans="1:14" x14ac:dyDescent="0.2">
      <c r="A96" s="25">
        <f>'GF + UG Iteration 5'!A96</f>
        <v>1618</v>
      </c>
      <c r="B96" s="25" t="str">
        <f>'GF + UG Iteration 5'!B96</f>
        <v>GF</v>
      </c>
      <c r="C96" s="18">
        <f>'GF + UG Iteration 5'!C96</f>
        <v>21</v>
      </c>
      <c r="D96" s="19">
        <f>'GF + UG Iteration 5'!D96</f>
        <v>15.965955598995766</v>
      </c>
      <c r="E96" s="30">
        <f>'GF + UG Iteration 5'!E96</f>
        <v>2016</v>
      </c>
      <c r="F96" s="18"/>
      <c r="G96" s="19"/>
      <c r="H96" s="20"/>
      <c r="I96" s="18">
        <f t="shared" si="5"/>
        <v>21</v>
      </c>
      <c r="J96" s="19">
        <f t="shared" si="6"/>
        <v>15.965955598995766</v>
      </c>
      <c r="K96" s="20">
        <f t="shared" si="7"/>
        <v>2016</v>
      </c>
      <c r="M96" s="21">
        <f t="shared" si="8"/>
        <v>3.044522437723423</v>
      </c>
      <c r="N96" s="21">
        <f t="shared" si="9"/>
        <v>2.7704586802474096</v>
      </c>
    </row>
    <row r="97" spans="1:17" x14ac:dyDescent="0.2">
      <c r="A97" s="25">
        <f>'GF + UG Iteration 5'!A97</f>
        <v>1634</v>
      </c>
      <c r="B97" s="25" t="str">
        <f>'GF + UG Iteration 5'!B97</f>
        <v>GF</v>
      </c>
      <c r="C97" s="18">
        <f>'GF + UG Iteration 5'!C97</f>
        <v>17.899999999999999</v>
      </c>
      <c r="D97" s="19">
        <f>'GF + UG Iteration 5'!D97</f>
        <v>17.172783979023848</v>
      </c>
      <c r="E97" s="30">
        <f>'GF + UG Iteration 5'!E97</f>
        <v>2015</v>
      </c>
      <c r="F97" s="18"/>
      <c r="G97" s="19"/>
      <c r="H97" s="20"/>
      <c r="I97" s="18">
        <f t="shared" si="5"/>
        <v>17.899999999999999</v>
      </c>
      <c r="J97" s="19">
        <f t="shared" si="6"/>
        <v>17.172783979023848</v>
      </c>
      <c r="K97" s="20">
        <f t="shared" si="7"/>
        <v>2015</v>
      </c>
      <c r="M97" s="21">
        <f t="shared" si="8"/>
        <v>2.884800712846709</v>
      </c>
      <c r="N97" s="21">
        <f t="shared" si="9"/>
        <v>2.8433258038172586</v>
      </c>
    </row>
    <row r="98" spans="1:17" x14ac:dyDescent="0.2">
      <c r="A98" s="25">
        <f>'GF + UG Iteration 5'!A98</f>
        <v>1258</v>
      </c>
      <c r="B98" s="25" t="str">
        <f>'GF + UG Iteration 5'!B98</f>
        <v>GF</v>
      </c>
      <c r="C98" s="18">
        <f>'GF + UG Iteration 5'!C98</f>
        <v>46</v>
      </c>
      <c r="D98" s="19">
        <f>'GF + UG Iteration 5'!D98</f>
        <v>53.518330212347877</v>
      </c>
      <c r="E98" s="30">
        <f>'GF + UG Iteration 5'!E98</f>
        <v>2017</v>
      </c>
      <c r="F98" s="18"/>
      <c r="G98" s="19"/>
      <c r="H98" s="20"/>
      <c r="I98" s="18">
        <f t="shared" si="5"/>
        <v>46</v>
      </c>
      <c r="J98" s="19">
        <f t="shared" si="6"/>
        <v>53.518330212347877</v>
      </c>
      <c r="K98" s="20">
        <f t="shared" si="7"/>
        <v>2017</v>
      </c>
      <c r="M98" s="21">
        <f t="shared" si="8"/>
        <v>3.8286413964890951</v>
      </c>
      <c r="N98" s="21">
        <f t="shared" si="9"/>
        <v>3.98002421601241</v>
      </c>
    </row>
    <row r="99" spans="1:17" x14ac:dyDescent="0.2">
      <c r="A99" s="25">
        <f>'GF + UG Iteration 5'!A99</f>
        <v>1284</v>
      </c>
      <c r="B99" s="25" t="str">
        <f>'GF + UG Iteration 5'!B99</f>
        <v>GF</v>
      </c>
      <c r="C99" s="18">
        <f>'GF + UG Iteration 5'!C99</f>
        <v>24.1</v>
      </c>
      <c r="D99" s="19">
        <f>'GF + UG Iteration 5'!D99</f>
        <v>7.0843108002972475</v>
      </c>
      <c r="E99" s="30">
        <f>'GF + UG Iteration 5'!E99</f>
        <v>2013</v>
      </c>
      <c r="F99" s="18"/>
      <c r="G99" s="19"/>
      <c r="H99" s="20"/>
      <c r="I99" s="18">
        <f t="shared" si="5"/>
        <v>24.1</v>
      </c>
      <c r="J99" s="19">
        <f t="shared" si="6"/>
        <v>7.0843108002972475</v>
      </c>
      <c r="K99" s="20">
        <f t="shared" si="7"/>
        <v>2013</v>
      </c>
      <c r="M99" s="21">
        <f t="shared" si="8"/>
        <v>3.1822118404966093</v>
      </c>
      <c r="N99" s="21">
        <f t="shared" si="9"/>
        <v>1.9578825925179175</v>
      </c>
    </row>
    <row r="100" spans="1:17" x14ac:dyDescent="0.2">
      <c r="A100" s="25" t="str">
        <f>'GF + UG Iteration 5'!A100</f>
        <v>Pre-01</v>
      </c>
      <c r="B100" s="25" t="str">
        <f>'GF + UG Iteration 5'!B100</f>
        <v>GF</v>
      </c>
      <c r="C100" s="18">
        <f>'GF + UG Iteration 5'!C100</f>
        <v>2.2000000000000002</v>
      </c>
      <c r="D100" s="19">
        <f>'GF + UG Iteration 5'!D100</f>
        <v>2.4933711786255444</v>
      </c>
      <c r="E100" s="30">
        <f>'GF + UG Iteration 5'!E100</f>
        <v>1990</v>
      </c>
      <c r="F100" s="18"/>
      <c r="G100" s="19"/>
      <c r="H100" s="20"/>
      <c r="I100" s="18">
        <f t="shared" si="5"/>
        <v>2.2000000000000002</v>
      </c>
      <c r="J100" s="19">
        <f t="shared" si="6"/>
        <v>2.4933711786255444</v>
      </c>
      <c r="K100" s="20">
        <f t="shared" si="7"/>
        <v>1990</v>
      </c>
      <c r="M100" s="21">
        <f t="shared" si="8"/>
        <v>0.78845736036427028</v>
      </c>
      <c r="N100" s="21">
        <f t="shared" si="9"/>
        <v>0.91363568179621524</v>
      </c>
    </row>
    <row r="101" spans="1:17" x14ac:dyDescent="0.2">
      <c r="A101" s="25" t="str">
        <f>'GF + UG Iteration 5'!A101</f>
        <v>Pre-02</v>
      </c>
      <c r="B101" s="25" t="str">
        <f>'GF + UG Iteration 5'!B101</f>
        <v>GF</v>
      </c>
      <c r="C101" s="18">
        <f>'GF + UG Iteration 5'!C101</f>
        <v>1.464</v>
      </c>
      <c r="D101" s="19">
        <f>'GF + UG Iteration 5'!D101</f>
        <v>1.4940223849019025</v>
      </c>
      <c r="E101" s="30">
        <f>'GF + UG Iteration 5'!E101</f>
        <v>1987</v>
      </c>
      <c r="F101" s="18"/>
      <c r="G101" s="19"/>
      <c r="H101" s="20"/>
      <c r="I101" s="18">
        <f t="shared" si="5"/>
        <v>1.464</v>
      </c>
      <c r="J101" s="19">
        <f t="shared" si="6"/>
        <v>1.4940223849019025</v>
      </c>
      <c r="K101" s="20">
        <f t="shared" si="7"/>
        <v>1987</v>
      </c>
      <c r="M101" s="21">
        <f t="shared" si="8"/>
        <v>0.38117241553911979</v>
      </c>
      <c r="N101" s="21">
        <f t="shared" si="9"/>
        <v>0.40147206979911648</v>
      </c>
    </row>
    <row r="102" spans="1:17" x14ac:dyDescent="0.2">
      <c r="A102" s="25" t="str">
        <f>'GF + UG Iteration 5'!A102</f>
        <v>Pre-03</v>
      </c>
      <c r="B102" s="25" t="str">
        <f>'GF + UG Iteration 5'!B102</f>
        <v>GF</v>
      </c>
      <c r="C102" s="18">
        <f>'GF + UG Iteration 5'!C102</f>
        <v>4.0750000000000002</v>
      </c>
      <c r="D102" s="19">
        <f>'GF + UG Iteration 5'!D102</f>
        <v>1.9369408873503524</v>
      </c>
      <c r="E102" s="30">
        <f>'GF + UG Iteration 5'!E102</f>
        <v>1990</v>
      </c>
      <c r="F102" s="18"/>
      <c r="G102" s="19"/>
      <c r="H102" s="20"/>
      <c r="I102" s="18">
        <f t="shared" si="5"/>
        <v>4.0750000000000002</v>
      </c>
      <c r="J102" s="19">
        <f t="shared" si="6"/>
        <v>1.9369408873503524</v>
      </c>
      <c r="K102" s="20">
        <f t="shared" si="7"/>
        <v>1990</v>
      </c>
      <c r="M102" s="21">
        <f t="shared" si="8"/>
        <v>1.4048707466928261</v>
      </c>
      <c r="N102" s="21">
        <f t="shared" si="9"/>
        <v>0.66110986632901214</v>
      </c>
    </row>
    <row r="103" spans="1:17" x14ac:dyDescent="0.2">
      <c r="A103" s="25" t="str">
        <f>'GF + UG Iteration 5'!A103</f>
        <v>Pre-04</v>
      </c>
      <c r="B103" s="25" t="str">
        <f>'GF + UG Iteration 5'!B103</f>
        <v>GF</v>
      </c>
      <c r="C103" s="18">
        <f>'GF + UG Iteration 5'!C103</f>
        <v>10</v>
      </c>
      <c r="D103" s="19">
        <f>'GF + UG Iteration 5'!D103</f>
        <v>8.526519330793306</v>
      </c>
      <c r="E103" s="30">
        <f>'GF + UG Iteration 5'!E103</f>
        <v>1991</v>
      </c>
      <c r="F103" s="18"/>
      <c r="G103" s="19"/>
      <c r="H103" s="20"/>
      <c r="I103" s="18">
        <f t="shared" si="5"/>
        <v>10</v>
      </c>
      <c r="J103" s="19">
        <f t="shared" si="6"/>
        <v>8.526519330793306</v>
      </c>
      <c r="K103" s="20">
        <f t="shared" si="7"/>
        <v>1991</v>
      </c>
      <c r="M103" s="21">
        <f t="shared" si="8"/>
        <v>2.3025850929940459</v>
      </c>
      <c r="N103" s="21">
        <f t="shared" si="9"/>
        <v>2.143181227911088</v>
      </c>
    </row>
    <row r="104" spans="1:17" x14ac:dyDescent="0.2">
      <c r="A104" s="25" t="str">
        <f>'GF + UG Iteration 5'!A104</f>
        <v>Pre-05</v>
      </c>
      <c r="B104" s="25" t="str">
        <f>'GF + UG Iteration 5'!B104</f>
        <v>GF</v>
      </c>
      <c r="C104" s="18">
        <f>'GF + UG Iteration 5'!C104</f>
        <v>4.8</v>
      </c>
      <c r="D104" s="19">
        <f>'GF + UG Iteration 5'!D104</f>
        <v>4.0521826998299986</v>
      </c>
      <c r="E104" s="30">
        <f>'GF + UG Iteration 5'!E104</f>
        <v>1988</v>
      </c>
      <c r="F104" s="18"/>
      <c r="G104" s="19"/>
      <c r="H104" s="20"/>
      <c r="I104" s="18">
        <f t="shared" si="5"/>
        <v>4.8</v>
      </c>
      <c r="J104" s="19">
        <f t="shared" si="6"/>
        <v>4.0521826998299986</v>
      </c>
      <c r="K104" s="20">
        <f t="shared" si="7"/>
        <v>1988</v>
      </c>
      <c r="M104" s="21">
        <f t="shared" si="8"/>
        <v>1.5686159179138452</v>
      </c>
      <c r="N104" s="21">
        <f t="shared" si="9"/>
        <v>1.3992556741730273</v>
      </c>
    </row>
    <row r="105" spans="1:17" x14ac:dyDescent="0.2">
      <c r="A105" s="25" t="str">
        <f>'GF + UG Iteration 5'!A105</f>
        <v>Pre-06</v>
      </c>
      <c r="B105" s="25" t="str">
        <f>'GF + UG Iteration 5'!B105</f>
        <v>GF</v>
      </c>
      <c r="C105" s="18">
        <f>'GF + UG Iteration 5'!C105</f>
        <v>5.0999999999999996</v>
      </c>
      <c r="D105" s="19">
        <f>'GF + UG Iteration 5'!D105</f>
        <v>9.6482174286466869</v>
      </c>
      <c r="E105" s="30">
        <f>'GF + UG Iteration 5'!E105</f>
        <v>1989</v>
      </c>
      <c r="F105" s="18"/>
      <c r="G105" s="19"/>
      <c r="H105" s="20"/>
      <c r="I105" s="18">
        <f t="shared" si="5"/>
        <v>5.0999999999999996</v>
      </c>
      <c r="J105" s="19">
        <f t="shared" si="6"/>
        <v>9.6482174286466869</v>
      </c>
      <c r="K105" s="20">
        <f t="shared" si="7"/>
        <v>1989</v>
      </c>
      <c r="M105" s="21">
        <f t="shared" si="8"/>
        <v>1.62924053973028</v>
      </c>
      <c r="N105" s="21">
        <f t="shared" si="9"/>
        <v>2.2667731758675744</v>
      </c>
    </row>
    <row r="106" spans="1:17" x14ac:dyDescent="0.2">
      <c r="A106" s="25" t="str">
        <f>'GF + UG Iteration 5'!A106</f>
        <v>Pre-07</v>
      </c>
      <c r="B106" s="25" t="str">
        <f>'GF + UG Iteration 5'!B106</f>
        <v>GF</v>
      </c>
      <c r="C106" s="18">
        <f>'GF + UG Iteration 5'!C106</f>
        <v>6.9</v>
      </c>
      <c r="D106" s="19">
        <f>'GF + UG Iteration 5'!D106</f>
        <v>5.029432718717521</v>
      </c>
      <c r="E106" s="30">
        <f>'GF + UG Iteration 5'!E106</f>
        <v>1997</v>
      </c>
      <c r="F106" s="18"/>
      <c r="G106" s="19"/>
      <c r="H106" s="20"/>
      <c r="I106" s="18">
        <f t="shared" si="5"/>
        <v>6.9</v>
      </c>
      <c r="J106" s="19">
        <f t="shared" si="6"/>
        <v>5.029432718717521</v>
      </c>
      <c r="K106" s="20">
        <f t="shared" si="7"/>
        <v>1997</v>
      </c>
      <c r="M106" s="21">
        <f t="shared" si="8"/>
        <v>1.9315214116032138</v>
      </c>
      <c r="N106" s="21">
        <f t="shared" si="9"/>
        <v>1.6153071981725313</v>
      </c>
      <c r="P106"/>
      <c r="Q106"/>
    </row>
    <row r="107" spans="1:17" x14ac:dyDescent="0.2">
      <c r="A107" s="25" t="str">
        <f>'GF + UG Iteration 5'!A107</f>
        <v>Pre-08</v>
      </c>
      <c r="B107" s="25" t="str">
        <f>'GF + UG Iteration 5'!B107</f>
        <v>GF</v>
      </c>
      <c r="C107" s="18">
        <f>'GF + UG Iteration 5'!C107</f>
        <v>11.8</v>
      </c>
      <c r="D107" s="19">
        <f>'GF + UG Iteration 5'!D107</f>
        <v>6.372939235597177</v>
      </c>
      <c r="E107" s="30">
        <f>'GF + UG Iteration 5'!E107</f>
        <v>1987</v>
      </c>
      <c r="F107" s="18"/>
      <c r="G107" s="19"/>
      <c r="H107" s="20"/>
      <c r="I107" s="18">
        <f t="shared" si="5"/>
        <v>11.8</v>
      </c>
      <c r="J107" s="19">
        <f t="shared" si="6"/>
        <v>6.372939235597177</v>
      </c>
      <c r="K107" s="20">
        <f t="shared" si="7"/>
        <v>1987</v>
      </c>
      <c r="M107" s="21">
        <f t="shared" si="8"/>
        <v>2.4680995314716192</v>
      </c>
      <c r="N107" s="21">
        <f t="shared" si="9"/>
        <v>1.8520607816244041</v>
      </c>
      <c r="P107"/>
      <c r="Q107"/>
    </row>
    <row r="108" spans="1:17" x14ac:dyDescent="0.2">
      <c r="A108" s="25" t="str">
        <f>'GF + UG Iteration 5'!A108</f>
        <v>Pre-09</v>
      </c>
      <c r="B108" s="25" t="str">
        <f>'GF + UG Iteration 5'!B108</f>
        <v>GF</v>
      </c>
      <c r="C108" s="18">
        <f>'GF + UG Iteration 5'!C108</f>
        <v>9.6999999999999993</v>
      </c>
      <c r="D108" s="19">
        <f>'GF + UG Iteration 5'!D108</f>
        <v>2.9443376052628771</v>
      </c>
      <c r="E108" s="30">
        <f>'GF + UG Iteration 5'!E108</f>
        <v>1997</v>
      </c>
      <c r="F108" s="18"/>
      <c r="G108" s="19"/>
      <c r="H108" s="20"/>
      <c r="I108" s="18">
        <f t="shared" si="5"/>
        <v>9.6999999999999993</v>
      </c>
      <c r="J108" s="19">
        <f t="shared" si="6"/>
        <v>2.9443376052628771</v>
      </c>
      <c r="K108" s="20">
        <f t="shared" si="7"/>
        <v>1997</v>
      </c>
      <c r="M108" s="21">
        <f t="shared" si="8"/>
        <v>2.2721258855093369</v>
      </c>
      <c r="N108" s="21">
        <f t="shared" si="9"/>
        <v>1.0798838699925799</v>
      </c>
      <c r="P108"/>
      <c r="Q108"/>
    </row>
    <row r="109" spans="1:17" x14ac:dyDescent="0.2">
      <c r="A109" s="25" t="str">
        <f>'GF + UG Iteration 5'!A109</f>
        <v>Pre-10</v>
      </c>
      <c r="B109" s="25" t="str">
        <f>'GF + UG Iteration 5'!B109</f>
        <v>GF</v>
      </c>
      <c r="C109" s="18">
        <f>'GF + UG Iteration 5'!C109</f>
        <v>6.12</v>
      </c>
      <c r="D109" s="19">
        <f>'GF + UG Iteration 5'!D109</f>
        <v>13.481108575958453</v>
      </c>
      <c r="E109" s="30">
        <f>'GF + UG Iteration 5'!E109</f>
        <v>1990</v>
      </c>
      <c r="F109" s="18"/>
      <c r="G109" s="19"/>
      <c r="H109" s="20"/>
      <c r="I109" s="18">
        <f t="shared" si="5"/>
        <v>6.12</v>
      </c>
      <c r="J109" s="19">
        <f t="shared" si="6"/>
        <v>13.481108575958453</v>
      </c>
      <c r="K109" s="20">
        <f t="shared" si="7"/>
        <v>1990</v>
      </c>
      <c r="M109" s="21">
        <f t="shared" si="8"/>
        <v>1.8115620965242347</v>
      </c>
      <c r="N109" s="21">
        <f t="shared" si="9"/>
        <v>2.6012893406753403</v>
      </c>
    </row>
    <row r="110" spans="1:17" x14ac:dyDescent="0.2">
      <c r="A110" s="25" t="str">
        <f>'GF + UG Iteration 5'!A110</f>
        <v>Pre-11</v>
      </c>
      <c r="B110" s="25" t="str">
        <f>'GF + UG Iteration 5'!B110</f>
        <v>GF</v>
      </c>
      <c r="C110" s="18">
        <f>'GF + UG Iteration 5'!C110</f>
        <v>6.2671999999999999</v>
      </c>
      <c r="D110" s="19">
        <f>'GF + UG Iteration 5'!D110</f>
        <v>2.9102311039234974</v>
      </c>
      <c r="E110" s="30">
        <f>'GF + UG Iteration 5'!E110</f>
        <v>1987</v>
      </c>
      <c r="F110" s="18"/>
      <c r="G110" s="19"/>
      <c r="H110" s="20"/>
      <c r="I110" s="18">
        <f t="shared" si="5"/>
        <v>6.2671999999999999</v>
      </c>
      <c r="J110" s="19">
        <f t="shared" si="6"/>
        <v>2.9102311039234974</v>
      </c>
      <c r="K110" s="20">
        <f t="shared" si="7"/>
        <v>1987</v>
      </c>
      <c r="M110" s="21">
        <f t="shared" si="8"/>
        <v>1.8353296839294297</v>
      </c>
      <c r="N110" s="21">
        <f t="shared" si="9"/>
        <v>1.0682324951858668</v>
      </c>
    </row>
    <row r="111" spans="1:17" x14ac:dyDescent="0.2">
      <c r="A111" s="25" t="str">
        <f>'GF + UG Iteration 5'!A111</f>
        <v>Pre-12</v>
      </c>
      <c r="B111" s="25" t="str">
        <f>'GF + UG Iteration 5'!B111</f>
        <v>GF</v>
      </c>
      <c r="C111" s="18">
        <f>'GF + UG Iteration 5'!C111</f>
        <v>6.3659999999999997</v>
      </c>
      <c r="D111" s="19">
        <f>'GF + UG Iteration 5'!D111</f>
        <v>9.8906921245327926</v>
      </c>
      <c r="E111" s="30">
        <f>'GF + UG Iteration 5'!E111</f>
        <v>1993</v>
      </c>
      <c r="F111" s="18"/>
      <c r="G111" s="19"/>
      <c r="H111" s="20"/>
      <c r="I111" s="18">
        <f t="shared" si="5"/>
        <v>6.3659999999999997</v>
      </c>
      <c r="J111" s="19">
        <f t="shared" si="6"/>
        <v>9.8906921245327926</v>
      </c>
      <c r="K111" s="20">
        <f t="shared" si="7"/>
        <v>1993</v>
      </c>
      <c r="M111" s="21">
        <f t="shared" si="8"/>
        <v>1.850971328859901</v>
      </c>
      <c r="N111" s="21">
        <f t="shared" si="9"/>
        <v>2.2915941254440955</v>
      </c>
    </row>
    <row r="112" spans="1:17" x14ac:dyDescent="0.2">
      <c r="A112" s="25" t="str">
        <f>'GF + UG Iteration 5'!A112</f>
        <v>Pre-13</v>
      </c>
      <c r="B112" s="25" t="str">
        <f>'GF + UG Iteration 5'!B112</f>
        <v>GF</v>
      </c>
      <c r="C112" s="18">
        <f>'GF + UG Iteration 5'!C112</f>
        <v>8.5</v>
      </c>
      <c r="D112" s="19">
        <f>'GF + UG Iteration 5'!D112</f>
        <v>5.9446476688134462</v>
      </c>
      <c r="E112" s="30">
        <f>'GF + UG Iteration 5'!E112</f>
        <v>1990</v>
      </c>
      <c r="F112" s="18"/>
      <c r="G112" s="19"/>
      <c r="H112" s="20"/>
      <c r="I112" s="18">
        <f t="shared" si="5"/>
        <v>8.5</v>
      </c>
      <c r="J112" s="19">
        <f t="shared" si="6"/>
        <v>5.9446476688134462</v>
      </c>
      <c r="K112" s="20">
        <f t="shared" si="7"/>
        <v>1990</v>
      </c>
      <c r="M112" s="21">
        <f t="shared" si="8"/>
        <v>2.1400661634962708</v>
      </c>
      <c r="N112" s="21">
        <f t="shared" si="9"/>
        <v>1.7824912632583982</v>
      </c>
    </row>
    <row r="113" spans="1:14" x14ac:dyDescent="0.2">
      <c r="A113" s="25" t="str">
        <f>'GF + UG Iteration 5'!A113</f>
        <v>Pre-14</v>
      </c>
      <c r="B113" s="25" t="str">
        <f>'GF + UG Iteration 5'!B113</f>
        <v>GF</v>
      </c>
      <c r="C113" s="18">
        <f>'GF + UG Iteration 5'!C113</f>
        <v>46.55</v>
      </c>
      <c r="D113" s="19">
        <f>'GF + UG Iteration 5'!D113</f>
        <v>7.1936227504100643</v>
      </c>
      <c r="E113" s="30">
        <f>'GF + UG Iteration 5'!E113</f>
        <v>1991</v>
      </c>
      <c r="F113" s="18"/>
      <c r="G113" s="19"/>
      <c r="H113" s="20"/>
      <c r="I113" s="18">
        <f t="shared" si="5"/>
        <v>46.55</v>
      </c>
      <c r="J113" s="19">
        <f t="shared" si="6"/>
        <v>7.1936227504100643</v>
      </c>
      <c r="K113" s="20">
        <f t="shared" si="7"/>
        <v>1991</v>
      </c>
      <c r="M113" s="21">
        <f t="shared" si="8"/>
        <v>3.8405270037230759</v>
      </c>
      <c r="N113" s="21">
        <f t="shared" si="9"/>
        <v>1.9731949044224915</v>
      </c>
    </row>
    <row r="114" spans="1:14" x14ac:dyDescent="0.2">
      <c r="A114" s="25" t="str">
        <f>'GF + UG Iteration 5'!A114</f>
        <v>Pre-15</v>
      </c>
      <c r="B114" s="25" t="str">
        <f>'GF + UG Iteration 5'!B114</f>
        <v>GF</v>
      </c>
      <c r="C114" s="18">
        <f>'GF + UG Iteration 5'!C114</f>
        <v>56.8</v>
      </c>
      <c r="D114" s="19">
        <f>'GF + UG Iteration 5'!D114</f>
        <v>17.594466678549747</v>
      </c>
      <c r="E114" s="30">
        <f>'GF + UG Iteration 5'!E114</f>
        <v>1990</v>
      </c>
      <c r="F114" s="18"/>
      <c r="G114" s="19"/>
      <c r="H114" s="20"/>
      <c r="I114" s="18">
        <f t="shared" si="5"/>
        <v>56.8</v>
      </c>
      <c r="J114" s="19">
        <f t="shared" si="6"/>
        <v>17.594466678549747</v>
      </c>
      <c r="K114" s="20">
        <f t="shared" si="7"/>
        <v>1990</v>
      </c>
      <c r="M114" s="21">
        <f t="shared" si="8"/>
        <v>4.0395363257271057</v>
      </c>
      <c r="N114" s="21">
        <f t="shared" si="9"/>
        <v>2.867584459347964</v>
      </c>
    </row>
    <row r="115" spans="1:14" x14ac:dyDescent="0.2">
      <c r="A115" s="25" t="str">
        <f>'GF + UG Iteration 5'!A115</f>
        <v>Pre-16</v>
      </c>
      <c r="B115" s="25" t="str">
        <f>'GF + UG Iteration 5'!B115</f>
        <v>GF</v>
      </c>
      <c r="C115" s="18">
        <f>'GF + UG Iteration 5'!C115</f>
        <v>81.575999999999993</v>
      </c>
      <c r="D115" s="19">
        <f>'GF + UG Iteration 5'!D115</f>
        <v>14.026199251012313</v>
      </c>
      <c r="E115" s="30">
        <f>'GF + UG Iteration 5'!E115</f>
        <v>1988</v>
      </c>
      <c r="F115" s="18"/>
      <c r="G115" s="19"/>
      <c r="H115" s="20"/>
      <c r="I115" s="18">
        <f t="shared" si="5"/>
        <v>81.575999999999993</v>
      </c>
      <c r="J115" s="19">
        <f t="shared" si="6"/>
        <v>14.026199251012313</v>
      </c>
      <c r="K115" s="20">
        <f t="shared" si="7"/>
        <v>1988</v>
      </c>
      <c r="M115" s="21">
        <f t="shared" si="8"/>
        <v>4.4015351010619241</v>
      </c>
      <c r="N115" s="21">
        <f t="shared" si="9"/>
        <v>2.6409269558467208</v>
      </c>
    </row>
    <row r="116" spans="1:14" x14ac:dyDescent="0.2">
      <c r="A116" s="25" t="str">
        <f>'GF + UG Iteration 5'!A116</f>
        <v>Pre-17</v>
      </c>
      <c r="B116" s="25" t="str">
        <f>'GF + UG Iteration 5'!B116</f>
        <v>GF</v>
      </c>
      <c r="C116" s="18">
        <f>'GF + UG Iteration 5'!C116</f>
        <v>95.2</v>
      </c>
      <c r="D116" s="19">
        <f>'GF + UG Iteration 5'!D116</f>
        <v>14.219904176944949</v>
      </c>
      <c r="E116" s="30">
        <f>'GF + UG Iteration 5'!E116</f>
        <v>1999</v>
      </c>
      <c r="F116" s="18"/>
      <c r="G116" s="19"/>
      <c r="H116" s="20"/>
      <c r="I116" s="18">
        <f t="shared" si="5"/>
        <v>95.2</v>
      </c>
      <c r="J116" s="19">
        <f t="shared" si="6"/>
        <v>14.219904176944949</v>
      </c>
      <c r="K116" s="20">
        <f t="shared" si="7"/>
        <v>1999</v>
      </c>
      <c r="M116" s="21">
        <f t="shared" si="8"/>
        <v>4.5559799417973199</v>
      </c>
      <c r="N116" s="21">
        <f t="shared" si="9"/>
        <v>2.654642685740924</v>
      </c>
    </row>
    <row r="117" spans="1:14" x14ac:dyDescent="0.2">
      <c r="A117" s="25" t="str">
        <f>'GF + UG Iteration 5'!A117</f>
        <v>Pre-18</v>
      </c>
      <c r="B117" s="25" t="str">
        <f>'GF + UG Iteration 5'!B117</f>
        <v>GF</v>
      </c>
      <c r="C117" s="18">
        <f>'GF + UG Iteration 5'!C117</f>
        <v>122.77200000000001</v>
      </c>
      <c r="D117" s="19">
        <f>'GF + UG Iteration 5'!D117</f>
        <v>23.447549869052086</v>
      </c>
      <c r="E117" s="30">
        <f>'GF + UG Iteration 5'!E117</f>
        <v>1990</v>
      </c>
      <c r="F117" s="18"/>
      <c r="G117" s="19"/>
      <c r="H117" s="20"/>
      <c r="I117" s="18">
        <f t="shared" si="5"/>
        <v>122.77200000000001</v>
      </c>
      <c r="J117" s="19">
        <f t="shared" si="6"/>
        <v>23.447549869052086</v>
      </c>
      <c r="K117" s="20">
        <f t="shared" si="7"/>
        <v>1990</v>
      </c>
      <c r="M117" s="21">
        <f t="shared" si="8"/>
        <v>4.8103289766848034</v>
      </c>
      <c r="N117" s="21">
        <f t="shared" si="9"/>
        <v>3.1547660062374661</v>
      </c>
    </row>
    <row r="118" spans="1:14" x14ac:dyDescent="0.2">
      <c r="A118" s="33">
        <f>'GF + UG Iteration 5'!A118</f>
        <v>1184</v>
      </c>
      <c r="B118" s="34" t="str">
        <f>'GF + UG Iteration 5'!B118</f>
        <v>UG</v>
      </c>
      <c r="C118" s="35">
        <f>'GF + UG Iteration 5'!C118</f>
        <v>30</v>
      </c>
      <c r="D118" s="36">
        <f>'GF + UG Iteration 5'!P$16*(C118^'GF + UG Iteration 5'!P$15)</f>
        <v>17.885482934318361</v>
      </c>
      <c r="E118" s="37">
        <f>'GF + UG Iteration 5'!E118</f>
        <v>2013</v>
      </c>
      <c r="F118" s="35">
        <f>'GF + UG Iteration 5'!F118</f>
        <v>18.200000000000003</v>
      </c>
      <c r="G118" s="36">
        <f>'GF + UG Iteration 5'!G118</f>
        <v>18.869341885211266</v>
      </c>
      <c r="H118" s="38">
        <f>'GF + UG Iteration 5'!H118</f>
        <v>2012</v>
      </c>
      <c r="I118" s="35">
        <f>C118+F118</f>
        <v>48.2</v>
      </c>
      <c r="J118" s="36">
        <f>D118+G118</f>
        <v>36.754824819529631</v>
      </c>
      <c r="K118" s="38">
        <f>MAX(E118,H118)</f>
        <v>2013</v>
      </c>
      <c r="M118" s="21">
        <f t="shared" si="8"/>
        <v>3.8753590210565547</v>
      </c>
      <c r="N118" s="21">
        <f t="shared" si="9"/>
        <v>3.6042695046476307</v>
      </c>
    </row>
    <row r="119" spans="1:14" x14ac:dyDescent="0.2">
      <c r="A119" s="33">
        <f>'GF + UG Iteration 5'!A119</f>
        <v>1481</v>
      </c>
      <c r="B119" s="34" t="str">
        <f>'GF + UG Iteration 5'!B119</f>
        <v>UG</v>
      </c>
      <c r="C119" s="35">
        <f>'GF + UG Iteration 5'!C119</f>
        <v>48.2</v>
      </c>
      <c r="D119" s="36">
        <f>'GF + UG Iteration 5'!P$16*(C119^'GF + UG Iteration 5'!P$15)</f>
        <v>23.441180285790352</v>
      </c>
      <c r="E119" s="37">
        <f>'GF + UG Iteration 5'!E119</f>
        <v>2013</v>
      </c>
      <c r="F119" s="35">
        <f>'GF + UG Iteration 5'!F119</f>
        <v>0</v>
      </c>
      <c r="G119" s="36">
        <f>'GF + UG Iteration 5'!G119</f>
        <v>1.1114331301697908</v>
      </c>
      <c r="H119" s="38">
        <f>'GF + UG Iteration 5'!H119</f>
        <v>2014</v>
      </c>
      <c r="I119" s="35">
        <f t="shared" ref="I119:I183" si="10">C119+F119</f>
        <v>48.2</v>
      </c>
      <c r="J119" s="36">
        <f t="shared" ref="J119:J183" si="11">D119+G119</f>
        <v>24.552613415960142</v>
      </c>
      <c r="K119" s="38">
        <f t="shared" ref="K119:K183" si="12">MAX(E119,H119)</f>
        <v>2014</v>
      </c>
      <c r="M119" s="21">
        <f t="shared" si="8"/>
        <v>3.8753590210565547</v>
      </c>
      <c r="N119" s="21">
        <f t="shared" si="9"/>
        <v>3.2008183013634341</v>
      </c>
    </row>
    <row r="120" spans="1:14" x14ac:dyDescent="0.2">
      <c r="A120" s="33">
        <f>'GF + UG Iteration 5'!A120</f>
        <v>457</v>
      </c>
      <c r="B120" s="34" t="str">
        <f>'GF + UG Iteration 5'!B120</f>
        <v>UG</v>
      </c>
      <c r="C120" s="35">
        <f>'GF + UG Iteration 5'!C120</f>
        <v>10.77</v>
      </c>
      <c r="D120" s="36">
        <f>'GF + UG Iteration 5'!P$16*(C120^'GF + UG Iteration 5'!P$15)</f>
        <v>9.9697912122489853</v>
      </c>
      <c r="E120" s="37">
        <f>'GF + UG Iteration 5'!E120</f>
        <v>1990</v>
      </c>
      <c r="F120" s="35">
        <f>'GF + UG Iteration 5'!F120</f>
        <v>10</v>
      </c>
      <c r="G120" s="36">
        <f>'GF + UG Iteration 5'!G120</f>
        <v>3.289132084924363</v>
      </c>
      <c r="H120" s="38">
        <f>'GF + UG Iteration 5'!H120</f>
        <v>2006</v>
      </c>
      <c r="I120" s="35">
        <f t="shared" si="10"/>
        <v>20.77</v>
      </c>
      <c r="J120" s="36">
        <f t="shared" si="11"/>
        <v>13.258923297173348</v>
      </c>
      <c r="K120" s="38">
        <f t="shared" si="12"/>
        <v>2006</v>
      </c>
      <c r="M120" s="21">
        <f t="shared" si="8"/>
        <v>3.0335096378880211</v>
      </c>
      <c r="N120" s="21">
        <f t="shared" si="9"/>
        <v>2.5846707821526804</v>
      </c>
    </row>
    <row r="121" spans="1:14" x14ac:dyDescent="0.2">
      <c r="A121" s="33">
        <f>'GF + UG Iteration 5'!A121</f>
        <v>407</v>
      </c>
      <c r="B121" s="34" t="str">
        <f>'GF + UG Iteration 5'!B121</f>
        <v>UG</v>
      </c>
      <c r="C121" s="35">
        <f>'GF + UG Iteration 5'!C121</f>
        <v>25.4</v>
      </c>
      <c r="D121" s="36">
        <f>'GF + UG Iteration 5'!P$16*(C121^'GF + UG Iteration 5'!P$15)</f>
        <v>16.265270198110407</v>
      </c>
      <c r="E121" s="37">
        <f>'GF + UG Iteration 5'!E121</f>
        <v>1982</v>
      </c>
      <c r="F121" s="35">
        <f>'GF + UG Iteration 5'!F121</f>
        <v>2</v>
      </c>
      <c r="G121" s="36">
        <f>'GF + UG Iteration 5'!G121</f>
        <v>0.60106525862386018</v>
      </c>
      <c r="H121" s="38">
        <f>'GF + UG Iteration 5'!H121</f>
        <v>2004</v>
      </c>
      <c r="I121" s="35">
        <f t="shared" si="10"/>
        <v>27.4</v>
      </c>
      <c r="J121" s="36">
        <f t="shared" si="11"/>
        <v>16.866335456734266</v>
      </c>
      <c r="K121" s="38">
        <f t="shared" si="12"/>
        <v>2004</v>
      </c>
      <c r="M121" s="21">
        <f t="shared" si="8"/>
        <v>3.3105430133940246</v>
      </c>
      <c r="N121" s="21">
        <f t="shared" si="9"/>
        <v>2.8253196504799889</v>
      </c>
    </row>
    <row r="122" spans="1:14" x14ac:dyDescent="0.2">
      <c r="A122" s="33">
        <f>'GF + UG Iteration 5'!A122</f>
        <v>706</v>
      </c>
      <c r="B122" s="34" t="str">
        <f>'GF + UG Iteration 5'!B122</f>
        <v>UG</v>
      </c>
      <c r="C122" s="35">
        <f>'GF + UG Iteration 5'!C122</f>
        <v>14.85</v>
      </c>
      <c r="D122" s="36">
        <f>'GF + UG Iteration 5'!P$16*(C122^'GF + UG Iteration 5'!P$15)</f>
        <v>11.975004610023717</v>
      </c>
      <c r="E122" s="37">
        <f>'GF + UG Iteration 5'!E122</f>
        <v>1984</v>
      </c>
      <c r="F122" s="35">
        <f>'GF + UG Iteration 5'!F122</f>
        <v>14.250000000000002</v>
      </c>
      <c r="G122" s="36">
        <f>'GF + UG Iteration 5'!G122</f>
        <v>5.8346214151737739</v>
      </c>
      <c r="H122" s="38">
        <f>'GF + UG Iteration 5'!H122</f>
        <v>2008</v>
      </c>
      <c r="I122" s="35">
        <f t="shared" si="10"/>
        <v>29.1</v>
      </c>
      <c r="J122" s="36">
        <f t="shared" si="11"/>
        <v>17.809626025197492</v>
      </c>
      <c r="K122" s="38">
        <f t="shared" si="12"/>
        <v>2008</v>
      </c>
      <c r="M122" s="21">
        <f t="shared" si="8"/>
        <v>3.3707381741774469</v>
      </c>
      <c r="N122" s="21">
        <f t="shared" si="9"/>
        <v>2.8797390990573857</v>
      </c>
    </row>
    <row r="123" spans="1:14" x14ac:dyDescent="0.2">
      <c r="A123" s="33">
        <f>'GF + UG Iteration 5'!A123</f>
        <v>1070</v>
      </c>
      <c r="B123" s="34" t="str">
        <f>'GF + UG Iteration 5'!B123</f>
        <v>UG</v>
      </c>
      <c r="C123" s="35">
        <f>'GF + UG Iteration 5'!C123</f>
        <v>34</v>
      </c>
      <c r="D123" s="36">
        <f>'GF + UG Iteration 5'!P$16*(C123^'GF + UG Iteration 5'!P$15)</f>
        <v>19.209286225694775</v>
      </c>
      <c r="E123" s="37">
        <f>'GF + UG Iteration 5'!E123</f>
        <v>1984</v>
      </c>
      <c r="F123" s="35">
        <f>'GF + UG Iteration 5'!F123</f>
        <v>4.8999999999999986</v>
      </c>
      <c r="G123" s="36">
        <f>'GF + UG Iteration 5'!G123</f>
        <v>0.83607952853202894</v>
      </c>
      <c r="H123" s="38">
        <f>'GF + UG Iteration 5'!H123</f>
        <v>2011</v>
      </c>
      <c r="I123" s="35">
        <f t="shared" si="10"/>
        <v>38.9</v>
      </c>
      <c r="J123" s="36">
        <f t="shared" si="11"/>
        <v>20.045365754226804</v>
      </c>
      <c r="K123" s="38">
        <f t="shared" si="12"/>
        <v>2011</v>
      </c>
      <c r="M123" s="21">
        <f t="shared" si="8"/>
        <v>3.6609942506244004</v>
      </c>
      <c r="N123" s="21">
        <f t="shared" si="9"/>
        <v>2.9979979925843656</v>
      </c>
    </row>
    <row r="124" spans="1:14" x14ac:dyDescent="0.2">
      <c r="A124" s="33">
        <f>'GF + UG Iteration 5'!A124</f>
        <v>1264</v>
      </c>
      <c r="B124" s="34" t="str">
        <f>'GF + UG Iteration 5'!B124</f>
        <v>UG</v>
      </c>
      <c r="C124" s="35">
        <f>'GF + UG Iteration 5'!C124</f>
        <v>38.9</v>
      </c>
      <c r="D124" s="36">
        <f>'GF + UG Iteration 5'!P$16*(C124^'GF + UG Iteration 5'!P$15)</f>
        <v>20.742840420038682</v>
      </c>
      <c r="E124" s="37">
        <f>'GF + UG Iteration 5'!E124</f>
        <v>1984</v>
      </c>
      <c r="F124" s="35">
        <f>'GF + UG Iteration 5'!F124</f>
        <v>7.2000000000000028</v>
      </c>
      <c r="G124" s="36">
        <f>'GF + UG Iteration 5'!G124</f>
        <v>8.0578720930203094</v>
      </c>
      <c r="H124" s="38">
        <f>'GF + UG Iteration 5'!H124</f>
        <v>2013</v>
      </c>
      <c r="I124" s="35">
        <f t="shared" si="10"/>
        <v>46.1</v>
      </c>
      <c r="J124" s="36">
        <f t="shared" si="11"/>
        <v>28.80071251305899</v>
      </c>
      <c r="K124" s="38">
        <f t="shared" si="12"/>
        <v>2013</v>
      </c>
      <c r="M124" s="21">
        <f t="shared" si="8"/>
        <v>3.8308129500026027</v>
      </c>
      <c r="N124" s="21">
        <f t="shared" si="9"/>
        <v>3.3604001268726411</v>
      </c>
    </row>
    <row r="125" spans="1:14" x14ac:dyDescent="0.2">
      <c r="A125" s="33">
        <f>'GF + UG Iteration 5'!A125</f>
        <v>1208</v>
      </c>
      <c r="B125" s="34" t="str">
        <f>'GF + UG Iteration 5'!B125</f>
        <v>UG</v>
      </c>
      <c r="C125" s="35">
        <f>'GF + UG Iteration 5'!C125</f>
        <v>14.1</v>
      </c>
      <c r="D125" s="36">
        <f>'GF + UG Iteration 5'!P$16*(C125^'GF + UG Iteration 5'!P$15)</f>
        <v>11.626137475835474</v>
      </c>
      <c r="E125" s="37">
        <f>'GF + UG Iteration 5'!E125</f>
        <v>1961</v>
      </c>
      <c r="F125" s="35">
        <f>'GF + UG Iteration 5'!F125</f>
        <v>11.500000000000002</v>
      </c>
      <c r="G125" s="36">
        <f>'GF + UG Iteration 5'!G125</f>
        <v>2.7992110812000917</v>
      </c>
      <c r="H125" s="38">
        <f>'GF + UG Iteration 5'!H125</f>
        <v>2012</v>
      </c>
      <c r="I125" s="35">
        <f t="shared" si="10"/>
        <v>25.6</v>
      </c>
      <c r="J125" s="36">
        <f t="shared" si="11"/>
        <v>14.425348557035566</v>
      </c>
      <c r="K125" s="38">
        <f t="shared" si="12"/>
        <v>2012</v>
      </c>
      <c r="M125" s="21">
        <f t="shared" si="8"/>
        <v>3.2425923514855168</v>
      </c>
      <c r="N125" s="21">
        <f t="shared" si="9"/>
        <v>2.6689869755015789</v>
      </c>
    </row>
    <row r="126" spans="1:14" x14ac:dyDescent="0.2">
      <c r="A126" s="33">
        <f>'GF + UG Iteration 5'!A126</f>
        <v>655</v>
      </c>
      <c r="B126" s="34" t="str">
        <f>'GF + UG Iteration 5'!B126</f>
        <v>UG</v>
      </c>
      <c r="C126" s="35">
        <f>'GF + UG Iteration 5'!C126</f>
        <v>12.052999999999999</v>
      </c>
      <c r="D126" s="36">
        <f>'GF + UG Iteration 5'!P$16*(C126^'GF + UG Iteration 5'!P$15)</f>
        <v>10.630932263907971</v>
      </c>
      <c r="E126" s="37">
        <f>'GF + UG Iteration 5'!E126</f>
        <v>1974</v>
      </c>
      <c r="F126" s="35">
        <f>'GF + UG Iteration 5'!F126</f>
        <v>2.3390000000000004</v>
      </c>
      <c r="G126" s="36">
        <f>'GF + UG Iteration 5'!G126</f>
        <v>0.59464786373478107</v>
      </c>
      <c r="H126" s="38">
        <f>'GF + UG Iteration 5'!H126</f>
        <v>2007</v>
      </c>
      <c r="I126" s="35">
        <f t="shared" si="10"/>
        <v>14.391999999999999</v>
      </c>
      <c r="J126" s="36">
        <f t="shared" si="11"/>
        <v>11.225580127642752</v>
      </c>
      <c r="K126" s="38">
        <f t="shared" si="12"/>
        <v>2007</v>
      </c>
      <c r="M126" s="21">
        <f t="shared" si="8"/>
        <v>2.666672496648232</v>
      </c>
      <c r="N126" s="21">
        <f t="shared" si="9"/>
        <v>2.4181951140427733</v>
      </c>
    </row>
    <row r="127" spans="1:14" x14ac:dyDescent="0.2">
      <c r="A127" s="33">
        <f>'GF + UG Iteration 5'!A127</f>
        <v>733</v>
      </c>
      <c r="B127" s="34" t="str">
        <f>'GF + UG Iteration 5'!B127</f>
        <v>UG</v>
      </c>
      <c r="C127" s="35">
        <f>'GF + UG Iteration 5'!C127</f>
        <v>24.3</v>
      </c>
      <c r="D127" s="36">
        <f>'GF + UG Iteration 5'!P$16*(C127^'GF + UG Iteration 5'!P$15)</f>
        <v>15.859598887858152</v>
      </c>
      <c r="E127" s="37">
        <f>'GF + UG Iteration 5'!E127</f>
        <v>2007</v>
      </c>
      <c r="F127" s="35">
        <f>'GF + UG Iteration 5'!F127</f>
        <v>17.099999999999998</v>
      </c>
      <c r="G127" s="36">
        <f>'GF + UG Iteration 5'!G127</f>
        <v>6.7726080218724345</v>
      </c>
      <c r="H127" s="38">
        <f>'GF + UG Iteration 5'!H127</f>
        <v>2009</v>
      </c>
      <c r="I127" s="35">
        <f t="shared" si="10"/>
        <v>41.4</v>
      </c>
      <c r="J127" s="36">
        <f t="shared" si="11"/>
        <v>22.632206909730584</v>
      </c>
      <c r="K127" s="38">
        <f t="shared" si="12"/>
        <v>2009</v>
      </c>
      <c r="M127" s="21">
        <f t="shared" si="8"/>
        <v>3.7232808808312687</v>
      </c>
      <c r="N127" s="21">
        <f t="shared" si="9"/>
        <v>3.1193739763103641</v>
      </c>
    </row>
    <row r="128" spans="1:14" x14ac:dyDescent="0.2">
      <c r="A128" s="33">
        <f>'GF + UG Iteration 5'!A128</f>
        <v>1700</v>
      </c>
      <c r="B128" s="34" t="str">
        <f>'GF + UG Iteration 5'!B128</f>
        <v>UG</v>
      </c>
      <c r="C128" s="35">
        <f>'GF + UG Iteration 5'!C128</f>
        <v>13.4</v>
      </c>
      <c r="D128" s="36">
        <f>'GF + UG Iteration 5'!P$16*(C128^'GF + UG Iteration 5'!P$15)</f>
        <v>11.293262865753601</v>
      </c>
      <c r="E128" s="37">
        <f>'GF + UG Iteration 5'!E128</f>
        <v>0</v>
      </c>
      <c r="F128" s="35">
        <f>'GF + UG Iteration 5'!F128</f>
        <v>0</v>
      </c>
      <c r="G128" s="36">
        <f>'GF + UG Iteration 5'!G128</f>
        <v>4.0238803148956235</v>
      </c>
      <c r="H128" s="38">
        <f>'GF + UG Iteration 5'!H128</f>
        <v>2016</v>
      </c>
      <c r="I128" s="35">
        <f t="shared" ref="I128" si="13">C128+F128</f>
        <v>13.4</v>
      </c>
      <c r="J128" s="36">
        <f t="shared" ref="J128" si="14">D128+G128</f>
        <v>15.317143180649225</v>
      </c>
      <c r="K128" s="38">
        <f t="shared" ref="K128" si="15">MAX(E128,H128)</f>
        <v>2016</v>
      </c>
      <c r="M128" s="21">
        <f t="shared" ref="M128" si="16">LN(I128)</f>
        <v>2.5952547069568657</v>
      </c>
      <c r="N128" s="21">
        <f t="shared" ref="N128" si="17">LN(J128)</f>
        <v>2.7289726704646209</v>
      </c>
    </row>
    <row r="129" spans="1:14" x14ac:dyDescent="0.2">
      <c r="A129" s="33">
        <f>'GF + UG Iteration 5'!A129</f>
        <v>1569</v>
      </c>
      <c r="B129" s="34" t="str">
        <f>'GF + UG Iteration 5'!B129</f>
        <v>UG</v>
      </c>
      <c r="C129" s="35">
        <f>'GF + UG Iteration 5'!C129</f>
        <v>17.7</v>
      </c>
      <c r="D129" s="36">
        <f>'GF + UG Iteration 5'!P$16*(C129^'GF + UG Iteration 5'!P$15)</f>
        <v>13.236519653827591</v>
      </c>
      <c r="E129" s="37">
        <f>'GF + UG Iteration 5'!E129</f>
        <v>1997</v>
      </c>
      <c r="F129" s="35">
        <f>'GF + UG Iteration 5'!F129</f>
        <v>0</v>
      </c>
      <c r="G129" s="36">
        <f>'GF + UG Iteration 5'!G129</f>
        <v>3.7372730134616279</v>
      </c>
      <c r="H129" s="38">
        <f>'GF + UG Iteration 5'!H129</f>
        <v>2015</v>
      </c>
      <c r="I129" s="35">
        <f t="shared" si="10"/>
        <v>17.7</v>
      </c>
      <c r="J129" s="36">
        <f t="shared" si="11"/>
        <v>16.973792667289217</v>
      </c>
      <c r="K129" s="38">
        <f t="shared" si="12"/>
        <v>2015</v>
      </c>
      <c r="M129" s="21">
        <f t="shared" si="8"/>
        <v>2.8735646395797834</v>
      </c>
      <c r="N129" s="21">
        <f t="shared" si="9"/>
        <v>2.831670546749733</v>
      </c>
    </row>
    <row r="130" spans="1:14" x14ac:dyDescent="0.2">
      <c r="A130" s="33">
        <f>'GF + UG Iteration 5'!A130</f>
        <v>401</v>
      </c>
      <c r="B130" s="34" t="str">
        <f>'GF + UG Iteration 5'!B130</f>
        <v>UG</v>
      </c>
      <c r="C130" s="35">
        <f>'GF + UG Iteration 5'!C130</f>
        <v>2</v>
      </c>
      <c r="D130" s="36">
        <f>'GF + UG Iteration 5'!P$16*(C130^'GF + UG Iteration 5'!P$15)</f>
        <v>3.8154977891312041</v>
      </c>
      <c r="E130" s="37">
        <f>'GF + UG Iteration 5'!E130</f>
        <v>1986</v>
      </c>
      <c r="F130" s="35">
        <f>'GF + UG Iteration 5'!F130</f>
        <v>1.5</v>
      </c>
      <c r="G130" s="36">
        <f>'GF + UG Iteration 5'!G130</f>
        <v>0.36204281296556784</v>
      </c>
      <c r="H130" s="38">
        <f>'GF + UG Iteration 5'!H130</f>
        <v>2004</v>
      </c>
      <c r="I130" s="35">
        <f t="shared" si="10"/>
        <v>3.5</v>
      </c>
      <c r="J130" s="36">
        <f t="shared" si="11"/>
        <v>4.177540602096772</v>
      </c>
      <c r="K130" s="38">
        <f t="shared" si="12"/>
        <v>2004</v>
      </c>
      <c r="M130" s="21">
        <f t="shared" si="8"/>
        <v>1.2527629684953681</v>
      </c>
      <c r="N130" s="21">
        <f t="shared" si="9"/>
        <v>1.4297227006733992</v>
      </c>
    </row>
    <row r="131" spans="1:14" x14ac:dyDescent="0.2">
      <c r="A131" s="33">
        <f>'GF + UG Iteration 5'!A131</f>
        <v>1412</v>
      </c>
      <c r="B131" s="34" t="str">
        <f>'GF + UG Iteration 5'!B131</f>
        <v>UG</v>
      </c>
      <c r="C131" s="35">
        <f>'GF + UG Iteration 5'!C131</f>
        <v>3.5</v>
      </c>
      <c r="D131" s="36">
        <f>'GF + UG Iteration 5'!P$16*(C131^'GF + UG Iteration 5'!P$15)</f>
        <v>5.2505188608853786</v>
      </c>
      <c r="E131" s="37">
        <f>'GF + UG Iteration 5'!E131</f>
        <v>1986</v>
      </c>
      <c r="F131" s="35">
        <f>'GF + UG Iteration 5'!F131</f>
        <v>11</v>
      </c>
      <c r="G131" s="36">
        <f>'GF + UG Iteration 5'!G131</f>
        <v>4.3574845496482366</v>
      </c>
      <c r="H131" s="38">
        <f>'GF + UG Iteration 5'!H131</f>
        <v>2015</v>
      </c>
      <c r="I131" s="35">
        <f t="shared" si="10"/>
        <v>14.5</v>
      </c>
      <c r="J131" s="36">
        <f t="shared" si="11"/>
        <v>9.6080034105336161</v>
      </c>
      <c r="K131" s="38">
        <f t="shared" si="12"/>
        <v>2015</v>
      </c>
      <c r="M131" s="21">
        <f t="shared" si="8"/>
        <v>2.6741486494265287</v>
      </c>
      <c r="N131" s="21">
        <f t="shared" si="9"/>
        <v>2.2625964397457312</v>
      </c>
    </row>
    <row r="132" spans="1:14" x14ac:dyDescent="0.2">
      <c r="A132" s="33">
        <f>'GF + UG Iteration 5'!A132</f>
        <v>1318</v>
      </c>
      <c r="B132" s="34" t="str">
        <f>'GF + UG Iteration 5'!B132</f>
        <v>UG</v>
      </c>
      <c r="C132" s="35">
        <f>'GF + UG Iteration 5'!C132</f>
        <v>22.3</v>
      </c>
      <c r="D132" s="36">
        <f>'GF + UG Iteration 5'!P$16*(C132^'GF + UG Iteration 5'!P$15)</f>
        <v>15.101221600849257</v>
      </c>
      <c r="E132" s="37">
        <f>'GF + UG Iteration 5'!E132</f>
        <v>1997</v>
      </c>
      <c r="F132" s="35">
        <f>'GF + UG Iteration 5'!F132</f>
        <v>28.900000000000002</v>
      </c>
      <c r="G132" s="36">
        <f>'GF + UG Iteration 5'!G132</f>
        <v>1.6878206182928517</v>
      </c>
      <c r="H132" s="38">
        <f>'GF + UG Iteration 5'!H132</f>
        <v>2013</v>
      </c>
      <c r="I132" s="35">
        <f t="shared" si="10"/>
        <v>51.2</v>
      </c>
      <c r="J132" s="36">
        <f t="shared" si="11"/>
        <v>16.789042219142107</v>
      </c>
      <c r="K132" s="38">
        <f t="shared" si="12"/>
        <v>2013</v>
      </c>
      <c r="M132" s="21">
        <f t="shared" si="8"/>
        <v>3.9357395320454622</v>
      </c>
      <c r="N132" s="21">
        <f t="shared" si="9"/>
        <v>2.820726424741796</v>
      </c>
    </row>
    <row r="133" spans="1:14" x14ac:dyDescent="0.2">
      <c r="A133" s="33">
        <f>'GF + UG Iteration 5'!A133</f>
        <v>1194</v>
      </c>
      <c r="B133" s="34" t="str">
        <f>'GF + UG Iteration 5'!B133</f>
        <v>UG</v>
      </c>
      <c r="C133" s="35">
        <f>'GF + UG Iteration 5'!C133</f>
        <v>5.8</v>
      </c>
      <c r="D133" s="36">
        <f>'GF + UG Iteration 5'!P$16*(C133^'GF + UG Iteration 5'!P$15)</f>
        <v>7.0039832235853918</v>
      </c>
      <c r="E133" s="37">
        <f>'GF + UG Iteration 5'!E133</f>
        <v>1980</v>
      </c>
      <c r="F133" s="35">
        <f>'GF + UG Iteration 5'!F133</f>
        <v>9.6000000000000014</v>
      </c>
      <c r="G133" s="36">
        <f>'GF + UG Iteration 5'!G133</f>
        <v>1.6086060831571487</v>
      </c>
      <c r="H133" s="38">
        <f>'GF + UG Iteration 5'!H133</f>
        <v>2011</v>
      </c>
      <c r="I133" s="35">
        <f t="shared" si="10"/>
        <v>15.400000000000002</v>
      </c>
      <c r="J133" s="36">
        <f t="shared" si="11"/>
        <v>8.6125893067425405</v>
      </c>
      <c r="K133" s="38">
        <f t="shared" si="12"/>
        <v>2011</v>
      </c>
      <c r="M133" s="21">
        <f t="shared" si="8"/>
        <v>2.7343675094195836</v>
      </c>
      <c r="N133" s="21">
        <f t="shared" si="9"/>
        <v>2.1532250057191109</v>
      </c>
    </row>
    <row r="134" spans="1:14" x14ac:dyDescent="0.2">
      <c r="A134" s="33">
        <f>'GF + UG Iteration 5'!A134</f>
        <v>801</v>
      </c>
      <c r="B134" s="34" t="str">
        <f>'GF + UG Iteration 5'!B134</f>
        <v>UG</v>
      </c>
      <c r="C134" s="35">
        <f>'GF + UG Iteration 5'!C134</f>
        <v>10</v>
      </c>
      <c r="D134" s="36">
        <f>'GF + UG Iteration 5'!P$16*(C134^'GF + UG Iteration 5'!P$15)</f>
        <v>9.5566855194436737</v>
      </c>
      <c r="E134" s="37">
        <f>'GF + UG Iteration 5'!E134</f>
        <v>2008</v>
      </c>
      <c r="F134" s="35">
        <f>'GF + UG Iteration 5'!F134</f>
        <v>0</v>
      </c>
      <c r="G134" s="36">
        <f>'GF + UG Iteration 5'!G134</f>
        <v>6.3106495854024782</v>
      </c>
      <c r="H134" s="38">
        <f>'GF + UG Iteration 5'!H134</f>
        <v>2009</v>
      </c>
      <c r="I134" s="35">
        <f t="shared" si="10"/>
        <v>10</v>
      </c>
      <c r="J134" s="36">
        <f t="shared" si="11"/>
        <v>15.867335104846152</v>
      </c>
      <c r="K134" s="38">
        <f t="shared" si="12"/>
        <v>2009</v>
      </c>
      <c r="M134" s="21">
        <f t="shared" si="8"/>
        <v>2.3025850929940459</v>
      </c>
      <c r="N134" s="21">
        <f t="shared" si="9"/>
        <v>2.7642626001385762</v>
      </c>
    </row>
    <row r="135" spans="1:14" x14ac:dyDescent="0.2">
      <c r="A135" s="33">
        <f>'GF + UG Iteration 5'!A135</f>
        <v>804</v>
      </c>
      <c r="B135" s="34" t="str">
        <f>'GF + UG Iteration 5'!B135</f>
        <v>UG</v>
      </c>
      <c r="C135" s="35">
        <f>'GF + UG Iteration 5'!C135</f>
        <v>14.429</v>
      </c>
      <c r="D135" s="36">
        <f>'GF + UG Iteration 5'!P$16*(C135^'GF + UG Iteration 5'!P$15)</f>
        <v>11.780131302994524</v>
      </c>
      <c r="E135" s="37">
        <f>'GF + UG Iteration 5'!E135</f>
        <v>1982</v>
      </c>
      <c r="F135" s="35">
        <f>'GF + UG Iteration 5'!F135</f>
        <v>9.8710000000000004</v>
      </c>
      <c r="G135" s="36">
        <f>'GF + UG Iteration 5'!G135</f>
        <v>9.1566982400815444</v>
      </c>
      <c r="H135" s="38">
        <f>'GF + UG Iteration 5'!H135</f>
        <v>2009</v>
      </c>
      <c r="I135" s="35">
        <f t="shared" si="10"/>
        <v>24.3</v>
      </c>
      <c r="J135" s="36">
        <f t="shared" si="11"/>
        <v>20.936829543076069</v>
      </c>
      <c r="K135" s="38">
        <f t="shared" si="12"/>
        <v>2009</v>
      </c>
      <c r="M135" s="21">
        <f t="shared" si="8"/>
        <v>3.1904763503465028</v>
      </c>
      <c r="N135" s="21">
        <f t="shared" si="9"/>
        <v>3.0415097872493431</v>
      </c>
    </row>
    <row r="136" spans="1:14" x14ac:dyDescent="0.2">
      <c r="A136" s="33">
        <f>'GF + UG Iteration 5'!A136</f>
        <v>365</v>
      </c>
      <c r="B136" s="34" t="str">
        <f>'GF + UG Iteration 5'!B136</f>
        <v>UG</v>
      </c>
      <c r="C136" s="35">
        <f>'GF + UG Iteration 5'!C136</f>
        <v>15.9</v>
      </c>
      <c r="D136" s="36">
        <f>'GF + UG Iteration 5'!P$16*(C136^'GF + UG Iteration 5'!P$15)</f>
        <v>12.450951445306989</v>
      </c>
      <c r="E136" s="37">
        <f>'GF + UG Iteration 5'!E136</f>
        <v>1982</v>
      </c>
      <c r="F136" s="35">
        <f>'GF + UG Iteration 5'!F136</f>
        <v>0.26900000000000013</v>
      </c>
      <c r="G136" s="36">
        <f>'GF + UG Iteration 5'!G136</f>
        <v>0.59607313292480213</v>
      </c>
      <c r="H136" s="38">
        <f>'GF + UG Iteration 5'!H136</f>
        <v>2003</v>
      </c>
      <c r="I136" s="35">
        <f t="shared" si="10"/>
        <v>16.169</v>
      </c>
      <c r="J136" s="36">
        <f t="shared" si="11"/>
        <v>13.047024578231792</v>
      </c>
      <c r="K136" s="38">
        <f t="shared" si="12"/>
        <v>2003</v>
      </c>
      <c r="M136" s="21">
        <f t="shared" ref="M136:M183" si="18">LN(I136)</f>
        <v>2.7830958287576775</v>
      </c>
      <c r="N136" s="21">
        <f t="shared" ref="N136:N183" si="19">LN(J136)</f>
        <v>2.5685601061043086</v>
      </c>
    </row>
    <row r="137" spans="1:14" x14ac:dyDescent="0.2">
      <c r="A137" s="33">
        <f>'GF + UG Iteration 5'!A137</f>
        <v>708</v>
      </c>
      <c r="B137" s="34" t="str">
        <f>'GF + UG Iteration 5'!B137</f>
        <v>UG</v>
      </c>
      <c r="C137" s="35">
        <f>'GF + UG Iteration 5'!C137</f>
        <v>16.2</v>
      </c>
      <c r="D137" s="36">
        <f>'GF + UG Iteration 5'!P$16*(C137^'GF + UG Iteration 5'!P$15)</f>
        <v>12.58443502362125</v>
      </c>
      <c r="E137" s="37">
        <f>'GF + UG Iteration 5'!E137</f>
        <v>1982</v>
      </c>
      <c r="F137" s="35">
        <f>'GF + UG Iteration 5'!F137</f>
        <v>11.5</v>
      </c>
      <c r="G137" s="36">
        <f>'GF + UG Iteration 5'!G137</f>
        <v>6.8374623210633541</v>
      </c>
      <c r="H137" s="38">
        <f>'GF + UG Iteration 5'!H137</f>
        <v>2007</v>
      </c>
      <c r="I137" s="35">
        <f t="shared" si="10"/>
        <v>27.7</v>
      </c>
      <c r="J137" s="36">
        <f t="shared" si="11"/>
        <v>19.421897344684602</v>
      </c>
      <c r="K137" s="38">
        <f t="shared" si="12"/>
        <v>2007</v>
      </c>
      <c r="M137" s="21">
        <f t="shared" si="18"/>
        <v>3.3214324131932926</v>
      </c>
      <c r="N137" s="21">
        <f t="shared" si="19"/>
        <v>2.9664011586409766</v>
      </c>
    </row>
    <row r="138" spans="1:14" x14ac:dyDescent="0.2">
      <c r="A138" s="33">
        <f>'GF + UG Iteration 5'!A138</f>
        <v>1568</v>
      </c>
      <c r="B138" s="34" t="str">
        <f>'GF + UG Iteration 5'!B138</f>
        <v>UG</v>
      </c>
      <c r="C138" s="35">
        <f>'GF + UG Iteration 5'!C138</f>
        <v>27.7</v>
      </c>
      <c r="D138" s="36">
        <f>'GF + UG Iteration 5'!P$16*(C138^'GF + UG Iteration 5'!P$15)</f>
        <v>17.0898407510753</v>
      </c>
      <c r="E138" s="37">
        <f>'GF + UG Iteration 5'!E138</f>
        <v>1997</v>
      </c>
      <c r="F138" s="35">
        <f>'GF + UG Iteration 5'!F138</f>
        <v>8.0999999999999979</v>
      </c>
      <c r="G138" s="36">
        <f>'GF + UG Iteration 5'!G138</f>
        <v>3.5848996641236104</v>
      </c>
      <c r="H138" s="38">
        <f>'GF + UG Iteration 5'!H138</f>
        <v>2015</v>
      </c>
      <c r="I138" s="35">
        <f t="shared" si="10"/>
        <v>35.799999999999997</v>
      </c>
      <c r="J138" s="36">
        <f t="shared" si="11"/>
        <v>20.674740415198912</v>
      </c>
      <c r="K138" s="38">
        <f t="shared" si="12"/>
        <v>2015</v>
      </c>
      <c r="M138" s="21">
        <f t="shared" si="18"/>
        <v>3.5779478934066544</v>
      </c>
      <c r="N138" s="21">
        <f t="shared" si="19"/>
        <v>3.0289126853387414</v>
      </c>
    </row>
    <row r="139" spans="1:14" x14ac:dyDescent="0.2">
      <c r="A139" s="33">
        <f>'GF + UG Iteration 5'!A139</f>
        <v>398</v>
      </c>
      <c r="B139" s="34" t="str">
        <f>'GF + UG Iteration 5'!B139</f>
        <v>UG</v>
      </c>
      <c r="C139" s="35">
        <f>'GF + UG Iteration 5'!C139</f>
        <v>27.329000000000001</v>
      </c>
      <c r="D139" s="36">
        <f>'GF + UG Iteration 5'!P$16*(C139^'GF + UG Iteration 5'!P$15)</f>
        <v>16.958881454319553</v>
      </c>
      <c r="E139" s="37">
        <f>'GF + UG Iteration 5'!E139</f>
        <v>1981</v>
      </c>
      <c r="F139" s="35">
        <f>'GF + UG Iteration 5'!F139</f>
        <v>2</v>
      </c>
      <c r="G139" s="36">
        <f>'GF + UG Iteration 5'!G139</f>
        <v>1.454685054931611</v>
      </c>
      <c r="H139" s="38">
        <f>'GF + UG Iteration 5'!H139</f>
        <v>2004</v>
      </c>
      <c r="I139" s="35">
        <f t="shared" si="10"/>
        <v>29.329000000000001</v>
      </c>
      <c r="J139" s="36">
        <f t="shared" si="11"/>
        <v>18.413566509251165</v>
      </c>
      <c r="K139" s="38">
        <f t="shared" si="12"/>
        <v>2004</v>
      </c>
      <c r="M139" s="21">
        <f t="shared" si="18"/>
        <v>3.3785767876246213</v>
      </c>
      <c r="N139" s="21">
        <f t="shared" si="19"/>
        <v>2.9130877032206342</v>
      </c>
    </row>
    <row r="140" spans="1:14" x14ac:dyDescent="0.2">
      <c r="A140" s="33">
        <f>'GF + UG Iteration 5'!A140</f>
        <v>1642</v>
      </c>
      <c r="B140" s="34" t="str">
        <f>'GF + UG Iteration 5'!B140</f>
        <v>UG</v>
      </c>
      <c r="C140" s="35">
        <f>'GF + UG Iteration 5'!C140</f>
        <v>16.12</v>
      </c>
      <c r="D140" s="36">
        <f>'GF + UG Iteration 5'!P$16*(C140^'GF + UG Iteration 5'!P$15)</f>
        <v>12.548943969216351</v>
      </c>
      <c r="E140" s="37" t="str">
        <f>'GF + UG Iteration 5'!E140</f>
        <v>unknown</v>
      </c>
      <c r="F140" s="35">
        <f>'GF + UG Iteration 5'!F140</f>
        <v>2.7799999999999976</v>
      </c>
      <c r="G140" s="36">
        <f>'GF + UG Iteration 5'!G140</f>
        <v>10.134123990225088</v>
      </c>
      <c r="H140" s="38">
        <f>'GF + UG Iteration 5'!H140</f>
        <v>2015</v>
      </c>
      <c r="I140" s="35">
        <f t="shared" si="10"/>
        <v>18.899999999999999</v>
      </c>
      <c r="J140" s="36">
        <f t="shared" si="11"/>
        <v>22.683067959441438</v>
      </c>
      <c r="K140" s="38">
        <f t="shared" si="12"/>
        <v>2015</v>
      </c>
      <c r="M140" s="21">
        <f t="shared" si="18"/>
        <v>2.9391619220655967</v>
      </c>
      <c r="N140" s="21">
        <f t="shared" si="19"/>
        <v>3.1216187412914862</v>
      </c>
    </row>
    <row r="141" spans="1:14" x14ac:dyDescent="0.2">
      <c r="A141" s="33">
        <f>'GF + UG Iteration 5'!A141</f>
        <v>522</v>
      </c>
      <c r="B141" s="34" t="str">
        <f>'GF + UG Iteration 5'!B141</f>
        <v>UG</v>
      </c>
      <c r="C141" s="35">
        <f>'GF + UG Iteration 5'!C141</f>
        <v>38.700000000000003</v>
      </c>
      <c r="D141" s="36">
        <f>'GF + UG Iteration 5'!P$16*(C141^'GF + UG Iteration 5'!P$15)</f>
        <v>20.681931928739942</v>
      </c>
      <c r="E141" s="37">
        <f>'GF + UG Iteration 5'!E141</f>
        <v>1981</v>
      </c>
      <c r="F141" s="35">
        <f>'GF + UG Iteration 5'!F141</f>
        <v>2.2999999999999972</v>
      </c>
      <c r="G141" s="36">
        <f>'GF + UG Iteration 5'!G141</f>
        <v>0.49326793696611254</v>
      </c>
      <c r="H141" s="38">
        <f>'GF + UG Iteration 5'!H141</f>
        <v>2006</v>
      </c>
      <c r="I141" s="35">
        <f t="shared" si="10"/>
        <v>41</v>
      </c>
      <c r="J141" s="36">
        <f t="shared" si="11"/>
        <v>21.175199865706055</v>
      </c>
      <c r="K141" s="38">
        <f t="shared" si="12"/>
        <v>2006</v>
      </c>
      <c r="M141" s="21">
        <f t="shared" si="18"/>
        <v>3.713572066704308</v>
      </c>
      <c r="N141" s="21">
        <f t="shared" si="19"/>
        <v>3.0528306792518287</v>
      </c>
    </row>
    <row r="142" spans="1:14" x14ac:dyDescent="0.2">
      <c r="A142" s="33">
        <f>'GF + UG Iteration 5'!A142</f>
        <v>170</v>
      </c>
      <c r="B142" s="34" t="str">
        <f>'GF + UG Iteration 5'!B142</f>
        <v>UG</v>
      </c>
      <c r="C142" s="35">
        <f>'GF + UG Iteration 5'!C142</f>
        <v>20.399999999999999</v>
      </c>
      <c r="D142" s="36">
        <f>'GF + UG Iteration 5'!P$16*(C142^'GF + UG Iteration 5'!P$15)</f>
        <v>14.353192690814234</v>
      </c>
      <c r="E142" s="37" t="str">
        <f>'GF + UG Iteration 5'!E142</f>
        <v>unknown</v>
      </c>
      <c r="F142" s="35">
        <f>'GF + UG Iteration 5'!F142</f>
        <v>5.6000000000000014</v>
      </c>
      <c r="G142" s="36">
        <f>'GF + UG Iteration 5'!G142</f>
        <v>4.433742547698083</v>
      </c>
      <c r="H142" s="38">
        <f>'GF + UG Iteration 5'!H142</f>
        <v>2001</v>
      </c>
      <c r="I142" s="35">
        <f t="shared" si="10"/>
        <v>26</v>
      </c>
      <c r="J142" s="36">
        <f t="shared" si="11"/>
        <v>18.786935238512317</v>
      </c>
      <c r="K142" s="38">
        <f t="shared" si="12"/>
        <v>2001</v>
      </c>
      <c r="M142" s="21">
        <f t="shared" si="18"/>
        <v>3.2580965380214821</v>
      </c>
      <c r="N142" s="21">
        <f t="shared" si="19"/>
        <v>2.933161694135574</v>
      </c>
    </row>
    <row r="143" spans="1:14" x14ac:dyDescent="0.2">
      <c r="A143" s="33">
        <f>'GF + UG Iteration 5'!A143</f>
        <v>1312</v>
      </c>
      <c r="B143" s="34" t="str">
        <f>'GF + UG Iteration 5'!B143</f>
        <v>UG</v>
      </c>
      <c r="C143" s="35">
        <f>'GF + UG Iteration 5'!C143</f>
        <v>23.63</v>
      </c>
      <c r="D143" s="36">
        <f>'GF + UG Iteration 5'!P$16*(C143^'GF + UG Iteration 5'!P$15)</f>
        <v>15.608637074946277</v>
      </c>
      <c r="E143" s="37" t="str">
        <f>'GF + UG Iteration 5'!E143</f>
        <v>unknown</v>
      </c>
      <c r="F143" s="35">
        <f>'GF + UG Iteration 5'!F143</f>
        <v>0</v>
      </c>
      <c r="G143" s="36">
        <f>'GF + UG Iteration 5'!G143</f>
        <v>6.0245111186360631</v>
      </c>
      <c r="H143" s="38">
        <f>'GF + UG Iteration 5'!H143</f>
        <v>2013</v>
      </c>
      <c r="I143" s="35">
        <f t="shared" si="10"/>
        <v>23.63</v>
      </c>
      <c r="J143" s="36">
        <f t="shared" si="11"/>
        <v>21.63314819358234</v>
      </c>
      <c r="K143" s="38">
        <f t="shared" si="12"/>
        <v>2013</v>
      </c>
      <c r="M143" s="21">
        <f t="shared" si="18"/>
        <v>3.1625170911988163</v>
      </c>
      <c r="N143" s="21">
        <f t="shared" si="19"/>
        <v>3.0742267769274561</v>
      </c>
    </row>
    <row r="144" spans="1:14" x14ac:dyDescent="0.2">
      <c r="A144" s="33">
        <f>'GF + UG Iteration 5'!A144</f>
        <v>170</v>
      </c>
      <c r="B144" s="34" t="str">
        <f>'GF + UG Iteration 5'!B144</f>
        <v>UG</v>
      </c>
      <c r="C144" s="35">
        <f>'GF + UG Iteration 5'!C144</f>
        <v>21.6</v>
      </c>
      <c r="D144" s="36">
        <f>'GF + UG Iteration 5'!P$16*(C144^'GF + UG Iteration 5'!P$15)</f>
        <v>14.828941301681132</v>
      </c>
      <c r="E144" s="37" t="str">
        <f>'GF + UG Iteration 5'!E144</f>
        <v>unknown</v>
      </c>
      <c r="F144" s="35">
        <f>'GF + UG Iteration 5'!F144</f>
        <v>1</v>
      </c>
      <c r="G144" s="36">
        <f>'GF + UG Iteration 5'!G144</f>
        <v>4.8829870198591019</v>
      </c>
      <c r="H144" s="38">
        <f>'GF + UG Iteration 5'!H144</f>
        <v>2001</v>
      </c>
      <c r="I144" s="35">
        <f t="shared" si="10"/>
        <v>22.6</v>
      </c>
      <c r="J144" s="36">
        <f t="shared" si="11"/>
        <v>19.711928321540235</v>
      </c>
      <c r="K144" s="38">
        <f t="shared" si="12"/>
        <v>2001</v>
      </c>
      <c r="M144" s="21">
        <f t="shared" si="18"/>
        <v>3.1179499062782403</v>
      </c>
      <c r="N144" s="21">
        <f t="shared" si="19"/>
        <v>2.9812239510589986</v>
      </c>
    </row>
    <row r="145" spans="1:14" x14ac:dyDescent="0.2">
      <c r="A145" s="33">
        <f>'GF + UG Iteration 5'!A145</f>
        <v>1366</v>
      </c>
      <c r="B145" s="34" t="str">
        <f>'GF + UG Iteration 5'!B145</f>
        <v>UG</v>
      </c>
      <c r="C145" s="35">
        <f>'GF + UG Iteration 5'!C145</f>
        <v>25.5</v>
      </c>
      <c r="D145" s="36">
        <f>'GF + UG Iteration 5'!P$16*(C145^'GF + UG Iteration 5'!P$15)</f>
        <v>16.301771612649997</v>
      </c>
      <c r="E145" s="37">
        <f>'GF + UG Iteration 5'!E145</f>
        <v>0</v>
      </c>
      <c r="F145" s="35">
        <f>'GF + UG Iteration 5'!F145</f>
        <v>14</v>
      </c>
      <c r="G145" s="36">
        <f>'GF + UG Iteration 5'!G145</f>
        <v>5.5737060104438019</v>
      </c>
      <c r="H145" s="38">
        <f>'GF + UG Iteration 5'!H145</f>
        <v>2013</v>
      </c>
      <c r="I145" s="35">
        <f t="shared" si="10"/>
        <v>39.5</v>
      </c>
      <c r="J145" s="36">
        <f t="shared" si="11"/>
        <v>21.875477623093801</v>
      </c>
      <c r="K145" s="38">
        <f t="shared" si="12"/>
        <v>2013</v>
      </c>
      <c r="M145" s="21">
        <f t="shared" si="18"/>
        <v>3.6763006719070761</v>
      </c>
      <c r="N145" s="21">
        <f t="shared" si="19"/>
        <v>3.0853662662038892</v>
      </c>
    </row>
    <row r="146" spans="1:14" x14ac:dyDescent="0.2">
      <c r="A146" s="33">
        <f>'GF + UG Iteration 5'!A146</f>
        <v>170</v>
      </c>
      <c r="B146" s="34" t="str">
        <f>'GF + UG Iteration 5'!B146</f>
        <v>UG</v>
      </c>
      <c r="C146" s="35">
        <f>'GF + UG Iteration 5'!C146</f>
        <v>5.4</v>
      </c>
      <c r="D146" s="36">
        <f>'GF + UG Iteration 5'!P$16*(C146^'GF + UG Iteration 5'!P$15)</f>
        <v>6.7241957291439762</v>
      </c>
      <c r="E146" s="37" t="str">
        <f>'GF + UG Iteration 5'!E146</f>
        <v>unknown</v>
      </c>
      <c r="F146" s="35">
        <f>'GF + UG Iteration 5'!F146</f>
        <v>10.6</v>
      </c>
      <c r="G146" s="36">
        <f>'GF + UG Iteration 5'!G146</f>
        <v>5.2097107088088661</v>
      </c>
      <c r="H146" s="38">
        <f>'GF + UG Iteration 5'!H146</f>
        <v>2001</v>
      </c>
      <c r="I146" s="35">
        <f t="shared" si="10"/>
        <v>16</v>
      </c>
      <c r="J146" s="36">
        <f t="shared" si="11"/>
        <v>11.933906437952842</v>
      </c>
      <c r="K146" s="38">
        <f t="shared" si="12"/>
        <v>2001</v>
      </c>
      <c r="M146" s="21">
        <f t="shared" si="18"/>
        <v>2.7725887222397811</v>
      </c>
      <c r="N146" s="21">
        <f t="shared" si="19"/>
        <v>2.4793836291121307</v>
      </c>
    </row>
    <row r="147" spans="1:14" x14ac:dyDescent="0.2">
      <c r="A147" s="33">
        <f>'GF + UG Iteration 5'!A147</f>
        <v>1350</v>
      </c>
      <c r="B147" s="34" t="str">
        <f>'GF + UG Iteration 5'!B147</f>
        <v>UG</v>
      </c>
      <c r="C147" s="35">
        <f>'GF + UG Iteration 5'!C147</f>
        <v>16</v>
      </c>
      <c r="D147" s="36">
        <f>'GF + UG Iteration 5'!P$16*(C147^'GF + UG Iteration 5'!P$15)</f>
        <v>12.49556522085409</v>
      </c>
      <c r="E147" s="37">
        <f>'GF + UG Iteration 5'!E147</f>
        <v>0</v>
      </c>
      <c r="F147" s="35">
        <f>'GF + UG Iteration 5'!F147</f>
        <v>20</v>
      </c>
      <c r="G147" s="36">
        <f>'GF + UG Iteration 5'!G147</f>
        <v>6.5300342953877131</v>
      </c>
      <c r="H147" s="38">
        <f>'GF + UG Iteration 5'!H147</f>
        <v>2013</v>
      </c>
      <c r="I147" s="35">
        <f t="shared" si="10"/>
        <v>36</v>
      </c>
      <c r="J147" s="36">
        <f t="shared" si="11"/>
        <v>19.025599516241805</v>
      </c>
      <c r="K147" s="38">
        <f t="shared" si="12"/>
        <v>2013</v>
      </c>
      <c r="M147" s="21">
        <f t="shared" si="18"/>
        <v>3.5835189384561099</v>
      </c>
      <c r="N147" s="21">
        <f t="shared" si="19"/>
        <v>2.9457854152744787</v>
      </c>
    </row>
    <row r="148" spans="1:14" x14ac:dyDescent="0.2">
      <c r="A148" s="33">
        <f>'GF + UG Iteration 5'!A148</f>
        <v>658</v>
      </c>
      <c r="B148" s="34" t="str">
        <f>'GF + UG Iteration 5'!B148</f>
        <v>UG</v>
      </c>
      <c r="C148" s="35">
        <f>'GF + UG Iteration 5'!C148</f>
        <v>1.6</v>
      </c>
      <c r="D148" s="36">
        <f>'GF + UG Iteration 5'!P$16*(C148^'GF + UG Iteration 5'!P$15)</f>
        <v>3.3594247472022705</v>
      </c>
      <c r="E148" s="37">
        <f>'GF + UG Iteration 5'!E148</f>
        <v>1996</v>
      </c>
      <c r="F148" s="35">
        <f>'GF + UG Iteration 5'!F148</f>
        <v>13.200000000000001</v>
      </c>
      <c r="G148" s="36">
        <f>'GF + UG Iteration 5'!G148</f>
        <v>7.1146692323992218</v>
      </c>
      <c r="H148" s="38">
        <f>'GF + UG Iteration 5'!H148</f>
        <v>2008</v>
      </c>
      <c r="I148" s="35">
        <f t="shared" si="10"/>
        <v>14.8</v>
      </c>
      <c r="J148" s="36">
        <f t="shared" si="11"/>
        <v>10.474093979601491</v>
      </c>
      <c r="K148" s="38">
        <f t="shared" si="12"/>
        <v>2008</v>
      </c>
      <c r="M148" s="21">
        <f t="shared" si="18"/>
        <v>2.6946271807700692</v>
      </c>
      <c r="N148" s="21">
        <f t="shared" si="19"/>
        <v>2.3489049684732852</v>
      </c>
    </row>
    <row r="149" spans="1:14" x14ac:dyDescent="0.2">
      <c r="A149" s="33">
        <f>'GF + UG Iteration 5'!A149</f>
        <v>897</v>
      </c>
      <c r="B149" s="34" t="str">
        <f>'GF + UG Iteration 5'!B149</f>
        <v>UG</v>
      </c>
      <c r="C149" s="35">
        <f>'GF + UG Iteration 5'!C149</f>
        <v>14.8</v>
      </c>
      <c r="D149" s="36">
        <f>'GF + UG Iteration 5'!P$16*(C149^'GF + UG Iteration 5'!P$15)</f>
        <v>11.95198582224551</v>
      </c>
      <c r="E149" s="37">
        <f>'GF + UG Iteration 5'!E149</f>
        <v>1996</v>
      </c>
      <c r="F149" s="35">
        <f>'GF + UG Iteration 5'!F149</f>
        <v>3</v>
      </c>
      <c r="G149" s="36">
        <f>'GF + UG Iteration 5'!G149</f>
        <v>6.2372112776035529</v>
      </c>
      <c r="H149" s="38">
        <f>'GF + UG Iteration 5'!H149</f>
        <v>2010</v>
      </c>
      <c r="I149" s="35">
        <f t="shared" si="10"/>
        <v>17.8</v>
      </c>
      <c r="J149" s="36">
        <f t="shared" si="11"/>
        <v>18.189197099849061</v>
      </c>
      <c r="K149" s="38">
        <f t="shared" si="12"/>
        <v>2010</v>
      </c>
      <c r="M149" s="21">
        <f t="shared" si="18"/>
        <v>2.8791984572980396</v>
      </c>
      <c r="N149" s="21">
        <f t="shared" si="19"/>
        <v>2.9008278519103867</v>
      </c>
    </row>
    <row r="150" spans="1:14" x14ac:dyDescent="0.2">
      <c r="A150" s="33">
        <f>'GF + UG Iteration 5'!A150</f>
        <v>483</v>
      </c>
      <c r="B150" s="34" t="str">
        <f>'GF + UG Iteration 5'!B150</f>
        <v>UG</v>
      </c>
      <c r="C150" s="35">
        <f>'GF + UG Iteration 5'!C150</f>
        <v>20.7</v>
      </c>
      <c r="D150" s="36">
        <f>'GF + UG Iteration 5'!P$16*(C150^'GF + UG Iteration 5'!P$15)</f>
        <v>14.473232199171585</v>
      </c>
      <c r="E150" s="37">
        <f>'GF + UG Iteration 5'!E150</f>
        <v>1986</v>
      </c>
      <c r="F150" s="35">
        <f>'GF + UG Iteration 5'!F150</f>
        <v>18.099999999999998</v>
      </c>
      <c r="G150" s="36">
        <f>'GF + UG Iteration 5'!G150</f>
        <v>3.6200694377675466</v>
      </c>
      <c r="H150" s="38">
        <f>'GF + UG Iteration 5'!H150</f>
        <v>2005</v>
      </c>
      <c r="I150" s="35">
        <f t="shared" si="10"/>
        <v>38.799999999999997</v>
      </c>
      <c r="J150" s="36">
        <f t="shared" si="11"/>
        <v>18.093301636939131</v>
      </c>
      <c r="K150" s="38">
        <f t="shared" si="12"/>
        <v>2005</v>
      </c>
      <c r="M150" s="21">
        <f t="shared" si="18"/>
        <v>3.6584202466292277</v>
      </c>
      <c r="N150" s="21">
        <f t="shared" si="19"/>
        <v>2.8955417944697839</v>
      </c>
    </row>
    <row r="151" spans="1:14" x14ac:dyDescent="0.2">
      <c r="A151" s="33">
        <f>'GF + UG Iteration 5'!A151</f>
        <v>1494</v>
      </c>
      <c r="B151" s="34" t="str">
        <f>'GF + UG Iteration 5'!B151</f>
        <v>UG</v>
      </c>
      <c r="C151" s="35">
        <f>'GF + UG Iteration 5'!C151</f>
        <v>13.3</v>
      </c>
      <c r="D151" s="36">
        <f>'GF + UG Iteration 5'!P$16*(C151^'GF + UG Iteration 5'!P$15)</f>
        <v>11.245105649690482</v>
      </c>
      <c r="E151" s="37">
        <f>'GF + UG Iteration 5'!E151</f>
        <v>0</v>
      </c>
      <c r="F151" s="35">
        <f>'GF + UG Iteration 5'!F151</f>
        <v>6</v>
      </c>
      <c r="G151" s="36">
        <f>'GF + UG Iteration 5'!G151</f>
        <v>6.4297485673579153</v>
      </c>
      <c r="H151" s="38">
        <f>'GF + UG Iteration 5'!H151</f>
        <v>2014</v>
      </c>
      <c r="I151" s="35">
        <f t="shared" si="10"/>
        <v>19.3</v>
      </c>
      <c r="J151" s="36">
        <f t="shared" si="11"/>
        <v>17.674854217048399</v>
      </c>
      <c r="K151" s="38">
        <f t="shared" si="12"/>
        <v>2014</v>
      </c>
      <c r="M151" s="21">
        <f t="shared" si="18"/>
        <v>2.9601050959108397</v>
      </c>
      <c r="N151" s="21">
        <f t="shared" si="19"/>
        <v>2.872142963773991</v>
      </c>
    </row>
    <row r="152" spans="1:14" x14ac:dyDescent="0.2">
      <c r="A152" s="33">
        <f>'GF + UG Iteration 5'!A152</f>
        <v>488</v>
      </c>
      <c r="B152" s="34" t="str">
        <f>'GF + UG Iteration 5'!B152</f>
        <v>UG</v>
      </c>
      <c r="C152" s="35">
        <f>'GF + UG Iteration 5'!C152</f>
        <v>41.3</v>
      </c>
      <c r="D152" s="36">
        <f>'GF + UG Iteration 5'!P$16*(C152^'GF + UG Iteration 5'!P$15)</f>
        <v>21.463534896575684</v>
      </c>
      <c r="E152" s="37">
        <f>'GF + UG Iteration 5'!E152</f>
        <v>1982</v>
      </c>
      <c r="F152" s="35">
        <f>'GF + UG Iteration 5'!F152</f>
        <v>24.200000000000003</v>
      </c>
      <c r="G152" s="36">
        <f>'GF + UG Iteration 5'!G152</f>
        <v>0.40462675342078769</v>
      </c>
      <c r="H152" s="38">
        <f>'GF + UG Iteration 5'!H152</f>
        <v>2006</v>
      </c>
      <c r="I152" s="35">
        <f t="shared" si="10"/>
        <v>65.5</v>
      </c>
      <c r="J152" s="36">
        <f t="shared" si="11"/>
        <v>21.868161649996473</v>
      </c>
      <c r="K152" s="38">
        <f t="shared" si="12"/>
        <v>2006</v>
      </c>
      <c r="M152" s="21">
        <f t="shared" si="18"/>
        <v>4.1820501426412067</v>
      </c>
      <c r="N152" s="21">
        <f t="shared" si="19"/>
        <v>3.0850317730850216</v>
      </c>
    </row>
    <row r="153" spans="1:14" x14ac:dyDescent="0.2">
      <c r="A153" s="33">
        <f>'GF + UG Iteration 5'!A153</f>
        <v>1692</v>
      </c>
      <c r="B153" s="34" t="str">
        <f>'GF + UG Iteration 5'!B153</f>
        <v>UG</v>
      </c>
      <c r="C153" s="35">
        <f>'GF + UG Iteration 5'!C153</f>
        <v>65.5</v>
      </c>
      <c r="D153" s="36">
        <f>'GF + UG Iteration 5'!P$16*(C153^'GF + UG Iteration 5'!P$15)</f>
        <v>27.923226626249754</v>
      </c>
      <c r="E153" s="37">
        <f>'GF + UG Iteration 5'!E153</f>
        <v>0</v>
      </c>
      <c r="F153" s="35">
        <f>'GF + UG Iteration 5'!F153</f>
        <v>0</v>
      </c>
      <c r="G153" s="36">
        <f>'GF + UG Iteration 5'!G153</f>
        <v>2.2188176481219593</v>
      </c>
      <c r="H153" s="38">
        <f>'GF + UG Iteration 5'!H153</f>
        <v>2016</v>
      </c>
      <c r="I153" s="35">
        <f t="shared" si="10"/>
        <v>65.5</v>
      </c>
      <c r="J153" s="36">
        <f t="shared" si="11"/>
        <v>30.142044274371713</v>
      </c>
      <c r="K153" s="38">
        <f t="shared" si="12"/>
        <v>2016</v>
      </c>
      <c r="M153" s="21">
        <f t="shared" si="18"/>
        <v>4.1820501426412067</v>
      </c>
      <c r="N153" s="21">
        <f t="shared" si="19"/>
        <v>3.4059210168561931</v>
      </c>
    </row>
    <row r="154" spans="1:14" x14ac:dyDescent="0.2">
      <c r="A154" s="33">
        <f>'GF + UG Iteration 5'!A154</f>
        <v>318</v>
      </c>
      <c r="B154" s="34" t="str">
        <f>'GF + UG Iteration 5'!B154</f>
        <v>UG</v>
      </c>
      <c r="C154" s="35">
        <f>'GF + UG Iteration 5'!C154</f>
        <v>22.87</v>
      </c>
      <c r="D154" s="36">
        <f>'GF + UG Iteration 5'!P$16*(C154^'GF + UG Iteration 5'!P$15)</f>
        <v>15.320234199094541</v>
      </c>
      <c r="E154" s="37">
        <f>'GF + UG Iteration 5'!E154</f>
        <v>1996</v>
      </c>
      <c r="F154" s="35">
        <f>'GF + UG Iteration 5'!F154</f>
        <v>1</v>
      </c>
      <c r="G154" s="36">
        <f>'GF + UG Iteration 5'!G154</f>
        <v>0.76702040063252341</v>
      </c>
      <c r="H154" s="38">
        <f>'GF + UG Iteration 5'!H154</f>
        <v>2001</v>
      </c>
      <c r="I154" s="35">
        <f t="shared" si="10"/>
        <v>23.87</v>
      </c>
      <c r="J154" s="36">
        <f t="shared" si="11"/>
        <v>16.087254599727064</v>
      </c>
      <c r="K154" s="38">
        <f t="shared" si="12"/>
        <v>2001</v>
      </c>
      <c r="M154" s="21">
        <f t="shared" si="18"/>
        <v>3.1726224403507386</v>
      </c>
      <c r="N154" s="21">
        <f t="shared" si="19"/>
        <v>2.7780273187096802</v>
      </c>
    </row>
    <row r="155" spans="1:14" x14ac:dyDescent="0.2">
      <c r="A155" s="33">
        <f>'GF + UG Iteration 5'!A155</f>
        <v>806</v>
      </c>
      <c r="B155" s="34" t="str">
        <f>'GF + UG Iteration 5'!B155</f>
        <v>UG</v>
      </c>
      <c r="C155" s="35">
        <f>'GF + UG Iteration 5'!C155</f>
        <v>23.867000000000001</v>
      </c>
      <c r="D155" s="36">
        <f>'GF + UG Iteration 5'!P$16*(C155^'GF + UG Iteration 5'!P$15)</f>
        <v>15.697755275783951</v>
      </c>
      <c r="E155" s="37">
        <f>'GF + UG Iteration 5'!E155</f>
        <v>1996</v>
      </c>
      <c r="F155" s="35">
        <f>'GF + UG Iteration 5'!F155</f>
        <v>5.4329999999999998</v>
      </c>
      <c r="G155" s="36">
        <f>'GF + UG Iteration 5'!G155</f>
        <v>0.68947713107767894</v>
      </c>
      <c r="H155" s="38">
        <f>'GF + UG Iteration 5'!H155</f>
        <v>2008</v>
      </c>
      <c r="I155" s="35">
        <f t="shared" si="10"/>
        <v>29.3</v>
      </c>
      <c r="J155" s="36">
        <f t="shared" si="11"/>
        <v>16.387232406861632</v>
      </c>
      <c r="K155" s="38">
        <f t="shared" si="12"/>
        <v>2008</v>
      </c>
      <c r="M155" s="21">
        <f t="shared" si="18"/>
        <v>3.3775875160230218</v>
      </c>
      <c r="N155" s="21">
        <f t="shared" si="19"/>
        <v>2.7965025198557574</v>
      </c>
    </row>
    <row r="156" spans="1:14" x14ac:dyDescent="0.2">
      <c r="A156" s="33">
        <f>'GF + UG Iteration 5'!A156</f>
        <v>1495</v>
      </c>
      <c r="B156" s="34" t="str">
        <f>'GF + UG Iteration 5'!B156</f>
        <v>UG</v>
      </c>
      <c r="C156" s="35">
        <f>'GF + UG Iteration 5'!C156</f>
        <v>29.3</v>
      </c>
      <c r="D156" s="36">
        <f>'GF + UG Iteration 5'!P$16*(C156^'GF + UG Iteration 5'!P$15)</f>
        <v>17.646194639226675</v>
      </c>
      <c r="E156" s="37">
        <f>'GF + UG Iteration 5'!E156</f>
        <v>1996</v>
      </c>
      <c r="F156" s="35">
        <f>'GF + UG Iteration 5'!F156</f>
        <v>0</v>
      </c>
      <c r="G156" s="36">
        <f>'GF + UG Iteration 5'!G156</f>
        <v>5.142810508174632</v>
      </c>
      <c r="H156" s="38">
        <f>'GF + UG Iteration 5'!H156</f>
        <v>2014</v>
      </c>
      <c r="I156" s="35">
        <f t="shared" si="10"/>
        <v>29.3</v>
      </c>
      <c r="J156" s="36">
        <f t="shared" si="11"/>
        <v>22.789005147401305</v>
      </c>
      <c r="K156" s="38">
        <f t="shared" si="12"/>
        <v>2014</v>
      </c>
      <c r="M156" s="21">
        <f t="shared" si="18"/>
        <v>3.3775875160230218</v>
      </c>
      <c r="N156" s="21">
        <f t="shared" si="19"/>
        <v>3.1262781892727971</v>
      </c>
    </row>
    <row r="157" spans="1:14" x14ac:dyDescent="0.2">
      <c r="A157" s="33">
        <f>'GF + UG Iteration 5'!A157</f>
        <v>1386</v>
      </c>
      <c r="B157" s="34" t="str">
        <f>'GF + UG Iteration 5'!B157</f>
        <v>UG</v>
      </c>
      <c r="C157" s="35">
        <f>'GF + UG Iteration 5'!C157</f>
        <v>32.700000000000003</v>
      </c>
      <c r="D157" s="36">
        <f>'GF + UG Iteration 5'!P$16*(C157^'GF + UG Iteration 5'!P$15)</f>
        <v>18.78677140828152</v>
      </c>
      <c r="E157" s="37">
        <f>'GF + UG Iteration 5'!E157</f>
        <v>0</v>
      </c>
      <c r="F157" s="35">
        <f>'GF + UG Iteration 5'!F157</f>
        <v>13.5</v>
      </c>
      <c r="G157" s="36">
        <f>'GF + UG Iteration 5'!G157</f>
        <v>0.85934464632152285</v>
      </c>
      <c r="H157" s="38">
        <f>'GF + UG Iteration 5'!H157</f>
        <v>2013</v>
      </c>
      <c r="I157" s="35">
        <f t="shared" si="10"/>
        <v>46.2</v>
      </c>
      <c r="J157" s="36">
        <f t="shared" si="11"/>
        <v>19.646116054603045</v>
      </c>
      <c r="K157" s="38">
        <f t="shared" si="12"/>
        <v>2013</v>
      </c>
      <c r="M157" s="21">
        <f t="shared" si="18"/>
        <v>3.8329797980876932</v>
      </c>
      <c r="N157" s="21">
        <f t="shared" si="19"/>
        <v>2.9778796625244004</v>
      </c>
    </row>
    <row r="158" spans="1:14" x14ac:dyDescent="0.2">
      <c r="A158" s="33">
        <f>'GF + UG Iteration 5'!A158</f>
        <v>928</v>
      </c>
      <c r="B158" s="34" t="str">
        <f>'GF + UG Iteration 5'!B158</f>
        <v>UG</v>
      </c>
      <c r="C158" s="35">
        <f>'GF + UG Iteration 5'!C158</f>
        <v>18.02</v>
      </c>
      <c r="D158" s="36">
        <f>'GF + UG Iteration 5'!P$16*(C158^'GF + UG Iteration 5'!P$15)</f>
        <v>13.372515071214945</v>
      </c>
      <c r="E158" s="37">
        <f>'GF + UG Iteration 5'!E158</f>
        <v>1992</v>
      </c>
      <c r="F158" s="35">
        <f>'GF + UG Iteration 5'!F158</f>
        <v>3.4800000000000004</v>
      </c>
      <c r="G158" s="36">
        <f>'GF + UG Iteration 5'!G158</f>
        <v>10.364367944955573</v>
      </c>
      <c r="H158" s="38">
        <f>'GF + UG Iteration 5'!H158</f>
        <v>2010</v>
      </c>
      <c r="I158" s="35">
        <f t="shared" si="10"/>
        <v>21.5</v>
      </c>
      <c r="J158" s="36">
        <f t="shared" si="11"/>
        <v>23.736883016170516</v>
      </c>
      <c r="K158" s="38">
        <f t="shared" si="12"/>
        <v>2010</v>
      </c>
      <c r="M158" s="21">
        <f t="shared" si="18"/>
        <v>3.068052935133617</v>
      </c>
      <c r="N158" s="21">
        <f t="shared" si="19"/>
        <v>3.1670300838541312</v>
      </c>
    </row>
    <row r="159" spans="1:14" x14ac:dyDescent="0.2">
      <c r="A159" s="33">
        <f>'GF + UG Iteration 5'!A159</f>
        <v>1450</v>
      </c>
      <c r="B159" s="34" t="str">
        <f>'GF + UG Iteration 5'!B159</f>
        <v>UG</v>
      </c>
      <c r="C159" s="35">
        <f>'GF + UG Iteration 5'!C159</f>
        <v>21.5</v>
      </c>
      <c r="D159" s="36">
        <f>'GF + UG Iteration 5'!P$16*(C159^'GF + UG Iteration 5'!P$15)</f>
        <v>14.789736639707655</v>
      </c>
      <c r="E159" s="37">
        <f>'GF + UG Iteration 5'!E159</f>
        <v>1992</v>
      </c>
      <c r="F159" s="35">
        <f>'GF + UG Iteration 5'!F159</f>
        <v>16.299999999999997</v>
      </c>
      <c r="G159" s="36">
        <f>'GF + UG Iteration 5'!G159</f>
        <v>5.1529943993409928</v>
      </c>
      <c r="H159" s="38">
        <f>'GF + UG Iteration 5'!H159</f>
        <v>2014</v>
      </c>
      <c r="I159" s="35">
        <f t="shared" si="10"/>
        <v>37.799999999999997</v>
      </c>
      <c r="J159" s="36">
        <f t="shared" si="11"/>
        <v>19.942731039048649</v>
      </c>
      <c r="K159" s="38">
        <f t="shared" si="12"/>
        <v>2014</v>
      </c>
      <c r="M159" s="21">
        <f t="shared" si="18"/>
        <v>3.6323091026255421</v>
      </c>
      <c r="N159" s="21">
        <f t="shared" si="19"/>
        <v>2.9928647179960941</v>
      </c>
    </row>
    <row r="160" spans="1:14" x14ac:dyDescent="0.2">
      <c r="A160" s="33">
        <f>'GF + UG Iteration 5'!A160</f>
        <v>170</v>
      </c>
      <c r="B160" s="34" t="str">
        <f>'GF + UG Iteration 5'!B160</f>
        <v>UG</v>
      </c>
      <c r="C160" s="35">
        <f>'GF + UG Iteration 5'!C160</f>
        <v>17.7</v>
      </c>
      <c r="D160" s="36">
        <f>'GF + UG Iteration 5'!P$16*(C160^'GF + UG Iteration 5'!P$15)</f>
        <v>13.236519653827591</v>
      </c>
      <c r="E160" s="37" t="str">
        <f>'GF + UG Iteration 5'!E160</f>
        <v>unknown</v>
      </c>
      <c r="F160" s="35">
        <f>'GF + UG Iteration 5'!F160</f>
        <v>8.8000000000000007</v>
      </c>
      <c r="G160" s="36">
        <f>'GF + UG Iteration 5'!G160</f>
        <v>1.1342290648673055</v>
      </c>
      <c r="H160" s="38">
        <f>'GF + UG Iteration 5'!H160</f>
        <v>2001</v>
      </c>
      <c r="I160" s="35">
        <f t="shared" si="10"/>
        <v>26.5</v>
      </c>
      <c r="J160" s="36">
        <f t="shared" si="11"/>
        <v>14.370748718694896</v>
      </c>
      <c r="K160" s="38">
        <f t="shared" si="12"/>
        <v>2001</v>
      </c>
      <c r="M160" s="21">
        <f t="shared" si="18"/>
        <v>3.2771447329921766</v>
      </c>
      <c r="N160" s="21">
        <f t="shared" si="19"/>
        <v>2.6651948016351481</v>
      </c>
    </row>
    <row r="161" spans="1:14" x14ac:dyDescent="0.2">
      <c r="A161" s="33">
        <f>'GF + UG Iteration 5'!A161</f>
        <v>649</v>
      </c>
      <c r="B161" s="34" t="str">
        <f>'GF + UG Iteration 5'!B161</f>
        <v>UG</v>
      </c>
      <c r="C161" s="35">
        <f>'GF + UG Iteration 5'!C161</f>
        <v>26.5</v>
      </c>
      <c r="D161" s="36">
        <f>'GF + UG Iteration 5'!P$16*(C161^'GF + UG Iteration 5'!P$15)</f>
        <v>16.663462634915827</v>
      </c>
      <c r="E161" s="37">
        <f>'GF + UG Iteration 5'!E161</f>
        <v>1997</v>
      </c>
      <c r="F161" s="35">
        <f>'GF + UG Iteration 5'!F161</f>
        <v>33.799999999999997</v>
      </c>
      <c r="G161" s="36">
        <f>'GF + UG Iteration 5'!G161</f>
        <v>5.0180795362586865</v>
      </c>
      <c r="H161" s="38">
        <f>'GF + UG Iteration 5'!H161</f>
        <v>2007</v>
      </c>
      <c r="I161" s="35">
        <f t="shared" si="10"/>
        <v>60.3</v>
      </c>
      <c r="J161" s="36">
        <f t="shared" si="11"/>
        <v>21.681542171174513</v>
      </c>
      <c r="K161" s="38">
        <f t="shared" si="12"/>
        <v>2007</v>
      </c>
      <c r="M161" s="21">
        <f t="shared" si="18"/>
        <v>4.0993321037331398</v>
      </c>
      <c r="N161" s="21">
        <f t="shared" si="19"/>
        <v>3.076461307398346</v>
      </c>
    </row>
    <row r="162" spans="1:14" x14ac:dyDescent="0.2">
      <c r="A162" s="33">
        <f>'GF + UG Iteration 5'!A162</f>
        <v>1203</v>
      </c>
      <c r="B162" s="34" t="str">
        <f>'GF + UG Iteration 5'!B162</f>
        <v>UG</v>
      </c>
      <c r="C162" s="35">
        <f>'GF + UG Iteration 5'!C162</f>
        <v>20.5</v>
      </c>
      <c r="D162" s="36">
        <f>'GF + UG Iteration 5'!P$16*(C162^'GF + UG Iteration 5'!P$15)</f>
        <v>14.393289588456614</v>
      </c>
      <c r="E162" s="37">
        <f>'GF + UG Iteration 5'!E162</f>
        <v>1977</v>
      </c>
      <c r="F162" s="35">
        <f>'GF + UG Iteration 5'!F162</f>
        <v>4.1000000000000014</v>
      </c>
      <c r="G162" s="36">
        <f>'GF + UG Iteration 5'!G162</f>
        <v>12.443615523285567</v>
      </c>
      <c r="H162" s="38">
        <f>'GF + UG Iteration 5'!H162</f>
        <v>2012</v>
      </c>
      <c r="I162" s="35">
        <f t="shared" si="10"/>
        <v>24.6</v>
      </c>
      <c r="J162" s="36">
        <f t="shared" si="11"/>
        <v>26.836905111742183</v>
      </c>
      <c r="K162" s="38">
        <f t="shared" si="12"/>
        <v>2012</v>
      </c>
      <c r="M162" s="21">
        <f t="shared" si="18"/>
        <v>3.202746442938317</v>
      </c>
      <c r="N162" s="21">
        <f t="shared" si="19"/>
        <v>3.2897779966524578</v>
      </c>
    </row>
    <row r="163" spans="1:14" x14ac:dyDescent="0.2">
      <c r="A163" s="33">
        <f>'GF + UG Iteration 5'!A163</f>
        <v>170</v>
      </c>
      <c r="B163" s="34" t="str">
        <f>'GF + UG Iteration 5'!B163</f>
        <v>UG</v>
      </c>
      <c r="C163" s="35">
        <f>'GF + UG Iteration 5'!C163</f>
        <v>7.9</v>
      </c>
      <c r="D163" s="36">
        <f>'GF + UG Iteration 5'!P$16*(C163^'GF + UG Iteration 5'!P$15)</f>
        <v>8.354192401640784</v>
      </c>
      <c r="E163" s="37">
        <f>'GF + UG Iteration 5'!E163</f>
        <v>1972</v>
      </c>
      <c r="F163" s="35">
        <f>'GF + UG Iteration 5'!F163</f>
        <v>6.1</v>
      </c>
      <c r="G163" s="36">
        <f>'GF + UG Iteration 5'!G163</f>
        <v>2.9004939377112939</v>
      </c>
      <c r="H163" s="38">
        <f>'GF + UG Iteration 5'!H163</f>
        <v>2001</v>
      </c>
      <c r="I163" s="35">
        <f t="shared" si="10"/>
        <v>14</v>
      </c>
      <c r="J163" s="36">
        <f t="shared" si="11"/>
        <v>11.254686339352078</v>
      </c>
      <c r="K163" s="38">
        <f t="shared" si="12"/>
        <v>2001</v>
      </c>
      <c r="M163" s="21">
        <f t="shared" si="18"/>
        <v>2.6390573296152584</v>
      </c>
      <c r="N163" s="21">
        <f t="shared" si="19"/>
        <v>2.4207846054099051</v>
      </c>
    </row>
    <row r="164" spans="1:14" x14ac:dyDescent="0.2">
      <c r="A164" s="33">
        <f>'GF + UG Iteration 5'!A164</f>
        <v>363</v>
      </c>
      <c r="B164" s="34" t="str">
        <f>'GF + UG Iteration 5'!B164</f>
        <v>UG</v>
      </c>
      <c r="C164" s="35">
        <f>'GF + UG Iteration 5'!C164</f>
        <v>21.225999999999999</v>
      </c>
      <c r="D164" s="36">
        <f>'GF + UG Iteration 5'!P$16*(C164^'GF + UG Iteration 5'!P$15)</f>
        <v>14.681912606889052</v>
      </c>
      <c r="E164" s="37">
        <f>'GF + UG Iteration 5'!E164</f>
        <v>1975</v>
      </c>
      <c r="F164" s="35">
        <f>'GF + UG Iteration 5'!F164</f>
        <v>4.1999999999999993</v>
      </c>
      <c r="G164" s="36">
        <f>'GF + UG Iteration 5'!G164</f>
        <v>0.82194253395528394</v>
      </c>
      <c r="H164" s="38">
        <f>'GF + UG Iteration 5'!H164</f>
        <v>2004</v>
      </c>
      <c r="I164" s="35">
        <f t="shared" si="10"/>
        <v>25.425999999999998</v>
      </c>
      <c r="J164" s="36">
        <f t="shared" si="11"/>
        <v>15.503855140844335</v>
      </c>
      <c r="K164" s="38">
        <f t="shared" si="12"/>
        <v>2004</v>
      </c>
      <c r="M164" s="21">
        <f t="shared" si="18"/>
        <v>3.2357722725279308</v>
      </c>
      <c r="N164" s="21">
        <f t="shared" si="19"/>
        <v>2.7410887117639673</v>
      </c>
    </row>
    <row r="165" spans="1:14" x14ac:dyDescent="0.2">
      <c r="A165" s="33">
        <f>'GF + UG Iteration 5'!A165</f>
        <v>493</v>
      </c>
      <c r="B165" s="34" t="str">
        <f>'GF + UG Iteration 5'!B165</f>
        <v>UG</v>
      </c>
      <c r="C165" s="35">
        <f>'GF + UG Iteration 5'!C165</f>
        <v>25.4</v>
      </c>
      <c r="D165" s="36">
        <f>'GF + UG Iteration 5'!P$16*(C165^'GF + UG Iteration 5'!P$15)</f>
        <v>16.265270198110407</v>
      </c>
      <c r="E165" s="37">
        <f>'GF + UG Iteration 5'!E165</f>
        <v>1975</v>
      </c>
      <c r="F165" s="35">
        <f>'GF + UG Iteration 5'!F165</f>
        <v>3.3000000000000007</v>
      </c>
      <c r="G165" s="36">
        <f>'GF + UG Iteration 5'!G165</f>
        <v>3.4002692913337142</v>
      </c>
      <c r="H165" s="38">
        <f>'GF + UG Iteration 5'!H165</f>
        <v>2006</v>
      </c>
      <c r="I165" s="35">
        <f t="shared" si="10"/>
        <v>28.7</v>
      </c>
      <c r="J165" s="36">
        <f t="shared" si="11"/>
        <v>19.665539489444122</v>
      </c>
      <c r="K165" s="38">
        <f t="shared" si="12"/>
        <v>2006</v>
      </c>
      <c r="M165" s="21">
        <f t="shared" si="18"/>
        <v>3.3568971227655755</v>
      </c>
      <c r="N165" s="21">
        <f t="shared" si="19"/>
        <v>2.9788678394990327</v>
      </c>
    </row>
    <row r="166" spans="1:14" x14ac:dyDescent="0.2">
      <c r="A166" s="33">
        <f>'GF + UG Iteration 5'!A166</f>
        <v>685</v>
      </c>
      <c r="B166" s="34" t="str">
        <f>'GF + UG Iteration 5'!B166</f>
        <v>UG</v>
      </c>
      <c r="C166" s="35">
        <f>'GF + UG Iteration 5'!C166</f>
        <v>28.7</v>
      </c>
      <c r="D166" s="36">
        <f>'GF + UG Iteration 5'!P$16*(C166^'GF + UG Iteration 5'!P$15)</f>
        <v>17.439129025831754</v>
      </c>
      <c r="E166" s="37">
        <f>'GF + UG Iteration 5'!E166</f>
        <v>1975</v>
      </c>
      <c r="F166" s="35">
        <f>'GF + UG Iteration 5'!F166</f>
        <v>4.1999999999999993</v>
      </c>
      <c r="G166" s="36">
        <f>'GF + UG Iteration 5'!G166</f>
        <v>0.94606982488538283</v>
      </c>
      <c r="H166" s="38">
        <f>'GF + UG Iteration 5'!H166</f>
        <v>2007</v>
      </c>
      <c r="I166" s="35">
        <f t="shared" si="10"/>
        <v>32.9</v>
      </c>
      <c r="J166" s="36">
        <f t="shared" si="11"/>
        <v>18.385198850717138</v>
      </c>
      <c r="K166" s="38">
        <f t="shared" si="12"/>
        <v>2007</v>
      </c>
      <c r="M166" s="21">
        <f t="shared" si="18"/>
        <v>3.493472657771326</v>
      </c>
      <c r="N166" s="21">
        <f t="shared" si="19"/>
        <v>2.9115459306162634</v>
      </c>
    </row>
    <row r="167" spans="1:14" x14ac:dyDescent="0.2">
      <c r="A167" s="33">
        <f>'GF + UG Iteration 5'!A167</f>
        <v>1574</v>
      </c>
      <c r="B167" s="34" t="str">
        <f>'GF + UG Iteration 5'!B167</f>
        <v>UG</v>
      </c>
      <c r="C167" s="35">
        <f>'GF + UG Iteration 5'!C167</f>
        <v>28</v>
      </c>
      <c r="D167" s="36">
        <f>'GF + UG Iteration 5'!P$16*(C167^'GF + UG Iteration 5'!P$15)</f>
        <v>17.195187756734846</v>
      </c>
      <c r="E167" s="37">
        <f>'GF + UG Iteration 5'!E167</f>
        <v>2013</v>
      </c>
      <c r="F167" s="35">
        <f>'GF + UG Iteration 5'!F167</f>
        <v>0</v>
      </c>
      <c r="G167" s="36">
        <f>'GF + UG Iteration 5'!G167</f>
        <v>6.2662260340537754</v>
      </c>
      <c r="H167" s="38">
        <f>'GF + UG Iteration 5'!H167</f>
        <v>2015</v>
      </c>
      <c r="I167" s="35">
        <f t="shared" si="10"/>
        <v>28</v>
      </c>
      <c r="J167" s="36">
        <f t="shared" si="11"/>
        <v>23.461413790788622</v>
      </c>
      <c r="K167" s="38">
        <f t="shared" si="12"/>
        <v>2015</v>
      </c>
      <c r="M167" s="21">
        <f t="shared" si="18"/>
        <v>3.3322045101752038</v>
      </c>
      <c r="N167" s="21">
        <f t="shared" si="19"/>
        <v>3.1553571052965173</v>
      </c>
    </row>
    <row r="168" spans="1:14" x14ac:dyDescent="0.2">
      <c r="A168" s="33">
        <f>'GF + UG Iteration 5'!A168</f>
        <v>435</v>
      </c>
      <c r="B168" s="34" t="str">
        <f>'GF + UG Iteration 5'!B168</f>
        <v>UG</v>
      </c>
      <c r="C168" s="35">
        <f>'GF + UG Iteration 5'!C168</f>
        <v>10.6</v>
      </c>
      <c r="D168" s="36">
        <f>'GF + UG Iteration 5'!P$16*(C168^'GF + UG Iteration 5'!P$15)</f>
        <v>9.8797069556208488</v>
      </c>
      <c r="E168" s="37">
        <f>'GF + UG Iteration 5'!E168</f>
        <v>1990</v>
      </c>
      <c r="F168" s="35">
        <f>'GF + UG Iteration 5'!F168</f>
        <v>8.4</v>
      </c>
      <c r="G168" s="36">
        <f>'GF + UG Iteration 5'!G168</f>
        <v>3.0773639102073269</v>
      </c>
      <c r="H168" s="38">
        <f>'GF + UG Iteration 5'!H168</f>
        <v>2004</v>
      </c>
      <c r="I168" s="35">
        <f t="shared" si="10"/>
        <v>19</v>
      </c>
      <c r="J168" s="36">
        <f t="shared" si="11"/>
        <v>12.957070865828175</v>
      </c>
      <c r="K168" s="38">
        <f t="shared" si="12"/>
        <v>2004</v>
      </c>
      <c r="M168" s="21">
        <f t="shared" si="18"/>
        <v>2.9444389791664403</v>
      </c>
      <c r="N168" s="21">
        <f t="shared" si="19"/>
        <v>2.5616416519400582</v>
      </c>
    </row>
    <row r="169" spans="1:14" x14ac:dyDescent="0.2">
      <c r="A169" s="33">
        <f>'GF + UG Iteration 5'!A169</f>
        <v>652</v>
      </c>
      <c r="B169" s="34" t="str">
        <f>'GF + UG Iteration 5'!B169</f>
        <v>UG</v>
      </c>
      <c r="C169" s="35">
        <f>'GF + UG Iteration 5'!C169</f>
        <v>10.195</v>
      </c>
      <c r="D169" s="36">
        <f>'GF + UG Iteration 5'!P$16*(C169^'GF + UG Iteration 5'!P$15)</f>
        <v>9.6625584530760502</v>
      </c>
      <c r="E169" s="37">
        <f>'GF + UG Iteration 5'!E169</f>
        <v>1986</v>
      </c>
      <c r="F169" s="35">
        <f>'GF + UG Iteration 5'!F169</f>
        <v>3.4049999999999994</v>
      </c>
      <c r="G169" s="36">
        <f>'GF + UG Iteration 5'!G169</f>
        <v>4.380227937072533</v>
      </c>
      <c r="H169" s="38">
        <f>'GF + UG Iteration 5'!H169</f>
        <v>2007</v>
      </c>
      <c r="I169" s="35">
        <f t="shared" si="10"/>
        <v>13.6</v>
      </c>
      <c r="J169" s="36">
        <f t="shared" si="11"/>
        <v>14.042786390148583</v>
      </c>
      <c r="K169" s="38">
        <f t="shared" si="12"/>
        <v>2007</v>
      </c>
      <c r="M169" s="21">
        <f t="shared" si="18"/>
        <v>2.6100697927420065</v>
      </c>
      <c r="N169" s="21">
        <f t="shared" si="19"/>
        <v>2.6421088397437122</v>
      </c>
    </row>
    <row r="170" spans="1:14" x14ac:dyDescent="0.2">
      <c r="A170" s="33">
        <f>'GF + UG Iteration 5'!A170</f>
        <v>366</v>
      </c>
      <c r="B170" s="34" t="str">
        <f>'GF + UG Iteration 5'!B170</f>
        <v>UG</v>
      </c>
      <c r="C170" s="35">
        <f>'GF + UG Iteration 5'!C170</f>
        <v>11.1</v>
      </c>
      <c r="D170" s="36">
        <f>'GF + UG Iteration 5'!P$16*(C170^'GF + UG Iteration 5'!P$15)</f>
        <v>10.142935083723032</v>
      </c>
      <c r="E170" s="37">
        <f>'GF + UG Iteration 5'!E170</f>
        <v>1981</v>
      </c>
      <c r="F170" s="35">
        <f>'GF + UG Iteration 5'!F170</f>
        <v>4.8000000000000007</v>
      </c>
      <c r="G170" s="36">
        <f>'GF + UG Iteration 5'!G170</f>
        <v>0.60207988766843201</v>
      </c>
      <c r="H170" s="38">
        <f>'GF + UG Iteration 5'!H170</f>
        <v>2003</v>
      </c>
      <c r="I170" s="35">
        <f t="shared" si="10"/>
        <v>15.9</v>
      </c>
      <c r="J170" s="36">
        <f t="shared" si="11"/>
        <v>10.745014971391464</v>
      </c>
      <c r="K170" s="38">
        <f t="shared" si="12"/>
        <v>2003</v>
      </c>
      <c r="M170" s="21">
        <f t="shared" si="18"/>
        <v>2.7663191092261861</v>
      </c>
      <c r="N170" s="21">
        <f t="shared" si="19"/>
        <v>2.3744419234291443</v>
      </c>
    </row>
    <row r="171" spans="1:14" x14ac:dyDescent="0.2">
      <c r="A171" s="33">
        <f>'GF + UG Iteration 5'!A171</f>
        <v>1640</v>
      </c>
      <c r="B171" s="34" t="str">
        <f>'GF + UG Iteration 5'!B171</f>
        <v>UG</v>
      </c>
      <c r="C171" s="35">
        <f>'GF + UG Iteration 5'!C171</f>
        <v>15.9</v>
      </c>
      <c r="D171" s="36">
        <f>'GF + UG Iteration 5'!P$16*(C171^'GF + UG Iteration 5'!P$15)</f>
        <v>12.450951445306989</v>
      </c>
      <c r="E171" s="37">
        <f>'GF + UG Iteration 5'!E171</f>
        <v>1981</v>
      </c>
      <c r="F171" s="35">
        <f>'GF + UG Iteration 5'!F171</f>
        <v>2.4999999999999982</v>
      </c>
      <c r="G171" s="36">
        <f>'GF + UG Iteration 5'!G171</f>
        <v>8.3244002844443177</v>
      </c>
      <c r="H171" s="38">
        <f>'GF + UG Iteration 5'!H171</f>
        <v>2015</v>
      </c>
      <c r="I171" s="35">
        <f t="shared" si="10"/>
        <v>18.399999999999999</v>
      </c>
      <c r="J171" s="36">
        <f t="shared" si="11"/>
        <v>20.775351729751307</v>
      </c>
      <c r="K171" s="38">
        <f t="shared" si="12"/>
        <v>2015</v>
      </c>
      <c r="M171" s="21">
        <f t="shared" si="18"/>
        <v>2.91235066461494</v>
      </c>
      <c r="N171" s="21">
        <f t="shared" si="19"/>
        <v>3.0337672710314698</v>
      </c>
    </row>
    <row r="172" spans="1:14" x14ac:dyDescent="0.2">
      <c r="A172" s="33">
        <f>'GF + UG Iteration 5'!A172</f>
        <v>367</v>
      </c>
      <c r="B172" s="34" t="str">
        <f>'GF + UG Iteration 5'!B172</f>
        <v>UG</v>
      </c>
      <c r="C172" s="35">
        <f>'GF + UG Iteration 5'!C172</f>
        <v>11.211</v>
      </c>
      <c r="D172" s="36">
        <f>'GF + UG Iteration 5'!P$16*(C172^'GF + UG Iteration 5'!P$15)</f>
        <v>10.20067593622484</v>
      </c>
      <c r="E172" s="37">
        <f>'GF + UG Iteration 5'!E172</f>
        <v>1988</v>
      </c>
      <c r="F172" s="35">
        <f>'GF + UG Iteration 5'!F172</f>
        <v>1</v>
      </c>
      <c r="G172" s="36">
        <f>'GF + UG Iteration 5'!G172</f>
        <v>0.55588557988620213</v>
      </c>
      <c r="H172" s="38">
        <f>'GF + UG Iteration 5'!H172</f>
        <v>2004</v>
      </c>
      <c r="I172" s="35">
        <f t="shared" si="10"/>
        <v>12.211</v>
      </c>
      <c r="J172" s="36">
        <f t="shared" si="11"/>
        <v>10.756561516111041</v>
      </c>
      <c r="K172" s="38">
        <f t="shared" si="12"/>
        <v>2004</v>
      </c>
      <c r="M172" s="21">
        <f t="shared" si="18"/>
        <v>2.5023371848508846</v>
      </c>
      <c r="N172" s="21">
        <f t="shared" si="19"/>
        <v>2.3755159419632008</v>
      </c>
    </row>
    <row r="173" spans="1:14" x14ac:dyDescent="0.2">
      <c r="A173" s="33">
        <f>'GF + UG Iteration 5'!A173</f>
        <v>650</v>
      </c>
      <c r="B173" s="34" t="str">
        <f>'GF + UG Iteration 5'!B173</f>
        <v>UG</v>
      </c>
      <c r="C173" s="35">
        <f>'GF + UG Iteration 5'!C173</f>
        <v>23</v>
      </c>
      <c r="D173" s="36">
        <f>'GF + UG Iteration 5'!P$16*(C173^'GF + UG Iteration 5'!P$15)</f>
        <v>15.369854835911106</v>
      </c>
      <c r="E173" s="37">
        <f>'GF + UG Iteration 5'!E173</f>
        <v>1981</v>
      </c>
      <c r="F173" s="35">
        <f>'GF + UG Iteration 5'!F173</f>
        <v>0</v>
      </c>
      <c r="G173" s="36">
        <f>'GF + UG Iteration 5'!G173</f>
        <v>5.9476879309059552</v>
      </c>
      <c r="H173" s="38">
        <f>'GF + UG Iteration 5'!H173</f>
        <v>2007</v>
      </c>
      <c r="I173" s="35">
        <f t="shared" si="10"/>
        <v>23</v>
      </c>
      <c r="J173" s="36">
        <f t="shared" si="11"/>
        <v>21.317542766817063</v>
      </c>
      <c r="K173" s="38">
        <f t="shared" si="12"/>
        <v>2007</v>
      </c>
      <c r="M173" s="21">
        <f t="shared" si="18"/>
        <v>3.1354942159291497</v>
      </c>
      <c r="N173" s="21">
        <f t="shared" si="19"/>
        <v>3.0595303378155694</v>
      </c>
    </row>
    <row r="174" spans="1:14" x14ac:dyDescent="0.2">
      <c r="A174" s="33">
        <f>'GF + UG Iteration 5'!A174</f>
        <v>902</v>
      </c>
      <c r="B174" s="34" t="str">
        <f>'GF + UG Iteration 5'!B174</f>
        <v>UG</v>
      </c>
      <c r="C174" s="35">
        <f>'GF + UG Iteration 5'!C174</f>
        <v>19.2</v>
      </c>
      <c r="D174" s="36">
        <f>'GF + UG Iteration 5'!P$16*(C174^'GF + UG Iteration 5'!P$15)</f>
        <v>13.865262399357054</v>
      </c>
      <c r="E174" s="37">
        <f>'GF + UG Iteration 5'!E174</f>
        <v>2002</v>
      </c>
      <c r="F174" s="35">
        <f>'GF + UG Iteration 5'!F174</f>
        <v>13.500000000000004</v>
      </c>
      <c r="G174" s="36">
        <f>'GF + UG Iteration 5'!G174</f>
        <v>0.54699963688402187</v>
      </c>
      <c r="H174" s="38">
        <f>'GF + UG Iteration 5'!H174</f>
        <v>2009</v>
      </c>
      <c r="I174" s="35">
        <f t="shared" si="10"/>
        <v>32.700000000000003</v>
      </c>
      <c r="J174" s="36">
        <f t="shared" si="11"/>
        <v>14.412262036241076</v>
      </c>
      <c r="K174" s="38">
        <f t="shared" si="12"/>
        <v>2009</v>
      </c>
      <c r="M174" s="21">
        <f t="shared" si="18"/>
        <v>3.487375077903208</v>
      </c>
      <c r="N174" s="21">
        <f t="shared" si="19"/>
        <v>2.6680793745302376</v>
      </c>
    </row>
    <row r="175" spans="1:14" x14ac:dyDescent="0.2">
      <c r="A175" s="33">
        <f>'GF + UG Iteration 5'!A175</f>
        <v>1202</v>
      </c>
      <c r="B175" s="34" t="str">
        <f>'GF + UG Iteration 5'!B175</f>
        <v>UG</v>
      </c>
      <c r="C175" s="35">
        <f>'GF + UG Iteration 5'!C175</f>
        <v>19.399999999999999</v>
      </c>
      <c r="D175" s="36">
        <f>'GF + UG Iteration 5'!P$16*(C175^'GF + UG Iteration 5'!P$15)</f>
        <v>13.947474895586506</v>
      </c>
      <c r="E175" s="37">
        <f>'GF + UG Iteration 5'!E175</f>
        <v>1989</v>
      </c>
      <c r="F175" s="35">
        <f>'GF + UG Iteration 5'!F175</f>
        <v>1.6000000000000014</v>
      </c>
      <c r="G175" s="36">
        <f>'GF + UG Iteration 5'!G175</f>
        <v>10.745042225505973</v>
      </c>
      <c r="H175" s="38">
        <f>'GF + UG Iteration 5'!H175</f>
        <v>2012</v>
      </c>
      <c r="I175" s="35">
        <f t="shared" si="10"/>
        <v>21</v>
      </c>
      <c r="J175" s="36">
        <f t="shared" si="11"/>
        <v>24.692517121092479</v>
      </c>
      <c r="K175" s="38">
        <f t="shared" si="12"/>
        <v>2012</v>
      </c>
      <c r="M175" s="21">
        <f t="shared" si="18"/>
        <v>3.044522437723423</v>
      </c>
      <c r="N175" s="21">
        <f t="shared" si="19"/>
        <v>3.206500247172082</v>
      </c>
    </row>
    <row r="176" spans="1:14" x14ac:dyDescent="0.2">
      <c r="A176" s="33">
        <f>'GF + UG Iteration 5'!A176</f>
        <v>1338</v>
      </c>
      <c r="B176" s="34" t="str">
        <f>'GF + UG Iteration 5'!B176</f>
        <v>UG</v>
      </c>
      <c r="C176" s="35">
        <f>'GF + UG Iteration 5'!C176</f>
        <v>7.5</v>
      </c>
      <c r="D176" s="36">
        <f>'GF + UG Iteration 5'!P$16*(C176^'GF + UG Iteration 5'!P$15)</f>
        <v>8.1101870668937561</v>
      </c>
      <c r="E176" s="37" t="str">
        <f>'GF + UG Iteration 5'!E176</f>
        <v>unknown</v>
      </c>
      <c r="F176" s="35">
        <f>'GF + UG Iteration 5'!F176</f>
        <v>2</v>
      </c>
      <c r="G176" s="36">
        <f>'GF + UG Iteration 5'!G176</f>
        <v>6.6635813355623759</v>
      </c>
      <c r="H176" s="38">
        <f>'GF + UG Iteration 5'!H176</f>
        <v>2013</v>
      </c>
      <c r="I176" s="35">
        <f t="shared" si="10"/>
        <v>9.5</v>
      </c>
      <c r="J176" s="36">
        <f t="shared" si="11"/>
        <v>14.773768402456131</v>
      </c>
      <c r="K176" s="38">
        <f t="shared" si="12"/>
        <v>2013</v>
      </c>
      <c r="M176" s="21">
        <f t="shared" si="18"/>
        <v>2.2512917986064953</v>
      </c>
      <c r="N176" s="21">
        <f t="shared" si="19"/>
        <v>2.6928532029620249</v>
      </c>
    </row>
    <row r="177" spans="1:14" x14ac:dyDescent="0.2">
      <c r="A177" s="33">
        <f>'GF + UG Iteration 5'!A177</f>
        <v>212</v>
      </c>
      <c r="B177" s="34" t="str">
        <f>'GF + UG Iteration 5'!B177</f>
        <v>UG</v>
      </c>
      <c r="C177" s="35">
        <f>'GF + UG Iteration 5'!C177</f>
        <v>36.549999999999997</v>
      </c>
      <c r="D177" s="36">
        <f>'GF + UG Iteration 5'!P$16*(C177^'GF + UG Iteration 5'!P$15)</f>
        <v>20.018405100696846</v>
      </c>
      <c r="E177" s="37">
        <f>'GF + UG Iteration 5'!E177</f>
        <v>1978</v>
      </c>
      <c r="F177" s="35">
        <f>'GF + UG Iteration 5'!F177</f>
        <v>28</v>
      </c>
      <c r="G177" s="36">
        <f>'GF + UG Iteration 5'!G177</f>
        <v>4.6264535731184777</v>
      </c>
      <c r="H177" s="38">
        <f>'GF + UG Iteration 5'!H177</f>
        <v>2003</v>
      </c>
      <c r="I177" s="35">
        <f t="shared" si="10"/>
        <v>64.55</v>
      </c>
      <c r="J177" s="36">
        <f t="shared" si="11"/>
        <v>24.644858673815325</v>
      </c>
      <c r="K177" s="38">
        <f t="shared" si="12"/>
        <v>2003</v>
      </c>
      <c r="M177" s="21">
        <f t="shared" si="18"/>
        <v>4.1674401172926512</v>
      </c>
      <c r="N177" s="21">
        <f t="shared" si="19"/>
        <v>3.2045683056639391</v>
      </c>
    </row>
    <row r="178" spans="1:14" x14ac:dyDescent="0.2">
      <c r="A178" s="33">
        <f>'GF + UG Iteration 5'!A178</f>
        <v>653</v>
      </c>
      <c r="B178" s="34" t="str">
        <f>'GF + UG Iteration 5'!B178</f>
        <v>UG</v>
      </c>
      <c r="C178" s="35">
        <f>'GF + UG Iteration 5'!C178</f>
        <v>64.55</v>
      </c>
      <c r="D178" s="36">
        <f>'GF + UG Iteration 5'!P$16*(C178^'GF + UG Iteration 5'!P$15)</f>
        <v>27.691456894317977</v>
      </c>
      <c r="E178" s="37">
        <f>'GF + UG Iteration 5'!E178</f>
        <v>1977</v>
      </c>
      <c r="F178" s="35">
        <f>'GF + UG Iteration 5'!F178</f>
        <v>1.3200000000000074</v>
      </c>
      <c r="G178" s="36">
        <f>'GF + UG Iteration 5'!G178</f>
        <v>0.56894692945086811</v>
      </c>
      <c r="H178" s="38">
        <f>'GF + UG Iteration 5'!H178</f>
        <v>2007</v>
      </c>
      <c r="I178" s="35">
        <f t="shared" si="10"/>
        <v>65.87</v>
      </c>
      <c r="J178" s="36">
        <f t="shared" si="11"/>
        <v>28.260403823768844</v>
      </c>
      <c r="K178" s="38">
        <f t="shared" si="12"/>
        <v>2007</v>
      </c>
      <c r="M178" s="21">
        <f t="shared" si="18"/>
        <v>4.1876831026526018</v>
      </c>
      <c r="N178" s="21">
        <f t="shared" si="19"/>
        <v>3.3414616667427097</v>
      </c>
    </row>
    <row r="179" spans="1:14" x14ac:dyDescent="0.2">
      <c r="A179" s="33">
        <f>'GF + UG Iteration 5'!A179</f>
        <v>1679</v>
      </c>
      <c r="B179" s="34" t="str">
        <f>'GF + UG Iteration 5'!B179</f>
        <v>UG</v>
      </c>
      <c r="C179" s="35">
        <f>'GF + UG Iteration 5'!C179</f>
        <v>65.87</v>
      </c>
      <c r="D179" s="36">
        <f>'GF + UG Iteration 5'!P$16*(C179^'GF + UG Iteration 5'!P$15)</f>
        <v>28.013103727923848</v>
      </c>
      <c r="E179" s="37">
        <f>'GF + UG Iteration 5'!E179</f>
        <v>1977</v>
      </c>
      <c r="F179" s="35">
        <f>'GF + UG Iteration 5'!F179</f>
        <v>0</v>
      </c>
      <c r="G179" s="36">
        <f>'GF + UG Iteration 5'!G179</f>
        <v>3.0359489017822221</v>
      </c>
      <c r="H179" s="38">
        <f>'GF + UG Iteration 5'!H179</f>
        <v>2016</v>
      </c>
      <c r="I179" s="35">
        <f t="shared" si="10"/>
        <v>65.87</v>
      </c>
      <c r="J179" s="36">
        <f t="shared" si="11"/>
        <v>31.049052629706072</v>
      </c>
      <c r="K179" s="38">
        <f t="shared" si="12"/>
        <v>2016</v>
      </c>
      <c r="M179" s="21">
        <f t="shared" si="18"/>
        <v>4.1876831026526018</v>
      </c>
      <c r="N179" s="21">
        <f t="shared" si="19"/>
        <v>3.4355682967934364</v>
      </c>
    </row>
    <row r="180" spans="1:14" x14ac:dyDescent="0.2">
      <c r="A180" s="33">
        <f>'GF + UG Iteration 5'!A180</f>
        <v>1382</v>
      </c>
      <c r="B180" s="34" t="str">
        <f>'GF + UG Iteration 5'!B180</f>
        <v>UG</v>
      </c>
      <c r="C180" s="35">
        <f>'GF + UG Iteration 5'!C180</f>
        <v>24.2</v>
      </c>
      <c r="D180" s="36">
        <f>'GF + UG Iteration 5'!P$16*(C180^'GF + UG Iteration 5'!P$15)</f>
        <v>15.822332344467615</v>
      </c>
      <c r="E180" s="37" t="str">
        <f>'GF + UG Iteration 5'!E180</f>
        <v>unknown</v>
      </c>
      <c r="F180" s="35">
        <f>'GF + UG Iteration 5'!F180</f>
        <v>11.900000000000002</v>
      </c>
      <c r="G180" s="36">
        <f>'GF + UG Iteration 5'!G180</f>
        <v>2.4484361075925429</v>
      </c>
      <c r="H180" s="38">
        <f>'GF + UG Iteration 5'!H180</f>
        <v>2013</v>
      </c>
      <c r="I180" s="35">
        <f t="shared" si="10"/>
        <v>36.1</v>
      </c>
      <c r="J180" s="36">
        <f t="shared" si="11"/>
        <v>18.270768452060157</v>
      </c>
      <c r="K180" s="38">
        <f t="shared" si="12"/>
        <v>2013</v>
      </c>
      <c r="M180" s="21">
        <f t="shared" si="18"/>
        <v>3.5862928653388351</v>
      </c>
      <c r="N180" s="21">
        <f t="shared" si="19"/>
        <v>2.9053024303734802</v>
      </c>
    </row>
    <row r="181" spans="1:14" x14ac:dyDescent="0.2">
      <c r="A181" s="33">
        <f>'GF + UG Iteration 5'!A181</f>
        <v>1638</v>
      </c>
      <c r="B181" s="34" t="str">
        <f>'GF + UG Iteration 5'!B181</f>
        <v>UG</v>
      </c>
      <c r="C181" s="35">
        <f>'GF + UG Iteration 5'!C181</f>
        <v>36.1</v>
      </c>
      <c r="D181" s="36">
        <f>'GF + UG Iteration 5'!P$16*(C181^'GF + UG Iteration 5'!P$15)</f>
        <v>19.877425284757184</v>
      </c>
      <c r="E181" s="37" t="str">
        <f>'GF + UG Iteration 5'!E181</f>
        <v>unknown</v>
      </c>
      <c r="F181" s="35">
        <f>'GF + UG Iteration 5'!F181</f>
        <v>0</v>
      </c>
      <c r="G181" s="36">
        <f>'GF + UG Iteration 5'!G181</f>
        <v>1.4307693737810239</v>
      </c>
      <c r="H181" s="38">
        <f>'GF + UG Iteration 5'!H181</f>
        <v>2015</v>
      </c>
      <c r="I181" s="35">
        <f t="shared" si="10"/>
        <v>36.1</v>
      </c>
      <c r="J181" s="36">
        <f t="shared" si="11"/>
        <v>21.308194658538209</v>
      </c>
      <c r="K181" s="38">
        <f t="shared" si="12"/>
        <v>2015</v>
      </c>
      <c r="M181" s="21">
        <f t="shared" si="18"/>
        <v>3.5862928653388351</v>
      </c>
      <c r="N181" s="21">
        <f t="shared" si="19"/>
        <v>3.0590917244803708</v>
      </c>
    </row>
    <row r="182" spans="1:14" x14ac:dyDescent="0.2">
      <c r="A182" s="33">
        <f>'GF + UG Iteration 5'!A182</f>
        <v>874</v>
      </c>
      <c r="B182" s="34" t="str">
        <f>'GF + UG Iteration 5'!B182</f>
        <v>UG</v>
      </c>
      <c r="C182" s="35">
        <f>'GF + UG Iteration 5'!C182</f>
        <v>6.4</v>
      </c>
      <c r="D182" s="36">
        <f>'GF + UG Iteration 5'!P$16*(C182^'GF + UG Iteration 5'!P$15)</f>
        <v>7.4085755962995101</v>
      </c>
      <c r="E182" s="37">
        <f>'GF + UG Iteration 5'!E182</f>
        <v>1997</v>
      </c>
      <c r="F182" s="35">
        <f>'GF + UG Iteration 5'!F182</f>
        <v>0.5</v>
      </c>
      <c r="G182" s="36">
        <f>'GF + UG Iteration 5'!G182</f>
        <v>3.6333602061432981</v>
      </c>
      <c r="H182" s="38">
        <f>'GF + UG Iteration 5'!H182</f>
        <v>2009</v>
      </c>
      <c r="I182" s="35">
        <f t="shared" si="10"/>
        <v>6.9</v>
      </c>
      <c r="J182" s="36">
        <f t="shared" si="11"/>
        <v>11.041935802442808</v>
      </c>
      <c r="K182" s="38">
        <f t="shared" si="12"/>
        <v>2009</v>
      </c>
      <c r="M182" s="21">
        <f t="shared" si="18"/>
        <v>1.9315214116032138</v>
      </c>
      <c r="N182" s="21">
        <f t="shared" si="19"/>
        <v>2.40170036990208</v>
      </c>
    </row>
    <row r="183" spans="1:14" x14ac:dyDescent="0.2">
      <c r="A183" s="33">
        <f>'GF + UG Iteration 5'!A183</f>
        <v>491</v>
      </c>
      <c r="B183" s="34" t="str">
        <f>'GF + UG Iteration 5'!B183</f>
        <v>UG</v>
      </c>
      <c r="C183" s="35">
        <f>'GF + UG Iteration 5'!C183</f>
        <v>27.9</v>
      </c>
      <c r="D183" s="36">
        <f>'GF + UG Iteration 5'!P$16*(C183^'GF + UG Iteration 5'!P$15)</f>
        <v>17.160126198375877</v>
      </c>
      <c r="E183" s="37">
        <f>'GF + UG Iteration 5'!E183</f>
        <v>1984</v>
      </c>
      <c r="F183" s="35">
        <f>'GF + UG Iteration 5'!F183</f>
        <v>1</v>
      </c>
      <c r="G183" s="36">
        <f>'GF + UG Iteration 5'!G183</f>
        <v>0.19252271805052243</v>
      </c>
      <c r="H183" s="38">
        <f>'GF + UG Iteration 5'!H183</f>
        <v>2006</v>
      </c>
      <c r="I183" s="35">
        <f t="shared" si="10"/>
        <v>28.9</v>
      </c>
      <c r="J183" s="36">
        <f t="shared" si="11"/>
        <v>17.3526489164264</v>
      </c>
      <c r="K183" s="38">
        <f t="shared" si="12"/>
        <v>2006</v>
      </c>
      <c r="M183" s="21">
        <f t="shared" si="18"/>
        <v>3.3638415951183864</v>
      </c>
      <c r="N183" s="21">
        <f t="shared" si="19"/>
        <v>2.8537451700375325</v>
      </c>
    </row>
    <row r="184" spans="1:14" x14ac:dyDescent="0.2">
      <c r="A184" s="33">
        <f>'GF + UG Iteration 5'!A184</f>
        <v>1396</v>
      </c>
      <c r="B184" s="34" t="str">
        <f>'GF + UG Iteration 5'!B184</f>
        <v>UG</v>
      </c>
      <c r="C184" s="35">
        <f>'GF + UG Iteration 5'!C184</f>
        <v>20.6</v>
      </c>
      <c r="D184" s="36">
        <f>'GF + UG Iteration 5'!P$16*(C184^'GF + UG Iteration 5'!P$15)</f>
        <v>14.433302563987739</v>
      </c>
      <c r="E184" s="37">
        <f>'GF + UG Iteration 5'!E184</f>
        <v>2009</v>
      </c>
      <c r="F184" s="35">
        <f>'GF + UG Iteration 5'!F184</f>
        <v>5.3999999999999986</v>
      </c>
      <c r="G184" s="36">
        <f>'GF + UG Iteration 5'!G184</f>
        <v>0.37351117224616898</v>
      </c>
      <c r="H184" s="38">
        <f>'GF + UG Iteration 5'!H184</f>
        <v>2013</v>
      </c>
      <c r="I184" s="35">
        <f t="shared" ref="I184:I246" si="20">C184+F184</f>
        <v>26</v>
      </c>
      <c r="J184" s="36">
        <f t="shared" ref="J184:J246" si="21">D184+G184</f>
        <v>14.806813736233908</v>
      </c>
      <c r="K184" s="38">
        <f t="shared" ref="K184:K246" si="22">MAX(E184,H184)</f>
        <v>2013</v>
      </c>
      <c r="M184" s="21">
        <f>LN(I184)</f>
        <v>3.2580965380214821</v>
      </c>
      <c r="N184" s="21">
        <f>LN(J184)</f>
        <v>2.6950874624075944</v>
      </c>
    </row>
    <row r="185" spans="1:14" x14ac:dyDescent="0.2">
      <c r="A185" s="33">
        <f>'GF + UG Iteration 5'!A185</f>
        <v>1597</v>
      </c>
      <c r="B185" s="34" t="str">
        <f>'GF + UG Iteration 5'!B185</f>
        <v>UG</v>
      </c>
      <c r="C185" s="35">
        <f>'GF + UG Iteration 5'!C185</f>
        <v>26</v>
      </c>
      <c r="D185" s="36">
        <f>'GF + UG Iteration 5'!P$16*(C185^'GF + UG Iteration 5'!P$15)</f>
        <v>16.483364048319661</v>
      </c>
      <c r="E185" s="37">
        <f>'GF + UG Iteration 5'!E185</f>
        <v>2009</v>
      </c>
      <c r="F185" s="35">
        <f>'GF + UG Iteration 5'!F185</f>
        <v>27.299999999999997</v>
      </c>
      <c r="G185" s="36">
        <f>'GF + UG Iteration 5'!G185</f>
        <v>4.2355817632178319</v>
      </c>
      <c r="H185" s="38">
        <f>'GF + UG Iteration 5'!H185</f>
        <v>2015</v>
      </c>
      <c r="I185" s="35">
        <f t="shared" si="20"/>
        <v>53.3</v>
      </c>
      <c r="J185" s="36">
        <f t="shared" si="21"/>
        <v>20.718945811537495</v>
      </c>
      <c r="K185" s="38">
        <f t="shared" si="22"/>
        <v>2015</v>
      </c>
      <c r="M185" s="21">
        <f t="shared" ref="M185:M247" si="23">LN(I185)</f>
        <v>3.9759363311717988</v>
      </c>
      <c r="N185" s="21">
        <f t="shared" ref="N185:N247" si="24">LN(J185)</f>
        <v>3.0310485382754124</v>
      </c>
    </row>
    <row r="186" spans="1:14" x14ac:dyDescent="0.2">
      <c r="A186" s="33">
        <f>'GF + UG Iteration 5'!A186</f>
        <v>1292</v>
      </c>
      <c r="B186" s="34" t="str">
        <f>'GF + UG Iteration 5'!B186</f>
        <v>UG</v>
      </c>
      <c r="C186" s="35">
        <f>'GF + UG Iteration 5'!C186</f>
        <v>30.3</v>
      </c>
      <c r="D186" s="36">
        <f>'GF + UG Iteration 5'!P$16*(C186^'GF + UG Iteration 5'!P$15)</f>
        <v>17.987299915646709</v>
      </c>
      <c r="E186" s="37" t="str">
        <f>'GF + UG Iteration 5'!E186</f>
        <v>unknown</v>
      </c>
      <c r="F186" s="35">
        <f>'GF + UG Iteration 5'!F186</f>
        <v>2.4999999999999964</v>
      </c>
      <c r="G186" s="36">
        <f>'GF + UG Iteration 5'!G186</f>
        <v>4.47116983018676</v>
      </c>
      <c r="H186" s="38">
        <f>'GF + UG Iteration 5'!H186</f>
        <v>2013</v>
      </c>
      <c r="I186" s="35">
        <f t="shared" si="20"/>
        <v>32.799999999999997</v>
      </c>
      <c r="J186" s="36">
        <f t="shared" si="21"/>
        <v>22.458469745833469</v>
      </c>
      <c r="K186" s="38">
        <f t="shared" si="22"/>
        <v>2013</v>
      </c>
      <c r="M186" s="21">
        <f t="shared" si="23"/>
        <v>3.4904285153900978</v>
      </c>
      <c r="N186" s="21">
        <f t="shared" si="24"/>
        <v>3.1116678145685848</v>
      </c>
    </row>
    <row r="187" spans="1:14" x14ac:dyDescent="0.2">
      <c r="A187" s="33">
        <f>'GF + UG Iteration 5'!A187</f>
        <v>364</v>
      </c>
      <c r="B187" s="34" t="str">
        <f>'GF + UG Iteration 5'!B187</f>
        <v>UG</v>
      </c>
      <c r="C187" s="35">
        <f>'GF + UG Iteration 5'!C187</f>
        <v>44.904000000000003</v>
      </c>
      <c r="D187" s="36">
        <f>'GF + UG Iteration 5'!P$16*(C187^'GF + UG Iteration 5'!P$15)</f>
        <v>22.512826589185888</v>
      </c>
      <c r="E187" s="37">
        <f>'GF + UG Iteration 5'!E187</f>
        <v>1975</v>
      </c>
      <c r="F187" s="35">
        <f>'GF + UG Iteration 5'!F187</f>
        <v>2</v>
      </c>
      <c r="G187" s="36">
        <f>'GF + UG Iteration 5'!G187</f>
        <v>1.3174901179839253</v>
      </c>
      <c r="H187" s="38">
        <f>'GF + UG Iteration 5'!H187</f>
        <v>2004</v>
      </c>
      <c r="I187" s="35">
        <f t="shared" si="20"/>
        <v>46.904000000000003</v>
      </c>
      <c r="J187" s="36">
        <f t="shared" si="21"/>
        <v>23.830316707169814</v>
      </c>
      <c r="K187" s="38">
        <f t="shared" si="22"/>
        <v>2004</v>
      </c>
      <c r="M187" s="21">
        <f t="shared" si="23"/>
        <v>3.8481029596619138</v>
      </c>
      <c r="N187" s="21">
        <f t="shared" si="24"/>
        <v>3.1709585812938346</v>
      </c>
    </row>
    <row r="188" spans="1:14" x14ac:dyDescent="0.2">
      <c r="A188" s="33">
        <f>'GF + UG Iteration 5'!A188</f>
        <v>1306</v>
      </c>
      <c r="B188" s="34" t="str">
        <f>'GF + UG Iteration 5'!B188</f>
        <v>UG</v>
      </c>
      <c r="C188" s="35">
        <f>'GF + UG Iteration 5'!C188</f>
        <v>23.1</v>
      </c>
      <c r="D188" s="36">
        <f>'GF + UG Iteration 5'!P$16*(C188^'GF + UG Iteration 5'!P$15)</f>
        <v>15.407942633482095</v>
      </c>
      <c r="E188" s="37">
        <f>'GF + UG Iteration 5'!E188</f>
        <v>1985</v>
      </c>
      <c r="F188" s="35">
        <f>'GF + UG Iteration 5'!F188</f>
        <v>2.0999999999999979</v>
      </c>
      <c r="G188" s="36">
        <f>'GF + UG Iteration 5'!G188</f>
        <v>5.9848606370399509</v>
      </c>
      <c r="H188" s="38">
        <f>'GF + UG Iteration 5'!H188</f>
        <v>2013</v>
      </c>
      <c r="I188" s="35">
        <f t="shared" si="20"/>
        <v>25.2</v>
      </c>
      <c r="J188" s="36">
        <f t="shared" si="21"/>
        <v>21.392803270522045</v>
      </c>
      <c r="K188" s="38">
        <f t="shared" si="22"/>
        <v>2013</v>
      </c>
      <c r="M188" s="21">
        <f t="shared" si="23"/>
        <v>3.2268439945173775</v>
      </c>
      <c r="N188" s="21">
        <f t="shared" si="24"/>
        <v>3.0630545696977043</v>
      </c>
    </row>
    <row r="189" spans="1:14" x14ac:dyDescent="0.2">
      <c r="A189" s="33">
        <f>'GF + UG Iteration 5'!A189</f>
        <v>858</v>
      </c>
      <c r="B189" s="34" t="str">
        <f>'GF + UG Iteration 5'!B189</f>
        <v>UG</v>
      </c>
      <c r="C189" s="35">
        <f>'GF + UG Iteration 5'!C189</f>
        <v>28.4</v>
      </c>
      <c r="D189" s="36">
        <f>'GF + UG Iteration 5'!P$16*(C189^'GF + UG Iteration 5'!P$15)</f>
        <v>17.334899290698019</v>
      </c>
      <c r="E189" s="37">
        <f>'GF + UG Iteration 5'!E189</f>
        <v>2009</v>
      </c>
      <c r="F189" s="35">
        <f>'GF + UG Iteration 5'!F189</f>
        <v>13.300000000000004</v>
      </c>
      <c r="G189" s="36">
        <f>'GF + UG Iteration 5'!G189</f>
        <v>5.4358775042665943</v>
      </c>
      <c r="H189" s="38">
        <f>'GF + UG Iteration 5'!H189</f>
        <v>2010</v>
      </c>
      <c r="I189" s="35">
        <f t="shared" si="20"/>
        <v>41.7</v>
      </c>
      <c r="J189" s="36">
        <f t="shared" si="21"/>
        <v>22.770776794964611</v>
      </c>
      <c r="K189" s="38">
        <f t="shared" si="22"/>
        <v>2010</v>
      </c>
      <c r="M189" s="21">
        <f t="shared" si="23"/>
        <v>3.730501128804756</v>
      </c>
      <c r="N189" s="21">
        <f t="shared" si="24"/>
        <v>3.1254779943362894</v>
      </c>
    </row>
    <row r="190" spans="1:14" x14ac:dyDescent="0.2">
      <c r="A190" s="33">
        <f>'GF + UG Iteration 5'!A190</f>
        <v>1454</v>
      </c>
      <c r="B190" s="34" t="str">
        <f>'GF + UG Iteration 5'!B190</f>
        <v>UG</v>
      </c>
      <c r="C190" s="35">
        <f>'GF + UG Iteration 5'!C190</f>
        <v>41.7</v>
      </c>
      <c r="D190" s="36">
        <f>'GF + UG Iteration 5'!P$16*(C190^'GF + UG Iteration 5'!P$15)</f>
        <v>21.581882612377665</v>
      </c>
      <c r="E190" s="37">
        <f>'GF + UG Iteration 5'!E190</f>
        <v>2009</v>
      </c>
      <c r="F190" s="35">
        <f>'GF + UG Iteration 5'!F190</f>
        <v>5.6999999999999957</v>
      </c>
      <c r="G190" s="36">
        <f>'GF + UG Iteration 5'!G190</f>
        <v>0.45762240995573644</v>
      </c>
      <c r="H190" s="38">
        <f>'GF + UG Iteration 5'!H190</f>
        <v>2013</v>
      </c>
      <c r="I190" s="35">
        <f t="shared" si="20"/>
        <v>47.4</v>
      </c>
      <c r="J190" s="36">
        <f t="shared" si="21"/>
        <v>22.039505022333401</v>
      </c>
      <c r="K190" s="38">
        <f t="shared" si="22"/>
        <v>2013</v>
      </c>
      <c r="M190" s="21">
        <f t="shared" si="23"/>
        <v>3.858622228701031</v>
      </c>
      <c r="N190" s="21">
        <f t="shared" si="24"/>
        <v>3.0928365258806836</v>
      </c>
    </row>
    <row r="191" spans="1:14" x14ac:dyDescent="0.2">
      <c r="A191" s="33">
        <f>'GF + UG Iteration 5'!A191</f>
        <v>637</v>
      </c>
      <c r="B191" s="34" t="str">
        <f>'GF + UG Iteration 5'!B191</f>
        <v>UG</v>
      </c>
      <c r="C191" s="35">
        <f>'GF + UG Iteration 5'!C191</f>
        <v>15.499999999999998</v>
      </c>
      <c r="D191" s="36">
        <f>'GF + UG Iteration 5'!P$16*(C191^'GF + UG Iteration 5'!P$15)</f>
        <v>12.27127852719847</v>
      </c>
      <c r="E191" s="37">
        <f>'GF + UG Iteration 5'!E191</f>
        <v>1989</v>
      </c>
      <c r="F191" s="35">
        <f>'GF + UG Iteration 5'!F191</f>
        <v>8.4</v>
      </c>
      <c r="G191" s="36">
        <f>'GF + UG Iteration 5'!G191</f>
        <v>5.068859840469166</v>
      </c>
      <c r="H191" s="38">
        <f>'GF + UG Iteration 5'!H191</f>
        <v>2007</v>
      </c>
      <c r="I191" s="35">
        <f t="shared" si="20"/>
        <v>23.9</v>
      </c>
      <c r="J191" s="36">
        <f t="shared" si="21"/>
        <v>17.340138367667635</v>
      </c>
      <c r="K191" s="38">
        <f t="shared" si="22"/>
        <v>2007</v>
      </c>
      <c r="M191" s="21">
        <f t="shared" si="23"/>
        <v>3.1738784589374651</v>
      </c>
      <c r="N191" s="21">
        <f t="shared" si="24"/>
        <v>2.8530239510015063</v>
      </c>
    </row>
    <row r="192" spans="1:14" x14ac:dyDescent="0.2">
      <c r="A192" s="33">
        <f>'GF + UG Iteration 5'!A192</f>
        <v>1254</v>
      </c>
      <c r="B192" s="34" t="str">
        <f>'GF + UG Iteration 5'!B192</f>
        <v>UG</v>
      </c>
      <c r="C192" s="35">
        <f>'GF + UG Iteration 5'!C192</f>
        <v>23.9</v>
      </c>
      <c r="D192" s="36">
        <f>'GF + UG Iteration 5'!P$16*(C192^'GF + UG Iteration 5'!P$15)</f>
        <v>15.710133933636317</v>
      </c>
      <c r="E192" s="37">
        <f>'GF + UG Iteration 5'!E192</f>
        <v>1989</v>
      </c>
      <c r="F192" s="35">
        <f>'GF + UG Iteration 5'!F192</f>
        <v>15.399999999999999</v>
      </c>
      <c r="G192" s="36">
        <f>'GF + UG Iteration 5'!G192</f>
        <v>6.528436764593768</v>
      </c>
      <c r="H192" s="38">
        <f>'GF + UG Iteration 5'!H192</f>
        <v>2012</v>
      </c>
      <c r="I192" s="35">
        <f t="shared" si="20"/>
        <v>39.299999999999997</v>
      </c>
      <c r="J192" s="36">
        <f t="shared" si="21"/>
        <v>22.238570698230085</v>
      </c>
      <c r="K192" s="38">
        <f t="shared" si="22"/>
        <v>2012</v>
      </c>
      <c r="M192" s="21">
        <f t="shared" si="23"/>
        <v>3.6712245188752153</v>
      </c>
      <c r="N192" s="21">
        <f t="shared" si="24"/>
        <v>3.1018282001512452</v>
      </c>
    </row>
    <row r="193" spans="1:14" x14ac:dyDescent="0.2">
      <c r="A193" s="33">
        <f>'GF + UG Iteration 5'!A193</f>
        <v>734</v>
      </c>
      <c r="B193" s="34" t="str">
        <f>'GF + UG Iteration 5'!B193</f>
        <v>UG</v>
      </c>
      <c r="C193" s="35">
        <f>'GF + UG Iteration 5'!C193</f>
        <v>20</v>
      </c>
      <c r="D193" s="36">
        <f>'GF + UG Iteration 5'!P$16*(C193^'GF + UG Iteration 5'!P$15)</f>
        <v>14.191953998618004</v>
      </c>
      <c r="E193" s="37">
        <f>'GF + UG Iteration 5'!E193</f>
        <v>1974</v>
      </c>
      <c r="F193" s="35">
        <f>'GF + UG Iteration 5'!F193</f>
        <v>4.3999999999999986</v>
      </c>
      <c r="G193" s="36">
        <f>'GF + UG Iteration 5'!G193</f>
        <v>11.261124599264825</v>
      </c>
      <c r="H193" s="38">
        <f>'GF + UG Iteration 5'!H193</f>
        <v>2011</v>
      </c>
      <c r="I193" s="35">
        <f t="shared" ref="I193" si="25">C193+F193</f>
        <v>24.4</v>
      </c>
      <c r="J193" s="36">
        <f t="shared" ref="J193" si="26">D193+G193</f>
        <v>25.453078597882829</v>
      </c>
      <c r="K193" s="38">
        <f t="shared" ref="K193" si="27">MAX(E193,H193)</f>
        <v>2011</v>
      </c>
      <c r="M193" s="21">
        <f t="shared" ref="M193" si="28">LN(I193)</f>
        <v>3.1945831322991562</v>
      </c>
      <c r="N193" s="21">
        <f t="shared" ref="N193" si="29">LN(J193)</f>
        <v>3.2368367021986617</v>
      </c>
    </row>
    <row r="194" spans="1:14" x14ac:dyDescent="0.2">
      <c r="A194" s="33">
        <f>'GF + UG Iteration 5'!A194</f>
        <v>1594</v>
      </c>
      <c r="B194" s="34" t="str">
        <f>'GF + UG Iteration 5'!B194</f>
        <v>UG</v>
      </c>
      <c r="C194" s="35">
        <f>'GF + UG Iteration 5'!C194</f>
        <v>24.4</v>
      </c>
      <c r="D194" s="36">
        <f>'GF + UG Iteration 5'!P$16*(C194^'GF + UG Iteration 5'!P$15)</f>
        <v>15.896799619588069</v>
      </c>
      <c r="E194" s="37">
        <f>'GF + UG Iteration 5'!E194</f>
        <v>1974</v>
      </c>
      <c r="F194" s="35">
        <f>'GF + UG Iteration 5'!F194</f>
        <v>0</v>
      </c>
      <c r="G194" s="36">
        <f>'GF + UG Iteration 5'!G194</f>
        <v>17.2334453477478</v>
      </c>
      <c r="H194" s="38">
        <f>'GF + UG Iteration 5'!H194</f>
        <v>2017</v>
      </c>
      <c r="I194" s="35">
        <f t="shared" si="20"/>
        <v>24.4</v>
      </c>
      <c r="J194" s="36">
        <f t="shared" si="21"/>
        <v>33.130244967335869</v>
      </c>
      <c r="K194" s="38">
        <f t="shared" si="22"/>
        <v>2017</v>
      </c>
      <c r="M194" s="21">
        <f t="shared" si="23"/>
        <v>3.1945831322991562</v>
      </c>
      <c r="N194" s="21">
        <f t="shared" si="24"/>
        <v>3.500446610408702</v>
      </c>
    </row>
    <row r="195" spans="1:14" x14ac:dyDescent="0.2">
      <c r="A195" s="33">
        <f>'GF + UG Iteration 5'!A195</f>
        <v>1674</v>
      </c>
      <c r="B195" s="34" t="str">
        <f>'GF + UG Iteration 5'!B195</f>
        <v>UG</v>
      </c>
      <c r="C195" s="35">
        <f>'GF + UG Iteration 5'!C195</f>
        <v>17.399999999999999</v>
      </c>
      <c r="D195" s="36">
        <f>'GF + UG Iteration 5'!P$16*(C195^'GF + UG Iteration 5'!P$15)</f>
        <v>13.108061593407021</v>
      </c>
      <c r="E195" s="37">
        <f>'GF + UG Iteration 5'!E195</f>
        <v>0</v>
      </c>
      <c r="F195" s="35">
        <f>'GF + UG Iteration 5'!F195</f>
        <v>3.7000000000000028</v>
      </c>
      <c r="G195" s="36">
        <f>'GF + UG Iteration 5'!G195</f>
        <v>10.327278566796926</v>
      </c>
      <c r="H195" s="38">
        <f>'GF + UG Iteration 5'!H195</f>
        <v>2016</v>
      </c>
      <c r="I195" s="35">
        <f t="shared" si="20"/>
        <v>21.1</v>
      </c>
      <c r="J195" s="36">
        <f t="shared" si="21"/>
        <v>23.435340160203946</v>
      </c>
      <c r="K195" s="38">
        <f t="shared" si="22"/>
        <v>2016</v>
      </c>
      <c r="M195" s="21">
        <f t="shared" si="23"/>
        <v>3.0492730404820207</v>
      </c>
      <c r="N195" s="21">
        <f t="shared" si="24"/>
        <v>3.1542451463196342</v>
      </c>
    </row>
    <row r="196" spans="1:14" x14ac:dyDescent="0.2">
      <c r="A196" s="33">
        <f>'GF + UG Iteration 5'!A196</f>
        <v>711</v>
      </c>
      <c r="B196" s="34" t="str">
        <f>'GF + UG Iteration 5'!B196</f>
        <v>UG</v>
      </c>
      <c r="C196" s="35">
        <f>'GF + UG Iteration 5'!C196</f>
        <v>11.5</v>
      </c>
      <c r="D196" s="36">
        <f>'GF + UG Iteration 5'!P$16*(C196^'GF + UG Iteration 5'!P$15)</f>
        <v>10.349869310498502</v>
      </c>
      <c r="E196" s="37">
        <f>'GF + UG Iteration 5'!E196</f>
        <v>1976</v>
      </c>
      <c r="F196" s="35">
        <f>'GF + UG Iteration 5'!F196</f>
        <v>13.7</v>
      </c>
      <c r="G196" s="36">
        <f>'GF + UG Iteration 5'!G196</f>
        <v>9.2617881543087019</v>
      </c>
      <c r="H196" s="38">
        <f>'GF + UG Iteration 5'!H196</f>
        <v>2009</v>
      </c>
      <c r="I196" s="35">
        <f t="shared" si="20"/>
        <v>25.2</v>
      </c>
      <c r="J196" s="36">
        <f t="shared" si="21"/>
        <v>19.611657464807202</v>
      </c>
      <c r="K196" s="38">
        <f t="shared" si="22"/>
        <v>2009</v>
      </c>
      <c r="M196" s="21">
        <f t="shared" si="23"/>
        <v>3.2268439945173775</v>
      </c>
      <c r="N196" s="21">
        <f t="shared" si="24"/>
        <v>2.9761241580443345</v>
      </c>
    </row>
    <row r="197" spans="1:14" x14ac:dyDescent="0.2">
      <c r="A197" s="33">
        <f>'GF + UG Iteration 5'!A197</f>
        <v>408</v>
      </c>
      <c r="B197" s="34" t="str">
        <f>'GF + UG Iteration 5'!B197</f>
        <v>UG</v>
      </c>
      <c r="C197" s="35">
        <f>'GF + UG Iteration 5'!C197</f>
        <v>37.700000000000003</v>
      </c>
      <c r="D197" s="36">
        <f>'GF + UG Iteration 5'!P$16*(C197^'GF + UG Iteration 5'!P$15)</f>
        <v>20.375338926333491</v>
      </c>
      <c r="E197" s="37">
        <f>'GF + UG Iteration 5'!E197</f>
        <v>1976</v>
      </c>
      <c r="F197" s="35">
        <f>'GF + UG Iteration 5'!F197</f>
        <v>2.0419999999999945</v>
      </c>
      <c r="G197" s="36">
        <f>'GF + UG Iteration 5'!G197</f>
        <v>0.58015876995711901</v>
      </c>
      <c r="H197" s="38">
        <f>'GF + UG Iteration 5'!H197</f>
        <v>2004</v>
      </c>
      <c r="I197" s="35">
        <f t="shared" si="20"/>
        <v>39.741999999999997</v>
      </c>
      <c r="J197" s="36">
        <f t="shared" si="21"/>
        <v>20.95549769629061</v>
      </c>
      <c r="K197" s="38">
        <f t="shared" si="22"/>
        <v>2004</v>
      </c>
      <c r="M197" s="21">
        <f t="shared" si="23"/>
        <v>3.6824085629836243</v>
      </c>
      <c r="N197" s="21">
        <f t="shared" si="24"/>
        <v>3.0424010318127488</v>
      </c>
    </row>
    <row r="198" spans="1:14" x14ac:dyDescent="0.2">
      <c r="A198" s="33">
        <f>'GF + UG Iteration 5'!A198</f>
        <v>698</v>
      </c>
      <c r="B198" s="34" t="str">
        <f>'GF + UG Iteration 5'!B198</f>
        <v>UG</v>
      </c>
      <c r="C198" s="35">
        <f>'GF + UG Iteration 5'!C198</f>
        <v>39.700000000000003</v>
      </c>
      <c r="D198" s="36">
        <f>'GF + UG Iteration 5'!P$16*(C198^'GF + UG Iteration 5'!P$15)</f>
        <v>20.985140589583505</v>
      </c>
      <c r="E198" s="37">
        <f>'GF + UG Iteration 5'!E198</f>
        <v>1976</v>
      </c>
      <c r="F198" s="35">
        <f>'GF + UG Iteration 5'!F198</f>
        <v>20.9</v>
      </c>
      <c r="G198" s="36">
        <f>'GF + UG Iteration 5'!G198</f>
        <v>1.4406821685518079</v>
      </c>
      <c r="H198" s="38">
        <f>'GF + UG Iteration 5'!H198</f>
        <v>2007</v>
      </c>
      <c r="I198" s="35">
        <f t="shared" si="20"/>
        <v>60.6</v>
      </c>
      <c r="J198" s="36">
        <f t="shared" si="21"/>
        <v>22.425822758135311</v>
      </c>
      <c r="K198" s="38">
        <f t="shared" si="22"/>
        <v>2007</v>
      </c>
      <c r="M198" s="21">
        <f t="shared" si="23"/>
        <v>4.1042948930752692</v>
      </c>
      <c r="N198" s="21">
        <f t="shared" si="24"/>
        <v>3.1102130965978123</v>
      </c>
    </row>
    <row r="199" spans="1:14" x14ac:dyDescent="0.2">
      <c r="A199" s="33">
        <f>'GF + UG Iteration 5'!A199</f>
        <v>696</v>
      </c>
      <c r="B199" s="34" t="str">
        <f>'GF + UG Iteration 5'!B199</f>
        <v>UG</v>
      </c>
      <c r="C199" s="35">
        <f>'GF + UG Iteration 5'!C199</f>
        <v>9.1370000000000005</v>
      </c>
      <c r="D199" s="36">
        <f>'GF + UG Iteration 5'!P$16*(C199^'GF + UG Iteration 5'!P$15)</f>
        <v>9.0770790203119844</v>
      </c>
      <c r="E199" s="37">
        <f>'GF + UG Iteration 5'!E199</f>
        <v>1981</v>
      </c>
      <c r="F199" s="35">
        <f>'GF + UG Iteration 5'!F199</f>
        <v>8.0629999999999988</v>
      </c>
      <c r="G199" s="36">
        <f>'GF + UG Iteration 5'!G199</f>
        <v>0.26810351472539734</v>
      </c>
      <c r="H199" s="38">
        <f>'GF + UG Iteration 5'!H199</f>
        <v>2007</v>
      </c>
      <c r="I199" s="35">
        <f t="shared" si="20"/>
        <v>17.2</v>
      </c>
      <c r="J199" s="36">
        <f t="shared" si="21"/>
        <v>9.3451825350373809</v>
      </c>
      <c r="K199" s="38">
        <f t="shared" si="22"/>
        <v>2007</v>
      </c>
      <c r="M199" s="21">
        <f t="shared" si="23"/>
        <v>2.8449093838194073</v>
      </c>
      <c r="N199" s="21">
        <f t="shared" si="24"/>
        <v>2.2348609736260583</v>
      </c>
    </row>
    <row r="200" spans="1:14" x14ac:dyDescent="0.2">
      <c r="A200" s="33">
        <f>'GF + UG Iteration 5'!A200</f>
        <v>1636</v>
      </c>
      <c r="B200" s="34" t="str">
        <f>'GF + UG Iteration 5'!B200</f>
        <v>UG</v>
      </c>
      <c r="C200" s="35">
        <f>'GF + UG Iteration 5'!C200</f>
        <v>17.2</v>
      </c>
      <c r="D200" s="36">
        <f>'GF + UG Iteration 5'!P$16*(C200^'GF + UG Iteration 5'!P$15)</f>
        <v>13.021893870197056</v>
      </c>
      <c r="E200" s="37">
        <f>'GF + UG Iteration 5'!E200</f>
        <v>1981</v>
      </c>
      <c r="F200" s="35">
        <f>'GF + UG Iteration 5'!F200</f>
        <v>0</v>
      </c>
      <c r="G200" s="36">
        <f>'GF + UG Iteration 5'!G200</f>
        <v>6.6058972937468434</v>
      </c>
      <c r="H200" s="38">
        <f>'GF + UG Iteration 5'!H200</f>
        <v>2015</v>
      </c>
      <c r="I200" s="35">
        <f t="shared" si="20"/>
        <v>17.2</v>
      </c>
      <c r="J200" s="36">
        <f t="shared" si="21"/>
        <v>19.6277911639439</v>
      </c>
      <c r="K200" s="38">
        <f t="shared" si="22"/>
        <v>2015</v>
      </c>
      <c r="M200" s="21">
        <f t="shared" si="23"/>
        <v>2.8449093838194073</v>
      </c>
      <c r="N200" s="21">
        <f t="shared" si="24"/>
        <v>2.9769464784698068</v>
      </c>
    </row>
    <row r="201" spans="1:14" x14ac:dyDescent="0.2">
      <c r="A201" s="33">
        <f>'GF + UG Iteration 5'!A201</f>
        <v>1185</v>
      </c>
      <c r="B201" s="34" t="str">
        <f>'GF + UG Iteration 5'!B201</f>
        <v>UG</v>
      </c>
      <c r="C201" s="35">
        <f>'GF + UG Iteration 5'!C201</f>
        <v>32.4</v>
      </c>
      <c r="D201" s="36">
        <f>'GF + UG Iteration 5'!P$16*(C201^'GF + UG Iteration 5'!P$15)</f>
        <v>18.688249455364193</v>
      </c>
      <c r="E201" s="37">
        <f>'GF + UG Iteration 5'!E201</f>
        <v>1988</v>
      </c>
      <c r="F201" s="35">
        <f>'GF + UG Iteration 5'!F201</f>
        <v>2.5</v>
      </c>
      <c r="G201" s="36">
        <f>'GF + UG Iteration 5'!G201</f>
        <v>2.8087836612562955</v>
      </c>
      <c r="H201" s="38">
        <f>'GF + UG Iteration 5'!H201</f>
        <v>2011</v>
      </c>
      <c r="I201" s="35">
        <f t="shared" si="20"/>
        <v>34.9</v>
      </c>
      <c r="J201" s="36">
        <f t="shared" si="21"/>
        <v>21.497033116620489</v>
      </c>
      <c r="K201" s="38">
        <f t="shared" si="22"/>
        <v>2011</v>
      </c>
      <c r="M201" s="21">
        <f t="shared" si="23"/>
        <v>3.5524868292083815</v>
      </c>
      <c r="N201" s="21">
        <f t="shared" si="24"/>
        <v>3.0679149310356983</v>
      </c>
    </row>
    <row r="202" spans="1:14" x14ac:dyDescent="0.2">
      <c r="A202" s="33">
        <f>'GF + UG Iteration 5'!A202</f>
        <v>568</v>
      </c>
      <c r="B202" s="34" t="str">
        <f>'GF + UG Iteration 5'!B202</f>
        <v>UG</v>
      </c>
      <c r="C202" s="35">
        <f>'GF + UG Iteration 5'!C202</f>
        <v>38.04</v>
      </c>
      <c r="D202" s="36">
        <f>'GF + UG Iteration 5'!P$16*(C202^'GF + UG Iteration 5'!P$15)</f>
        <v>20.479968113508836</v>
      </c>
      <c r="E202" s="37">
        <f>'GF + UG Iteration 5'!E202</f>
        <v>1978</v>
      </c>
      <c r="F202" s="35">
        <f>'GF + UG Iteration 5'!F202</f>
        <v>1</v>
      </c>
      <c r="G202" s="36">
        <f>'GF + UG Iteration 5'!G202</f>
        <v>2.8818936071529556E-2</v>
      </c>
      <c r="H202" s="38">
        <f>'GF + UG Iteration 5'!H202</f>
        <v>2006</v>
      </c>
      <c r="I202" s="35">
        <f t="shared" si="20"/>
        <v>39.04</v>
      </c>
      <c r="J202" s="36">
        <f t="shared" si="21"/>
        <v>20.508787049580366</v>
      </c>
      <c r="K202" s="38">
        <f t="shared" si="22"/>
        <v>2006</v>
      </c>
      <c r="M202" s="21">
        <f t="shared" si="23"/>
        <v>3.6645867615448919</v>
      </c>
      <c r="N202" s="21">
        <f t="shared" si="24"/>
        <v>3.0208534308708486</v>
      </c>
    </row>
    <row r="203" spans="1:14" x14ac:dyDescent="0.2">
      <c r="A203" s="33">
        <f>'GF + UG Iteration 5'!A203</f>
        <v>853</v>
      </c>
      <c r="B203" s="34" t="str">
        <f>'GF + UG Iteration 5'!B203</f>
        <v>UG</v>
      </c>
      <c r="C203" s="35">
        <f>'GF + UG Iteration 5'!C203</f>
        <v>20</v>
      </c>
      <c r="D203" s="36">
        <f>'GF + UG Iteration 5'!P$16*(C203^'GF + UG Iteration 5'!P$15)</f>
        <v>14.191953998618004</v>
      </c>
      <c r="E203" s="37">
        <f>'GF + UG Iteration 5'!E203</f>
        <v>1991</v>
      </c>
      <c r="F203" s="35">
        <f>'GF + UG Iteration 5'!F203</f>
        <v>21.700000000000003</v>
      </c>
      <c r="G203" s="36">
        <f>'GF + UG Iteration 5'!G203</f>
        <v>4.2556245512411124</v>
      </c>
      <c r="H203" s="38">
        <f>'GF + UG Iteration 5'!H203</f>
        <v>2009</v>
      </c>
      <c r="I203" s="35">
        <f t="shared" si="20"/>
        <v>41.7</v>
      </c>
      <c r="J203" s="36">
        <f t="shared" si="21"/>
        <v>18.447578549859116</v>
      </c>
      <c r="K203" s="38">
        <f t="shared" si="22"/>
        <v>2009</v>
      </c>
      <c r="M203" s="21">
        <f t="shared" si="23"/>
        <v>3.730501128804756</v>
      </c>
      <c r="N203" s="21">
        <f t="shared" si="24"/>
        <v>2.9149331179632254</v>
      </c>
    </row>
    <row r="204" spans="1:14" x14ac:dyDescent="0.2">
      <c r="A204" s="33">
        <f>'GF + UG Iteration 5'!A204</f>
        <v>1201</v>
      </c>
      <c r="B204" s="34" t="str">
        <f>'GF + UG Iteration 5'!B204</f>
        <v>UG</v>
      </c>
      <c r="C204" s="35">
        <f>'GF + UG Iteration 5'!C204</f>
        <v>13.3</v>
      </c>
      <c r="D204" s="36">
        <f>'GF + UG Iteration 5'!P$16*(C204^'GF + UG Iteration 5'!P$15)</f>
        <v>11.245105649690482</v>
      </c>
      <c r="E204" s="37" t="str">
        <f>'GF + UG Iteration 5'!E204</f>
        <v>unknown</v>
      </c>
      <c r="F204" s="35">
        <f>'GF + UG Iteration 5'!F204</f>
        <v>10.599999999999998</v>
      </c>
      <c r="G204" s="36">
        <f>'GF + UG Iteration 5'!G204</f>
        <v>7.6364894321569698</v>
      </c>
      <c r="H204" s="38">
        <f>'GF + UG Iteration 5'!H204</f>
        <v>2012</v>
      </c>
      <c r="I204" s="35">
        <f t="shared" si="20"/>
        <v>23.9</v>
      </c>
      <c r="J204" s="36">
        <f t="shared" si="21"/>
        <v>18.881595081847451</v>
      </c>
      <c r="K204" s="38">
        <f t="shared" si="22"/>
        <v>2012</v>
      </c>
      <c r="M204" s="21">
        <f t="shared" si="23"/>
        <v>3.1738784589374651</v>
      </c>
      <c r="N204" s="21">
        <f t="shared" si="24"/>
        <v>2.9381876424160192</v>
      </c>
    </row>
    <row r="205" spans="1:14" x14ac:dyDescent="0.2">
      <c r="A205" s="33">
        <f>'GF + UG Iteration 5'!A205</f>
        <v>654</v>
      </c>
      <c r="B205" s="34" t="str">
        <f>'GF + UG Iteration 5'!B205</f>
        <v>UG</v>
      </c>
      <c r="C205" s="35">
        <f>'GF + UG Iteration 5'!C205</f>
        <v>7.29</v>
      </c>
      <c r="D205" s="36">
        <f>'GF + UG Iteration 5'!P$16*(C205^'GF + UG Iteration 5'!P$15)</f>
        <v>7.979847410349918</v>
      </c>
      <c r="E205" s="37">
        <f>'GF + UG Iteration 5'!E205</f>
        <v>1976</v>
      </c>
      <c r="F205" s="35">
        <f>'GF + UG Iteration 5'!F205</f>
        <v>4.4099999999999993</v>
      </c>
      <c r="G205" s="36">
        <f>'GF + UG Iteration 5'!G205</f>
        <v>0.73672544554632269</v>
      </c>
      <c r="H205" s="38">
        <f>'GF + UG Iteration 5'!H205</f>
        <v>2007</v>
      </c>
      <c r="I205" s="35">
        <f t="shared" si="20"/>
        <v>11.7</v>
      </c>
      <c r="J205" s="36">
        <f t="shared" si="21"/>
        <v>8.7165728558962403</v>
      </c>
      <c r="K205" s="38">
        <f t="shared" si="22"/>
        <v>2007</v>
      </c>
      <c r="M205" s="21">
        <f t="shared" si="23"/>
        <v>2.4595888418037104</v>
      </c>
      <c r="N205" s="21">
        <f t="shared" si="24"/>
        <v>2.1652261395550321</v>
      </c>
    </row>
    <row r="206" spans="1:14" x14ac:dyDescent="0.2">
      <c r="A206" s="33">
        <f>'GF + UG Iteration 5'!A206</f>
        <v>1394</v>
      </c>
      <c r="B206" s="34" t="str">
        <f>'GF + UG Iteration 5'!B206</f>
        <v>UG</v>
      </c>
      <c r="C206" s="35">
        <f>'GF + UG Iteration 5'!C206</f>
        <v>11.7</v>
      </c>
      <c r="D206" s="36">
        <f>'GF + UG Iteration 5'!P$16*(C206^'GF + UG Iteration 5'!P$15)</f>
        <v>10.452176014890229</v>
      </c>
      <c r="E206" s="37">
        <f>'GF + UG Iteration 5'!E206</f>
        <v>1976</v>
      </c>
      <c r="F206" s="35">
        <f>'GF + UG Iteration 5'!F206</f>
        <v>10</v>
      </c>
      <c r="G206" s="36">
        <f>'GF + UG Iteration 5'!G206</f>
        <v>5.0057806862702598</v>
      </c>
      <c r="H206" s="38">
        <f>'GF + UG Iteration 5'!H206</f>
        <v>2014</v>
      </c>
      <c r="I206" s="35">
        <f t="shared" si="20"/>
        <v>21.7</v>
      </c>
      <c r="J206" s="36">
        <f t="shared" si="21"/>
        <v>15.457956701160489</v>
      </c>
      <c r="K206" s="38">
        <f t="shared" si="22"/>
        <v>2014</v>
      </c>
      <c r="M206" s="21">
        <f t="shared" si="23"/>
        <v>3.0773122605464138</v>
      </c>
      <c r="N206" s="21">
        <f t="shared" si="24"/>
        <v>2.738123867617261</v>
      </c>
    </row>
    <row r="207" spans="1:14" x14ac:dyDescent="0.2">
      <c r="A207" s="33">
        <f>'GF + UG Iteration 5'!A207</f>
        <v>1294</v>
      </c>
      <c r="B207" s="34" t="str">
        <f>'GF + UG Iteration 5'!B207</f>
        <v>UG</v>
      </c>
      <c r="C207" s="35">
        <f>'GF + UG Iteration 5'!C207</f>
        <v>8.5</v>
      </c>
      <c r="D207" s="36">
        <f>'GF + UG Iteration 5'!P$16*(C207^'GF + UG Iteration 5'!P$15)</f>
        <v>8.7104667670427407</v>
      </c>
      <c r="E207" s="37">
        <f>'GF + UG Iteration 5'!E207</f>
        <v>0</v>
      </c>
      <c r="F207" s="35">
        <f>'GF + UG Iteration 5'!F207</f>
        <v>1.5999999999999996</v>
      </c>
      <c r="G207" s="36">
        <f>'GF + UG Iteration 5'!G207</f>
        <v>4.5619922667121129</v>
      </c>
      <c r="H207" s="38">
        <f>'GF + UG Iteration 5'!H207</f>
        <v>2014</v>
      </c>
      <c r="I207" s="35">
        <f t="shared" si="20"/>
        <v>10.1</v>
      </c>
      <c r="J207" s="36">
        <f t="shared" si="21"/>
        <v>13.272459033754853</v>
      </c>
      <c r="K207" s="38">
        <f t="shared" si="22"/>
        <v>2014</v>
      </c>
      <c r="M207" s="21">
        <f t="shared" si="23"/>
        <v>2.3125354238472138</v>
      </c>
      <c r="N207" s="21">
        <f t="shared" si="24"/>
        <v>2.585691138920152</v>
      </c>
    </row>
    <row r="208" spans="1:14" x14ac:dyDescent="0.2">
      <c r="A208" s="33">
        <f>'GF + UG Iteration 5'!A208</f>
        <v>1670</v>
      </c>
      <c r="B208" s="34" t="str">
        <f>'GF + UG Iteration 5'!B208</f>
        <v>UG</v>
      </c>
      <c r="C208" s="35">
        <f>'GF + UG Iteration 5'!C208</f>
        <v>31.45</v>
      </c>
      <c r="D208" s="36">
        <f>'GF + UG Iteration 5'!P$16*(C208^'GF + UG Iteration 5'!P$15)</f>
        <v>18.373647975666941</v>
      </c>
      <c r="E208" s="37">
        <f>'GF + UG Iteration 5'!E208</f>
        <v>0</v>
      </c>
      <c r="F208" s="35">
        <f>'GF + UG Iteration 5'!F208</f>
        <v>24.250000000000004</v>
      </c>
      <c r="G208" s="36">
        <f>'GF + UG Iteration 5'!G208</f>
        <v>2.7943521582603679</v>
      </c>
      <c r="H208" s="38">
        <f>'GF + UG Iteration 5'!H208</f>
        <v>2016</v>
      </c>
      <c r="I208" s="35">
        <f t="shared" si="20"/>
        <v>55.7</v>
      </c>
      <c r="J208" s="36">
        <f t="shared" si="21"/>
        <v>21.168000133927308</v>
      </c>
      <c r="K208" s="38">
        <f t="shared" si="22"/>
        <v>2016</v>
      </c>
      <c r="M208" s="21">
        <f t="shared" si="23"/>
        <v>4.0199801469332384</v>
      </c>
      <c r="N208" s="21">
        <f t="shared" si="24"/>
        <v>3.0524906136994758</v>
      </c>
    </row>
    <row r="209" spans="1:14" x14ac:dyDescent="0.2">
      <c r="A209" s="33">
        <f>'GF + UG Iteration 5'!A209</f>
        <v>579</v>
      </c>
      <c r="B209" s="34" t="str">
        <f>'GF + UG Iteration 5'!B209</f>
        <v>UG</v>
      </c>
      <c r="C209" s="35">
        <f>'GF + UG Iteration 5'!C209</f>
        <v>17.100000000000001</v>
      </c>
      <c r="D209" s="36">
        <f>'GF + UG Iteration 5'!P$16*(C209^'GF + UG Iteration 5'!P$15)</f>
        <v>12.978648670298918</v>
      </c>
      <c r="E209" s="37" t="str">
        <f>'GF + UG Iteration 5'!E209</f>
        <v>unknown</v>
      </c>
      <c r="F209" s="35">
        <f>'GF + UG Iteration 5'!F209</f>
        <v>11</v>
      </c>
      <c r="G209" s="36">
        <f>'GF + UG Iteration 5'!G209</f>
        <v>3.6516230200538073</v>
      </c>
      <c r="H209" s="38">
        <f>'GF + UG Iteration 5'!H209</f>
        <v>2008</v>
      </c>
      <c r="I209" s="35">
        <f t="shared" si="20"/>
        <v>28.1</v>
      </c>
      <c r="J209" s="36">
        <f t="shared" si="21"/>
        <v>16.630271690352725</v>
      </c>
      <c r="K209" s="38">
        <f t="shared" si="22"/>
        <v>2008</v>
      </c>
      <c r="M209" s="21">
        <f t="shared" si="23"/>
        <v>3.3357695763396999</v>
      </c>
      <c r="N209" s="21">
        <f t="shared" si="24"/>
        <v>2.8112246304347459</v>
      </c>
    </row>
    <row r="210" spans="1:14" x14ac:dyDescent="0.2">
      <c r="A210" s="33">
        <f>'GF + UG Iteration 5'!A210</f>
        <v>1670</v>
      </c>
      <c r="B210" s="34" t="str">
        <f>'GF + UG Iteration 5'!B210</f>
        <v>UG</v>
      </c>
      <c r="C210" s="35">
        <f>'GF + UG Iteration 5'!C210</f>
        <v>18.79</v>
      </c>
      <c r="D210" s="36">
        <f>'GF + UG Iteration 5'!P$16*(C210^'GF + UG Iteration 5'!P$15)</f>
        <v>13.695568188109199</v>
      </c>
      <c r="E210" s="37">
        <f>'GF + UG Iteration 5'!E210</f>
        <v>0</v>
      </c>
      <c r="F210" s="35">
        <f>'GF + UG Iteration 5'!F210</f>
        <v>30.509999999999998</v>
      </c>
      <c r="G210" s="36">
        <f>'GF + UG Iteration 5'!G210</f>
        <v>18.363697996227653</v>
      </c>
      <c r="H210" s="38">
        <f>'GF + UG Iteration 5'!H210</f>
        <v>2016</v>
      </c>
      <c r="I210" s="35">
        <f t="shared" si="20"/>
        <v>49.3</v>
      </c>
      <c r="J210" s="36">
        <f t="shared" si="21"/>
        <v>32.059266184336849</v>
      </c>
      <c r="K210" s="38">
        <f t="shared" si="22"/>
        <v>2016</v>
      </c>
      <c r="M210" s="21">
        <f t="shared" si="23"/>
        <v>3.8979240810486444</v>
      </c>
      <c r="N210" s="21">
        <f t="shared" si="24"/>
        <v>3.4675862580965231</v>
      </c>
    </row>
    <row r="211" spans="1:14" x14ac:dyDescent="0.2">
      <c r="A211" s="33">
        <f>'GF + UG Iteration 5'!A211</f>
        <v>1083</v>
      </c>
      <c r="B211" s="34" t="str">
        <f>'GF + UG Iteration 5'!B211</f>
        <v>UG</v>
      </c>
      <c r="C211" s="35">
        <f>'GF + UG Iteration 5'!C211</f>
        <v>7.53</v>
      </c>
      <c r="D211" s="36">
        <f>'GF + UG Iteration 5'!P$16*(C211^'GF + UG Iteration 5'!P$15)</f>
        <v>8.1286783536909013</v>
      </c>
      <c r="E211" s="37">
        <f>'GF + UG Iteration 5'!E211</f>
        <v>1981</v>
      </c>
      <c r="F211" s="35">
        <f>'GF + UG Iteration 5'!F211</f>
        <v>5.87</v>
      </c>
      <c r="G211" s="36">
        <f>'GF + UG Iteration 5'!G211</f>
        <v>7.4125108979310461</v>
      </c>
      <c r="H211" s="38">
        <f>'GF + UG Iteration 5'!H211</f>
        <v>2011</v>
      </c>
      <c r="I211" s="35">
        <f t="shared" si="20"/>
        <v>13.4</v>
      </c>
      <c r="J211" s="36">
        <f t="shared" si="21"/>
        <v>15.541189251621947</v>
      </c>
      <c r="K211" s="38">
        <f t="shared" si="22"/>
        <v>2011</v>
      </c>
      <c r="M211" s="21">
        <f t="shared" si="23"/>
        <v>2.5952547069568657</v>
      </c>
      <c r="N211" s="21">
        <f t="shared" si="24"/>
        <v>2.7434938704297522</v>
      </c>
    </row>
    <row r="212" spans="1:14" x14ac:dyDescent="0.2">
      <c r="A212" s="33">
        <f>'GF + UG Iteration 5'!A212</f>
        <v>552</v>
      </c>
      <c r="B212" s="34" t="str">
        <f>'GF + UG Iteration 5'!B212</f>
        <v>UG</v>
      </c>
      <c r="C212" s="35">
        <f>'GF + UG Iteration 5'!C212</f>
        <v>20.229999999999997</v>
      </c>
      <c r="D212" s="36">
        <f>'GF + UG Iteration 5'!P$16*(C212^'GF + UG Iteration 5'!P$15)</f>
        <v>14.284833693772015</v>
      </c>
      <c r="E212" s="37">
        <f>'GF + UG Iteration 5'!E212</f>
        <v>1991</v>
      </c>
      <c r="F212" s="35">
        <f>'GF + UG Iteration 5'!F212</f>
        <v>10.470000000000002</v>
      </c>
      <c r="G212" s="36">
        <f>'GF + UG Iteration 5'!G212</f>
        <v>1.1457716756011658</v>
      </c>
      <c r="H212" s="38">
        <f>'GF + UG Iteration 5'!H212</f>
        <v>2006</v>
      </c>
      <c r="I212" s="35">
        <f t="shared" si="20"/>
        <v>30.7</v>
      </c>
      <c r="J212" s="36">
        <f t="shared" si="21"/>
        <v>15.430605369373181</v>
      </c>
      <c r="K212" s="38">
        <f t="shared" si="22"/>
        <v>2006</v>
      </c>
      <c r="M212" s="21">
        <f t="shared" si="23"/>
        <v>3.4242626545931514</v>
      </c>
      <c r="N212" s="21">
        <f t="shared" si="24"/>
        <v>2.736352898876572</v>
      </c>
    </row>
    <row r="213" spans="1:14" x14ac:dyDescent="0.2">
      <c r="A213" s="33">
        <f>'GF + UG Iteration 5'!A213</f>
        <v>1311</v>
      </c>
      <c r="B213" s="34" t="str">
        <f>'GF + UG Iteration 5'!B213</f>
        <v>UG</v>
      </c>
      <c r="C213" s="35">
        <f>'GF + UG Iteration 5'!C213</f>
        <v>30.7</v>
      </c>
      <c r="D213" s="36">
        <f>'GF + UG Iteration 5'!P$16*(C213^'GF + UG Iteration 5'!P$15)</f>
        <v>18.122384826573473</v>
      </c>
      <c r="E213" s="37">
        <f>'GF + UG Iteration 5'!E213</f>
        <v>1991</v>
      </c>
      <c r="F213" s="35">
        <f>'GF + UG Iteration 5'!F213</f>
        <v>19.3</v>
      </c>
      <c r="G213" s="36">
        <f>'GF + UG Iteration 5'!G213</f>
        <v>5.9841430822776953</v>
      </c>
      <c r="H213" s="38">
        <f>'GF + UG Iteration 5'!H213</f>
        <v>2013</v>
      </c>
      <c r="I213" s="35">
        <f t="shared" si="20"/>
        <v>50</v>
      </c>
      <c r="J213" s="36">
        <f t="shared" si="21"/>
        <v>24.10652790885117</v>
      </c>
      <c r="K213" s="38">
        <f t="shared" si="22"/>
        <v>2013</v>
      </c>
      <c r="M213" s="21">
        <f t="shared" si="23"/>
        <v>3.912023005428146</v>
      </c>
      <c r="N213" s="21">
        <f t="shared" si="24"/>
        <v>3.182482671405793</v>
      </c>
    </row>
    <row r="214" spans="1:14" x14ac:dyDescent="0.2">
      <c r="A214" s="33">
        <f>'GF + UG Iteration 5'!A214</f>
        <v>1078</v>
      </c>
      <c r="B214" s="34" t="str">
        <f>'GF + UG Iteration 5'!B214</f>
        <v>UG</v>
      </c>
      <c r="C214" s="35">
        <f>'GF + UG Iteration 5'!C214</f>
        <v>17.66</v>
      </c>
      <c r="D214" s="36">
        <f>'GF + UG Iteration 5'!P$16*(C214^'GF + UG Iteration 5'!P$15)</f>
        <v>13.219446243781951</v>
      </c>
      <c r="E214" s="37">
        <f>'GF + UG Iteration 5'!E214</f>
        <v>1957</v>
      </c>
      <c r="F214" s="35">
        <f>'GF + UG Iteration 5'!F214</f>
        <v>7.34</v>
      </c>
      <c r="G214" s="36">
        <f>'GF + UG Iteration 5'!G214</f>
        <v>1.0936387702296273</v>
      </c>
      <c r="H214" s="38">
        <f>'GF + UG Iteration 5'!H214</f>
        <v>2011</v>
      </c>
      <c r="I214" s="35">
        <f t="shared" si="20"/>
        <v>25</v>
      </c>
      <c r="J214" s="36">
        <f t="shared" si="21"/>
        <v>14.313085014011579</v>
      </c>
      <c r="K214" s="38">
        <f t="shared" si="22"/>
        <v>2011</v>
      </c>
      <c r="M214" s="21">
        <f t="shared" si="23"/>
        <v>3.2188758248682006</v>
      </c>
      <c r="N214" s="21">
        <f t="shared" si="24"/>
        <v>2.6611741548205456</v>
      </c>
    </row>
    <row r="215" spans="1:14" x14ac:dyDescent="0.2">
      <c r="A215" s="33">
        <f>'GF + UG Iteration 5'!A215</f>
        <v>495</v>
      </c>
      <c r="B215" s="34" t="str">
        <f>'GF + UG Iteration 5'!B215</f>
        <v>UG</v>
      </c>
      <c r="C215" s="35">
        <f>'GF + UG Iteration 5'!C215</f>
        <v>12.974</v>
      </c>
      <c r="D215" s="36">
        <f>'GF + UG Iteration 5'!P$16*(C215^'GF + UG Iteration 5'!P$15)</f>
        <v>11.087022587363144</v>
      </c>
      <c r="E215" s="37">
        <f>'GF + UG Iteration 5'!E215</f>
        <v>1982</v>
      </c>
      <c r="F215" s="35">
        <f>'GF + UG Iteration 5'!F215</f>
        <v>0</v>
      </c>
      <c r="G215" s="36">
        <f>'GF + UG Iteration 5'!G215</f>
        <v>3.5907902166068872</v>
      </c>
      <c r="H215" s="38">
        <f>'GF + UG Iteration 5'!H215</f>
        <v>2006</v>
      </c>
      <c r="I215" s="35">
        <f t="shared" si="20"/>
        <v>12.974</v>
      </c>
      <c r="J215" s="36">
        <f t="shared" si="21"/>
        <v>14.677812803970031</v>
      </c>
      <c r="K215" s="38">
        <f t="shared" si="22"/>
        <v>2006</v>
      </c>
      <c r="M215" s="21">
        <f t="shared" si="23"/>
        <v>2.5629473547908637</v>
      </c>
      <c r="N215" s="21">
        <f t="shared" si="24"/>
        <v>2.6863370205308503</v>
      </c>
    </row>
    <row r="216" spans="1:14" x14ac:dyDescent="0.2">
      <c r="A216" s="33">
        <f>'GF + UG Iteration 5'!A216</f>
        <v>383</v>
      </c>
      <c r="B216" s="34" t="str">
        <f>'GF + UG Iteration 5'!B216</f>
        <v>UG</v>
      </c>
      <c r="C216" s="35">
        <f>'GF + UG Iteration 5'!C216</f>
        <v>0.51</v>
      </c>
      <c r="D216" s="36">
        <f>'GF + UG Iteration 5'!P$16*(C216^'GF + UG Iteration 5'!P$15)</f>
        <v>1.749797239785593</v>
      </c>
      <c r="E216" s="37">
        <f>'GF + UG Iteration 5'!E216</f>
        <v>1984</v>
      </c>
      <c r="F216" s="35">
        <f>'GF + UG Iteration 5'!F216</f>
        <v>8</v>
      </c>
      <c r="G216" s="36">
        <f>'GF + UG Iteration 5'!G216</f>
        <v>3.9501723720469593</v>
      </c>
      <c r="H216" s="38">
        <f>'GF + UG Iteration 5'!H216</f>
        <v>2005</v>
      </c>
      <c r="I216" s="35">
        <f t="shared" si="20"/>
        <v>8.51</v>
      </c>
      <c r="J216" s="36">
        <f t="shared" si="21"/>
        <v>5.699969611832552</v>
      </c>
      <c r="K216" s="38">
        <f t="shared" si="22"/>
        <v>2005</v>
      </c>
      <c r="M216" s="21">
        <f t="shared" si="23"/>
        <v>2.1412419425852827</v>
      </c>
      <c r="N216" s="21">
        <f t="shared" si="24"/>
        <v>1.7404608435688462</v>
      </c>
    </row>
    <row r="217" spans="1:14" x14ac:dyDescent="0.2">
      <c r="A217" s="33">
        <f>'GF + UG Iteration 5'!A217</f>
        <v>1020</v>
      </c>
      <c r="B217" s="34" t="str">
        <f>'GF + UG Iteration 5'!B217</f>
        <v>UG</v>
      </c>
      <c r="C217" s="35">
        <f>'GF + UG Iteration 5'!C217</f>
        <v>13</v>
      </c>
      <c r="D217" s="36">
        <f>'GF + UG Iteration 5'!P$16*(C217^'GF + UG Iteration 5'!P$15)</f>
        <v>11.099692581277719</v>
      </c>
      <c r="E217" s="37">
        <f>'GF + UG Iteration 5'!E217</f>
        <v>1977</v>
      </c>
      <c r="F217" s="35">
        <f>'GF + UG Iteration 5'!F217</f>
        <v>9</v>
      </c>
      <c r="G217" s="36">
        <f>'GF + UG Iteration 5'!G217</f>
        <v>7.3449786888029998</v>
      </c>
      <c r="H217" s="38">
        <f>'GF + UG Iteration 5'!H217</f>
        <v>2010</v>
      </c>
      <c r="I217" s="35">
        <f t="shared" si="20"/>
        <v>22</v>
      </c>
      <c r="J217" s="36">
        <f t="shared" si="21"/>
        <v>18.444671270080718</v>
      </c>
      <c r="K217" s="38">
        <f t="shared" si="22"/>
        <v>2010</v>
      </c>
      <c r="M217" s="21">
        <f t="shared" si="23"/>
        <v>3.0910424533583161</v>
      </c>
      <c r="N217" s="21">
        <f t="shared" si="24"/>
        <v>2.9147755087201674</v>
      </c>
    </row>
    <row r="218" spans="1:14" x14ac:dyDescent="0.2">
      <c r="A218" s="33">
        <f>'GF + UG Iteration 5'!A218</f>
        <v>1364</v>
      </c>
      <c r="B218" s="34" t="str">
        <f>'GF + UG Iteration 5'!B218</f>
        <v>UG</v>
      </c>
      <c r="C218" s="35">
        <f>'GF + UG Iteration 5'!C218</f>
        <v>8.5</v>
      </c>
      <c r="D218" s="36">
        <f>'GF + UG Iteration 5'!P$16*(C218^'GF + UG Iteration 5'!P$15)</f>
        <v>8.7104667670427407</v>
      </c>
      <c r="E218" s="37">
        <f>'GF + UG Iteration 5'!E218</f>
        <v>0</v>
      </c>
      <c r="F218" s="35">
        <f>'GF + UG Iteration 5'!F218</f>
        <v>34</v>
      </c>
      <c r="G218" s="36">
        <f>'GF + UG Iteration 5'!G218</f>
        <v>8.7951197470845859</v>
      </c>
      <c r="H218" s="38">
        <f>'GF + UG Iteration 5'!H218</f>
        <v>2013</v>
      </c>
      <c r="I218" s="35">
        <f t="shared" si="20"/>
        <v>42.5</v>
      </c>
      <c r="J218" s="36">
        <f t="shared" si="21"/>
        <v>17.505586514127327</v>
      </c>
      <c r="K218" s="38">
        <f t="shared" si="22"/>
        <v>2013</v>
      </c>
      <c r="M218" s="21">
        <f t="shared" si="23"/>
        <v>3.7495040759303713</v>
      </c>
      <c r="N218" s="21">
        <f t="shared" si="24"/>
        <v>2.8625200593653162</v>
      </c>
    </row>
    <row r="219" spans="1:14" x14ac:dyDescent="0.2">
      <c r="A219" s="33">
        <f>'GF + UG Iteration 5'!A219</f>
        <v>503</v>
      </c>
      <c r="B219" s="34" t="str">
        <f>'GF + UG Iteration 5'!B219</f>
        <v>UG</v>
      </c>
      <c r="C219" s="35">
        <f>'GF + UG Iteration 5'!C219</f>
        <v>31</v>
      </c>
      <c r="D219" s="36">
        <f>'GF + UG Iteration 5'!P$16*(C219^'GF + UG Iteration 5'!P$15)</f>
        <v>18.223203014047456</v>
      </c>
      <c r="E219" s="37">
        <f>'GF + UG Iteration 5'!E219</f>
        <v>1972</v>
      </c>
      <c r="F219" s="35">
        <f>'GF + UG Iteration 5'!F219</f>
        <v>16</v>
      </c>
      <c r="G219" s="36">
        <f>'GF + UG Iteration 5'!G219</f>
        <v>3.8033222269089473</v>
      </c>
      <c r="H219" s="38">
        <f>'GF + UG Iteration 5'!H219</f>
        <v>2007</v>
      </c>
      <c r="I219" s="35">
        <f t="shared" si="20"/>
        <v>47</v>
      </c>
      <c r="J219" s="36">
        <f t="shared" si="21"/>
        <v>22.026525240956403</v>
      </c>
      <c r="K219" s="38">
        <f t="shared" si="22"/>
        <v>2007</v>
      </c>
      <c r="M219" s="21">
        <f t="shared" si="23"/>
        <v>3.8501476017100584</v>
      </c>
      <c r="N219" s="21">
        <f t="shared" si="24"/>
        <v>3.0922474198652417</v>
      </c>
    </row>
    <row r="220" spans="1:14" x14ac:dyDescent="0.2">
      <c r="A220" s="33">
        <f>'GF + UG Iteration 5'!A220</f>
        <v>925</v>
      </c>
      <c r="B220" s="34" t="str">
        <f>'GF + UG Iteration 5'!B220</f>
        <v>UG</v>
      </c>
      <c r="C220" s="35">
        <f>'GF + UG Iteration 5'!C220</f>
        <v>47</v>
      </c>
      <c r="D220" s="36">
        <f>'GF + UG Iteration 5'!P$16*(C220^'GF + UG Iteration 5'!P$15)</f>
        <v>23.106441451837355</v>
      </c>
      <c r="E220" s="37">
        <f>'GF + UG Iteration 5'!E220</f>
        <v>1972</v>
      </c>
      <c r="F220" s="35">
        <f>'GF + UG Iteration 5'!F220</f>
        <v>9</v>
      </c>
      <c r="G220" s="36">
        <f>'GF + UG Iteration 5'!G220</f>
        <v>3.3164697860941139</v>
      </c>
      <c r="H220" s="38">
        <f>'GF + UG Iteration 5'!H220</f>
        <v>2011</v>
      </c>
      <c r="I220" s="35">
        <f t="shared" si="20"/>
        <v>56</v>
      </c>
      <c r="J220" s="36">
        <f t="shared" si="21"/>
        <v>26.422911237931469</v>
      </c>
      <c r="K220" s="38">
        <f t="shared" si="22"/>
        <v>2011</v>
      </c>
      <c r="M220" s="21">
        <f t="shared" si="23"/>
        <v>4.0253516907351496</v>
      </c>
      <c r="N220" s="21">
        <f t="shared" si="24"/>
        <v>3.2742314837099098</v>
      </c>
    </row>
    <row r="221" spans="1:14" x14ac:dyDescent="0.2">
      <c r="A221" s="33">
        <f>'GF + UG Iteration 5'!A221</f>
        <v>821</v>
      </c>
      <c r="B221" s="34" t="str">
        <f>'GF + UG Iteration 5'!B221</f>
        <v>UG</v>
      </c>
      <c r="C221" s="35">
        <f>'GF + UG Iteration 5'!C221</f>
        <v>25</v>
      </c>
      <c r="D221" s="36">
        <f>'GF + UG Iteration 5'!P$16*(C221^'GF + UG Iteration 5'!P$15)</f>
        <v>16.118643273755229</v>
      </c>
      <c r="E221" s="37">
        <f>'GF + UG Iteration 5'!E221</f>
        <v>2006</v>
      </c>
      <c r="F221" s="35">
        <f>'GF + UG Iteration 5'!F221</f>
        <v>32</v>
      </c>
      <c r="G221" s="36">
        <f>'GF + UG Iteration 5'!G221</f>
        <v>9.4177371403666275</v>
      </c>
      <c r="H221" s="38">
        <f>'GF + UG Iteration 5'!H221</f>
        <v>2011</v>
      </c>
      <c r="I221" s="35">
        <f t="shared" si="20"/>
        <v>57</v>
      </c>
      <c r="J221" s="36">
        <f t="shared" si="21"/>
        <v>25.536380414121858</v>
      </c>
      <c r="K221" s="38">
        <f t="shared" si="22"/>
        <v>2011</v>
      </c>
      <c r="M221" s="21">
        <f t="shared" si="23"/>
        <v>4.0430512678345503</v>
      </c>
      <c r="N221" s="21">
        <f t="shared" si="24"/>
        <v>3.2401041183259953</v>
      </c>
    </row>
    <row r="222" spans="1:14" x14ac:dyDescent="0.2">
      <c r="A222" s="33">
        <f>'GF + UG Iteration 5'!A222</f>
        <v>486</v>
      </c>
      <c r="B222" s="34" t="str">
        <f>'GF + UG Iteration 5'!B222</f>
        <v>UG</v>
      </c>
      <c r="C222" s="35">
        <f>'GF + UG Iteration 5'!C222</f>
        <v>10.81</v>
      </c>
      <c r="D222" s="36">
        <f>'GF + UG Iteration 5'!P$16*(C222^'GF + UG Iteration 5'!P$15)</f>
        <v>9.9908985383372535</v>
      </c>
      <c r="E222" s="37">
        <f>'GF + UG Iteration 5'!E222</f>
        <v>1993</v>
      </c>
      <c r="F222" s="35">
        <f>'GF + UG Iteration 5'!F222</f>
        <v>3.1399999999999988</v>
      </c>
      <c r="G222" s="36">
        <f>'GF + UG Iteration 5'!G222</f>
        <v>0.34692120274319505</v>
      </c>
      <c r="H222" s="38">
        <f>'GF + UG Iteration 5'!H222</f>
        <v>2005</v>
      </c>
      <c r="I222" s="35">
        <f t="shared" si="20"/>
        <v>13.95</v>
      </c>
      <c r="J222" s="36">
        <f t="shared" si="21"/>
        <v>10.337819741080448</v>
      </c>
      <c r="K222" s="38">
        <f t="shared" si="22"/>
        <v>2005</v>
      </c>
      <c r="M222" s="21">
        <f t="shared" si="23"/>
        <v>2.6354795082673745</v>
      </c>
      <c r="N222" s="21">
        <f t="shared" si="24"/>
        <v>2.3358089900848249</v>
      </c>
    </row>
    <row r="223" spans="1:14" x14ac:dyDescent="0.2">
      <c r="A223" s="33">
        <f>'GF + UG Iteration 5'!A223</f>
        <v>779</v>
      </c>
      <c r="B223" s="34" t="str">
        <f>'GF + UG Iteration 5'!B223</f>
        <v>UG</v>
      </c>
      <c r="C223" s="35">
        <f>'GF + UG Iteration 5'!C223</f>
        <v>13.95</v>
      </c>
      <c r="D223" s="36">
        <f>'GF + UG Iteration 5'!P$16*(C223^'GF + UG Iteration 5'!P$15)</f>
        <v>11.555415805872414</v>
      </c>
      <c r="E223" s="37">
        <f>'GF + UG Iteration 5'!E223</f>
        <v>1993</v>
      </c>
      <c r="F223" s="35">
        <f>'GF + UG Iteration 5'!F223</f>
        <v>4.0500000000000007</v>
      </c>
      <c r="G223" s="36">
        <f>'GF + UG Iteration 5'!G223</f>
        <v>0.91575874480529229</v>
      </c>
      <c r="H223" s="38">
        <f>'GF + UG Iteration 5'!H223</f>
        <v>2008</v>
      </c>
      <c r="I223" s="35">
        <f t="shared" si="20"/>
        <v>18</v>
      </c>
      <c r="J223" s="36">
        <f t="shared" si="21"/>
        <v>12.471174550677706</v>
      </c>
      <c r="K223" s="38">
        <f t="shared" si="22"/>
        <v>2008</v>
      </c>
      <c r="M223" s="21">
        <f t="shared" si="23"/>
        <v>2.8903717578961645</v>
      </c>
      <c r="N223" s="21">
        <f t="shared" si="24"/>
        <v>2.5234199453668169</v>
      </c>
    </row>
    <row r="224" spans="1:14" x14ac:dyDescent="0.2">
      <c r="A224" s="33">
        <f>'GF + UG Iteration 5'!A224</f>
        <v>1416</v>
      </c>
      <c r="B224" s="34" t="str">
        <f>'GF + UG Iteration 5'!B224</f>
        <v>UG</v>
      </c>
      <c r="C224" s="35">
        <f>'GF + UG Iteration 5'!C224</f>
        <v>18</v>
      </c>
      <c r="D224" s="36">
        <f>'GF + UG Iteration 5'!P$16*(C224^'GF + UG Iteration 5'!P$15)</f>
        <v>13.364045905107856</v>
      </c>
      <c r="E224" s="37">
        <f>'GF + UG Iteration 5'!E224</f>
        <v>1993</v>
      </c>
      <c r="F224" s="35">
        <f>'GF + UG Iteration 5'!F224</f>
        <v>6</v>
      </c>
      <c r="G224" s="36">
        <f>'GF + UG Iteration 5'!G224</f>
        <v>1.4181567457767223</v>
      </c>
      <c r="H224" s="38">
        <f>'GF + UG Iteration 5'!H224</f>
        <v>2014</v>
      </c>
      <c r="I224" s="35">
        <f t="shared" si="20"/>
        <v>24</v>
      </c>
      <c r="J224" s="36">
        <f t="shared" si="21"/>
        <v>14.782202650884578</v>
      </c>
      <c r="K224" s="38">
        <f t="shared" si="22"/>
        <v>2014</v>
      </c>
      <c r="M224" s="21">
        <f t="shared" si="23"/>
        <v>3.1780538303479458</v>
      </c>
      <c r="N224" s="21">
        <f t="shared" si="24"/>
        <v>2.6934239335695338</v>
      </c>
    </row>
    <row r="225" spans="1:14" x14ac:dyDescent="0.2">
      <c r="A225" s="33">
        <f>'GF + UG Iteration 5'!A225</f>
        <v>554</v>
      </c>
      <c r="B225" s="34" t="str">
        <f>'GF + UG Iteration 5'!B225</f>
        <v>UG</v>
      </c>
      <c r="C225" s="35">
        <f>'GF + UG Iteration 5'!C225</f>
        <v>23</v>
      </c>
      <c r="D225" s="36">
        <f>'GF + UG Iteration 5'!P$16*(C225^'GF + UG Iteration 5'!P$15)</f>
        <v>15.369854835911106</v>
      </c>
      <c r="E225" s="37">
        <f>'GF + UG Iteration 5'!E225</f>
        <v>1968</v>
      </c>
      <c r="F225" s="35">
        <f>'GF + UG Iteration 5'!F225</f>
        <v>8.2600000000000016</v>
      </c>
      <c r="G225" s="36">
        <f>'GF + UG Iteration 5'!G225</f>
        <v>1.061095708813089</v>
      </c>
      <c r="H225" s="38">
        <f>'GF + UG Iteration 5'!H225</f>
        <v>2006</v>
      </c>
      <c r="I225" s="35">
        <f t="shared" si="20"/>
        <v>31.26</v>
      </c>
      <c r="J225" s="36">
        <f t="shared" si="21"/>
        <v>16.430950544724194</v>
      </c>
      <c r="K225" s="38">
        <f t="shared" si="22"/>
        <v>2006</v>
      </c>
      <c r="M225" s="21">
        <f t="shared" si="23"/>
        <v>3.4423393249933305</v>
      </c>
      <c r="N225" s="21">
        <f t="shared" si="24"/>
        <v>2.7991667845889663</v>
      </c>
    </row>
    <row r="226" spans="1:14" x14ac:dyDescent="0.2">
      <c r="A226" s="33">
        <f>'GF + UG Iteration 5'!A226</f>
        <v>1581</v>
      </c>
      <c r="B226" s="34" t="str">
        <f>'GF + UG Iteration 5'!B226</f>
        <v>UG</v>
      </c>
      <c r="C226" s="35">
        <f>'GF + UG Iteration 5'!C226</f>
        <v>7.44</v>
      </c>
      <c r="D226" s="36">
        <f>'GF + UG Iteration 5'!P$16*(C226^'GF + UG Iteration 5'!P$15)</f>
        <v>8.0731089222819428</v>
      </c>
      <c r="E226" s="37" t="str">
        <f>'GF + UG Iteration 5'!E226</f>
        <v>unknown</v>
      </c>
      <c r="F226" s="35">
        <f>'GF + UG Iteration 5'!F226</f>
        <v>9.36</v>
      </c>
      <c r="G226" s="36">
        <f>'GF + UG Iteration 5'!G226</f>
        <v>5.3848313505476417</v>
      </c>
      <c r="H226" s="38">
        <f>'GF + UG Iteration 5'!H226</f>
        <v>2015</v>
      </c>
      <c r="I226" s="35">
        <f t="shared" si="20"/>
        <v>16.8</v>
      </c>
      <c r="J226" s="36">
        <f t="shared" si="21"/>
        <v>13.457940272829585</v>
      </c>
      <c r="K226" s="38">
        <f t="shared" si="22"/>
        <v>2015</v>
      </c>
      <c r="M226" s="21">
        <f t="shared" si="23"/>
        <v>2.8213788864092133</v>
      </c>
      <c r="N226" s="21">
        <f t="shared" si="24"/>
        <v>2.5995692867141904</v>
      </c>
    </row>
    <row r="227" spans="1:14" x14ac:dyDescent="0.2">
      <c r="A227" s="33">
        <f>'GF + UG Iteration 5'!A227</f>
        <v>880</v>
      </c>
      <c r="B227" s="34" t="str">
        <f>'GF + UG Iteration 5'!B227</f>
        <v>UG</v>
      </c>
      <c r="C227" s="35">
        <f>'GF + UG Iteration 5'!C227</f>
        <v>8.9499999999999993</v>
      </c>
      <c r="D227" s="36">
        <f>'GF + UG Iteration 5'!P$16*(C227^'GF + UG Iteration 5'!P$15)</f>
        <v>8.9706264163652012</v>
      </c>
      <c r="E227" s="37">
        <f>'GF + UG Iteration 5'!E227</f>
        <v>1966</v>
      </c>
      <c r="F227" s="35">
        <f>'GF + UG Iteration 5'!F227</f>
        <v>2.0500000000000007</v>
      </c>
      <c r="G227" s="36">
        <f>'GF + UG Iteration 5'!G227</f>
        <v>4.5763928166345611</v>
      </c>
      <c r="H227" s="38">
        <f>'GF + UG Iteration 5'!H227</f>
        <v>2010</v>
      </c>
      <c r="I227" s="35">
        <f t="shared" si="20"/>
        <v>11</v>
      </c>
      <c r="J227" s="36">
        <f t="shared" si="21"/>
        <v>13.547019232999762</v>
      </c>
      <c r="K227" s="38">
        <f t="shared" si="22"/>
        <v>2010</v>
      </c>
      <c r="M227" s="21">
        <f t="shared" si="23"/>
        <v>2.3978952727983707</v>
      </c>
      <c r="N227" s="21">
        <f t="shared" si="24"/>
        <v>2.6061665403214982</v>
      </c>
    </row>
    <row r="228" spans="1:14" x14ac:dyDescent="0.2">
      <c r="A228" s="33">
        <f>'GF + UG Iteration 5'!A228</f>
        <v>1047</v>
      </c>
      <c r="B228" s="34" t="str">
        <f>'GF + UG Iteration 5'!B228</f>
        <v>UG</v>
      </c>
      <c r="C228" s="35">
        <f>'GF + UG Iteration 5'!C228</f>
        <v>10</v>
      </c>
      <c r="D228" s="36">
        <f>'GF + UG Iteration 5'!P$16*(C228^'GF + UG Iteration 5'!P$15)</f>
        <v>9.5566855194436737</v>
      </c>
      <c r="E228" s="37">
        <f>'GF + UG Iteration 5'!E228</f>
        <v>1965</v>
      </c>
      <c r="F228" s="35">
        <f>'GF + UG Iteration 5'!F228</f>
        <v>5</v>
      </c>
      <c r="G228" s="36">
        <f>'GF + UG Iteration 5'!G228</f>
        <v>6.2586429220605622</v>
      </c>
      <c r="H228" s="38">
        <f>'GF + UG Iteration 5'!H228</f>
        <v>2012</v>
      </c>
      <c r="I228" s="35">
        <f t="shared" si="20"/>
        <v>15</v>
      </c>
      <c r="J228" s="36">
        <f t="shared" si="21"/>
        <v>15.815328441504235</v>
      </c>
      <c r="K228" s="38">
        <f t="shared" si="22"/>
        <v>2012</v>
      </c>
      <c r="M228" s="21">
        <f t="shared" si="23"/>
        <v>2.7080502011022101</v>
      </c>
      <c r="N228" s="21">
        <f t="shared" si="24"/>
        <v>2.7609796242627525</v>
      </c>
    </row>
    <row r="229" spans="1:14" x14ac:dyDescent="0.2">
      <c r="A229" s="33">
        <f>'GF + UG Iteration 5'!A229</f>
        <v>1045</v>
      </c>
      <c r="B229" s="34" t="str">
        <f>'GF + UG Iteration 5'!B229</f>
        <v>UG</v>
      </c>
      <c r="C229" s="35">
        <f>'GF + UG Iteration 5'!C229</f>
        <v>24.065999999999999</v>
      </c>
      <c r="D229" s="36">
        <f>'GF + UG Iteration 5'!P$16*(C229^'GF + UG Iteration 5'!P$15)</f>
        <v>15.772291317051868</v>
      </c>
      <c r="E229" s="37">
        <f>'GF + UG Iteration 5'!E229</f>
        <v>1971</v>
      </c>
      <c r="F229" s="35">
        <f>'GF + UG Iteration 5'!F229</f>
        <v>7.9340000000000011</v>
      </c>
      <c r="G229" s="36">
        <f>'GF + UG Iteration 5'!G229</f>
        <v>3.8009199870921253</v>
      </c>
      <c r="H229" s="38">
        <f>'GF + UG Iteration 5'!H229</f>
        <v>2011</v>
      </c>
      <c r="I229" s="35">
        <f t="shared" si="20"/>
        <v>32</v>
      </c>
      <c r="J229" s="36">
        <f t="shared" si="21"/>
        <v>19.573211304143992</v>
      </c>
      <c r="K229" s="38">
        <f t="shared" si="22"/>
        <v>2011</v>
      </c>
      <c r="M229" s="21">
        <f t="shared" si="23"/>
        <v>3.4657359027997265</v>
      </c>
      <c r="N229" s="21">
        <f t="shared" si="24"/>
        <v>2.9741618611574077</v>
      </c>
    </row>
    <row r="230" spans="1:14" x14ac:dyDescent="0.2">
      <c r="A230" s="33">
        <f>'GF + UG Iteration 5'!A230</f>
        <v>1616</v>
      </c>
      <c r="B230" s="34" t="str">
        <f>'GF + UG Iteration 5'!B230</f>
        <v>UG</v>
      </c>
      <c r="C230" s="35">
        <f>'GF + UG Iteration 5'!C230</f>
        <v>21.68</v>
      </c>
      <c r="D230" s="36">
        <f>'GF + UG Iteration 5'!P$16*(C230^'GF + UG Iteration 5'!P$15)</f>
        <v>14.860248932915413</v>
      </c>
      <c r="E230" s="37" t="str">
        <f>'GF + UG Iteration 5'!E230</f>
        <v>unknown</v>
      </c>
      <c r="F230" s="35">
        <f>'GF + UG Iteration 5'!F230</f>
        <v>25.75</v>
      </c>
      <c r="G230" s="36">
        <f>'GF + UG Iteration 5'!G230</f>
        <v>0.84818580502502572</v>
      </c>
      <c r="H230" s="38">
        <f>'GF + UG Iteration 5'!H230</f>
        <v>2015</v>
      </c>
      <c r="I230" s="35">
        <f t="shared" si="20"/>
        <v>47.43</v>
      </c>
      <c r="J230" s="36">
        <f t="shared" si="21"/>
        <v>15.708434737940438</v>
      </c>
      <c r="K230" s="38">
        <f t="shared" si="22"/>
        <v>2015</v>
      </c>
      <c r="M230" s="21">
        <f t="shared" si="23"/>
        <v>3.8592549398894902</v>
      </c>
      <c r="N230" s="21">
        <f t="shared" si="24"/>
        <v>2.7541978125449331</v>
      </c>
    </row>
    <row r="231" spans="1:14" x14ac:dyDescent="0.2">
      <c r="A231" s="33">
        <f>'GF + UG Iteration 5'!A231</f>
        <v>362</v>
      </c>
      <c r="B231" s="34" t="str">
        <f>'GF + UG Iteration 5'!B231</f>
        <v>UG</v>
      </c>
      <c r="C231" s="35">
        <f>'GF + UG Iteration 5'!C231</f>
        <v>51.8</v>
      </c>
      <c r="D231" s="36">
        <f>'GF + UG Iteration 5'!P$16*(C231^'GF + UG Iteration 5'!P$15)</f>
        <v>24.424517086842069</v>
      </c>
      <c r="E231" s="37">
        <f>'GF + UG Iteration 5'!E231</f>
        <v>1971</v>
      </c>
      <c r="F231" s="35">
        <f>'GF + UG Iteration 5'!F231</f>
        <v>1</v>
      </c>
      <c r="G231" s="36">
        <f>'GF + UG Iteration 5'!G231</f>
        <v>0.78848028183233532</v>
      </c>
      <c r="H231" s="38">
        <f>'GF + UG Iteration 5'!H231</f>
        <v>2004</v>
      </c>
      <c r="I231" s="35">
        <f t="shared" si="20"/>
        <v>52.8</v>
      </c>
      <c r="J231" s="36">
        <f t="shared" si="21"/>
        <v>25.212997368674404</v>
      </c>
      <c r="K231" s="38">
        <f t="shared" si="22"/>
        <v>2004</v>
      </c>
      <c r="M231" s="21">
        <f t="shared" si="23"/>
        <v>3.9665111907122159</v>
      </c>
      <c r="N231" s="21">
        <f t="shared" si="24"/>
        <v>3.2273596301526615</v>
      </c>
    </row>
    <row r="232" spans="1:14" x14ac:dyDescent="0.2">
      <c r="A232" s="33">
        <f>'GF + UG Iteration 5'!A232</f>
        <v>924</v>
      </c>
      <c r="B232" s="34" t="str">
        <f>'GF + UG Iteration 5'!B232</f>
        <v>UG</v>
      </c>
      <c r="C232" s="35">
        <f>'GF + UG Iteration 5'!C232</f>
        <v>45.94</v>
      </c>
      <c r="D232" s="36">
        <f>'GF + UG Iteration 5'!P$16*(C232^'GF + UG Iteration 5'!P$15)</f>
        <v>22.80768929102419</v>
      </c>
      <c r="E232" s="37">
        <f>'GF + UG Iteration 5'!E232</f>
        <v>1982</v>
      </c>
      <c r="F232" s="35">
        <f>'GF + UG Iteration 5'!F232</f>
        <v>6.0600000000000023</v>
      </c>
      <c r="G232" s="36">
        <f>'GF + UG Iteration 5'!G232</f>
        <v>1.4264307906682692</v>
      </c>
      <c r="H232" s="38">
        <f>'GF + UG Iteration 5'!H232</f>
        <v>2010</v>
      </c>
      <c r="I232" s="35">
        <f t="shared" si="20"/>
        <v>52</v>
      </c>
      <c r="J232" s="36">
        <f t="shared" si="21"/>
        <v>24.23412008169246</v>
      </c>
      <c r="K232" s="38">
        <f t="shared" si="22"/>
        <v>2010</v>
      </c>
      <c r="M232" s="21">
        <f t="shared" si="23"/>
        <v>3.9512437185814275</v>
      </c>
      <c r="N232" s="21">
        <f t="shared" si="24"/>
        <v>3.1877615608887626</v>
      </c>
    </row>
    <row r="233" spans="1:14" x14ac:dyDescent="0.2">
      <c r="A233" s="33">
        <f>'GF + UG Iteration 5'!A233</f>
        <v>1241</v>
      </c>
      <c r="B233" s="34" t="str">
        <f>'GF + UG Iteration 5'!B233</f>
        <v>UG</v>
      </c>
      <c r="C233" s="35">
        <f>'GF + UG Iteration 5'!C233</f>
        <v>20.29</v>
      </c>
      <c r="D233" s="36">
        <f>'GF + UG Iteration 5'!P$16*(C233^'GF + UG Iteration 5'!P$15)</f>
        <v>14.308988470546126</v>
      </c>
      <c r="E233" s="37" t="str">
        <f>'GF + UG Iteration 5'!E233</f>
        <v>unknown</v>
      </c>
      <c r="F233" s="35">
        <f>'GF + UG Iteration 5'!F233</f>
        <v>6</v>
      </c>
      <c r="G233" s="36">
        <f>'GF + UG Iteration 5'!G233</f>
        <v>2.625007735639064</v>
      </c>
      <c r="H233" s="38">
        <f>'GF + UG Iteration 5'!H233</f>
        <v>2012</v>
      </c>
      <c r="I233" s="35">
        <f t="shared" si="20"/>
        <v>26.29</v>
      </c>
      <c r="J233" s="36">
        <f t="shared" si="21"/>
        <v>16.933996206185189</v>
      </c>
      <c r="K233" s="38">
        <f t="shared" si="22"/>
        <v>2012</v>
      </c>
      <c r="M233" s="21">
        <f t="shared" si="23"/>
        <v>3.2691886387417899</v>
      </c>
      <c r="N233" s="21">
        <f t="shared" si="24"/>
        <v>2.8293232111846991</v>
      </c>
    </row>
    <row r="234" spans="1:14" x14ac:dyDescent="0.2">
      <c r="A234" s="33">
        <f>'GF + UG Iteration 5'!A234</f>
        <v>438</v>
      </c>
      <c r="B234" s="34" t="str">
        <f>'GF + UG Iteration 5'!B234</f>
        <v>UG</v>
      </c>
      <c r="C234" s="35">
        <f>'GF + UG Iteration 5'!C234</f>
        <v>8.2460000000000004</v>
      </c>
      <c r="D234" s="36">
        <f>'GF + UG Iteration 5'!P$16*(C234^'GF + UG Iteration 5'!P$15)</f>
        <v>8.561007347299924</v>
      </c>
      <c r="E234" s="37">
        <f>'GF + UG Iteration 5'!E234</f>
        <v>1978</v>
      </c>
      <c r="F234" s="35">
        <f>'GF + UG Iteration 5'!F234</f>
        <v>1</v>
      </c>
      <c r="G234" s="36">
        <f>'GF + UG Iteration 5'!G234</f>
        <v>0.18095315250984781</v>
      </c>
      <c r="H234" s="38">
        <f>'GF + UG Iteration 5'!H234</f>
        <v>2004</v>
      </c>
      <c r="I234" s="35">
        <f t="shared" si="20"/>
        <v>9.2460000000000004</v>
      </c>
      <c r="J234" s="36">
        <f t="shared" si="21"/>
        <v>8.7419604998097711</v>
      </c>
      <c r="K234" s="38">
        <f t="shared" si="22"/>
        <v>2004</v>
      </c>
      <c r="M234" s="21">
        <f t="shared" si="23"/>
        <v>2.2241910255660335</v>
      </c>
      <c r="N234" s="21">
        <f t="shared" si="24"/>
        <v>2.1681344779923162</v>
      </c>
    </row>
    <row r="235" spans="1:14" x14ac:dyDescent="0.2">
      <c r="A235" s="33">
        <f>'GF + UG Iteration 5'!A235</f>
        <v>748</v>
      </c>
      <c r="B235" s="34" t="str">
        <f>'GF + UG Iteration 5'!B235</f>
        <v>UG</v>
      </c>
      <c r="C235" s="35">
        <f>'GF + UG Iteration 5'!C235</f>
        <v>25.541</v>
      </c>
      <c r="D235" s="36">
        <f>'GF + UG Iteration 5'!P$16*(C235^'GF + UG Iteration 5'!P$15)</f>
        <v>16.316719416838129</v>
      </c>
      <c r="E235" s="37">
        <f>'GF + UG Iteration 5'!E235</f>
        <v>1995</v>
      </c>
      <c r="F235" s="35">
        <f>'GF + UG Iteration 5'!F235</f>
        <v>1</v>
      </c>
      <c r="G235" s="36">
        <f>'GF + UG Iteration 5'!G235</f>
        <v>0.38858476644316492</v>
      </c>
      <c r="H235" s="38">
        <f>'GF + UG Iteration 5'!H235</f>
        <v>2008</v>
      </c>
      <c r="I235" s="35">
        <f t="shared" si="20"/>
        <v>26.541</v>
      </c>
      <c r="J235" s="36">
        <f t="shared" si="21"/>
        <v>16.705304183281296</v>
      </c>
      <c r="K235" s="38">
        <f t="shared" si="22"/>
        <v>2008</v>
      </c>
      <c r="M235" s="21">
        <f t="shared" si="23"/>
        <v>3.2786907071693587</v>
      </c>
      <c r="N235" s="21">
        <f t="shared" si="24"/>
        <v>2.8157262847588469</v>
      </c>
    </row>
    <row r="236" spans="1:14" x14ac:dyDescent="0.2">
      <c r="A236" s="33">
        <f>'GF + UG Iteration 5'!A236</f>
        <v>1319</v>
      </c>
      <c r="B236" s="34" t="str">
        <f>'GF + UG Iteration 5'!B236</f>
        <v>UG</v>
      </c>
      <c r="C236" s="35">
        <f>'GF + UG Iteration 5'!C236</f>
        <v>15.71</v>
      </c>
      <c r="D236" s="36">
        <f>'GF + UG Iteration 5'!P$16*(C236^'GF + UG Iteration 5'!P$15)</f>
        <v>12.365851895802241</v>
      </c>
      <c r="E236" s="37">
        <f>'GF + UG Iteration 5'!E236</f>
        <v>0</v>
      </c>
      <c r="F236" s="35">
        <f>'GF + UG Iteration 5'!F236</f>
        <v>4.2899999999999991</v>
      </c>
      <c r="G236" s="36">
        <f>'GF + UG Iteration 5'!G236</f>
        <v>3.2376779482440865</v>
      </c>
      <c r="H236" s="38">
        <f>'GF + UG Iteration 5'!H236</f>
        <v>2014</v>
      </c>
      <c r="I236" s="35">
        <f t="shared" si="20"/>
        <v>20</v>
      </c>
      <c r="J236" s="36">
        <f t="shared" si="21"/>
        <v>15.603529844046328</v>
      </c>
      <c r="K236" s="38">
        <f t="shared" si="22"/>
        <v>2014</v>
      </c>
      <c r="M236" s="21">
        <f t="shared" si="23"/>
        <v>2.9957322735539909</v>
      </c>
      <c r="N236" s="21">
        <f t="shared" si="24"/>
        <v>2.747497160714083</v>
      </c>
    </row>
    <row r="237" spans="1:14" x14ac:dyDescent="0.2">
      <c r="A237" s="33">
        <f>'GF + UG Iteration 5'!A237</f>
        <v>892</v>
      </c>
      <c r="B237" s="34" t="str">
        <f>'GF + UG Iteration 5'!B237</f>
        <v>UG</v>
      </c>
      <c r="C237" s="35">
        <f>'GF + UG Iteration 5'!C237</f>
        <v>13.05</v>
      </c>
      <c r="D237" s="36">
        <f>'GF + UG Iteration 5'!P$16*(C237^'GF + UG Iteration 5'!P$15)</f>
        <v>11.124027403706489</v>
      </c>
      <c r="E237" s="37">
        <f>'GF + UG Iteration 5'!E237</f>
        <v>1972</v>
      </c>
      <c r="F237" s="35">
        <f>'GF + UG Iteration 5'!F237</f>
        <v>0</v>
      </c>
      <c r="G237" s="36">
        <f>'GF + UG Iteration 5'!G237</f>
        <v>3.2490818561124843</v>
      </c>
      <c r="H237" s="38">
        <f>'GF + UG Iteration 5'!H237</f>
        <v>2011</v>
      </c>
      <c r="I237" s="35">
        <f t="shared" si="20"/>
        <v>13.05</v>
      </c>
      <c r="J237" s="36">
        <f t="shared" si="21"/>
        <v>14.373109259818973</v>
      </c>
      <c r="K237" s="38">
        <f t="shared" si="22"/>
        <v>2011</v>
      </c>
      <c r="M237" s="21">
        <f t="shared" si="23"/>
        <v>2.5687881337687024</v>
      </c>
      <c r="N237" s="21">
        <f t="shared" si="24"/>
        <v>2.665359048280894</v>
      </c>
    </row>
    <row r="238" spans="1:14" x14ac:dyDescent="0.2">
      <c r="A238" s="33">
        <f>'GF + UG Iteration 5'!A238</f>
        <v>504</v>
      </c>
      <c r="B238" s="34" t="str">
        <f>'GF + UG Iteration 5'!B238</f>
        <v>UG</v>
      </c>
      <c r="C238" s="35">
        <f>'GF + UG Iteration 5'!C238</f>
        <v>10.496</v>
      </c>
      <c r="D238" s="36">
        <f>'GF + UG Iteration 5'!P$16*(C238^'GF + UG Iteration 5'!P$15)</f>
        <v>9.8242905023036329</v>
      </c>
      <c r="E238" s="37">
        <f>'GF + UG Iteration 5'!E238</f>
        <v>2007</v>
      </c>
      <c r="F238" s="35">
        <f>'GF + UG Iteration 5'!F238</f>
        <v>0</v>
      </c>
      <c r="G238" s="36">
        <f>'GF + UG Iteration 5'!G238</f>
        <v>2.1923137026225539</v>
      </c>
      <c r="H238" s="38">
        <f>'GF + UG Iteration 5'!H238</f>
        <v>2006</v>
      </c>
      <c r="I238" s="35">
        <f t="shared" si="20"/>
        <v>10.496</v>
      </c>
      <c r="J238" s="36">
        <f t="shared" si="21"/>
        <v>12.016604204926187</v>
      </c>
      <c r="K238" s="38">
        <f t="shared" si="22"/>
        <v>2007</v>
      </c>
      <c r="M238" s="21">
        <f t="shared" si="23"/>
        <v>2.3509942322017334</v>
      </c>
      <c r="N238" s="21">
        <f t="shared" si="24"/>
        <v>2.4862893771236405</v>
      </c>
    </row>
    <row r="239" spans="1:14" x14ac:dyDescent="0.2">
      <c r="A239" s="33">
        <f>'GF + UG Iteration 5'!A239</f>
        <v>618</v>
      </c>
      <c r="B239" s="34" t="str">
        <f>'GF + UG Iteration 5'!B239</f>
        <v>UG</v>
      </c>
      <c r="C239" s="35">
        <f>'GF + UG Iteration 5'!C239</f>
        <v>11</v>
      </c>
      <c r="D239" s="36">
        <f>'GF + UG Iteration 5'!P$16*(C239^'GF + UG Iteration 5'!P$15)</f>
        <v>10.090703582973651</v>
      </c>
      <c r="E239" s="37">
        <f>'GF + UG Iteration 5'!E239</f>
        <v>1995</v>
      </c>
      <c r="F239" s="35">
        <f>'GF + UG Iteration 5'!F239</f>
        <v>11.5</v>
      </c>
      <c r="G239" s="36">
        <f>'GF + UG Iteration 5'!G239</f>
        <v>2.3464649770982668</v>
      </c>
      <c r="H239" s="38">
        <f>'GF + UG Iteration 5'!H239</f>
        <v>2006</v>
      </c>
      <c r="I239" s="35">
        <f t="shared" si="20"/>
        <v>22.5</v>
      </c>
      <c r="J239" s="36">
        <f t="shared" si="21"/>
        <v>12.437168560071918</v>
      </c>
      <c r="K239" s="38">
        <f t="shared" si="22"/>
        <v>2006</v>
      </c>
      <c r="M239" s="21">
        <f t="shared" si="23"/>
        <v>3.1135153092103742</v>
      </c>
      <c r="N239" s="21">
        <f t="shared" si="24"/>
        <v>2.5206894536932065</v>
      </c>
    </row>
    <row r="240" spans="1:14" x14ac:dyDescent="0.2">
      <c r="A240" s="33">
        <f>'GF + UG Iteration 5'!A240</f>
        <v>712</v>
      </c>
      <c r="B240" s="34" t="str">
        <f>'GF + UG Iteration 5'!B240</f>
        <v>UG</v>
      </c>
      <c r="C240" s="35">
        <f>'GF + UG Iteration 5'!C240</f>
        <v>7.5</v>
      </c>
      <c r="D240" s="36">
        <f>'GF + UG Iteration 5'!P$16*(C240^'GF + UG Iteration 5'!P$15)</f>
        <v>8.1101870668937561</v>
      </c>
      <c r="E240" s="37">
        <f>'GF + UG Iteration 5'!E240</f>
        <v>1980</v>
      </c>
      <c r="F240" s="35">
        <f>'GF + UG Iteration 5'!F240</f>
        <v>1</v>
      </c>
      <c r="G240" s="36">
        <f>'GF + UG Iteration 5'!G240</f>
        <v>7.8904141673966368</v>
      </c>
      <c r="H240" s="38">
        <f>'GF + UG Iteration 5'!H240</f>
        <v>2011</v>
      </c>
      <c r="I240" s="35">
        <f t="shared" si="20"/>
        <v>8.5</v>
      </c>
      <c r="J240" s="36">
        <f t="shared" si="21"/>
        <v>16.000601234290393</v>
      </c>
      <c r="K240" s="38">
        <f t="shared" si="22"/>
        <v>2011</v>
      </c>
      <c r="M240" s="21">
        <f t="shared" si="23"/>
        <v>2.1400661634962708</v>
      </c>
      <c r="N240" s="21">
        <f t="shared" si="24"/>
        <v>2.7726262986769274</v>
      </c>
    </row>
    <row r="241" spans="1:14" x14ac:dyDescent="0.2">
      <c r="A241" s="33">
        <f>'GF + UG Iteration 5'!A241</f>
        <v>726</v>
      </c>
      <c r="B241" s="34" t="str">
        <f>'GF + UG Iteration 5'!B241</f>
        <v>UG</v>
      </c>
      <c r="C241" s="35">
        <f>'GF + UG Iteration 5'!C241</f>
        <v>25.635400000000001</v>
      </c>
      <c r="D241" s="36">
        <f>'GF + UG Iteration 5'!P$16*(C241^'GF + UG Iteration 5'!P$15)</f>
        <v>16.351096694768898</v>
      </c>
      <c r="E241" s="37">
        <f>'GF + UG Iteration 5'!E241</f>
        <v>1982</v>
      </c>
      <c r="F241" s="35">
        <f>'GF + UG Iteration 5'!F241</f>
        <v>5.3645999999999994</v>
      </c>
      <c r="G241" s="36">
        <f>'GF + UG Iteration 5'!G241</f>
        <v>1.031633192087684</v>
      </c>
      <c r="H241" s="38">
        <f>'GF + UG Iteration 5'!H241</f>
        <v>2008</v>
      </c>
      <c r="I241" s="35">
        <f t="shared" si="20"/>
        <v>31</v>
      </c>
      <c r="J241" s="36">
        <f t="shared" si="21"/>
        <v>17.382729886856584</v>
      </c>
      <c r="K241" s="38">
        <f t="shared" si="22"/>
        <v>2008</v>
      </c>
      <c r="M241" s="21">
        <f t="shared" si="23"/>
        <v>3.4339872044851463</v>
      </c>
      <c r="N241" s="21">
        <f t="shared" si="24"/>
        <v>2.8554771780930897</v>
      </c>
    </row>
    <row r="242" spans="1:14" x14ac:dyDescent="0.2">
      <c r="A242" s="33">
        <f>'GF + UG Iteration 5'!A242</f>
        <v>530</v>
      </c>
      <c r="B242" s="34" t="str">
        <f>'GF + UG Iteration 5'!B242</f>
        <v>UG</v>
      </c>
      <c r="C242" s="35">
        <f>'GF + UG Iteration 5'!C242</f>
        <v>25</v>
      </c>
      <c r="D242" s="36">
        <f>'GF + UG Iteration 5'!P$16*(C242^'GF + UG Iteration 5'!P$15)</f>
        <v>16.118643273755229</v>
      </c>
      <c r="E242" s="37">
        <f>'GF + UG Iteration 5'!E242</f>
        <v>1982</v>
      </c>
      <c r="F242" s="35">
        <f>'GF + UG Iteration 5'!F242</f>
        <v>20</v>
      </c>
      <c r="G242" s="36">
        <f>'GF + UG Iteration 5'!G242</f>
        <v>4.5022608459814819</v>
      </c>
      <c r="H242" s="38">
        <f>'GF + UG Iteration 5'!H242</f>
        <v>2006</v>
      </c>
      <c r="I242" s="35">
        <f t="shared" si="20"/>
        <v>45</v>
      </c>
      <c r="J242" s="36">
        <f t="shared" si="21"/>
        <v>20.620904119736711</v>
      </c>
      <c r="K242" s="38">
        <f t="shared" si="22"/>
        <v>2006</v>
      </c>
      <c r="M242" s="21">
        <f t="shared" si="23"/>
        <v>3.8066624897703196</v>
      </c>
      <c r="N242" s="21">
        <f t="shared" si="24"/>
        <v>3.0263053243655325</v>
      </c>
    </row>
    <row r="243" spans="1:14" x14ac:dyDescent="0.2">
      <c r="A243" s="33">
        <f>'GF + UG Iteration 5'!A243</f>
        <v>755</v>
      </c>
      <c r="B243" s="34" t="str">
        <f>'GF + UG Iteration 5'!B243</f>
        <v>UG</v>
      </c>
      <c r="C243" s="35">
        <f>'GF + UG Iteration 5'!C243</f>
        <v>8.6980000000000004</v>
      </c>
      <c r="D243" s="36">
        <f>'GF + UG Iteration 5'!P$16*(C243^'GF + UG Iteration 5'!P$15)</f>
        <v>8.8256481693253299</v>
      </c>
      <c r="E243" s="37">
        <f>'GF + UG Iteration 5'!E243</f>
        <v>1983</v>
      </c>
      <c r="F243" s="35">
        <f>'GF + UG Iteration 5'!F243</f>
        <v>3.3019999999999996</v>
      </c>
      <c r="G243" s="36">
        <f>'GF + UG Iteration 5'!G243</f>
        <v>0.74649134624932623</v>
      </c>
      <c r="H243" s="38">
        <f>'GF + UG Iteration 5'!H243</f>
        <v>2008</v>
      </c>
      <c r="I243" s="35">
        <f t="shared" si="20"/>
        <v>12</v>
      </c>
      <c r="J243" s="36">
        <f t="shared" si="21"/>
        <v>9.5721395155746567</v>
      </c>
      <c r="K243" s="38">
        <f t="shared" si="22"/>
        <v>2008</v>
      </c>
      <c r="M243" s="21">
        <f t="shared" si="23"/>
        <v>2.4849066497880004</v>
      </c>
      <c r="N243" s="21">
        <f t="shared" si="24"/>
        <v>2.2588567453238033</v>
      </c>
    </row>
    <row r="244" spans="1:14" x14ac:dyDescent="0.2">
      <c r="A244" s="33">
        <f>'GF + UG Iteration 5'!A244</f>
        <v>1081</v>
      </c>
      <c r="B244" s="34" t="str">
        <f>'GF + UG Iteration 5'!B244</f>
        <v>UG</v>
      </c>
      <c r="C244" s="35">
        <f>'GF + UG Iteration 5'!C244</f>
        <v>12</v>
      </c>
      <c r="D244" s="36">
        <f>'GF + UG Iteration 5'!P$16*(C244^'GF + UG Iteration 5'!P$15)</f>
        <v>10.604238388038711</v>
      </c>
      <c r="E244" s="37">
        <f>'GF + UG Iteration 5'!E244</f>
        <v>1983</v>
      </c>
      <c r="F244" s="35">
        <f>'GF + UG Iteration 5'!F244</f>
        <v>4</v>
      </c>
      <c r="G244" s="36">
        <f>'GF + UG Iteration 5'!G244</f>
        <v>0.74615854172219498</v>
      </c>
      <c r="H244" s="38">
        <f>'GF + UG Iteration 5'!H244</f>
        <v>2010</v>
      </c>
      <c r="I244" s="35">
        <f t="shared" si="20"/>
        <v>16</v>
      </c>
      <c r="J244" s="36">
        <f t="shared" si="21"/>
        <v>11.350396929760906</v>
      </c>
      <c r="K244" s="38">
        <f t="shared" si="22"/>
        <v>2010</v>
      </c>
      <c r="M244" s="21">
        <f t="shared" si="23"/>
        <v>2.7725887222397811</v>
      </c>
      <c r="N244" s="21">
        <f t="shared" si="24"/>
        <v>2.4292527151010148</v>
      </c>
    </row>
    <row r="245" spans="1:14" x14ac:dyDescent="0.2">
      <c r="A245" s="33">
        <f>'GF + UG Iteration 5'!A245</f>
        <v>307</v>
      </c>
      <c r="B245" s="34" t="str">
        <f>'GF + UG Iteration 5'!B245</f>
        <v>UG</v>
      </c>
      <c r="C245" s="35">
        <f>'GF + UG Iteration 5'!C245</f>
        <v>9.07</v>
      </c>
      <c r="D245" s="36">
        <f>'GF + UG Iteration 5'!P$16*(C245^'GF + UG Iteration 5'!P$15)</f>
        <v>9.0390467851726566</v>
      </c>
      <c r="E245" s="37">
        <f>'GF + UG Iteration 5'!E245</f>
        <v>1985</v>
      </c>
      <c r="F245" s="35">
        <f>'GF + UG Iteration 5'!F245</f>
        <v>1.0019999999999989</v>
      </c>
      <c r="G245" s="36">
        <f>'GF + UG Iteration 5'!G245</f>
        <v>2.5230801807757093</v>
      </c>
      <c r="H245" s="38">
        <f>'GF + UG Iteration 5'!H245</f>
        <v>2003</v>
      </c>
      <c r="I245" s="35">
        <f t="shared" si="20"/>
        <v>10.071999999999999</v>
      </c>
      <c r="J245" s="36">
        <f t="shared" si="21"/>
        <v>11.562126965948366</v>
      </c>
      <c r="K245" s="38">
        <f t="shared" si="22"/>
        <v>2003</v>
      </c>
      <c r="M245" s="21">
        <f t="shared" si="23"/>
        <v>2.3097592967420462</v>
      </c>
      <c r="N245" s="21">
        <f t="shared" si="24"/>
        <v>2.4477348399136352</v>
      </c>
    </row>
    <row r="246" spans="1:14" x14ac:dyDescent="0.2">
      <c r="A246" s="33">
        <f>'GF + UG Iteration 5'!A246</f>
        <v>1466</v>
      </c>
      <c r="B246" s="34" t="str">
        <f>'GF + UG Iteration 5'!B246</f>
        <v>UG</v>
      </c>
      <c r="C246" s="35">
        <f>'GF + UG Iteration 5'!C246</f>
        <v>10.07</v>
      </c>
      <c r="D246" s="36">
        <f>'GF + UG Iteration 5'!P$16*(C246^'GF + UG Iteration 5'!P$15)</f>
        <v>9.5947923595131233</v>
      </c>
      <c r="E246" s="37">
        <f>'GF + UG Iteration 5'!E246</f>
        <v>1985</v>
      </c>
      <c r="F246" s="35">
        <f>'GF + UG Iteration 5'!F246</f>
        <v>4.93</v>
      </c>
      <c r="G246" s="36">
        <f>'GF + UG Iteration 5'!G246</f>
        <v>4.634839878669343</v>
      </c>
      <c r="H246" s="38">
        <f>'GF + UG Iteration 5'!H246</f>
        <v>2015</v>
      </c>
      <c r="I246" s="35">
        <f t="shared" si="20"/>
        <v>15</v>
      </c>
      <c r="J246" s="36">
        <f t="shared" si="21"/>
        <v>14.229632238182466</v>
      </c>
      <c r="K246" s="38">
        <f t="shared" si="22"/>
        <v>2015</v>
      </c>
      <c r="M246" s="21">
        <f t="shared" si="23"/>
        <v>2.7080502011022101</v>
      </c>
      <c r="N246" s="21">
        <f t="shared" si="24"/>
        <v>2.6553265676485034</v>
      </c>
    </row>
    <row r="247" spans="1:14" x14ac:dyDescent="0.2">
      <c r="A247" s="33">
        <f>'GF + UG Iteration 5'!A247</f>
        <v>1091</v>
      </c>
      <c r="B247" s="34" t="str">
        <f>'GF + UG Iteration 5'!B247</f>
        <v>UG</v>
      </c>
      <c r="C247" s="35">
        <f>'GF + UG Iteration 5'!C247</f>
        <v>16.059999999999999</v>
      </c>
      <c r="D247" s="36">
        <f>'GF + UG Iteration 5'!P$16*(C247^'GF + UG Iteration 5'!P$15)</f>
        <v>12.522276008528349</v>
      </c>
      <c r="E247" s="37">
        <f>'GF + UG Iteration 5'!E247</f>
        <v>1982</v>
      </c>
      <c r="F247" s="35">
        <f>'GF + UG Iteration 5'!F247</f>
        <v>24.34</v>
      </c>
      <c r="G247" s="36">
        <f>'GF + UG Iteration 5'!G247</f>
        <v>7.6638380518522098</v>
      </c>
      <c r="H247" s="38">
        <f>'GF + UG Iteration 5'!H247</f>
        <v>2011</v>
      </c>
      <c r="I247" s="35">
        <f t="shared" ref="I247:I292" si="30">C247+F247</f>
        <v>40.4</v>
      </c>
      <c r="J247" s="36">
        <f t="shared" ref="J247:J292" si="31">D247+G247</f>
        <v>20.186114060380561</v>
      </c>
      <c r="K247" s="38">
        <f t="shared" ref="K247:K292" si="32">MAX(E247,H247)</f>
        <v>2011</v>
      </c>
      <c r="M247" s="21">
        <f t="shared" si="23"/>
        <v>3.6988297849671046</v>
      </c>
      <c r="N247" s="21">
        <f t="shared" si="24"/>
        <v>3.0049949452703641</v>
      </c>
    </row>
    <row r="248" spans="1:14" x14ac:dyDescent="0.2">
      <c r="A248" s="33">
        <f>'GF + UG Iteration 5'!A248</f>
        <v>666</v>
      </c>
      <c r="B248" s="34" t="str">
        <f>'GF + UG Iteration 5'!B248</f>
        <v>UG</v>
      </c>
      <c r="C248" s="35">
        <f>'GF + UG Iteration 5'!C248</f>
        <v>25.92</v>
      </c>
      <c r="D248" s="36">
        <f>'GF + UG Iteration 5'!P$16*(C248^'GF + UG Iteration 5'!P$15)</f>
        <v>16.454410714397333</v>
      </c>
      <c r="E248" s="37">
        <f>'GF + UG Iteration 5'!E248</f>
        <v>1987</v>
      </c>
      <c r="F248" s="35">
        <f>'GF + UG Iteration 5'!F248</f>
        <v>14.079999999999998</v>
      </c>
      <c r="G248" s="36">
        <f>'GF + UG Iteration 5'!G248</f>
        <v>3.6887760601263184</v>
      </c>
      <c r="H248" s="38">
        <f>'GF + UG Iteration 5'!H248</f>
        <v>2008</v>
      </c>
      <c r="I248" s="35">
        <f t="shared" si="30"/>
        <v>40</v>
      </c>
      <c r="J248" s="36">
        <f t="shared" si="31"/>
        <v>20.143186774523652</v>
      </c>
      <c r="K248" s="38">
        <f t="shared" si="32"/>
        <v>2008</v>
      </c>
      <c r="M248" s="21">
        <f t="shared" ref="M248:M292" si="33">LN(I248)</f>
        <v>3.6888794541139363</v>
      </c>
      <c r="N248" s="21">
        <f t="shared" ref="N248:N292" si="34">LN(J248)</f>
        <v>3.0028661058816186</v>
      </c>
    </row>
    <row r="249" spans="1:14" x14ac:dyDescent="0.2">
      <c r="A249" s="33">
        <f>'GF + UG Iteration 5'!A249</f>
        <v>556</v>
      </c>
      <c r="B249" s="34" t="str">
        <f>'GF + UG Iteration 5'!B249</f>
        <v>UG</v>
      </c>
      <c r="C249" s="35">
        <f>'GF + UG Iteration 5'!C249</f>
        <v>8.6560000000000006</v>
      </c>
      <c r="D249" s="36">
        <f>'GF + UG Iteration 5'!P$16*(C249^'GF + UG Iteration 5'!P$15)</f>
        <v>8.801310642250904</v>
      </c>
      <c r="E249" s="37">
        <f>'GF + UG Iteration 5'!E249</f>
        <v>1985</v>
      </c>
      <c r="F249" s="35">
        <f>'GF + UG Iteration 5'!F249</f>
        <v>4.3439999999999994</v>
      </c>
      <c r="G249" s="36">
        <f>'GF + UG Iteration 5'!G249</f>
        <v>3.2483692675760008</v>
      </c>
      <c r="H249" s="38">
        <f>'GF + UG Iteration 5'!H249</f>
        <v>2007</v>
      </c>
      <c r="I249" s="35">
        <f t="shared" si="30"/>
        <v>13</v>
      </c>
      <c r="J249" s="36">
        <f t="shared" si="31"/>
        <v>12.049679909826905</v>
      </c>
      <c r="K249" s="38">
        <f t="shared" si="32"/>
        <v>2007</v>
      </c>
      <c r="M249" s="21">
        <f t="shared" si="33"/>
        <v>2.5649493574615367</v>
      </c>
      <c r="N249" s="21">
        <f t="shared" si="34"/>
        <v>2.4890380960840059</v>
      </c>
    </row>
    <row r="250" spans="1:14" x14ac:dyDescent="0.2">
      <c r="A250" s="33">
        <f>'GF + UG Iteration 5'!A250</f>
        <v>452</v>
      </c>
      <c r="B250" s="34" t="str">
        <f>'GF + UG Iteration 5'!B250</f>
        <v>UG</v>
      </c>
      <c r="C250" s="35">
        <f>'GF + UG Iteration 5'!C250</f>
        <v>10.781000000000001</v>
      </c>
      <c r="D250" s="36">
        <f>'GF + UG Iteration 5'!P$16*(C250^'GF + UG Iteration 5'!P$15)</f>
        <v>9.9755990785658124</v>
      </c>
      <c r="E250" s="37">
        <f>'GF + UG Iteration 5'!E250</f>
        <v>1986</v>
      </c>
      <c r="F250" s="35">
        <f>'GF + UG Iteration 5'!F250</f>
        <v>3.6189999999999998</v>
      </c>
      <c r="G250" s="36">
        <f>'GF + UG Iteration 5'!G250</f>
        <v>3.4437072461958511</v>
      </c>
      <c r="H250" s="38">
        <f>'GF + UG Iteration 5'!H250</f>
        <v>2005</v>
      </c>
      <c r="I250" s="35">
        <f t="shared" si="30"/>
        <v>14.4</v>
      </c>
      <c r="J250" s="36">
        <f t="shared" si="31"/>
        <v>13.419306324761664</v>
      </c>
      <c r="K250" s="38">
        <f t="shared" si="32"/>
        <v>2005</v>
      </c>
      <c r="M250" s="21">
        <f t="shared" si="33"/>
        <v>2.6672282065819548</v>
      </c>
      <c r="N250" s="21">
        <f t="shared" si="34"/>
        <v>2.5966944405474943</v>
      </c>
    </row>
    <row r="251" spans="1:14" x14ac:dyDescent="0.2">
      <c r="A251" s="33">
        <f>'GF + UG Iteration 5'!A251</f>
        <v>613</v>
      </c>
      <c r="B251" s="34" t="str">
        <f>'GF + UG Iteration 5'!B251</f>
        <v>UG</v>
      </c>
      <c r="C251" s="35">
        <f>'GF + UG Iteration 5'!C251</f>
        <v>6.2</v>
      </c>
      <c r="D251" s="36">
        <f>'GF + UG Iteration 5'!P$16*(C251^'GF + UG Iteration 5'!P$15)</f>
        <v>7.2755968237651913</v>
      </c>
      <c r="E251" s="37">
        <f>'GF + UG Iteration 5'!E251</f>
        <v>1999</v>
      </c>
      <c r="F251" s="35">
        <f>'GF + UG Iteration 5'!F251</f>
        <v>2.2000000000000002</v>
      </c>
      <c r="G251" s="36">
        <f>'GF + UG Iteration 5'!G251</f>
        <v>0.43131820582676678</v>
      </c>
      <c r="H251" s="38">
        <f>'GF + UG Iteration 5'!H251</f>
        <v>2006</v>
      </c>
      <c r="I251" s="35">
        <f t="shared" si="30"/>
        <v>8.4</v>
      </c>
      <c r="J251" s="36">
        <f t="shared" si="31"/>
        <v>7.7069150295919577</v>
      </c>
      <c r="K251" s="38">
        <f t="shared" si="32"/>
        <v>2006</v>
      </c>
      <c r="M251" s="21">
        <f t="shared" si="33"/>
        <v>2.1282317058492679</v>
      </c>
      <c r="N251" s="21">
        <f t="shared" si="34"/>
        <v>2.0421179816399655</v>
      </c>
    </row>
    <row r="252" spans="1:14" x14ac:dyDescent="0.2">
      <c r="A252" s="33">
        <f>'GF + UG Iteration 5'!A252</f>
        <v>778</v>
      </c>
      <c r="B252" s="34" t="str">
        <f>'GF + UG Iteration 5'!B252</f>
        <v>UG</v>
      </c>
      <c r="C252" s="35">
        <f>'GF + UG Iteration 5'!C252</f>
        <v>0.1</v>
      </c>
      <c r="D252" s="36">
        <f>'GF + UG Iteration 5'!P$16*(C252^'GF + UG Iteration 5'!P$15)</f>
        <v>0.69075703694254997</v>
      </c>
      <c r="E252" s="37">
        <f>'GF + UG Iteration 5'!E252</f>
        <v>1988</v>
      </c>
      <c r="F252" s="35">
        <f>'GF + UG Iteration 5'!F252</f>
        <v>1.9</v>
      </c>
      <c r="G252" s="36">
        <f>'GF + UG Iteration 5'!G252</f>
        <v>0.48701021540648831</v>
      </c>
      <c r="H252" s="38">
        <f>'GF + UG Iteration 5'!H252</f>
        <v>2008</v>
      </c>
      <c r="I252" s="35">
        <f t="shared" si="30"/>
        <v>2</v>
      </c>
      <c r="J252" s="36">
        <f t="shared" si="31"/>
        <v>1.1777672523490383</v>
      </c>
      <c r="K252" s="38">
        <f t="shared" si="32"/>
        <v>2008</v>
      </c>
      <c r="M252" s="21">
        <f t="shared" si="33"/>
        <v>0.69314718055994529</v>
      </c>
      <c r="N252" s="21">
        <f t="shared" si="34"/>
        <v>0.1636204870570909</v>
      </c>
    </row>
    <row r="253" spans="1:14" x14ac:dyDescent="0.2">
      <c r="A253" s="33">
        <f>'GF + UG Iteration 5'!A253</f>
        <v>1571</v>
      </c>
      <c r="B253" s="34" t="str">
        <f>'GF + UG Iteration 5'!B253</f>
        <v>UG</v>
      </c>
      <c r="C253" s="35">
        <f>'GF + UG Iteration 5'!C253</f>
        <v>2</v>
      </c>
      <c r="D253" s="36">
        <f>'GF + UG Iteration 5'!P$16*(C253^'GF + UG Iteration 5'!P$15)</f>
        <v>3.8154977891312041</v>
      </c>
      <c r="E253" s="37">
        <f>'GF + UG Iteration 5'!E253</f>
        <v>1988</v>
      </c>
      <c r="F253" s="35">
        <f>'GF + UG Iteration 5'!F253</f>
        <v>11</v>
      </c>
      <c r="G253" s="36">
        <f>'GF + UG Iteration 5'!G253</f>
        <v>1.5920457896917759</v>
      </c>
      <c r="H253" s="38">
        <f>'GF + UG Iteration 5'!H253</f>
        <v>2016</v>
      </c>
      <c r="I253" s="35">
        <f t="shared" si="30"/>
        <v>13</v>
      </c>
      <c r="J253" s="36">
        <f t="shared" si="31"/>
        <v>5.4075435788229802</v>
      </c>
      <c r="K253" s="38">
        <f t="shared" si="32"/>
        <v>2016</v>
      </c>
      <c r="M253" s="21">
        <f t="shared" si="33"/>
        <v>2.5649493574615367</v>
      </c>
      <c r="N253" s="21">
        <f t="shared" si="34"/>
        <v>1.6877949377720081</v>
      </c>
    </row>
    <row r="254" spans="1:14" x14ac:dyDescent="0.2">
      <c r="A254" s="33">
        <f>'GF + UG Iteration 5'!A254</f>
        <v>525</v>
      </c>
      <c r="B254" s="34" t="str">
        <f>'GF + UG Iteration 5'!B254</f>
        <v>UG</v>
      </c>
      <c r="C254" s="35">
        <f>'GF + UG Iteration 5'!C254</f>
        <v>11.55</v>
      </c>
      <c r="D254" s="36">
        <f>'GF + UG Iteration 5'!P$16*(C254^'GF + UG Iteration 5'!P$15)</f>
        <v>10.375517160227274</v>
      </c>
      <c r="E254" s="37">
        <f>'GF + UG Iteration 5'!E254</f>
        <v>1995</v>
      </c>
      <c r="F254" s="35">
        <f>'GF + UG Iteration 5'!F254</f>
        <v>14</v>
      </c>
      <c r="G254" s="36">
        <f>'GF + UG Iteration 5'!G254</f>
        <v>2.107818995325883</v>
      </c>
      <c r="H254" s="38">
        <f>'GF + UG Iteration 5'!H254</f>
        <v>2006</v>
      </c>
      <c r="I254" s="35">
        <f t="shared" si="30"/>
        <v>25.55</v>
      </c>
      <c r="J254" s="36">
        <f t="shared" si="31"/>
        <v>12.483336155553157</v>
      </c>
      <c r="K254" s="38">
        <f t="shared" si="32"/>
        <v>2006</v>
      </c>
      <c r="M254" s="21">
        <f t="shared" si="33"/>
        <v>3.2406373166497136</v>
      </c>
      <c r="N254" s="21">
        <f t="shared" si="34"/>
        <v>2.5243946473741179</v>
      </c>
    </row>
    <row r="255" spans="1:14" x14ac:dyDescent="0.2">
      <c r="A255" s="33">
        <f>'GF + UG Iteration 5'!A255</f>
        <v>1324</v>
      </c>
      <c r="B255" s="34" t="str">
        <f>'GF + UG Iteration 5'!B255</f>
        <v>UG</v>
      </c>
      <c r="C255" s="35">
        <f>'GF + UG Iteration 5'!C255</f>
        <v>15.8</v>
      </c>
      <c r="D255" s="36">
        <f>'GF + UG Iteration 5'!P$16*(C255^'GF + UG Iteration 5'!P$15)</f>
        <v>12.406216990029399</v>
      </c>
      <c r="E255" s="37">
        <f>'GF + UG Iteration 5'!E255</f>
        <v>2012</v>
      </c>
      <c r="F255" s="35">
        <f>'GF + UG Iteration 5'!F255</f>
        <v>12.3</v>
      </c>
      <c r="G255" s="36">
        <f>'GF + UG Iteration 5'!G255</f>
        <v>2.2692987542218521</v>
      </c>
      <c r="H255" s="38">
        <f>'GF + UG Iteration 5'!H255</f>
        <v>2014</v>
      </c>
      <c r="I255" s="35">
        <f t="shared" si="30"/>
        <v>28.1</v>
      </c>
      <c r="J255" s="36">
        <f t="shared" si="31"/>
        <v>14.675515744251252</v>
      </c>
      <c r="K255" s="38">
        <f t="shared" si="32"/>
        <v>2014</v>
      </c>
      <c r="M255" s="21">
        <f t="shared" si="33"/>
        <v>3.3357695763396999</v>
      </c>
      <c r="N255" s="21">
        <f t="shared" si="34"/>
        <v>2.6861805095089606</v>
      </c>
    </row>
    <row r="256" spans="1:14" x14ac:dyDescent="0.2">
      <c r="A256" s="33">
        <f>'GF + UG Iteration 5'!A256</f>
        <v>511</v>
      </c>
      <c r="B256" s="34" t="str">
        <f>'GF + UG Iteration 5'!B256</f>
        <v>UG</v>
      </c>
      <c r="C256" s="35">
        <f>'GF + UG Iteration 5'!C256</f>
        <v>13.95</v>
      </c>
      <c r="D256" s="36">
        <f>'GF + UG Iteration 5'!P$16*(C256^'GF + UG Iteration 5'!P$15)</f>
        <v>11.555415805872414</v>
      </c>
      <c r="E256" s="37">
        <f>'GF + UG Iteration 5'!E256</f>
        <v>2004</v>
      </c>
      <c r="F256" s="35">
        <f>'GF + UG Iteration 5'!F256</f>
        <v>4.0500000000000007</v>
      </c>
      <c r="G256" s="36">
        <f>'GF + UG Iteration 5'!G256</f>
        <v>0.42903557118440139</v>
      </c>
      <c r="H256" s="38">
        <f>'GF + UG Iteration 5'!H256</f>
        <v>2004</v>
      </c>
      <c r="I256" s="35">
        <f t="shared" si="30"/>
        <v>18</v>
      </c>
      <c r="J256" s="36">
        <f t="shared" si="31"/>
        <v>11.984451377056816</v>
      </c>
      <c r="K256" s="38">
        <f t="shared" si="32"/>
        <v>2004</v>
      </c>
      <c r="M256" s="21">
        <f t="shared" si="33"/>
        <v>2.8903717578961645</v>
      </c>
      <c r="N256" s="21">
        <f t="shared" si="34"/>
        <v>2.4836100910402572</v>
      </c>
    </row>
    <row r="257" spans="1:14" x14ac:dyDescent="0.2">
      <c r="A257" s="33">
        <f>'GF + UG Iteration 5'!A257</f>
        <v>1094</v>
      </c>
      <c r="B257" s="34" t="str">
        <f>'GF + UG Iteration 5'!B257</f>
        <v>UG</v>
      </c>
      <c r="C257" s="35">
        <f>'GF + UG Iteration 5'!C257</f>
        <v>18</v>
      </c>
      <c r="D257" s="36">
        <f>'GF + UG Iteration 5'!P$16*(C257^'GF + UG Iteration 5'!P$15)</f>
        <v>13.364045905107856</v>
      </c>
      <c r="E257" s="37">
        <f>'GF + UG Iteration 5'!E257</f>
        <v>2004</v>
      </c>
      <c r="F257" s="35">
        <f>'GF + UG Iteration 5'!F257</f>
        <v>6</v>
      </c>
      <c r="G257" s="36">
        <f>'GF + UG Iteration 5'!G257</f>
        <v>1.0646458657975095</v>
      </c>
      <c r="H257" s="38">
        <f>'GF + UG Iteration 5'!H257</f>
        <v>2011</v>
      </c>
      <c r="I257" s="35">
        <f t="shared" si="30"/>
        <v>24</v>
      </c>
      <c r="J257" s="36">
        <f t="shared" si="31"/>
        <v>14.428691770905365</v>
      </c>
      <c r="K257" s="38">
        <f t="shared" si="32"/>
        <v>2011</v>
      </c>
      <c r="M257" s="21">
        <f t="shared" si="33"/>
        <v>3.1780538303479458</v>
      </c>
      <c r="N257" s="21">
        <f t="shared" si="34"/>
        <v>2.6692187083089616</v>
      </c>
    </row>
    <row r="258" spans="1:14" x14ac:dyDescent="0.2">
      <c r="A258" s="33">
        <f>'GF + UG Iteration 5'!A258</f>
        <v>775</v>
      </c>
      <c r="B258" s="34" t="str">
        <f>'GF + UG Iteration 5'!B258</f>
        <v>UG</v>
      </c>
      <c r="C258" s="35">
        <f>'GF + UG Iteration 5'!C258</f>
        <v>8</v>
      </c>
      <c r="D258" s="36">
        <f>'GF + UG Iteration 5'!P$16*(C258^'GF + UG Iteration 5'!P$15)</f>
        <v>8.4143583903265782</v>
      </c>
      <c r="E258" s="37">
        <f>'GF + UG Iteration 5'!E258</f>
        <v>2002</v>
      </c>
      <c r="F258" s="35">
        <f>'GF + UG Iteration 5'!F258</f>
        <v>7</v>
      </c>
      <c r="G258" s="36">
        <f>'GF + UG Iteration 5'!G258</f>
        <v>1.4058744428987999</v>
      </c>
      <c r="H258" s="38">
        <f>'GF + UG Iteration 5'!H258</f>
        <v>2008</v>
      </c>
      <c r="I258" s="35">
        <f t="shared" si="30"/>
        <v>15</v>
      </c>
      <c r="J258" s="36">
        <f t="shared" si="31"/>
        <v>9.8202328332253774</v>
      </c>
      <c r="K258" s="38">
        <f t="shared" si="32"/>
        <v>2008</v>
      </c>
      <c r="M258" s="21">
        <f t="shared" si="33"/>
        <v>2.7080502011022101</v>
      </c>
      <c r="N258" s="21">
        <f t="shared" si="34"/>
        <v>2.2844448321897115</v>
      </c>
    </row>
    <row r="259" spans="1:14" x14ac:dyDescent="0.2">
      <c r="A259" s="33">
        <f>'GF + UG Iteration 5'!A259</f>
        <v>1646</v>
      </c>
      <c r="B259" s="34" t="str">
        <f>'GF + UG Iteration 5'!B259</f>
        <v>UG</v>
      </c>
      <c r="C259" s="35">
        <f>'GF + UG Iteration 5'!C259</f>
        <v>2.88</v>
      </c>
      <c r="D259" s="36">
        <f>'GF + UG Iteration 5'!P$16*(C259^'GF + UG Iteration 5'!P$15)</f>
        <v>4.6978114373465356</v>
      </c>
      <c r="E259" s="37" t="str">
        <f>'GF + UG Iteration 5'!E259</f>
        <v>unknown</v>
      </c>
      <c r="F259" s="35">
        <f>'GF + UG Iteration 5'!F259</f>
        <v>3.5200000000000005</v>
      </c>
      <c r="G259" s="36">
        <f>'GF + UG Iteration 5'!G259</f>
        <v>6.6895680450065891</v>
      </c>
      <c r="H259" s="38">
        <f>'GF + UG Iteration 5'!H259</f>
        <v>2016</v>
      </c>
      <c r="I259" s="35">
        <f t="shared" si="30"/>
        <v>6.4</v>
      </c>
      <c r="J259" s="36">
        <f t="shared" si="31"/>
        <v>11.387379482353126</v>
      </c>
      <c r="K259" s="38">
        <f t="shared" si="32"/>
        <v>2016</v>
      </c>
      <c r="M259" s="21">
        <f t="shared" si="33"/>
        <v>1.8562979903656263</v>
      </c>
      <c r="N259" s="21">
        <f t="shared" si="34"/>
        <v>2.4325056792021367</v>
      </c>
    </row>
    <row r="260" spans="1:14" x14ac:dyDescent="0.2">
      <c r="A260" s="33">
        <f>'GF + UG Iteration 5'!A260</f>
        <v>467</v>
      </c>
      <c r="B260" s="34" t="str">
        <f>'GF + UG Iteration 5'!B260</f>
        <v>UG</v>
      </c>
      <c r="C260" s="35">
        <f>'GF + UG Iteration 5'!C260</f>
        <v>5.7</v>
      </c>
      <c r="D260" s="36">
        <f>'GF + UG Iteration 5'!P$16*(C260^'GF + UG Iteration 5'!P$15)</f>
        <v>6.9348344836359095</v>
      </c>
      <c r="E260" s="37">
        <f>'GF + UG Iteration 5'!E260</f>
        <v>1996</v>
      </c>
      <c r="F260" s="35">
        <f>'GF + UG Iteration 5'!F260</f>
        <v>7.8999999999999995</v>
      </c>
      <c r="G260" s="36">
        <f>'GF + UG Iteration 5'!G260</f>
        <v>3.4855022233326953</v>
      </c>
      <c r="H260" s="38">
        <f>'GF + UG Iteration 5'!H260</f>
        <v>2005</v>
      </c>
      <c r="I260" s="35">
        <f t="shared" si="30"/>
        <v>13.6</v>
      </c>
      <c r="J260" s="36">
        <f t="shared" si="31"/>
        <v>10.420336706968605</v>
      </c>
      <c r="K260" s="38">
        <f t="shared" si="32"/>
        <v>2005</v>
      </c>
      <c r="M260" s="21">
        <f t="shared" si="33"/>
        <v>2.6100697927420065</v>
      </c>
      <c r="N260" s="21">
        <f t="shared" si="34"/>
        <v>2.343759349331807</v>
      </c>
    </row>
    <row r="261" spans="1:14" x14ac:dyDescent="0.2">
      <c r="A261" s="33">
        <f>'GF + UG Iteration 5'!A261</f>
        <v>437</v>
      </c>
      <c r="B261" s="34" t="str">
        <f>'GF + UG Iteration 5'!B261</f>
        <v>UG</v>
      </c>
      <c r="C261" s="35">
        <f>'GF + UG Iteration 5'!C261</f>
        <v>23</v>
      </c>
      <c r="D261" s="36">
        <f>'GF + UG Iteration 5'!P$16*(C261^'GF + UG Iteration 5'!P$15)</f>
        <v>15.369854835911106</v>
      </c>
      <c r="E261" s="37">
        <f>'GF + UG Iteration 5'!E261</f>
        <v>2001</v>
      </c>
      <c r="F261" s="35">
        <f>'GF + UG Iteration 5'!F261</f>
        <v>17</v>
      </c>
      <c r="G261" s="36">
        <f>'GF + UG Iteration 5'!G261</f>
        <v>3.6313804067567292</v>
      </c>
      <c r="H261" s="38">
        <f>'GF + UG Iteration 5'!H261</f>
        <v>2008</v>
      </c>
      <c r="I261" s="35">
        <f t="shared" si="30"/>
        <v>40</v>
      </c>
      <c r="J261" s="36">
        <f t="shared" si="31"/>
        <v>19.001235242667835</v>
      </c>
      <c r="K261" s="38">
        <f t="shared" si="32"/>
        <v>2008</v>
      </c>
      <c r="M261" s="21">
        <f t="shared" si="33"/>
        <v>3.6888794541139363</v>
      </c>
      <c r="N261" s="21">
        <f t="shared" si="34"/>
        <v>2.944503989825193</v>
      </c>
    </row>
    <row r="262" spans="1:14" x14ac:dyDescent="0.2">
      <c r="A262" s="33">
        <f>'GF + UG Iteration 5'!A262</f>
        <v>1233</v>
      </c>
      <c r="B262" s="34" t="str">
        <f>'GF + UG Iteration 5'!B262</f>
        <v>UG</v>
      </c>
      <c r="C262" s="35">
        <f>'GF + UG Iteration 5'!C262</f>
        <v>40</v>
      </c>
      <c r="D262" s="36">
        <f>'GF + UG Iteration 5'!P$16*(C262^'GF + UG Iteration 5'!P$15)</f>
        <v>21.075461559251394</v>
      </c>
      <c r="E262" s="37">
        <f>'GF + UG Iteration 5'!E262</f>
        <v>2001</v>
      </c>
      <c r="F262" s="35">
        <f>'GF + UG Iteration 5'!F262</f>
        <v>10</v>
      </c>
      <c r="G262" s="36">
        <f>'GF + UG Iteration 5'!G262</f>
        <v>3.8904117673360803</v>
      </c>
      <c r="H262" s="38">
        <f>'GF + UG Iteration 5'!H262</f>
        <v>2011</v>
      </c>
      <c r="I262" s="35">
        <f t="shared" si="30"/>
        <v>50</v>
      </c>
      <c r="J262" s="36">
        <f t="shared" si="31"/>
        <v>24.965873326587474</v>
      </c>
      <c r="K262" s="38">
        <f t="shared" si="32"/>
        <v>2011</v>
      </c>
      <c r="M262" s="21">
        <f t="shared" si="33"/>
        <v>3.912023005428146</v>
      </c>
      <c r="N262" s="21">
        <f t="shared" si="34"/>
        <v>3.2175098253790679</v>
      </c>
    </row>
    <row r="263" spans="1:14" x14ac:dyDescent="0.2">
      <c r="A263" s="33">
        <f>'GF + UG Iteration 5'!A263</f>
        <v>361</v>
      </c>
      <c r="B263" s="34" t="str">
        <f>'GF + UG Iteration 5'!B263</f>
        <v>UG</v>
      </c>
      <c r="C263" s="35">
        <f>'GF + UG Iteration 5'!C263</f>
        <v>12.22</v>
      </c>
      <c r="D263" s="36">
        <f>'GF + UG Iteration 5'!P$16*(C263^'GF + UG Iteration 5'!P$15)</f>
        <v>10.714715235466018</v>
      </c>
      <c r="E263" s="37">
        <f>'GF + UG Iteration 5'!E263</f>
        <v>1986</v>
      </c>
      <c r="F263" s="35">
        <f>'GF + UG Iteration 5'!F263</f>
        <v>12.999999999999998</v>
      </c>
      <c r="G263" s="36">
        <f>'GF + UG Iteration 5'!G263</f>
        <v>1.1719780512644304</v>
      </c>
      <c r="H263" s="38">
        <f>'GF + UG Iteration 5'!H263</f>
        <v>2002</v>
      </c>
      <c r="I263" s="35">
        <f t="shared" si="30"/>
        <v>25.22</v>
      </c>
      <c r="J263" s="36">
        <f t="shared" si="31"/>
        <v>11.886693286730448</v>
      </c>
      <c r="K263" s="38">
        <f t="shared" si="32"/>
        <v>2002</v>
      </c>
      <c r="M263" s="21">
        <f t="shared" si="33"/>
        <v>3.2276373305367736</v>
      </c>
      <c r="N263" s="21">
        <f t="shared" si="34"/>
        <v>2.4754195632537583</v>
      </c>
    </row>
    <row r="264" spans="1:14" x14ac:dyDescent="0.2">
      <c r="A264" s="33">
        <f>'GF + UG Iteration 5'!A264</f>
        <v>645</v>
      </c>
      <c r="B264" s="34" t="str">
        <f>'GF + UG Iteration 5'!B264</f>
        <v>UG</v>
      </c>
      <c r="C264" s="35">
        <f>'GF + UG Iteration 5'!C264</f>
        <v>25.22</v>
      </c>
      <c r="D264" s="36">
        <f>'GF + UG Iteration 5'!P$16*(C264^'GF + UG Iteration 5'!P$15)</f>
        <v>16.199411742818448</v>
      </c>
      <c r="E264" s="37">
        <f>'GF + UG Iteration 5'!E264</f>
        <v>1986</v>
      </c>
      <c r="F264" s="35">
        <f>'GF + UG Iteration 5'!F264</f>
        <v>1</v>
      </c>
      <c r="G264" s="36">
        <f>'GF + UG Iteration 5'!G264</f>
        <v>0.22667756309168191</v>
      </c>
      <c r="H264" s="38">
        <f>'GF + UG Iteration 5'!H264</f>
        <v>2006</v>
      </c>
      <c r="I264" s="35">
        <f t="shared" si="30"/>
        <v>26.22</v>
      </c>
      <c r="J264" s="36">
        <f t="shared" si="31"/>
        <v>16.426089305910129</v>
      </c>
      <c r="K264" s="38">
        <f t="shared" si="32"/>
        <v>2006</v>
      </c>
      <c r="M264" s="21">
        <f t="shared" si="33"/>
        <v>3.2665224783355535</v>
      </c>
      <c r="N264" s="21">
        <f t="shared" si="34"/>
        <v>2.798870882166129</v>
      </c>
    </row>
    <row r="265" spans="1:14" x14ac:dyDescent="0.2">
      <c r="A265" s="33">
        <f>'GF + UG Iteration 5'!A265</f>
        <v>720</v>
      </c>
      <c r="B265" s="34" t="str">
        <f>'GF + UG Iteration 5'!B265</f>
        <v>UG</v>
      </c>
      <c r="C265" s="35">
        <f>'GF + UG Iteration 5'!C265</f>
        <v>5.29</v>
      </c>
      <c r="D265" s="36">
        <f>'GF + UG Iteration 5'!P$16*(C265^'GF + UG Iteration 5'!P$15)</f>
        <v>6.645707887760862</v>
      </c>
      <c r="E265" s="37">
        <f>'GF + UG Iteration 5'!E265</f>
        <v>1974</v>
      </c>
      <c r="F265" s="35">
        <f>'GF + UG Iteration 5'!F265</f>
        <v>3.9099999999999993</v>
      </c>
      <c r="G265" s="36">
        <f>'GF + UG Iteration 5'!G265</f>
        <v>3.214674226156069</v>
      </c>
      <c r="H265" s="38">
        <f>'GF + UG Iteration 5'!H265</f>
        <v>2009</v>
      </c>
      <c r="I265" s="35">
        <f t="shared" si="30"/>
        <v>9.1999999999999993</v>
      </c>
      <c r="J265" s="36">
        <f t="shared" si="31"/>
        <v>9.8603821139169305</v>
      </c>
      <c r="K265" s="38">
        <f t="shared" si="32"/>
        <v>2009</v>
      </c>
      <c r="M265" s="21">
        <f t="shared" si="33"/>
        <v>2.2192034840549946</v>
      </c>
      <c r="N265" s="21">
        <f t="shared" si="34"/>
        <v>2.2885249218105796</v>
      </c>
    </row>
    <row r="266" spans="1:14" x14ac:dyDescent="0.2">
      <c r="A266" s="33">
        <f>'GF + UG Iteration 5'!A266</f>
        <v>1554</v>
      </c>
      <c r="B266" s="34" t="str">
        <f>'GF + UG Iteration 5'!B266</f>
        <v>UG</v>
      </c>
      <c r="C266" s="35">
        <f>'GF + UG Iteration 5'!C266</f>
        <v>18</v>
      </c>
      <c r="D266" s="36">
        <f>'GF + UG Iteration 5'!P$16*(C266^'GF + UG Iteration 5'!P$15)</f>
        <v>13.364045905107856</v>
      </c>
      <c r="E266" s="37">
        <f>'GF + UG Iteration 5'!E266</f>
        <v>2013</v>
      </c>
      <c r="F266" s="35">
        <f>'GF + UG Iteration 5'!F266</f>
        <v>13</v>
      </c>
      <c r="G266" s="36">
        <f>'GF + UG Iteration 5'!G266</f>
        <v>4.0040929633677633</v>
      </c>
      <c r="H266" s="38">
        <f>'GF + UG Iteration 5'!H266</f>
        <v>2015</v>
      </c>
      <c r="I266" s="35">
        <f t="shared" si="30"/>
        <v>31</v>
      </c>
      <c r="J266" s="36">
        <f t="shared" si="31"/>
        <v>17.368138868475619</v>
      </c>
      <c r="K266" s="38">
        <f t="shared" si="32"/>
        <v>2015</v>
      </c>
      <c r="M266" s="21">
        <f t="shared" si="33"/>
        <v>3.4339872044851463</v>
      </c>
      <c r="N266" s="21">
        <f t="shared" si="34"/>
        <v>2.8546374281955469</v>
      </c>
    </row>
    <row r="267" spans="1:14" x14ac:dyDescent="0.2">
      <c r="A267" s="33">
        <f>'GF + UG Iteration 5'!A267</f>
        <v>1570</v>
      </c>
      <c r="B267" s="34" t="str">
        <f>'GF + UG Iteration 5'!B267</f>
        <v>UG</v>
      </c>
      <c r="C267" s="35">
        <f>'GF + UG Iteration 5'!C267</f>
        <v>12</v>
      </c>
      <c r="D267" s="36">
        <f>'GF + UG Iteration 5'!P$16*(C267^'GF + UG Iteration 5'!P$15)</f>
        <v>10.604238388038711</v>
      </c>
      <c r="E267" s="37">
        <f>'GF + UG Iteration 5'!E267</f>
        <v>0</v>
      </c>
      <c r="F267" s="35">
        <f>'GF + UG Iteration 5'!F267</f>
        <v>7</v>
      </c>
      <c r="G267" s="36">
        <f>'GF + UG Iteration 5'!G267</f>
        <v>5.7128729653456798</v>
      </c>
      <c r="H267" s="38">
        <f>'GF + UG Iteration 5'!H267</f>
        <v>2016</v>
      </c>
      <c r="I267" s="35">
        <f t="shared" si="30"/>
        <v>19</v>
      </c>
      <c r="J267" s="36">
        <f t="shared" si="31"/>
        <v>16.317111353384391</v>
      </c>
      <c r="K267" s="38">
        <f t="shared" si="32"/>
        <v>2016</v>
      </c>
      <c r="M267" s="21">
        <f t="shared" si="33"/>
        <v>2.9444389791664403</v>
      </c>
      <c r="N267" s="21">
        <f t="shared" si="34"/>
        <v>2.7922143334641722</v>
      </c>
    </row>
    <row r="268" spans="1:14" x14ac:dyDescent="0.2">
      <c r="A268" s="33">
        <f>'GF + UG Iteration 5'!A268</f>
        <v>1280</v>
      </c>
      <c r="B268" s="34" t="str">
        <f>'GF + UG Iteration 5'!B268</f>
        <v>UG</v>
      </c>
      <c r="C268" s="35">
        <f>'GF + UG Iteration 5'!C268</f>
        <v>10</v>
      </c>
      <c r="D268" s="36">
        <f>'GF + UG Iteration 5'!P$16*(C268^'GF + UG Iteration 5'!P$15)</f>
        <v>9.5566855194436737</v>
      </c>
      <c r="E268" s="37">
        <f>'GF + UG Iteration 5'!E268</f>
        <v>0</v>
      </c>
      <c r="F268" s="35">
        <f>'GF + UG Iteration 5'!F268</f>
        <v>10</v>
      </c>
      <c r="G268" s="36">
        <f>'GF + UG Iteration 5'!G268</f>
        <v>3.9567117678399111</v>
      </c>
      <c r="H268" s="38">
        <f>'GF + UG Iteration 5'!H268</f>
        <v>2013</v>
      </c>
      <c r="I268" s="35">
        <f t="shared" si="30"/>
        <v>20</v>
      </c>
      <c r="J268" s="36">
        <f t="shared" si="31"/>
        <v>13.513397287283585</v>
      </c>
      <c r="K268" s="38">
        <f t="shared" si="32"/>
        <v>2013</v>
      </c>
      <c r="M268" s="21">
        <f t="shared" si="33"/>
        <v>2.9957322735539909</v>
      </c>
      <c r="N268" s="21">
        <f t="shared" si="34"/>
        <v>2.6036815849999662</v>
      </c>
    </row>
    <row r="269" spans="1:14" x14ac:dyDescent="0.2">
      <c r="A269" s="33">
        <f>'GF + UG Iteration 5'!A269</f>
        <v>659</v>
      </c>
      <c r="B269" s="34" t="str">
        <f>'GF + UG Iteration 5'!B269</f>
        <v>UG</v>
      </c>
      <c r="C269" s="35">
        <f>'GF + UG Iteration 5'!C269</f>
        <v>51</v>
      </c>
      <c r="D269" s="36">
        <f>'GF + UG Iteration 5'!P$16*(C269^'GF + UG Iteration 5'!P$15)</f>
        <v>24.208601648762166</v>
      </c>
      <c r="E269" s="37">
        <f>'GF + UG Iteration 5'!E269</f>
        <v>1974</v>
      </c>
      <c r="F269" s="35">
        <f>'GF + UG Iteration 5'!F269</f>
        <v>7</v>
      </c>
      <c r="G269" s="36">
        <f>'GF + UG Iteration 5'!G269</f>
        <v>0.19038861907506671</v>
      </c>
      <c r="H269" s="38">
        <f>'GF + UG Iteration 5'!H269</f>
        <v>2006</v>
      </c>
      <c r="I269" s="35">
        <f t="shared" si="30"/>
        <v>58</v>
      </c>
      <c r="J269" s="36">
        <f t="shared" si="31"/>
        <v>24.398990267837231</v>
      </c>
      <c r="K269" s="38">
        <f t="shared" si="32"/>
        <v>2006</v>
      </c>
      <c r="M269" s="21">
        <f t="shared" si="33"/>
        <v>4.0604430105464191</v>
      </c>
      <c r="N269" s="21">
        <f t="shared" si="34"/>
        <v>3.194541748977191</v>
      </c>
    </row>
    <row r="270" spans="1:14" x14ac:dyDescent="0.2">
      <c r="A270" s="33">
        <f>'GF + UG Iteration 5'!A270</f>
        <v>1240</v>
      </c>
      <c r="B270" s="34" t="str">
        <f>'GF + UG Iteration 5'!B270</f>
        <v>UG</v>
      </c>
      <c r="C270" s="35">
        <f>'GF + UG Iteration 5'!C270</f>
        <v>9</v>
      </c>
      <c r="D270" s="36">
        <f>'GF + UG Iteration 5'!P$16*(C270^'GF + UG Iteration 5'!P$15)</f>
        <v>8.9991824941767415</v>
      </c>
      <c r="E270" s="37">
        <f>'GF + UG Iteration 5'!E270</f>
        <v>0</v>
      </c>
      <c r="F270" s="35">
        <f>'GF + UG Iteration 5'!F270</f>
        <v>12</v>
      </c>
      <c r="G270" s="36">
        <f>'GF + UG Iteration 5'!G270</f>
        <v>2.4762389627807444</v>
      </c>
      <c r="H270" s="38">
        <f>'GF + UG Iteration 5'!H270</f>
        <v>2013</v>
      </c>
      <c r="I270" s="35">
        <f t="shared" si="30"/>
        <v>21</v>
      </c>
      <c r="J270" s="36">
        <f t="shared" si="31"/>
        <v>11.475421456957486</v>
      </c>
      <c r="K270" s="38">
        <f t="shared" si="32"/>
        <v>2013</v>
      </c>
      <c r="M270" s="21">
        <f t="shared" si="33"/>
        <v>3.044522437723423</v>
      </c>
      <c r="N270" s="21">
        <f t="shared" si="34"/>
        <v>2.4402074835473044</v>
      </c>
    </row>
    <row r="271" spans="1:14" x14ac:dyDescent="0.2">
      <c r="A271" s="33">
        <f>'GF + UG Iteration 5'!A271</f>
        <v>317</v>
      </c>
      <c r="B271" s="34" t="str">
        <f>'GF + UG Iteration 5'!B271</f>
        <v>UG</v>
      </c>
      <c r="C271" s="35">
        <f>'GF + UG Iteration 5'!C271</f>
        <v>26.67</v>
      </c>
      <c r="D271" s="36">
        <f>'GF + UG Iteration 5'!P$16*(C271^'GF + UG Iteration 5'!P$15)</f>
        <v>16.724363040549779</v>
      </c>
      <c r="E271" s="37">
        <f>'GF + UG Iteration 5'!E271</f>
        <v>1978</v>
      </c>
      <c r="F271" s="35">
        <f>'GF + UG Iteration 5'!F271</f>
        <v>8.4600000000000009</v>
      </c>
      <c r="G271" s="36">
        <f>'GF + UG Iteration 5'!G271</f>
        <v>3.7336154837609361</v>
      </c>
      <c r="H271" s="38">
        <f>'GF + UG Iteration 5'!H271</f>
        <v>2002</v>
      </c>
      <c r="I271" s="35">
        <f t="shared" si="30"/>
        <v>35.130000000000003</v>
      </c>
      <c r="J271" s="36">
        <f t="shared" si="31"/>
        <v>20.457978524310715</v>
      </c>
      <c r="K271" s="38">
        <f t="shared" si="32"/>
        <v>2002</v>
      </c>
      <c r="M271" s="21">
        <f t="shared" si="33"/>
        <v>3.5590554662777358</v>
      </c>
      <c r="N271" s="21">
        <f t="shared" si="34"/>
        <v>3.0183729542889677</v>
      </c>
    </row>
    <row r="272" spans="1:14" x14ac:dyDescent="0.2">
      <c r="A272" s="33">
        <f>'GF + UG Iteration 5'!A272</f>
        <v>1510</v>
      </c>
      <c r="B272" s="34" t="str">
        <f>'GF + UG Iteration 5'!B272</f>
        <v>UG</v>
      </c>
      <c r="C272" s="35">
        <f>'GF + UG Iteration 5'!C272</f>
        <v>35.130000000000003</v>
      </c>
      <c r="D272" s="36">
        <f>'GF + UG Iteration 5'!P$16*(C272^'GF + UG Iteration 5'!P$15)</f>
        <v>19.570943450915962</v>
      </c>
      <c r="E272" s="37">
        <f>'GF + UG Iteration 5'!E272</f>
        <v>1978</v>
      </c>
      <c r="F272" s="35">
        <f>'GF + UG Iteration 5'!F272</f>
        <v>0</v>
      </c>
      <c r="G272" s="36">
        <f>'GF + UG Iteration 5'!G272</f>
        <v>1.0378442790997116</v>
      </c>
      <c r="H272" s="38">
        <f>'GF + UG Iteration 5'!H272</f>
        <v>2014</v>
      </c>
      <c r="I272" s="35">
        <f t="shared" si="30"/>
        <v>35.130000000000003</v>
      </c>
      <c r="J272" s="36">
        <f t="shared" si="31"/>
        <v>20.608787730015674</v>
      </c>
      <c r="K272" s="38">
        <f t="shared" si="32"/>
        <v>2014</v>
      </c>
      <c r="M272" s="21">
        <f t="shared" si="33"/>
        <v>3.5590554662777358</v>
      </c>
      <c r="N272" s="21">
        <f t="shared" si="34"/>
        <v>3.0257175736680986</v>
      </c>
    </row>
    <row r="273" spans="1:14" x14ac:dyDescent="0.2">
      <c r="A273" s="33">
        <f>'GF + UG Iteration 5'!A273</f>
        <v>1678</v>
      </c>
      <c r="B273" s="34" t="str">
        <f>'GF + UG Iteration 5'!B273</f>
        <v>UG</v>
      </c>
      <c r="C273" s="35">
        <f>'GF + UG Iteration 5'!C273</f>
        <v>71.19</v>
      </c>
      <c r="D273" s="36">
        <f>'GF + UG Iteration 5'!P$16*(C273^'GF + UG Iteration 5'!P$15)</f>
        <v>29.282263806018197</v>
      </c>
      <c r="E273" s="37">
        <f>'GF + UG Iteration 5'!E273</f>
        <v>0</v>
      </c>
      <c r="F273" s="35">
        <f>'GF + UG Iteration 5'!F273</f>
        <v>3.8100000000000023</v>
      </c>
      <c r="G273" s="36">
        <f>'GF + UG Iteration 5'!G273</f>
        <v>0.1876880715541229</v>
      </c>
      <c r="H273" s="38">
        <f>'GF + UG Iteration 5'!H273</f>
        <v>2015</v>
      </c>
      <c r="I273" s="35">
        <f t="shared" si="30"/>
        <v>75</v>
      </c>
      <c r="J273" s="36">
        <f t="shared" si="31"/>
        <v>29.469951877572321</v>
      </c>
      <c r="K273" s="38">
        <f t="shared" si="32"/>
        <v>2015</v>
      </c>
      <c r="M273" s="21">
        <f t="shared" si="33"/>
        <v>4.3174881135363101</v>
      </c>
      <c r="N273" s="21">
        <f t="shared" si="34"/>
        <v>3.383371163818929</v>
      </c>
    </row>
    <row r="274" spans="1:14" x14ac:dyDescent="0.2">
      <c r="A274" s="33">
        <f>'GF + UG Iteration 5'!A274</f>
        <v>409</v>
      </c>
      <c r="B274" s="34" t="str">
        <f>'GF + UG Iteration 5'!B274</f>
        <v>UG</v>
      </c>
      <c r="C274" s="35">
        <f>'GF + UG Iteration 5'!C274</f>
        <v>50.9</v>
      </c>
      <c r="D274" s="36">
        <f>'GF + UG Iteration 5'!P$16*(C274^'GF + UG Iteration 5'!P$15)</f>
        <v>24.181510256461696</v>
      </c>
      <c r="E274" s="37" t="str">
        <f>'GF + UG Iteration 5'!E274</f>
        <v>unknown</v>
      </c>
      <c r="F274" s="35">
        <f>'GF + UG Iteration 5'!F274</f>
        <v>0</v>
      </c>
      <c r="G274" s="36">
        <f>'GF + UG Iteration 5'!G274</f>
        <v>6.9500275644125207</v>
      </c>
      <c r="H274" s="38">
        <f>'GF + UG Iteration 5'!H274</f>
        <v>2004</v>
      </c>
      <c r="I274" s="35">
        <f t="shared" si="30"/>
        <v>50.9</v>
      </c>
      <c r="J274" s="36">
        <f t="shared" si="31"/>
        <v>31.131537820874215</v>
      </c>
      <c r="K274" s="38">
        <f t="shared" si="32"/>
        <v>2004</v>
      </c>
      <c r="M274" s="21">
        <f t="shared" si="33"/>
        <v>3.929862923556477</v>
      </c>
      <c r="N274" s="21">
        <f t="shared" si="34"/>
        <v>3.4382213831972148</v>
      </c>
    </row>
    <row r="275" spans="1:14" x14ac:dyDescent="0.2">
      <c r="A275" s="33">
        <f>'GF + UG Iteration 5'!A275</f>
        <v>620</v>
      </c>
      <c r="B275" s="34" t="str">
        <f>'GF + UG Iteration 5'!B275</f>
        <v>UG</v>
      </c>
      <c r="C275" s="35">
        <f>'GF + UG Iteration 5'!C275</f>
        <v>66.040000000000006</v>
      </c>
      <c r="D275" s="36">
        <f>'GF + UG Iteration 5'!P$16*(C275^'GF + UG Iteration 5'!P$15)</f>
        <v>28.05432589303679</v>
      </c>
      <c r="E275" s="37" t="str">
        <f>'GF + UG Iteration 5'!E275</f>
        <v>unknown</v>
      </c>
      <c r="F275" s="35">
        <f>'GF + UG Iteration 5'!F275</f>
        <v>1</v>
      </c>
      <c r="G275" s="36">
        <f>'GF + UG Iteration 5'!G275</f>
        <v>5.2327101351069411E-2</v>
      </c>
      <c r="H275" s="38">
        <f>'GF + UG Iteration 5'!H275</f>
        <v>2006</v>
      </c>
      <c r="I275" s="35">
        <f t="shared" si="30"/>
        <v>67.040000000000006</v>
      </c>
      <c r="J275" s="36">
        <f t="shared" si="31"/>
        <v>28.106652994387858</v>
      </c>
      <c r="K275" s="38">
        <f t="shared" si="32"/>
        <v>2006</v>
      </c>
      <c r="M275" s="21">
        <f t="shared" si="33"/>
        <v>4.2052894561738281</v>
      </c>
      <c r="N275" s="21">
        <f t="shared" si="34"/>
        <v>3.3360063096822667</v>
      </c>
    </row>
    <row r="276" spans="1:14" x14ac:dyDescent="0.2">
      <c r="A276" s="33">
        <f>'GF + UG Iteration 5'!A276</f>
        <v>1085</v>
      </c>
      <c r="B276" s="34" t="str">
        <f>'GF + UG Iteration 5'!B276</f>
        <v>UG</v>
      </c>
      <c r="C276" s="35">
        <f>'GF + UG Iteration 5'!C276</f>
        <v>67.040000000000006</v>
      </c>
      <c r="D276" s="36">
        <f>'GF + UG Iteration 5'!P$16*(C276^'GF + UG Iteration 5'!P$15)</f>
        <v>28.295892619900702</v>
      </c>
      <c r="E276" s="37" t="str">
        <f>'GF + UG Iteration 5'!E276</f>
        <v>unknown</v>
      </c>
      <c r="F276" s="35">
        <f>'GF + UG Iteration 5'!F276</f>
        <v>2</v>
      </c>
      <c r="G276" s="36">
        <f>'GF + UG Iteration 5'!G276</f>
        <v>7.9312358901564406E-2</v>
      </c>
      <c r="H276" s="38">
        <f>'GF + UG Iteration 5'!H276</f>
        <v>2010</v>
      </c>
      <c r="I276" s="35">
        <f t="shared" si="30"/>
        <v>69.040000000000006</v>
      </c>
      <c r="J276" s="36">
        <f t="shared" si="31"/>
        <v>28.375204978802266</v>
      </c>
      <c r="K276" s="38">
        <f t="shared" si="32"/>
        <v>2010</v>
      </c>
      <c r="M276" s="21">
        <f t="shared" si="33"/>
        <v>4.234686046775173</v>
      </c>
      <c r="N276" s="21">
        <f t="shared" si="34"/>
        <v>3.3455156996980211</v>
      </c>
    </row>
    <row r="277" spans="1:14" x14ac:dyDescent="0.2">
      <c r="A277" s="33">
        <f>'GF + UG Iteration 5'!A277</f>
        <v>589</v>
      </c>
      <c r="B277" s="34" t="str">
        <f>'GF + UG Iteration 5'!B277</f>
        <v>UG</v>
      </c>
      <c r="C277" s="35">
        <f>'GF + UG Iteration 5'!C277</f>
        <v>36.963000000000001</v>
      </c>
      <c r="D277" s="36">
        <f>'GF + UG Iteration 5'!P$16*(C277^'GF + UG Iteration 5'!P$15)</f>
        <v>20.147138555902568</v>
      </c>
      <c r="E277" s="37">
        <f>'GF + UG Iteration 5'!E277</f>
        <v>1974</v>
      </c>
      <c r="F277" s="35">
        <f>'GF + UG Iteration 5'!F277</f>
        <v>0</v>
      </c>
      <c r="G277" s="36">
        <f>'GF + UG Iteration 5'!G277</f>
        <v>3.2007376892660457E-2</v>
      </c>
      <c r="H277" s="38">
        <f>'GF + UG Iteration 5'!H277</f>
        <v>2005</v>
      </c>
      <c r="I277" s="35">
        <f t="shared" si="30"/>
        <v>36.963000000000001</v>
      </c>
      <c r="J277" s="36">
        <f t="shared" si="31"/>
        <v>20.17914593279523</v>
      </c>
      <c r="K277" s="38">
        <f t="shared" si="32"/>
        <v>2005</v>
      </c>
      <c r="M277" s="21">
        <f t="shared" si="33"/>
        <v>3.609917412310641</v>
      </c>
      <c r="N277" s="21">
        <f t="shared" si="34"/>
        <v>3.0046496915717271</v>
      </c>
    </row>
    <row r="278" spans="1:14" x14ac:dyDescent="0.2">
      <c r="A278" s="33">
        <f>'GF + UG Iteration 5'!A278</f>
        <v>836</v>
      </c>
      <c r="B278" s="34" t="str">
        <f>'GF + UG Iteration 5'!B278</f>
        <v>UG</v>
      </c>
      <c r="C278" s="35">
        <f>'GF + UG Iteration 5'!C278</f>
        <v>33.963000000000001</v>
      </c>
      <c r="D278" s="36">
        <f>'GF + UG Iteration 5'!P$16*(C278^'GF + UG Iteration 5'!P$15)</f>
        <v>19.197357766194308</v>
      </c>
      <c r="E278" s="37">
        <f>'GF + UG Iteration 5'!E278</f>
        <v>1974</v>
      </c>
      <c r="F278" s="35">
        <f>'GF + UG Iteration 5'!F278</f>
        <v>10.036999999999999</v>
      </c>
      <c r="G278" s="36">
        <f>'GF + UG Iteration 5'!G278</f>
        <v>0.20824846319974696</v>
      </c>
      <c r="H278" s="38">
        <f>'GF + UG Iteration 5'!H278</f>
        <v>2008</v>
      </c>
      <c r="I278" s="35">
        <f t="shared" si="30"/>
        <v>44</v>
      </c>
      <c r="J278" s="36">
        <f t="shared" si="31"/>
        <v>19.405606229394056</v>
      </c>
      <c r="K278" s="38">
        <f t="shared" si="32"/>
        <v>2008</v>
      </c>
      <c r="M278" s="21">
        <f t="shared" si="33"/>
        <v>3.784189633918261</v>
      </c>
      <c r="N278" s="21">
        <f t="shared" si="34"/>
        <v>2.9655620052189464</v>
      </c>
    </row>
    <row r="279" spans="1:14" x14ac:dyDescent="0.2">
      <c r="A279" s="33">
        <f>'GF + UG Iteration 5'!A279</f>
        <v>1417</v>
      </c>
      <c r="B279" s="34" t="str">
        <f>'GF + UG Iteration 5'!B279</f>
        <v>UG</v>
      </c>
      <c r="C279" s="35">
        <f>'GF + UG Iteration 5'!C279</f>
        <v>53.176000000000002</v>
      </c>
      <c r="D279" s="36">
        <f>'GF + UG Iteration 5'!P$16*(C279^'GF + UG Iteration 5'!P$15)</f>
        <v>24.792569682023352</v>
      </c>
      <c r="E279" s="37">
        <f>'GF + UG Iteration 5'!E279</f>
        <v>0</v>
      </c>
      <c r="F279" s="35">
        <f>'GF + UG Iteration 5'!F279</f>
        <v>2.8239999999999981</v>
      </c>
      <c r="G279" s="36">
        <f>'GF + UG Iteration 5'!G279</f>
        <v>0.36631755287404399</v>
      </c>
      <c r="H279" s="38">
        <f>'GF + UG Iteration 5'!H279</f>
        <v>2013</v>
      </c>
      <c r="I279" s="35">
        <f t="shared" si="30"/>
        <v>56</v>
      </c>
      <c r="J279" s="36">
        <f t="shared" si="31"/>
        <v>25.158887234897396</v>
      </c>
      <c r="K279" s="38">
        <f t="shared" si="32"/>
        <v>2013</v>
      </c>
      <c r="M279" s="21">
        <f t="shared" si="33"/>
        <v>4.0253516907351496</v>
      </c>
      <c r="N279" s="21">
        <f t="shared" si="34"/>
        <v>3.2252112033063747</v>
      </c>
    </row>
    <row r="280" spans="1:14" x14ac:dyDescent="0.2">
      <c r="A280" s="33">
        <f>'GF + UG Iteration 5'!A280</f>
        <v>1575</v>
      </c>
      <c r="B280" s="34" t="str">
        <f>'GF + UG Iteration 5'!B280</f>
        <v>UG</v>
      </c>
      <c r="C280" s="35">
        <f>'GF + UG Iteration 5'!C280</f>
        <v>107.8</v>
      </c>
      <c r="D280" s="36">
        <f>'GF + UG Iteration 5'!P$16*(C280^'GF + UG Iteration 5'!P$15)</f>
        <v>37.102826254748251</v>
      </c>
      <c r="E280" s="37">
        <f>'GF + UG Iteration 5'!E280</f>
        <v>0</v>
      </c>
      <c r="F280" s="35">
        <f>'GF + UG Iteration 5'!F280</f>
        <v>2.2000000000000028</v>
      </c>
      <c r="G280" s="36">
        <f>'GF + UG Iteration 5'!G280</f>
        <v>8.4606138058298655E-2</v>
      </c>
      <c r="H280" s="38">
        <f>'GF + UG Iteration 5'!H280</f>
        <v>2014</v>
      </c>
      <c r="I280" s="35">
        <f t="shared" si="30"/>
        <v>110</v>
      </c>
      <c r="J280" s="36">
        <f t="shared" si="31"/>
        <v>37.187432392806549</v>
      </c>
      <c r="K280" s="38">
        <f t="shared" si="32"/>
        <v>2014</v>
      </c>
      <c r="M280" s="21">
        <f t="shared" si="33"/>
        <v>4.7004803657924166</v>
      </c>
      <c r="N280" s="21">
        <f t="shared" si="34"/>
        <v>3.6159708652956324</v>
      </c>
    </row>
    <row r="281" spans="1:14" x14ac:dyDescent="0.2">
      <c r="A281" s="33">
        <f>'GF + UG Iteration 5'!A281</f>
        <v>1480</v>
      </c>
      <c r="B281" s="34" t="str">
        <f>'GF + UG Iteration 5'!B281</f>
        <v>UG</v>
      </c>
      <c r="C281" s="35">
        <f>'GF + UG Iteration 5'!C281</f>
        <v>92</v>
      </c>
      <c r="D281" s="36">
        <f>'GF + UG Iteration 5'!P$16*(C281^'GF + UG Iteration 5'!P$15)</f>
        <v>33.895306495800192</v>
      </c>
      <c r="E281" s="37">
        <f>'GF + UG Iteration 5'!E281</f>
        <v>0</v>
      </c>
      <c r="F281" s="35">
        <f>'GF + UG Iteration 5'!F281</f>
        <v>9</v>
      </c>
      <c r="G281" s="36">
        <f>'GF + UG Iteration 5'!G281</f>
        <v>1.4186292000498641</v>
      </c>
      <c r="H281" s="38">
        <f>'GF + UG Iteration 5'!H281</f>
        <v>2015</v>
      </c>
      <c r="I281" s="35">
        <f t="shared" si="30"/>
        <v>101</v>
      </c>
      <c r="J281" s="36">
        <f t="shared" si="31"/>
        <v>35.313935695850056</v>
      </c>
      <c r="K281" s="38">
        <f t="shared" si="32"/>
        <v>2015</v>
      </c>
      <c r="M281" s="21">
        <f t="shared" si="33"/>
        <v>4.6151205168412597</v>
      </c>
      <c r="N281" s="21">
        <f t="shared" si="34"/>
        <v>3.5642776649538215</v>
      </c>
    </row>
    <row r="282" spans="1:14" x14ac:dyDescent="0.2">
      <c r="A282" s="33">
        <f>'GF + UG Iteration 5'!A282</f>
        <v>1644</v>
      </c>
      <c r="B282" s="34" t="str">
        <f>'GF + UG Iteration 5'!B282</f>
        <v>UG</v>
      </c>
      <c r="C282" s="35">
        <f>'GF + UG Iteration 5'!C282</f>
        <v>25</v>
      </c>
      <c r="D282" s="36">
        <f>'GF + UG Iteration 5'!P$16*(C282^'GF + UG Iteration 5'!P$15)</f>
        <v>16.118643273755229</v>
      </c>
      <c r="E282" s="37">
        <f>'GF + UG Iteration 5'!E282</f>
        <v>0</v>
      </c>
      <c r="F282" s="35">
        <f>'GF + UG Iteration 5'!F282</f>
        <v>14</v>
      </c>
      <c r="G282" s="36">
        <f>'GF + UG Iteration 5'!G282</f>
        <v>6.4881768587089867</v>
      </c>
      <c r="H282" s="38">
        <f>'GF + UG Iteration 5'!H282</f>
        <v>2016</v>
      </c>
      <c r="I282" s="35">
        <f t="shared" si="30"/>
        <v>39</v>
      </c>
      <c r="J282" s="36">
        <f t="shared" si="31"/>
        <v>22.606820132464215</v>
      </c>
      <c r="K282" s="38">
        <f t="shared" si="32"/>
        <v>2016</v>
      </c>
      <c r="M282" s="21">
        <f t="shared" si="33"/>
        <v>3.6635616461296463</v>
      </c>
      <c r="N282" s="21">
        <f t="shared" si="34"/>
        <v>3.118251636525843</v>
      </c>
    </row>
    <row r="283" spans="1:14" x14ac:dyDescent="0.2">
      <c r="A283" s="33">
        <f>'GF + UG Iteration 5'!A283</f>
        <v>1276</v>
      </c>
      <c r="B283" s="34" t="str">
        <f>'GF + UG Iteration 5'!B283</f>
        <v>UG</v>
      </c>
      <c r="C283" s="35">
        <f>'GF + UG Iteration 5'!C283</f>
        <v>34</v>
      </c>
      <c r="D283" s="36">
        <f>'GF + UG Iteration 5'!P$16*(C283^'GF + UG Iteration 5'!P$15)</f>
        <v>19.209286225694775</v>
      </c>
      <c r="E283" s="37" t="str">
        <f>'GF + UG Iteration 5'!E283</f>
        <v>unknown</v>
      </c>
      <c r="F283" s="35">
        <f>'GF + UG Iteration 5'!F283</f>
        <v>4</v>
      </c>
      <c r="G283" s="36">
        <f>'GF + UG Iteration 5'!G283</f>
        <v>0.69755192087391271</v>
      </c>
      <c r="H283" s="38">
        <f>'GF + UG Iteration 5'!H283</f>
        <v>2012</v>
      </c>
      <c r="I283" s="35">
        <f t="shared" si="30"/>
        <v>38</v>
      </c>
      <c r="J283" s="36">
        <f t="shared" si="31"/>
        <v>19.906838146568688</v>
      </c>
      <c r="K283" s="38">
        <f t="shared" si="32"/>
        <v>2012</v>
      </c>
      <c r="M283" s="21">
        <f t="shared" si="33"/>
        <v>3.6375861597263857</v>
      </c>
      <c r="N283" s="21">
        <f t="shared" si="34"/>
        <v>2.9910632981604541</v>
      </c>
    </row>
    <row r="284" spans="1:14" x14ac:dyDescent="0.2">
      <c r="A284" s="33">
        <f>'GF + UG Iteration 5'!A284</f>
        <v>823</v>
      </c>
      <c r="B284" s="34" t="str">
        <f>'GF + UG Iteration 5'!B284</f>
        <v>UG</v>
      </c>
      <c r="C284" s="35">
        <f>'GF + UG Iteration 5'!C284</f>
        <v>10</v>
      </c>
      <c r="D284" s="36">
        <f>'GF + UG Iteration 5'!P$16*(C284^'GF + UG Iteration 5'!P$15)</f>
        <v>9.5566855194436737</v>
      </c>
      <c r="E284" s="37" t="str">
        <f>'GF + UG Iteration 5'!E284</f>
        <v>unknown</v>
      </c>
      <c r="F284" s="35">
        <f>'GF + UG Iteration 5'!F284</f>
        <v>25</v>
      </c>
      <c r="G284" s="36">
        <f>'GF + UG Iteration 5'!G284</f>
        <v>8.3156614233786232</v>
      </c>
      <c r="H284" s="38">
        <f>'GF + UG Iteration 5'!H284</f>
        <v>2009</v>
      </c>
      <c r="I284" s="35">
        <f t="shared" si="30"/>
        <v>35</v>
      </c>
      <c r="J284" s="36">
        <f t="shared" si="31"/>
        <v>17.872346942822297</v>
      </c>
      <c r="K284" s="38">
        <f t="shared" si="32"/>
        <v>2009</v>
      </c>
      <c r="M284" s="21">
        <f t="shared" si="33"/>
        <v>3.5553480614894135</v>
      </c>
      <c r="N284" s="21">
        <f t="shared" si="34"/>
        <v>2.8832546547851483</v>
      </c>
    </row>
    <row r="285" spans="1:14" x14ac:dyDescent="0.2">
      <c r="A285" s="33">
        <f>'GF + UG Iteration 5'!A285</f>
        <v>1601</v>
      </c>
      <c r="B285" s="34" t="str">
        <f>'GF + UG Iteration 5'!B285</f>
        <v>UG</v>
      </c>
      <c r="C285" s="35">
        <f>'GF + UG Iteration 5'!C285</f>
        <v>77</v>
      </c>
      <c r="D285" s="36">
        <f>'GF + UG Iteration 5'!P$16*(C285^'GF + UG Iteration 5'!P$15)</f>
        <v>30.622614354406497</v>
      </c>
      <c r="E285" s="37">
        <f>'GF + UG Iteration 5'!E285</f>
        <v>0</v>
      </c>
      <c r="F285" s="35">
        <f>'GF + UG Iteration 5'!F285</f>
        <v>0</v>
      </c>
      <c r="G285" s="36">
        <f>'GF + UG Iteration 5'!G285</f>
        <v>4.0094648670350015</v>
      </c>
      <c r="H285" s="38">
        <f>'GF + UG Iteration 5'!H285</f>
        <v>2015</v>
      </c>
      <c r="I285" s="35">
        <f t="shared" si="30"/>
        <v>77</v>
      </c>
      <c r="J285" s="36">
        <f t="shared" si="31"/>
        <v>34.632079221441501</v>
      </c>
      <c r="K285" s="38">
        <f t="shared" si="32"/>
        <v>2015</v>
      </c>
      <c r="M285" s="21">
        <f t="shared" si="33"/>
        <v>4.3438054218536841</v>
      </c>
      <c r="N285" s="21">
        <f t="shared" si="34"/>
        <v>3.544780397658474</v>
      </c>
    </row>
    <row r="286" spans="1:14" x14ac:dyDescent="0.2">
      <c r="A286" s="33">
        <f>'GF + UG Iteration 5'!A286</f>
        <v>1046</v>
      </c>
      <c r="B286" s="34" t="str">
        <f>'GF + UG Iteration 5'!B286</f>
        <v>UG</v>
      </c>
      <c r="C286" s="35">
        <f>'GF + UG Iteration 5'!C286</f>
        <v>33</v>
      </c>
      <c r="D286" s="36">
        <f>'GF + UG Iteration 5'!P$16*(C286^'GF + UG Iteration 5'!P$15)</f>
        <v>18.884905897693134</v>
      </c>
      <c r="E286" s="37" t="str">
        <f>'GF + UG Iteration 5'!E286</f>
        <v>unknown</v>
      </c>
      <c r="F286" s="35">
        <f>'GF + UG Iteration 5'!F286</f>
        <v>17</v>
      </c>
      <c r="G286" s="36">
        <f>'GF + UG Iteration 5'!G286</f>
        <v>13.838101419471103</v>
      </c>
      <c r="H286" s="38">
        <f>'GF + UG Iteration 5'!H286</f>
        <v>2011</v>
      </c>
      <c r="I286" s="35">
        <f t="shared" si="30"/>
        <v>50</v>
      </c>
      <c r="J286" s="36">
        <f t="shared" si="31"/>
        <v>32.723007317164239</v>
      </c>
      <c r="K286" s="38">
        <f t="shared" si="32"/>
        <v>2011</v>
      </c>
      <c r="M286" s="21">
        <f t="shared" si="33"/>
        <v>3.912023005428146</v>
      </c>
      <c r="N286" s="21">
        <f t="shared" si="34"/>
        <v>3.4880784181822979</v>
      </c>
    </row>
    <row r="287" spans="1:14" x14ac:dyDescent="0.2">
      <c r="A287" s="33">
        <f>'GF + UG Iteration 5'!A287</f>
        <v>873</v>
      </c>
      <c r="B287" s="34" t="str">
        <f>'GF + UG Iteration 5'!B287</f>
        <v>UG</v>
      </c>
      <c r="C287" s="35">
        <f>'GF + UG Iteration 5'!C287</f>
        <v>38</v>
      </c>
      <c r="D287" s="36">
        <f>'GF + UG Iteration 5'!P$16*(C287^'GF + UG Iteration 5'!P$15)</f>
        <v>20.467679704494884</v>
      </c>
      <c r="E287" s="37" t="str">
        <f>'GF + UG Iteration 5'!E287</f>
        <v>unknown</v>
      </c>
      <c r="F287" s="35">
        <f>'GF + UG Iteration 5'!F287</f>
        <v>10</v>
      </c>
      <c r="G287" s="36">
        <f>'GF + UG Iteration 5'!G287</f>
        <v>10.835025062169574</v>
      </c>
      <c r="H287" s="38">
        <f>'GF + UG Iteration 5'!H287</f>
        <v>2011</v>
      </c>
      <c r="I287" s="35">
        <f t="shared" si="30"/>
        <v>48</v>
      </c>
      <c r="J287" s="36">
        <f t="shared" si="31"/>
        <v>31.302704766664458</v>
      </c>
      <c r="K287" s="38">
        <f t="shared" si="32"/>
        <v>2011</v>
      </c>
      <c r="M287" s="21">
        <f t="shared" si="33"/>
        <v>3.8712010109078911</v>
      </c>
      <c r="N287" s="21">
        <f t="shared" si="34"/>
        <v>3.4437045080830395</v>
      </c>
    </row>
    <row r="288" spans="1:14" x14ac:dyDescent="0.2">
      <c r="A288" s="33">
        <f>'GF + UG Iteration 5'!A288</f>
        <v>630</v>
      </c>
      <c r="B288" s="34" t="str">
        <f>'GF + UG Iteration 5'!B288</f>
        <v>UG</v>
      </c>
      <c r="C288" s="35">
        <f>'GF + UG Iteration 5'!C288</f>
        <v>36.4</v>
      </c>
      <c r="D288" s="36">
        <f>'GF + UG Iteration 5'!P$16*(C288^'GF + UG Iteration 5'!P$15)</f>
        <v>19.971495095113056</v>
      </c>
      <c r="E288" s="37" t="str">
        <f>'GF + UG Iteration 5'!E288</f>
        <v>unknown</v>
      </c>
      <c r="F288" s="35">
        <f>'GF + UG Iteration 5'!F288</f>
        <v>3.6000000000000014</v>
      </c>
      <c r="G288" s="36">
        <f>'GF + UG Iteration 5'!G288</f>
        <v>0.76181860016629799</v>
      </c>
      <c r="H288" s="38">
        <f>'GF + UG Iteration 5'!H288</f>
        <v>2007</v>
      </c>
      <c r="I288" s="35">
        <f t="shared" si="30"/>
        <v>40</v>
      </c>
      <c r="J288" s="36">
        <f t="shared" si="31"/>
        <v>20.733313695279353</v>
      </c>
      <c r="K288" s="38">
        <f t="shared" si="32"/>
        <v>2007</v>
      </c>
      <c r="M288" s="21">
        <f t="shared" si="33"/>
        <v>3.6888794541139363</v>
      </c>
      <c r="N288" s="21">
        <f t="shared" si="34"/>
        <v>3.031741763903554</v>
      </c>
    </row>
    <row r="289" spans="1:20" x14ac:dyDescent="0.2">
      <c r="A289" s="33">
        <f>'GF + UG Iteration 5'!A289</f>
        <v>1107</v>
      </c>
      <c r="B289" s="34" t="str">
        <f>'GF + UG Iteration 5'!B289</f>
        <v>UG</v>
      </c>
      <c r="C289" s="35">
        <f>'GF + UG Iteration 5'!C289</f>
        <v>16</v>
      </c>
      <c r="D289" s="36">
        <f>'GF + UG Iteration 5'!P$16*(C289^'GF + UG Iteration 5'!P$15)</f>
        <v>12.49556522085409</v>
      </c>
      <c r="E289" s="37">
        <f>'GF + UG Iteration 5'!E289</f>
        <v>2010</v>
      </c>
      <c r="F289" s="35">
        <f>'GF + UG Iteration 5'!F289</f>
        <v>24</v>
      </c>
      <c r="G289" s="36">
        <f>'GF + UG Iteration 5'!G289</f>
        <v>7.7000094501504579</v>
      </c>
      <c r="H289" s="38">
        <f>'GF + UG Iteration 5'!H289</f>
        <v>2014</v>
      </c>
      <c r="I289" s="35">
        <f t="shared" si="30"/>
        <v>40</v>
      </c>
      <c r="J289" s="36">
        <f t="shared" si="31"/>
        <v>20.195574671004547</v>
      </c>
      <c r="K289" s="38">
        <f t="shared" si="32"/>
        <v>2014</v>
      </c>
      <c r="M289" s="21">
        <f t="shared" si="33"/>
        <v>3.6888794541139363</v>
      </c>
      <c r="N289" s="21">
        <f t="shared" si="34"/>
        <v>3.0054635047137297</v>
      </c>
    </row>
    <row r="290" spans="1:20" x14ac:dyDescent="0.2">
      <c r="A290" s="33">
        <f>'GF + UG Iteration 5'!A290</f>
        <v>682</v>
      </c>
      <c r="B290" s="34" t="str">
        <f>'GF + UG Iteration 5'!B290</f>
        <v>UG</v>
      </c>
      <c r="C290" s="35">
        <f>'GF + UG Iteration 5'!C290</f>
        <v>12</v>
      </c>
      <c r="D290" s="36">
        <f>'GF + UG Iteration 5'!P$16*(C290^'GF + UG Iteration 5'!P$15)</f>
        <v>10.604238388038711</v>
      </c>
      <c r="E290" s="37">
        <f>'GF + UG Iteration 5'!E290</f>
        <v>2005</v>
      </c>
      <c r="F290" s="35">
        <f>'GF + UG Iteration 5'!F290</f>
        <v>18</v>
      </c>
      <c r="G290" s="36">
        <f>'GF + UG Iteration 5'!G290</f>
        <v>4.2252233548626927</v>
      </c>
      <c r="H290" s="38">
        <f>'GF + UG Iteration 5'!H290</f>
        <v>2009</v>
      </c>
      <c r="I290" s="35">
        <f t="shared" ref="I290:I291" si="35">C290+F290</f>
        <v>30</v>
      </c>
      <c r="J290" s="36">
        <f t="shared" ref="J290:J291" si="36">D290+G290</f>
        <v>14.829461742901405</v>
      </c>
      <c r="K290" s="38">
        <f t="shared" ref="K290:K291" si="37">MAX(E290,H290)</f>
        <v>2009</v>
      </c>
      <c r="M290" s="21">
        <f t="shared" ref="M290:M291" si="38">LN(I290)</f>
        <v>3.4011973816621555</v>
      </c>
      <c r="N290" s="21">
        <f t="shared" ref="N290:N291" si="39">LN(J290)</f>
        <v>2.6966158603395312</v>
      </c>
    </row>
    <row r="291" spans="1:20" x14ac:dyDescent="0.2">
      <c r="A291" s="33">
        <f>'GF + UG Iteration 5'!A291</f>
        <v>677</v>
      </c>
      <c r="B291" s="34" t="str">
        <f>'GF + UG Iteration 5'!B291</f>
        <v>UG</v>
      </c>
      <c r="C291" s="35">
        <f>'GF + UG Iteration 5'!C291</f>
        <v>117</v>
      </c>
      <c r="D291" s="36">
        <f>'GF + UG Iteration 5'!P$16*(C291^'GF + UG Iteration 5'!P$15)</f>
        <v>38.877443884604411</v>
      </c>
      <c r="E291" s="37" t="str">
        <f>'GF + UG Iteration 5'!E291</f>
        <v>unknown</v>
      </c>
      <c r="F291" s="35">
        <f>'GF + UG Iteration 5'!F291</f>
        <v>0</v>
      </c>
      <c r="G291" s="36">
        <f>'GF + UG Iteration 5'!G291</f>
        <v>5.9672660834890454</v>
      </c>
      <c r="H291" s="38">
        <f>'GF + UG Iteration 5'!H291</f>
        <v>2009</v>
      </c>
      <c r="I291" s="35">
        <f t="shared" si="35"/>
        <v>117</v>
      </c>
      <c r="J291" s="36">
        <f t="shared" si="36"/>
        <v>44.844709968093454</v>
      </c>
      <c r="K291" s="38">
        <f t="shared" si="37"/>
        <v>2009</v>
      </c>
      <c r="M291" s="21">
        <f t="shared" si="38"/>
        <v>4.7621739347977563</v>
      </c>
      <c r="N291" s="21">
        <f t="shared" si="39"/>
        <v>3.8032056321188699</v>
      </c>
    </row>
    <row r="292" spans="1:20" x14ac:dyDescent="0.2">
      <c r="A292" s="33">
        <f>'GF + UG Iteration 5'!A292</f>
        <v>643</v>
      </c>
      <c r="B292" s="34" t="str">
        <f>'GF + UG Iteration 5'!B292</f>
        <v>UG</v>
      </c>
      <c r="C292" s="35">
        <f>'GF + UG Iteration 5'!C292</f>
        <v>53.37</v>
      </c>
      <c r="D292" s="36">
        <f>'GF + UG Iteration 5'!P$16*(C292^'GF + UG Iteration 5'!P$15)</f>
        <v>24.844130119233728</v>
      </c>
      <c r="E292" s="37" t="str">
        <f>'GF + UG Iteration 5'!E292</f>
        <v>unknown</v>
      </c>
      <c r="F292" s="35">
        <f>'GF + UG Iteration 5'!F292</f>
        <v>0.5</v>
      </c>
      <c r="G292" s="36">
        <f>'GF + UG Iteration 5'!G292</f>
        <v>4.4086715648995529</v>
      </c>
      <c r="H292" s="38">
        <f>'GF + UG Iteration 5'!H292</f>
        <v>2009</v>
      </c>
      <c r="I292" s="35">
        <f t="shared" si="30"/>
        <v>53.87</v>
      </c>
      <c r="J292" s="36">
        <f t="shared" si="31"/>
        <v>29.252801684133281</v>
      </c>
      <c r="K292" s="38">
        <f t="shared" si="32"/>
        <v>2009</v>
      </c>
      <c r="M292" s="21">
        <f t="shared" si="33"/>
        <v>3.9865737366924425</v>
      </c>
      <c r="N292" s="21">
        <f t="shared" si="34"/>
        <v>3.3759753531637968</v>
      </c>
    </row>
    <row r="294" spans="1:20" s="9" customFormat="1" x14ac:dyDescent="0.2">
      <c r="A294" s="26" t="s">
        <v>29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41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8" activePane="bottomLeft" state="frozen"/>
      <selection activeCell="A4" sqref="A4"/>
      <selection pane="bottomLeft" activeCell="A8" sqref="A8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54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G - Point of Delivery Cost Function Workbook</v>
      </c>
    </row>
    <row r="4" spans="1:20" s="1" customFormat="1" x14ac:dyDescent="0.2">
      <c r="A4" s="1" t="s">
        <v>975</v>
      </c>
      <c r="B4" s="42"/>
    </row>
    <row r="5" spans="1:20" s="1" customFormat="1" x14ac:dyDescent="0.2">
      <c r="A5" s="43" t="str">
        <f>TableDate</f>
        <v>August 17, 2018</v>
      </c>
      <c r="B5" s="44"/>
    </row>
    <row r="6" spans="1:20" x14ac:dyDescent="0.2">
      <c r="E6" s="28"/>
    </row>
    <row r="7" spans="1:20" ht="25.5" x14ac:dyDescent="0.2">
      <c r="A7" s="10" t="s">
        <v>0</v>
      </c>
      <c r="B7" s="11" t="s">
        <v>7</v>
      </c>
      <c r="C7" s="12" t="s">
        <v>8</v>
      </c>
      <c r="D7" s="13" t="s">
        <v>30</v>
      </c>
      <c r="E7" s="14" t="s">
        <v>10</v>
      </c>
      <c r="F7" s="12" t="s">
        <v>11</v>
      </c>
      <c r="G7" s="13" t="s">
        <v>12</v>
      </c>
      <c r="H7" s="14" t="s">
        <v>13</v>
      </c>
      <c r="I7" s="12" t="s">
        <v>2</v>
      </c>
      <c r="J7" s="13" t="s">
        <v>14</v>
      </c>
      <c r="K7" s="14" t="s">
        <v>15</v>
      </c>
      <c r="M7" s="11" t="s">
        <v>16</v>
      </c>
      <c r="N7" s="11" t="s">
        <v>17</v>
      </c>
      <c r="P7" s="41" t="s">
        <v>53</v>
      </c>
      <c r="Q7" s="15"/>
      <c r="T7" s="3"/>
    </row>
    <row r="8" spans="1:20" x14ac:dyDescent="0.2">
      <c r="A8" s="25">
        <f>'GF + UG Iteration 6'!A8</f>
        <v>476</v>
      </c>
      <c r="B8" s="25" t="str">
        <f>'GF + UG Iteration 6'!B8</f>
        <v>GF</v>
      </c>
      <c r="C8" s="18">
        <f>'GF + UG Iteration 6'!C8</f>
        <v>14</v>
      </c>
      <c r="D8" s="19">
        <f>'GF + UG Iteration 6'!D8</f>
        <v>16.861812370959647</v>
      </c>
      <c r="E8" s="30">
        <f>'GF + UG Iteration 6'!E8</f>
        <v>2003</v>
      </c>
      <c r="F8" s="18"/>
      <c r="G8" s="19"/>
      <c r="H8" s="20"/>
      <c r="I8" s="18">
        <f>C8+F8</f>
        <v>14</v>
      </c>
      <c r="J8" s="19">
        <f>D8+G8</f>
        <v>16.861812370959647</v>
      </c>
      <c r="K8" s="20">
        <f>MAX(E8,H8)</f>
        <v>2003</v>
      </c>
      <c r="M8" s="21">
        <f>LN(I8)</f>
        <v>2.6390573296152584</v>
      </c>
      <c r="N8" s="21">
        <f>LN(J8)</f>
        <v>2.8250514421084625</v>
      </c>
      <c r="O8" s="3" t="s">
        <v>19</v>
      </c>
      <c r="P8" s="22">
        <f t="array" ref="P8:Q12">LINEST(N8:N292,M8:M292,TRUE,TRUE)</f>
        <v>0.57218770112413131</v>
      </c>
      <c r="Q8" s="22">
        <v>0.93900537870520173</v>
      </c>
      <c r="R8" s="5" t="s">
        <v>20</v>
      </c>
    </row>
    <row r="9" spans="1:20" x14ac:dyDescent="0.2">
      <c r="A9" s="25">
        <f>'GF + UG Iteration 6'!A9</f>
        <v>478</v>
      </c>
      <c r="B9" s="25" t="str">
        <f>'GF + UG Iteration 6'!B9</f>
        <v>GF</v>
      </c>
      <c r="C9" s="18">
        <f>'GF + UG Iteration 6'!C9</f>
        <v>8.5</v>
      </c>
      <c r="D9" s="19">
        <f>'GF + UG Iteration 6'!D9</f>
        <v>6.0182252638842719</v>
      </c>
      <c r="E9" s="30">
        <f>'GF + UG Iteration 6'!E9</f>
        <v>2003</v>
      </c>
      <c r="F9" s="18"/>
      <c r="G9" s="19"/>
      <c r="H9" s="20"/>
      <c r="I9" s="18">
        <f t="shared" ref="I9:I71" si="0">C9+F9</f>
        <v>8.5</v>
      </c>
      <c r="J9" s="19">
        <f t="shared" ref="J9:J71" si="1">D9+G9</f>
        <v>6.0182252638842719</v>
      </c>
      <c r="K9" s="20">
        <f t="shared" ref="K9:K71" si="2">MAX(E9,H9)</f>
        <v>2003</v>
      </c>
      <c r="M9" s="21">
        <f t="shared" ref="M9:M71" si="3">LN(I9)</f>
        <v>2.1400661634962708</v>
      </c>
      <c r="N9" s="21">
        <f t="shared" ref="N9:N71" si="4">LN(J9)</f>
        <v>1.7947924091929603</v>
      </c>
      <c r="O9" s="3" t="s">
        <v>21</v>
      </c>
      <c r="P9" s="22">
        <v>3.2090023294156833E-2</v>
      </c>
      <c r="Q9" s="22">
        <v>0.10232606894195574</v>
      </c>
      <c r="R9" s="5" t="s">
        <v>22</v>
      </c>
    </row>
    <row r="10" spans="1:20" x14ac:dyDescent="0.2">
      <c r="A10" s="25">
        <f>'GF + UG Iteration 6'!A10</f>
        <v>473</v>
      </c>
      <c r="B10" s="25" t="str">
        <f>'GF + UG Iteration 6'!B10</f>
        <v>GF</v>
      </c>
      <c r="C10" s="18">
        <f>'GF + UG Iteration 6'!C10</f>
        <v>30</v>
      </c>
      <c r="D10" s="19">
        <f>'GF + UG Iteration 6'!D10</f>
        <v>14.998991377977235</v>
      </c>
      <c r="E10" s="30">
        <f>'GF + UG Iteration 6'!E10</f>
        <v>2003</v>
      </c>
      <c r="F10" s="18"/>
      <c r="G10" s="19"/>
      <c r="H10" s="20"/>
      <c r="I10" s="18">
        <f t="shared" si="0"/>
        <v>30</v>
      </c>
      <c r="J10" s="19">
        <f t="shared" si="1"/>
        <v>14.998991377977235</v>
      </c>
      <c r="K10" s="20">
        <f t="shared" si="2"/>
        <v>2003</v>
      </c>
      <c r="M10" s="21">
        <f t="shared" si="3"/>
        <v>3.4011973816621555</v>
      </c>
      <c r="N10" s="21">
        <f t="shared" si="4"/>
        <v>2.707982957373217</v>
      </c>
      <c r="O10" s="3" t="s">
        <v>1</v>
      </c>
      <c r="P10" s="22">
        <v>0.52906641909853802</v>
      </c>
      <c r="Q10" s="22">
        <v>0.39310835962794155</v>
      </c>
      <c r="R10" s="5" t="s">
        <v>23</v>
      </c>
    </row>
    <row r="11" spans="1:20" x14ac:dyDescent="0.2">
      <c r="A11" s="25">
        <f>'GF + UG Iteration 6'!A11</f>
        <v>1042</v>
      </c>
      <c r="B11" s="25" t="str">
        <f>'GF + UG Iteration 6'!B11</f>
        <v>GF</v>
      </c>
      <c r="C11" s="18">
        <f>'GF + UG Iteration 6'!C11</f>
        <v>13</v>
      </c>
      <c r="D11" s="19">
        <f>'GF + UG Iteration 6'!D11</f>
        <v>11.164764224012115</v>
      </c>
      <c r="E11" s="30">
        <f>'GF + UG Iteration 6'!E11</f>
        <v>2011</v>
      </c>
      <c r="F11" s="18"/>
      <c r="G11" s="19"/>
      <c r="H11" s="20"/>
      <c r="I11" s="18">
        <f t="shared" si="0"/>
        <v>13</v>
      </c>
      <c r="J11" s="19">
        <f t="shared" si="1"/>
        <v>11.164764224012115</v>
      </c>
      <c r="K11" s="20">
        <f t="shared" si="2"/>
        <v>2011</v>
      </c>
      <c r="M11" s="21">
        <f t="shared" si="3"/>
        <v>2.5649493574615367</v>
      </c>
      <c r="N11" s="21">
        <f t="shared" si="4"/>
        <v>2.4127627676497201</v>
      </c>
      <c r="O11" s="3" t="s">
        <v>24</v>
      </c>
      <c r="P11" s="22">
        <v>317.93399892672943</v>
      </c>
      <c r="Q11" s="22">
        <v>283</v>
      </c>
      <c r="R11" s="5" t="s">
        <v>25</v>
      </c>
    </row>
    <row r="12" spans="1:20" x14ac:dyDescent="0.2">
      <c r="A12" s="25">
        <f>'GF + UG Iteration 6'!A12</f>
        <v>443</v>
      </c>
      <c r="B12" s="25" t="str">
        <f>'GF + UG Iteration 6'!B12</f>
        <v>GF</v>
      </c>
      <c r="C12" s="18">
        <f>'GF + UG Iteration 6'!C12</f>
        <v>24.3</v>
      </c>
      <c r="D12" s="19">
        <f>'GF + UG Iteration 6'!D12</f>
        <v>11.705577131494863</v>
      </c>
      <c r="E12" s="30">
        <f>'GF + UG Iteration 6'!E12</f>
        <v>2006</v>
      </c>
      <c r="F12" s="18"/>
      <c r="G12" s="19"/>
      <c r="H12" s="20"/>
      <c r="I12" s="18">
        <f t="shared" si="0"/>
        <v>24.3</v>
      </c>
      <c r="J12" s="19">
        <f t="shared" si="1"/>
        <v>11.705577131494863</v>
      </c>
      <c r="K12" s="20">
        <f t="shared" si="2"/>
        <v>2006</v>
      </c>
      <c r="M12" s="21">
        <f t="shared" si="3"/>
        <v>3.1904763503465028</v>
      </c>
      <c r="N12" s="21">
        <f t="shared" si="4"/>
        <v>2.4600654061344325</v>
      </c>
      <c r="O12" s="3" t="s">
        <v>26</v>
      </c>
      <c r="P12" s="22">
        <v>49.131670584283981</v>
      </c>
      <c r="Q12" s="22">
        <v>43.733173621852004</v>
      </c>
      <c r="R12" s="5" t="s">
        <v>27</v>
      </c>
    </row>
    <row r="13" spans="1:20" x14ac:dyDescent="0.2">
      <c r="A13" s="25">
        <f>'GF + UG Iteration 6'!A13</f>
        <v>1195</v>
      </c>
      <c r="B13" s="25" t="str">
        <f>'GF + UG Iteration 6'!B13</f>
        <v>GF</v>
      </c>
      <c r="C13" s="18">
        <f>'GF + UG Iteration 6'!C13</f>
        <v>18</v>
      </c>
      <c r="D13" s="19">
        <f>'GF + UG Iteration 6'!D13</f>
        <v>31.659927445331629</v>
      </c>
      <c r="E13" s="30">
        <f>'GF + UG Iteration 6'!E13</f>
        <v>2011</v>
      </c>
      <c r="F13" s="18"/>
      <c r="G13" s="19"/>
      <c r="H13" s="20"/>
      <c r="I13" s="18">
        <f t="shared" si="0"/>
        <v>18</v>
      </c>
      <c r="J13" s="19">
        <f t="shared" si="1"/>
        <v>31.659927445331629</v>
      </c>
      <c r="K13" s="20">
        <f t="shared" si="2"/>
        <v>2011</v>
      </c>
      <c r="M13" s="21">
        <f t="shared" si="3"/>
        <v>2.8903717578961645</v>
      </c>
      <c r="N13" s="21">
        <f t="shared" si="4"/>
        <v>3.4550517627677269</v>
      </c>
    </row>
    <row r="14" spans="1:20" x14ac:dyDescent="0.2">
      <c r="A14" s="25">
        <f>'GF + UG Iteration 6'!A14</f>
        <v>420</v>
      </c>
      <c r="B14" s="25" t="str">
        <f>'GF + UG Iteration 6'!B14</f>
        <v>GF</v>
      </c>
      <c r="C14" s="18">
        <f>'GF + UG Iteration 6'!C14</f>
        <v>6</v>
      </c>
      <c r="D14" s="19">
        <f>'GF + UG Iteration 6'!D14</f>
        <v>9.6396451057157435</v>
      </c>
      <c r="E14" s="30">
        <f>'GF + UG Iteration 6'!E14</f>
        <v>2007</v>
      </c>
      <c r="F14" s="18"/>
      <c r="G14" s="19"/>
      <c r="H14" s="20"/>
      <c r="I14" s="18">
        <f t="shared" si="0"/>
        <v>6</v>
      </c>
      <c r="J14" s="19">
        <f t="shared" si="1"/>
        <v>9.6396451057157435</v>
      </c>
      <c r="K14" s="20">
        <f t="shared" si="2"/>
        <v>2007</v>
      </c>
      <c r="M14" s="21">
        <f t="shared" si="3"/>
        <v>1.791759469228055</v>
      </c>
      <c r="N14" s="21">
        <f t="shared" si="4"/>
        <v>2.2658842931849965</v>
      </c>
      <c r="P14" s="15" t="s">
        <v>6</v>
      </c>
      <c r="Q14" s="15"/>
    </row>
    <row r="15" spans="1:20" x14ac:dyDescent="0.2">
      <c r="A15" s="25">
        <f>'GF + UG Iteration 6'!A15</f>
        <v>440</v>
      </c>
      <c r="B15" s="25" t="str">
        <f>'GF + UG Iteration 6'!B15</f>
        <v>GF</v>
      </c>
      <c r="C15" s="18">
        <f>'GF + UG Iteration 6'!C15</f>
        <v>10</v>
      </c>
      <c r="D15" s="19">
        <f>'GF + UG Iteration 6'!D15</f>
        <v>16.009559216092757</v>
      </c>
      <c r="E15" s="30">
        <f>'GF + UG Iteration 6'!E15</f>
        <v>2006</v>
      </c>
      <c r="F15" s="18"/>
      <c r="G15" s="19"/>
      <c r="H15" s="20"/>
      <c r="I15" s="18">
        <f t="shared" si="0"/>
        <v>10</v>
      </c>
      <c r="J15" s="19">
        <f t="shared" si="1"/>
        <v>16.009559216092757</v>
      </c>
      <c r="K15" s="20">
        <f t="shared" si="2"/>
        <v>2006</v>
      </c>
      <c r="M15" s="21">
        <f t="shared" si="3"/>
        <v>2.3025850929940459</v>
      </c>
      <c r="N15" s="21">
        <f t="shared" si="4"/>
        <v>2.7731859948427808</v>
      </c>
      <c r="O15" s="3" t="s">
        <v>19</v>
      </c>
      <c r="P15" s="23">
        <f>P8</f>
        <v>0.57218770112413131</v>
      </c>
      <c r="Q15" s="31">
        <f>(P15-'GF + UG Iteration 6'!P15)/'GF + UG Iteration 6'!P15</f>
        <v>9.5450401650247246E-4</v>
      </c>
      <c r="R15" s="32" t="s">
        <v>31</v>
      </c>
    </row>
    <row r="16" spans="1:20" x14ac:dyDescent="0.2">
      <c r="A16" s="25">
        <f>'GF + UG Iteration 6'!A16</f>
        <v>1102</v>
      </c>
      <c r="B16" s="25" t="str">
        <f>'GF + UG Iteration 6'!B16</f>
        <v>GF</v>
      </c>
      <c r="C16" s="18">
        <f>'GF + UG Iteration 6'!C16</f>
        <v>20</v>
      </c>
      <c r="D16" s="19">
        <f>'GF + UG Iteration 6'!D16</f>
        <v>16.293644713264708</v>
      </c>
      <c r="E16" s="30">
        <f>'GF + UG Iteration 6'!E16</f>
        <v>2011</v>
      </c>
      <c r="F16" s="18"/>
      <c r="G16" s="19"/>
      <c r="H16" s="20"/>
      <c r="I16" s="18">
        <f t="shared" si="0"/>
        <v>20</v>
      </c>
      <c r="J16" s="19">
        <f t="shared" si="1"/>
        <v>16.293644713264708</v>
      </c>
      <c r="K16" s="20">
        <f t="shared" si="2"/>
        <v>2011</v>
      </c>
      <c r="M16" s="21">
        <f t="shared" si="3"/>
        <v>2.9957322735539909</v>
      </c>
      <c r="N16" s="21">
        <f t="shared" si="4"/>
        <v>2.7907751368922047</v>
      </c>
      <c r="O16" s="3" t="s">
        <v>28</v>
      </c>
      <c r="P16" s="23">
        <f>EXP(Q8)</f>
        <v>2.5574364721349565</v>
      </c>
      <c r="Q16" s="31">
        <f>(P16-'GF + UG Iteration 6'!P16)/'GF + UG Iteration 6'!P16</f>
        <v>-1.5328716083321721E-3</v>
      </c>
      <c r="R16" s="32" t="s">
        <v>32</v>
      </c>
    </row>
    <row r="17" spans="1:18" x14ac:dyDescent="0.2">
      <c r="A17" s="25">
        <f>'GF + UG Iteration 6'!A17</f>
        <v>324</v>
      </c>
      <c r="B17" s="25" t="str">
        <f>'GF + UG Iteration 6'!B17</f>
        <v>GF</v>
      </c>
      <c r="C17" s="18">
        <f>'GF + UG Iteration 6'!C17</f>
        <v>17.2</v>
      </c>
      <c r="D17" s="19">
        <f>'GF + UG Iteration 6'!D17</f>
        <v>8.9094125785416409</v>
      </c>
      <c r="E17" s="30">
        <f>'GF + UG Iteration 6'!E17</f>
        <v>2003</v>
      </c>
      <c r="F17" s="18"/>
      <c r="G17" s="19"/>
      <c r="H17" s="20"/>
      <c r="I17" s="18">
        <f t="shared" si="0"/>
        <v>17.2</v>
      </c>
      <c r="J17" s="19">
        <f t="shared" si="1"/>
        <v>8.9094125785416409</v>
      </c>
      <c r="K17" s="20">
        <f t="shared" si="2"/>
        <v>2003</v>
      </c>
      <c r="M17" s="21">
        <f t="shared" si="3"/>
        <v>2.8449093838194073</v>
      </c>
      <c r="N17" s="21">
        <f t="shared" si="4"/>
        <v>2.1871083109750784</v>
      </c>
      <c r="O17" s="3"/>
      <c r="P17" s="24"/>
      <c r="R17" s="32" t="s">
        <v>33</v>
      </c>
    </row>
    <row r="18" spans="1:18" x14ac:dyDescent="0.2">
      <c r="A18" s="25">
        <f>'GF + UG Iteration 6'!A18</f>
        <v>1103</v>
      </c>
      <c r="B18" s="25" t="str">
        <f>'GF + UG Iteration 6'!B18</f>
        <v>GF</v>
      </c>
      <c r="C18" s="18">
        <f>'GF + UG Iteration 6'!C18</f>
        <v>20</v>
      </c>
      <c r="D18" s="19">
        <f>'GF + UG Iteration 6'!D18</f>
        <v>17.299482978955592</v>
      </c>
      <c r="E18" s="30">
        <f>'GF + UG Iteration 6'!E18</f>
        <v>2011</v>
      </c>
      <c r="F18" s="18"/>
      <c r="G18" s="19"/>
      <c r="H18" s="20"/>
      <c r="I18" s="18">
        <f t="shared" si="0"/>
        <v>20</v>
      </c>
      <c r="J18" s="19">
        <f t="shared" si="1"/>
        <v>17.299482978955592</v>
      </c>
      <c r="K18" s="20">
        <f t="shared" si="2"/>
        <v>2011</v>
      </c>
      <c r="M18" s="21">
        <f t="shared" si="3"/>
        <v>2.9957322735539909</v>
      </c>
      <c r="N18" s="21">
        <f t="shared" si="4"/>
        <v>2.8506766154476462</v>
      </c>
      <c r="P18"/>
      <c r="Q18"/>
      <c r="R18" s="32" t="s">
        <v>34</v>
      </c>
    </row>
    <row r="19" spans="1:18" x14ac:dyDescent="0.2">
      <c r="A19" s="25">
        <f>'GF + UG Iteration 6'!A19</f>
        <v>386</v>
      </c>
      <c r="B19" s="25" t="str">
        <f>'GF + UG Iteration 6'!B19</f>
        <v>GF</v>
      </c>
      <c r="C19" s="18">
        <f>'GF + UG Iteration 6'!C19</f>
        <v>9</v>
      </c>
      <c r="D19" s="19">
        <f>'GF + UG Iteration 6'!D19</f>
        <v>9.9511250787738224</v>
      </c>
      <c r="E19" s="30">
        <f>'GF + UG Iteration 6'!E19</f>
        <v>2003</v>
      </c>
      <c r="F19" s="18"/>
      <c r="G19" s="19"/>
      <c r="H19" s="20"/>
      <c r="I19" s="18">
        <f t="shared" si="0"/>
        <v>9</v>
      </c>
      <c r="J19" s="19">
        <f t="shared" si="1"/>
        <v>9.9511250787738224</v>
      </c>
      <c r="K19" s="20">
        <f t="shared" si="2"/>
        <v>2003</v>
      </c>
      <c r="M19" s="21">
        <f t="shared" si="3"/>
        <v>2.1972245773362196</v>
      </c>
      <c r="N19" s="21">
        <f t="shared" si="4"/>
        <v>2.2976856180218044</v>
      </c>
      <c r="P19"/>
      <c r="Q19"/>
    </row>
    <row r="20" spans="1:18" x14ac:dyDescent="0.2">
      <c r="A20" s="25">
        <f>'GF + UG Iteration 6'!A20</f>
        <v>80</v>
      </c>
      <c r="B20" s="25" t="str">
        <f>'GF + UG Iteration 6'!B20</f>
        <v>GF</v>
      </c>
      <c r="C20" s="18">
        <f>'GF + UG Iteration 6'!C20</f>
        <v>8</v>
      </c>
      <c r="D20" s="19">
        <f>'GF + UG Iteration 6'!D20</f>
        <v>6.0754029342110369</v>
      </c>
      <c r="E20" s="30">
        <f>'GF + UG Iteration 6'!E20</f>
        <v>2001</v>
      </c>
      <c r="F20" s="18"/>
      <c r="G20" s="19"/>
      <c r="H20" s="20"/>
      <c r="I20" s="18">
        <f t="shared" si="0"/>
        <v>8</v>
      </c>
      <c r="J20" s="19">
        <f t="shared" si="1"/>
        <v>6.0754029342110369</v>
      </c>
      <c r="K20" s="20">
        <f t="shared" si="2"/>
        <v>2001</v>
      </c>
      <c r="M20" s="21">
        <f t="shared" si="3"/>
        <v>2.0794415416798357</v>
      </c>
      <c r="N20" s="21">
        <f t="shared" si="4"/>
        <v>1.8042483136462</v>
      </c>
      <c r="P20"/>
      <c r="Q20"/>
    </row>
    <row r="21" spans="1:18" x14ac:dyDescent="0.2">
      <c r="A21" s="25">
        <f>'GF + UG Iteration 6'!A21</f>
        <v>1052</v>
      </c>
      <c r="B21" s="25" t="str">
        <f>'GF + UG Iteration 6'!B21</f>
        <v>GF</v>
      </c>
      <c r="C21" s="18">
        <f>'GF + UG Iteration 6'!C21</f>
        <v>13.6</v>
      </c>
      <c r="D21" s="19">
        <f>'GF + UG Iteration 6'!D21</f>
        <v>10.90270245998838</v>
      </c>
      <c r="E21" s="30">
        <f>'GF + UG Iteration 6'!E21</f>
        <v>2011</v>
      </c>
      <c r="F21" s="18"/>
      <c r="G21" s="19"/>
      <c r="H21" s="20"/>
      <c r="I21" s="18">
        <f t="shared" si="0"/>
        <v>13.6</v>
      </c>
      <c r="J21" s="19">
        <f t="shared" si="1"/>
        <v>10.90270245998838</v>
      </c>
      <c r="K21" s="20">
        <f t="shared" si="2"/>
        <v>2011</v>
      </c>
      <c r="M21" s="21">
        <f t="shared" si="3"/>
        <v>2.6100697927420065</v>
      </c>
      <c r="N21" s="21">
        <f t="shared" si="4"/>
        <v>2.3890106906140374</v>
      </c>
      <c r="P21"/>
      <c r="Q21"/>
    </row>
    <row r="22" spans="1:18" x14ac:dyDescent="0.2">
      <c r="A22" s="25">
        <f>'GF + UG Iteration 6'!A22</f>
        <v>347</v>
      </c>
      <c r="B22" s="25" t="str">
        <f>'GF + UG Iteration 6'!B22</f>
        <v>GF</v>
      </c>
      <c r="C22" s="18">
        <f>'GF + UG Iteration 6'!C22</f>
        <v>10.548</v>
      </c>
      <c r="D22" s="19">
        <f>'GF + UG Iteration 6'!D22</f>
        <v>9.3004925979781259</v>
      </c>
      <c r="E22" s="30">
        <f>'GF + UG Iteration 6'!E22</f>
        <v>2003</v>
      </c>
      <c r="F22" s="18"/>
      <c r="G22" s="19"/>
      <c r="H22" s="20"/>
      <c r="I22" s="18">
        <f t="shared" si="0"/>
        <v>10.548</v>
      </c>
      <c r="J22" s="19">
        <f t="shared" si="1"/>
        <v>9.3004925979781259</v>
      </c>
      <c r="K22" s="20">
        <f t="shared" si="2"/>
        <v>2003</v>
      </c>
      <c r="M22" s="21">
        <f t="shared" si="3"/>
        <v>2.3559362684910403</v>
      </c>
      <c r="N22" s="21">
        <f t="shared" si="4"/>
        <v>2.23006736628101</v>
      </c>
    </row>
    <row r="23" spans="1:18" x14ac:dyDescent="0.2">
      <c r="A23" s="25">
        <f>'GF + UG Iteration 6'!A23</f>
        <v>1358</v>
      </c>
      <c r="B23" s="25" t="str">
        <f>'GF + UG Iteration 6'!B23</f>
        <v>GF</v>
      </c>
      <c r="C23" s="18">
        <f>'GF + UG Iteration 6'!C23</f>
        <v>27</v>
      </c>
      <c r="D23" s="19">
        <f>'GF + UG Iteration 6'!D23</f>
        <v>13.07265503282744</v>
      </c>
      <c r="E23" s="30">
        <f>'GF + UG Iteration 6'!E23</f>
        <v>2011</v>
      </c>
      <c r="F23" s="18"/>
      <c r="G23" s="19"/>
      <c r="H23" s="20"/>
      <c r="I23" s="18">
        <f t="shared" si="0"/>
        <v>27</v>
      </c>
      <c r="J23" s="19">
        <f t="shared" si="1"/>
        <v>13.07265503282744</v>
      </c>
      <c r="K23" s="20">
        <f t="shared" si="2"/>
        <v>2011</v>
      </c>
      <c r="M23" s="21">
        <f t="shared" si="3"/>
        <v>3.2958368660043291</v>
      </c>
      <c r="N23" s="21">
        <f t="shared" si="4"/>
        <v>2.5705226464726247</v>
      </c>
    </row>
    <row r="24" spans="1:18" x14ac:dyDescent="0.2">
      <c r="A24" s="25">
        <f>'GF + UG Iteration 6'!A24</f>
        <v>584</v>
      </c>
      <c r="B24" s="25" t="str">
        <f>'GF + UG Iteration 6'!B24</f>
        <v>GF</v>
      </c>
      <c r="C24" s="18">
        <f>'GF + UG Iteration 6'!C24</f>
        <v>28</v>
      </c>
      <c r="D24" s="19">
        <f>'GF + UG Iteration 6'!D24</f>
        <v>34.903749706800433</v>
      </c>
      <c r="E24" s="30">
        <f>'GF + UG Iteration 6'!E24</f>
        <v>2011</v>
      </c>
      <c r="F24" s="18"/>
      <c r="G24" s="19"/>
      <c r="H24" s="20"/>
      <c r="I24" s="18">
        <f t="shared" si="0"/>
        <v>28</v>
      </c>
      <c r="J24" s="19">
        <f t="shared" si="1"/>
        <v>34.903749706800433</v>
      </c>
      <c r="K24" s="20">
        <f t="shared" si="2"/>
        <v>2011</v>
      </c>
      <c r="M24" s="21">
        <f t="shared" si="3"/>
        <v>3.3322045101752038</v>
      </c>
      <c r="N24" s="21">
        <f t="shared" si="4"/>
        <v>3.5525942648925612</v>
      </c>
    </row>
    <row r="25" spans="1:18" x14ac:dyDescent="0.2">
      <c r="A25" s="25">
        <f>'GF + UG Iteration 6'!A25</f>
        <v>422</v>
      </c>
      <c r="B25" s="25" t="str">
        <f>'GF + UG Iteration 6'!B25</f>
        <v>GF</v>
      </c>
      <c r="C25" s="18">
        <f>'GF + UG Iteration 6'!C25</f>
        <v>24</v>
      </c>
      <c r="D25" s="19">
        <f>'GF + UG Iteration 6'!D25</f>
        <v>13.650794587226329</v>
      </c>
      <c r="E25" s="30">
        <f>'GF + UG Iteration 6'!E25</f>
        <v>2003</v>
      </c>
      <c r="F25" s="18"/>
      <c r="G25" s="19"/>
      <c r="H25" s="20"/>
      <c r="I25" s="18">
        <f t="shared" si="0"/>
        <v>24</v>
      </c>
      <c r="J25" s="19">
        <f t="shared" si="1"/>
        <v>13.650794587226329</v>
      </c>
      <c r="K25" s="20">
        <f t="shared" si="2"/>
        <v>2003</v>
      </c>
      <c r="M25" s="21">
        <f t="shared" si="3"/>
        <v>3.1780538303479458</v>
      </c>
      <c r="N25" s="21">
        <f t="shared" si="4"/>
        <v>2.6137977314551564</v>
      </c>
    </row>
    <row r="26" spans="1:18" x14ac:dyDescent="0.2">
      <c r="A26" s="25">
        <f>'GF + UG Iteration 6'!A26</f>
        <v>944</v>
      </c>
      <c r="B26" s="25" t="str">
        <f>'GF + UG Iteration 6'!B26</f>
        <v>GF</v>
      </c>
      <c r="C26" s="18">
        <f>'GF + UG Iteration 6'!C26</f>
        <v>43</v>
      </c>
      <c r="D26" s="19">
        <f>'GF + UG Iteration 6'!D26</f>
        <v>26.816090615909914</v>
      </c>
      <c r="E26" s="30">
        <f>'GF + UG Iteration 6'!E26</f>
        <v>2010</v>
      </c>
      <c r="F26" s="18"/>
      <c r="G26" s="19"/>
      <c r="H26" s="20"/>
      <c r="I26" s="18">
        <f t="shared" si="0"/>
        <v>43</v>
      </c>
      <c r="J26" s="19">
        <f t="shared" si="1"/>
        <v>26.816090615909914</v>
      </c>
      <c r="K26" s="20">
        <f t="shared" si="2"/>
        <v>2010</v>
      </c>
      <c r="M26" s="21">
        <f t="shared" si="3"/>
        <v>3.7612001156935624</v>
      </c>
      <c r="N26" s="21">
        <f t="shared" si="4"/>
        <v>3.2890021034672148</v>
      </c>
    </row>
    <row r="27" spans="1:18" x14ac:dyDescent="0.2">
      <c r="A27" s="25">
        <f>'GF + UG Iteration 6'!A27</f>
        <v>387</v>
      </c>
      <c r="B27" s="25" t="str">
        <f>'GF + UG Iteration 6'!B27</f>
        <v>GF</v>
      </c>
      <c r="C27" s="18">
        <f>'GF + UG Iteration 6'!C27</f>
        <v>7.5</v>
      </c>
      <c r="D27" s="19">
        <f>'GF + UG Iteration 6'!D27</f>
        <v>9.5130592102135658</v>
      </c>
      <c r="E27" s="30">
        <f>'GF + UG Iteration 6'!E27</f>
        <v>2003</v>
      </c>
      <c r="F27" s="18"/>
      <c r="G27" s="19"/>
      <c r="H27" s="20"/>
      <c r="I27" s="18">
        <f t="shared" si="0"/>
        <v>7.5</v>
      </c>
      <c r="J27" s="19">
        <f t="shared" si="1"/>
        <v>9.5130592102135658</v>
      </c>
      <c r="K27" s="20">
        <f t="shared" si="2"/>
        <v>2003</v>
      </c>
      <c r="M27" s="21">
        <f t="shared" si="3"/>
        <v>2.0149030205422647</v>
      </c>
      <c r="N27" s="21">
        <f t="shared" si="4"/>
        <v>2.2526655083417699</v>
      </c>
    </row>
    <row r="28" spans="1:18" x14ac:dyDescent="0.2">
      <c r="A28" s="25">
        <f>'GF + UG Iteration 6'!A28</f>
        <v>587</v>
      </c>
      <c r="B28" s="25" t="str">
        <f>'GF + UG Iteration 6'!B28</f>
        <v>GF</v>
      </c>
      <c r="C28" s="18">
        <f>'GF + UG Iteration 6'!C28</f>
        <v>17.8</v>
      </c>
      <c r="D28" s="19">
        <f>'GF + UG Iteration 6'!D28</f>
        <v>13.152201549137706</v>
      </c>
      <c r="E28" s="30">
        <f>'GF + UG Iteration 6'!E28</f>
        <v>2006</v>
      </c>
      <c r="F28" s="18"/>
      <c r="G28" s="19"/>
      <c r="H28" s="20"/>
      <c r="I28" s="18">
        <f t="shared" si="0"/>
        <v>17.8</v>
      </c>
      <c r="J28" s="19">
        <f t="shared" si="1"/>
        <v>13.152201549137706</v>
      </c>
      <c r="K28" s="20">
        <f t="shared" si="2"/>
        <v>2006</v>
      </c>
      <c r="M28" s="21">
        <f t="shared" si="3"/>
        <v>2.8791984572980396</v>
      </c>
      <c r="N28" s="21">
        <f t="shared" si="4"/>
        <v>2.57658916279629</v>
      </c>
    </row>
    <row r="29" spans="1:18" x14ac:dyDescent="0.2">
      <c r="A29" s="25">
        <f>'GF + UG Iteration 6'!A29</f>
        <v>585</v>
      </c>
      <c r="B29" s="25" t="str">
        <f>'GF + UG Iteration 6'!B29</f>
        <v>GF</v>
      </c>
      <c r="C29" s="18">
        <f>'GF + UG Iteration 6'!C29</f>
        <v>20.6</v>
      </c>
      <c r="D29" s="19">
        <f>'GF + UG Iteration 6'!D29</f>
        <v>11.291169205189183</v>
      </c>
      <c r="E29" s="30">
        <f>'GF + UG Iteration 6'!E29</f>
        <v>2007</v>
      </c>
      <c r="F29" s="18"/>
      <c r="G29" s="19"/>
      <c r="H29" s="20"/>
      <c r="I29" s="18">
        <f t="shared" si="0"/>
        <v>20.6</v>
      </c>
      <c r="J29" s="19">
        <f t="shared" si="1"/>
        <v>11.291169205189183</v>
      </c>
      <c r="K29" s="20">
        <f t="shared" si="2"/>
        <v>2007</v>
      </c>
      <c r="M29" s="21">
        <f t="shared" si="3"/>
        <v>3.0252910757955354</v>
      </c>
      <c r="N29" s="21">
        <f t="shared" si="4"/>
        <v>2.4240209339322751</v>
      </c>
    </row>
    <row r="30" spans="1:18" x14ac:dyDescent="0.2">
      <c r="A30" s="25">
        <f>'GF + UG Iteration 6'!A30</f>
        <v>831</v>
      </c>
      <c r="B30" s="25" t="str">
        <f>'GF + UG Iteration 6'!B30</f>
        <v>GF</v>
      </c>
      <c r="C30" s="18">
        <f>'GF + UG Iteration 6'!C30</f>
        <v>19.600000000000001</v>
      </c>
      <c r="D30" s="19">
        <f>'GF + UG Iteration 6'!D30</f>
        <v>20.965601428070691</v>
      </c>
      <c r="E30" s="30">
        <f>'GF + UG Iteration 6'!E30</f>
        <v>2011</v>
      </c>
      <c r="F30" s="18"/>
      <c r="G30" s="19"/>
      <c r="H30" s="20"/>
      <c r="I30" s="18">
        <f t="shared" si="0"/>
        <v>19.600000000000001</v>
      </c>
      <c r="J30" s="19">
        <f t="shared" si="1"/>
        <v>20.965601428070691</v>
      </c>
      <c r="K30" s="20">
        <f t="shared" si="2"/>
        <v>2011</v>
      </c>
      <c r="M30" s="21">
        <f t="shared" si="3"/>
        <v>2.9755295662364718</v>
      </c>
      <c r="N30" s="21">
        <f t="shared" si="4"/>
        <v>3.042883067455266</v>
      </c>
    </row>
    <row r="31" spans="1:18" x14ac:dyDescent="0.2">
      <c r="A31" s="25">
        <f>'GF + UG Iteration 6'!A31</f>
        <v>340</v>
      </c>
      <c r="B31" s="25" t="str">
        <f>'GF + UG Iteration 6'!B31</f>
        <v>GF</v>
      </c>
      <c r="C31" s="18">
        <f>'GF + UG Iteration 6'!C31</f>
        <v>22</v>
      </c>
      <c r="D31" s="19">
        <f>'GF + UG Iteration 6'!D31</f>
        <v>13.309615571039751</v>
      </c>
      <c r="E31" s="30">
        <f>'GF + UG Iteration 6'!E31</f>
        <v>2003</v>
      </c>
      <c r="F31" s="18"/>
      <c r="G31" s="19"/>
      <c r="H31" s="20"/>
      <c r="I31" s="18">
        <f t="shared" si="0"/>
        <v>22</v>
      </c>
      <c r="J31" s="19">
        <f t="shared" si="1"/>
        <v>13.309615571039751</v>
      </c>
      <c r="K31" s="20">
        <f t="shared" si="2"/>
        <v>2003</v>
      </c>
      <c r="M31" s="21">
        <f t="shared" si="3"/>
        <v>3.0910424533583161</v>
      </c>
      <c r="N31" s="21">
        <f t="shared" si="4"/>
        <v>2.5884867492731334</v>
      </c>
    </row>
    <row r="32" spans="1:18" x14ac:dyDescent="0.2">
      <c r="A32" s="25">
        <f>'GF + UG Iteration 6'!A32</f>
        <v>334</v>
      </c>
      <c r="B32" s="25" t="str">
        <f>'GF + UG Iteration 6'!B32</f>
        <v>GF</v>
      </c>
      <c r="C32" s="18">
        <f>'GF + UG Iteration 6'!C32</f>
        <v>18.8</v>
      </c>
      <c r="D32" s="19">
        <f>'GF + UG Iteration 6'!D32</f>
        <v>7.9463711126733889</v>
      </c>
      <c r="E32" s="30">
        <f>'GF + UG Iteration 6'!E32</f>
        <v>2003</v>
      </c>
      <c r="F32" s="18"/>
      <c r="G32" s="19"/>
      <c r="H32" s="20"/>
      <c r="I32" s="18">
        <f t="shared" si="0"/>
        <v>18.8</v>
      </c>
      <c r="J32" s="19">
        <f t="shared" si="1"/>
        <v>7.9463711126733889</v>
      </c>
      <c r="K32" s="20">
        <f t="shared" si="2"/>
        <v>2003</v>
      </c>
      <c r="M32" s="21">
        <f t="shared" si="3"/>
        <v>2.9338568698359038</v>
      </c>
      <c r="N32" s="21">
        <f t="shared" si="4"/>
        <v>2.072715360640252</v>
      </c>
    </row>
    <row r="33" spans="1:14" x14ac:dyDescent="0.2">
      <c r="A33" s="25">
        <f>'GF + UG Iteration 6'!A33</f>
        <v>343</v>
      </c>
      <c r="B33" s="25" t="str">
        <f>'GF + UG Iteration 6'!B33</f>
        <v>GF</v>
      </c>
      <c r="C33" s="18">
        <f>'GF + UG Iteration 6'!C33</f>
        <v>15.6</v>
      </c>
      <c r="D33" s="19">
        <f>'GF + UG Iteration 6'!D33</f>
        <v>13.99971574022935</v>
      </c>
      <c r="E33" s="30">
        <f>'GF + UG Iteration 6'!E33</f>
        <v>2003</v>
      </c>
      <c r="F33" s="18"/>
      <c r="G33" s="19"/>
      <c r="H33" s="20"/>
      <c r="I33" s="18">
        <f t="shared" si="0"/>
        <v>15.6</v>
      </c>
      <c r="J33" s="19">
        <f t="shared" si="1"/>
        <v>13.99971574022935</v>
      </c>
      <c r="K33" s="20">
        <f t="shared" si="2"/>
        <v>2003</v>
      </c>
      <c r="M33" s="21">
        <f t="shared" si="3"/>
        <v>2.7472709142554912</v>
      </c>
      <c r="N33" s="21">
        <f t="shared" si="4"/>
        <v>2.6390370251397921</v>
      </c>
    </row>
    <row r="34" spans="1:14" x14ac:dyDescent="0.2">
      <c r="A34" s="25">
        <f>'GF + UG Iteration 6'!A34</f>
        <v>358</v>
      </c>
      <c r="B34" s="25" t="str">
        <f>'GF + UG Iteration 6'!B34</f>
        <v>GF</v>
      </c>
      <c r="C34" s="18">
        <f>'GF + UG Iteration 6'!C34</f>
        <v>19.8</v>
      </c>
      <c r="D34" s="19">
        <f>'GF + UG Iteration 6'!D34</f>
        <v>7.2248521864398549</v>
      </c>
      <c r="E34" s="30">
        <f>'GF + UG Iteration 6'!E34</f>
        <v>2003</v>
      </c>
      <c r="F34" s="18"/>
      <c r="G34" s="19"/>
      <c r="H34" s="20"/>
      <c r="I34" s="18">
        <f t="shared" si="0"/>
        <v>19.8</v>
      </c>
      <c r="J34" s="19">
        <f t="shared" si="1"/>
        <v>7.2248521864398549</v>
      </c>
      <c r="K34" s="20">
        <f t="shared" si="2"/>
        <v>2003</v>
      </c>
      <c r="M34" s="21">
        <f t="shared" si="3"/>
        <v>2.9856819377004897</v>
      </c>
      <c r="N34" s="21">
        <f t="shared" si="4"/>
        <v>1.9775267751649739</v>
      </c>
    </row>
    <row r="35" spans="1:14" x14ac:dyDescent="0.2">
      <c r="A35" s="25">
        <f>'GF + UG Iteration 6'!A35</f>
        <v>702</v>
      </c>
      <c r="B35" s="25" t="str">
        <f>'GF + UG Iteration 6'!B35</f>
        <v>GF</v>
      </c>
      <c r="C35" s="18">
        <f>'GF + UG Iteration 6'!C35</f>
        <v>28.4</v>
      </c>
      <c r="D35" s="19">
        <f>'GF + UG Iteration 6'!D35</f>
        <v>5.2101531080390755</v>
      </c>
      <c r="E35" s="30">
        <f>'GF + UG Iteration 6'!E35</f>
        <v>2007</v>
      </c>
      <c r="F35" s="18"/>
      <c r="G35" s="19"/>
      <c r="H35" s="20"/>
      <c r="I35" s="18">
        <f t="shared" si="0"/>
        <v>28.4</v>
      </c>
      <c r="J35" s="19">
        <f t="shared" si="1"/>
        <v>5.2101531080390755</v>
      </c>
      <c r="K35" s="20">
        <f t="shared" si="2"/>
        <v>2007</v>
      </c>
      <c r="M35" s="21">
        <f t="shared" si="3"/>
        <v>3.3463891451671604</v>
      </c>
      <c r="N35" s="21">
        <f t="shared" si="4"/>
        <v>1.6506092426730299</v>
      </c>
    </row>
    <row r="36" spans="1:14" x14ac:dyDescent="0.2">
      <c r="A36" s="25">
        <f>'GF + UG Iteration 6'!A36</f>
        <v>526</v>
      </c>
      <c r="B36" s="25" t="str">
        <f>'GF + UG Iteration 6'!B36</f>
        <v>GF</v>
      </c>
      <c r="C36" s="18">
        <f>'GF + UG Iteration 6'!C36</f>
        <v>19</v>
      </c>
      <c r="D36" s="19">
        <f>'GF + UG Iteration 6'!D36</f>
        <v>13.758834109767626</v>
      </c>
      <c r="E36" s="30">
        <f>'GF + UG Iteration 6'!E36</f>
        <v>2007</v>
      </c>
      <c r="F36" s="18"/>
      <c r="G36" s="19"/>
      <c r="H36" s="20"/>
      <c r="I36" s="18">
        <f t="shared" si="0"/>
        <v>19</v>
      </c>
      <c r="J36" s="19">
        <f t="shared" si="1"/>
        <v>13.758834109767626</v>
      </c>
      <c r="K36" s="20">
        <f t="shared" si="2"/>
        <v>2007</v>
      </c>
      <c r="M36" s="21">
        <f t="shared" si="3"/>
        <v>2.9444389791664403</v>
      </c>
      <c r="N36" s="21">
        <f t="shared" si="4"/>
        <v>2.6216810985205803</v>
      </c>
    </row>
    <row r="37" spans="1:14" x14ac:dyDescent="0.2">
      <c r="A37" s="25">
        <f>'GF + UG Iteration 6'!A37</f>
        <v>288</v>
      </c>
      <c r="B37" s="25" t="str">
        <f>'GF + UG Iteration 6'!B37</f>
        <v>GF</v>
      </c>
      <c r="C37" s="18">
        <f>'GF + UG Iteration 6'!C37</f>
        <v>12</v>
      </c>
      <c r="D37" s="19">
        <f>'GF + UG Iteration 6'!D37</f>
        <v>4.4533584840568787</v>
      </c>
      <c r="E37" s="30">
        <f>'GF + UG Iteration 6'!E37</f>
        <v>2001</v>
      </c>
      <c r="F37" s="18"/>
      <c r="G37" s="19"/>
      <c r="H37" s="20"/>
      <c r="I37" s="18">
        <f t="shared" si="0"/>
        <v>12</v>
      </c>
      <c r="J37" s="19">
        <f t="shared" si="1"/>
        <v>4.4533584840568787</v>
      </c>
      <c r="K37" s="20">
        <f t="shared" si="2"/>
        <v>2001</v>
      </c>
      <c r="M37" s="21">
        <f t="shared" si="3"/>
        <v>2.4849066497880004</v>
      </c>
      <c r="N37" s="21">
        <f t="shared" si="4"/>
        <v>1.4936585270420049</v>
      </c>
    </row>
    <row r="38" spans="1:14" x14ac:dyDescent="0.2">
      <c r="A38" s="25">
        <f>'GF + UG Iteration 6'!A38</f>
        <v>851</v>
      </c>
      <c r="B38" s="25" t="str">
        <f>'GF + UG Iteration 6'!B38</f>
        <v>GF</v>
      </c>
      <c r="C38" s="18">
        <f>'GF + UG Iteration 6'!C38</f>
        <v>25</v>
      </c>
      <c r="D38" s="19">
        <f>'GF + UG Iteration 6'!D38</f>
        <v>12.931754132918639</v>
      </c>
      <c r="E38" s="30">
        <f>'GF + UG Iteration 6'!E38</f>
        <v>2007</v>
      </c>
      <c r="F38" s="18"/>
      <c r="G38" s="19"/>
      <c r="H38" s="20"/>
      <c r="I38" s="18">
        <f t="shared" si="0"/>
        <v>25</v>
      </c>
      <c r="J38" s="19">
        <f t="shared" si="1"/>
        <v>12.931754132918639</v>
      </c>
      <c r="K38" s="20">
        <f t="shared" si="2"/>
        <v>2007</v>
      </c>
      <c r="M38" s="21">
        <f t="shared" si="3"/>
        <v>3.2188758248682006</v>
      </c>
      <c r="N38" s="21">
        <f t="shared" si="4"/>
        <v>2.5596858473810773</v>
      </c>
    </row>
    <row r="39" spans="1:14" x14ac:dyDescent="0.2">
      <c r="A39" s="25">
        <f>'GF + UG Iteration 6'!A39</f>
        <v>648</v>
      </c>
      <c r="B39" s="25" t="str">
        <f>'GF + UG Iteration 6'!B39</f>
        <v>GF</v>
      </c>
      <c r="C39" s="18">
        <f>'GF + UG Iteration 6'!C39</f>
        <v>15</v>
      </c>
      <c r="D39" s="19">
        <f>'GF + UG Iteration 6'!D39</f>
        <v>14.973718181093032</v>
      </c>
      <c r="E39" s="30">
        <f>'GF + UG Iteration 6'!E39</f>
        <v>2007</v>
      </c>
      <c r="F39" s="18"/>
      <c r="G39" s="19"/>
      <c r="H39" s="20"/>
      <c r="I39" s="18">
        <f t="shared" si="0"/>
        <v>15</v>
      </c>
      <c r="J39" s="19">
        <f t="shared" si="1"/>
        <v>14.973718181093032</v>
      </c>
      <c r="K39" s="20">
        <f t="shared" si="2"/>
        <v>2007</v>
      </c>
      <c r="M39" s="21">
        <f t="shared" si="3"/>
        <v>2.7080502011022101</v>
      </c>
      <c r="N39" s="21">
        <f t="shared" si="4"/>
        <v>2.7062965430819679</v>
      </c>
    </row>
    <row r="40" spans="1:14" x14ac:dyDescent="0.2">
      <c r="A40" s="25">
        <f>'GF + UG Iteration 6'!A40</f>
        <v>855</v>
      </c>
      <c r="B40" s="25" t="str">
        <f>'GF + UG Iteration 6'!B40</f>
        <v>GF</v>
      </c>
      <c r="C40" s="18">
        <f>'GF + UG Iteration 6'!C40</f>
        <v>23</v>
      </c>
      <c r="D40" s="19">
        <f>'GF + UG Iteration 6'!D40</f>
        <v>28.66706963950903</v>
      </c>
      <c r="E40" s="30">
        <f>'GF + UG Iteration 6'!E40</f>
        <v>2011</v>
      </c>
      <c r="F40" s="18"/>
      <c r="G40" s="19"/>
      <c r="H40" s="20"/>
      <c r="I40" s="18">
        <f t="shared" si="0"/>
        <v>23</v>
      </c>
      <c r="J40" s="19">
        <f t="shared" si="1"/>
        <v>28.66706963950903</v>
      </c>
      <c r="K40" s="20">
        <f t="shared" si="2"/>
        <v>2011</v>
      </c>
      <c r="M40" s="21">
        <f t="shared" si="3"/>
        <v>3.1354942159291497</v>
      </c>
      <c r="N40" s="21">
        <f t="shared" si="4"/>
        <v>3.355749064678772</v>
      </c>
    </row>
    <row r="41" spans="1:14" x14ac:dyDescent="0.2">
      <c r="A41" s="25">
        <f>'GF + UG Iteration 6'!A41</f>
        <v>700</v>
      </c>
      <c r="B41" s="25" t="str">
        <f>'GF + UG Iteration 6'!B41</f>
        <v>GF</v>
      </c>
      <c r="C41" s="18">
        <f>'GF + UG Iteration 6'!C41</f>
        <v>9.8000000000000007</v>
      </c>
      <c r="D41" s="19">
        <f>'GF + UG Iteration 6'!D41</f>
        <v>7.0657947644327148</v>
      </c>
      <c r="E41" s="30">
        <f>'GF + UG Iteration 6'!E41</f>
        <v>2007</v>
      </c>
      <c r="F41" s="18"/>
      <c r="G41" s="19"/>
      <c r="H41" s="20"/>
      <c r="I41" s="18">
        <f t="shared" si="0"/>
        <v>9.8000000000000007</v>
      </c>
      <c r="J41" s="19">
        <f t="shared" si="1"/>
        <v>7.0657947644327148</v>
      </c>
      <c r="K41" s="20">
        <f t="shared" si="2"/>
        <v>2007</v>
      </c>
      <c r="M41" s="21">
        <f t="shared" si="3"/>
        <v>2.2823823856765264</v>
      </c>
      <c r="N41" s="21">
        <f t="shared" si="4"/>
        <v>1.9552655030060266</v>
      </c>
    </row>
    <row r="42" spans="1:14" x14ac:dyDescent="0.2">
      <c r="A42" s="25">
        <f>'GF + UG Iteration 6'!A42</f>
        <v>683</v>
      </c>
      <c r="B42" s="25" t="str">
        <f>'GF + UG Iteration 6'!B42</f>
        <v>GF</v>
      </c>
      <c r="C42" s="18">
        <f>'GF + UG Iteration 6'!C42</f>
        <v>30</v>
      </c>
      <c r="D42" s="19">
        <f>'GF + UG Iteration 6'!D42</f>
        <v>16.03232257186292</v>
      </c>
      <c r="E42" s="30">
        <f>'GF + UG Iteration 6'!E42</f>
        <v>2011</v>
      </c>
      <c r="F42" s="18"/>
      <c r="G42" s="19"/>
      <c r="H42" s="20"/>
      <c r="I42" s="18">
        <f t="shared" si="0"/>
        <v>30</v>
      </c>
      <c r="J42" s="19">
        <f t="shared" si="1"/>
        <v>16.03232257186292</v>
      </c>
      <c r="K42" s="20">
        <f t="shared" si="2"/>
        <v>2011</v>
      </c>
      <c r="M42" s="21">
        <f t="shared" si="3"/>
        <v>3.4011973816621555</v>
      </c>
      <c r="N42" s="21">
        <f t="shared" si="4"/>
        <v>2.7746068452004713</v>
      </c>
    </row>
    <row r="43" spans="1:14" x14ac:dyDescent="0.2">
      <c r="A43" s="25">
        <f>'GF + UG Iteration 6'!A43</f>
        <v>559</v>
      </c>
      <c r="B43" s="25" t="str">
        <f>'GF + UG Iteration 6'!B43</f>
        <v>GF</v>
      </c>
      <c r="C43" s="18">
        <f>'GF + UG Iteration 6'!C43</f>
        <v>115</v>
      </c>
      <c r="D43" s="19">
        <f>'GF + UG Iteration 6'!D43</f>
        <v>56.859498956472109</v>
      </c>
      <c r="E43" s="30">
        <f>'GF + UG Iteration 6'!E43</f>
        <v>2011</v>
      </c>
      <c r="F43" s="18"/>
      <c r="G43" s="19"/>
      <c r="H43" s="20"/>
      <c r="I43" s="18">
        <f t="shared" si="0"/>
        <v>115</v>
      </c>
      <c r="J43" s="19">
        <f t="shared" si="1"/>
        <v>56.859498956472109</v>
      </c>
      <c r="K43" s="20">
        <f t="shared" si="2"/>
        <v>2011</v>
      </c>
      <c r="M43" s="21">
        <f t="shared" si="3"/>
        <v>4.7449321283632502</v>
      </c>
      <c r="N43" s="21">
        <f t="shared" si="4"/>
        <v>4.0405832943034818</v>
      </c>
    </row>
    <row r="44" spans="1:14" x14ac:dyDescent="0.2">
      <c r="A44" s="25">
        <f>'GF + UG Iteration 6'!A44</f>
        <v>1074</v>
      </c>
      <c r="B44" s="25" t="str">
        <f>'GF + UG Iteration 6'!B44</f>
        <v>GF</v>
      </c>
      <c r="C44" s="18">
        <f>'GF + UG Iteration 6'!C44</f>
        <v>67</v>
      </c>
      <c r="D44" s="19">
        <f>'GF + UG Iteration 6'!D44</f>
        <v>43.13883453102715</v>
      </c>
      <c r="E44" s="30">
        <f>'GF + UG Iteration 6'!E44</f>
        <v>2011</v>
      </c>
      <c r="F44" s="18"/>
      <c r="G44" s="19"/>
      <c r="H44" s="20"/>
      <c r="I44" s="18">
        <f t="shared" si="0"/>
        <v>67</v>
      </c>
      <c r="J44" s="19">
        <f t="shared" si="1"/>
        <v>43.13883453102715</v>
      </c>
      <c r="K44" s="20">
        <f t="shared" si="2"/>
        <v>2011</v>
      </c>
      <c r="M44" s="21">
        <f t="shared" si="3"/>
        <v>4.2046926193909657</v>
      </c>
      <c r="N44" s="21">
        <f t="shared" si="4"/>
        <v>3.7644236246254454</v>
      </c>
    </row>
    <row r="45" spans="1:14" x14ac:dyDescent="0.2">
      <c r="A45" s="25">
        <f>'GF + UG Iteration 6'!A45</f>
        <v>34</v>
      </c>
      <c r="B45" s="25" t="str">
        <f>'GF + UG Iteration 6'!B45</f>
        <v>GF</v>
      </c>
      <c r="C45" s="18">
        <f>'GF + UG Iteration 6'!C45</f>
        <v>16</v>
      </c>
      <c r="D45" s="19">
        <f>'GF + UG Iteration 6'!D45</f>
        <v>7.5134124542159286</v>
      </c>
      <c r="E45" s="30">
        <f>'GF + UG Iteration 6'!E45</f>
        <v>2000</v>
      </c>
      <c r="F45" s="18"/>
      <c r="G45" s="19"/>
      <c r="H45" s="20"/>
      <c r="I45" s="18">
        <f t="shared" si="0"/>
        <v>16</v>
      </c>
      <c r="J45" s="19">
        <f t="shared" si="1"/>
        <v>7.5134124542159286</v>
      </c>
      <c r="K45" s="20">
        <f t="shared" si="2"/>
        <v>2000</v>
      </c>
      <c r="M45" s="21">
        <f t="shared" si="3"/>
        <v>2.7725887222397811</v>
      </c>
      <c r="N45" s="21">
        <f t="shared" si="4"/>
        <v>2.0166897506177883</v>
      </c>
    </row>
    <row r="46" spans="1:14" x14ac:dyDescent="0.2">
      <c r="A46" s="25">
        <f>'GF + UG Iteration 6'!A46</f>
        <v>433</v>
      </c>
      <c r="B46" s="25" t="str">
        <f>'GF + UG Iteration 6'!B46</f>
        <v>GF</v>
      </c>
      <c r="C46" s="18">
        <f>'GF + UG Iteration 6'!C46</f>
        <v>25</v>
      </c>
      <c r="D46" s="19">
        <f>'GF + UG Iteration 6'!D46</f>
        <v>22.308265318441425</v>
      </c>
      <c r="E46" s="30">
        <f>'GF + UG Iteration 6'!E46</f>
        <v>2003</v>
      </c>
      <c r="F46" s="18"/>
      <c r="G46" s="19"/>
      <c r="H46" s="20"/>
      <c r="I46" s="18">
        <f t="shared" si="0"/>
        <v>25</v>
      </c>
      <c r="J46" s="19">
        <f t="shared" si="1"/>
        <v>22.308265318441425</v>
      </c>
      <c r="K46" s="20">
        <f t="shared" si="2"/>
        <v>2003</v>
      </c>
      <c r="M46" s="21">
        <f t="shared" si="3"/>
        <v>3.2188758248682006</v>
      </c>
      <c r="N46" s="21">
        <f t="shared" si="4"/>
        <v>3.1049572518778392</v>
      </c>
    </row>
    <row r="47" spans="1:14" x14ac:dyDescent="0.2">
      <c r="A47" s="25" t="str">
        <f>'GF + UG Iteration 6'!A47</f>
        <v>79A</v>
      </c>
      <c r="B47" s="25" t="str">
        <f>'GF + UG Iteration 6'!B47</f>
        <v>GF</v>
      </c>
      <c r="C47" s="18">
        <f>'GF + UG Iteration 6'!C47</f>
        <v>8</v>
      </c>
      <c r="D47" s="19">
        <f>'GF + UG Iteration 6'!D47</f>
        <v>5.0823375539699818</v>
      </c>
      <c r="E47" s="30">
        <f>'GF + UG Iteration 6'!E47</f>
        <v>2000</v>
      </c>
      <c r="F47" s="18"/>
      <c r="G47" s="19"/>
      <c r="H47" s="20"/>
      <c r="I47" s="18">
        <f t="shared" si="0"/>
        <v>8</v>
      </c>
      <c r="J47" s="19">
        <f t="shared" si="1"/>
        <v>5.0823375539699818</v>
      </c>
      <c r="K47" s="20">
        <f t="shared" si="2"/>
        <v>2000</v>
      </c>
      <c r="M47" s="21">
        <f t="shared" si="3"/>
        <v>2.0794415416798357</v>
      </c>
      <c r="N47" s="21">
        <f t="shared" si="4"/>
        <v>1.62577130417386</v>
      </c>
    </row>
    <row r="48" spans="1:14" x14ac:dyDescent="0.2">
      <c r="A48" s="25" t="str">
        <f>'GF + UG Iteration 6'!A48</f>
        <v>10A</v>
      </c>
      <c r="B48" s="25" t="str">
        <f>'GF + UG Iteration 6'!B48</f>
        <v>GF</v>
      </c>
      <c r="C48" s="18">
        <f>'GF + UG Iteration 6'!C48</f>
        <v>6.2</v>
      </c>
      <c r="D48" s="19">
        <f>'GF + UG Iteration 6'!D48</f>
        <v>8.9160103759227685</v>
      </c>
      <c r="E48" s="30">
        <f>'GF + UG Iteration 6'!E48</f>
        <v>2001</v>
      </c>
      <c r="F48" s="18"/>
      <c r="G48" s="19"/>
      <c r="H48" s="20"/>
      <c r="I48" s="18">
        <f t="shared" si="0"/>
        <v>6.2</v>
      </c>
      <c r="J48" s="19">
        <f t="shared" si="1"/>
        <v>8.9160103759227685</v>
      </c>
      <c r="K48" s="20">
        <f t="shared" si="2"/>
        <v>2001</v>
      </c>
      <c r="M48" s="21">
        <f t="shared" si="3"/>
        <v>1.824549292051046</v>
      </c>
      <c r="N48" s="21">
        <f t="shared" si="4"/>
        <v>2.1878485792648439</v>
      </c>
    </row>
    <row r="49" spans="1:14" x14ac:dyDescent="0.2">
      <c r="A49" s="25">
        <f>'GF + UG Iteration 6'!A49</f>
        <v>345</v>
      </c>
      <c r="B49" s="25" t="str">
        <f>'GF + UG Iteration 6'!B49</f>
        <v>GF</v>
      </c>
      <c r="C49" s="18">
        <f>'GF + UG Iteration 6'!C49</f>
        <v>35</v>
      </c>
      <c r="D49" s="19">
        <f>'GF + UG Iteration 6'!D49</f>
        <v>8.3689831482940882</v>
      </c>
      <c r="E49" s="30">
        <f>'GF + UG Iteration 6'!E49</f>
        <v>2003</v>
      </c>
      <c r="F49" s="18"/>
      <c r="G49" s="19"/>
      <c r="H49" s="20"/>
      <c r="I49" s="18">
        <f t="shared" si="0"/>
        <v>35</v>
      </c>
      <c r="J49" s="19">
        <f t="shared" si="1"/>
        <v>8.3689831482940882</v>
      </c>
      <c r="K49" s="20">
        <f t="shared" si="2"/>
        <v>2003</v>
      </c>
      <c r="M49" s="21">
        <f t="shared" si="3"/>
        <v>3.5553480614894135</v>
      </c>
      <c r="N49" s="21">
        <f t="shared" si="4"/>
        <v>2.1245323894621508</v>
      </c>
    </row>
    <row r="50" spans="1:14" x14ac:dyDescent="0.2">
      <c r="A50" s="25">
        <f>'GF + UG Iteration 6'!A50</f>
        <v>1049</v>
      </c>
      <c r="B50" s="25" t="str">
        <f>'GF + UG Iteration 6'!B50</f>
        <v>GF</v>
      </c>
      <c r="C50" s="18">
        <f>'GF + UG Iteration 6'!C50</f>
        <v>15.2</v>
      </c>
      <c r="D50" s="19">
        <f>'GF + UG Iteration 6'!D50</f>
        <v>54.551770509232071</v>
      </c>
      <c r="E50" s="30">
        <f>'GF + UG Iteration 6'!E50</f>
        <v>2011</v>
      </c>
      <c r="F50" s="18"/>
      <c r="G50" s="19"/>
      <c r="H50" s="20"/>
      <c r="I50" s="18">
        <f t="shared" si="0"/>
        <v>15.2</v>
      </c>
      <c r="J50" s="19">
        <f t="shared" si="1"/>
        <v>54.551770509232071</v>
      </c>
      <c r="K50" s="20">
        <f t="shared" si="2"/>
        <v>2011</v>
      </c>
      <c r="M50" s="21">
        <f t="shared" si="3"/>
        <v>2.7212954278522306</v>
      </c>
      <c r="N50" s="21">
        <f t="shared" si="4"/>
        <v>3.9991501683835766</v>
      </c>
    </row>
    <row r="51" spans="1:14" x14ac:dyDescent="0.2">
      <c r="A51" s="25">
        <f>'GF + UG Iteration 6'!A51</f>
        <v>230</v>
      </c>
      <c r="B51" s="25" t="str">
        <f>'GF + UG Iteration 6'!B51</f>
        <v>GF</v>
      </c>
      <c r="C51" s="18">
        <f>'GF + UG Iteration 6'!C51</f>
        <v>17</v>
      </c>
      <c r="D51" s="19">
        <f>'GF + UG Iteration 6'!D51</f>
        <v>10.739901169983137</v>
      </c>
      <c r="E51" s="30">
        <f>'GF + UG Iteration 6'!E51</f>
        <v>2003</v>
      </c>
      <c r="F51" s="18"/>
      <c r="G51" s="19"/>
      <c r="H51" s="20"/>
      <c r="I51" s="18">
        <f t="shared" si="0"/>
        <v>17</v>
      </c>
      <c r="J51" s="19">
        <f t="shared" si="1"/>
        <v>10.739901169983137</v>
      </c>
      <c r="K51" s="20">
        <f t="shared" si="2"/>
        <v>2003</v>
      </c>
      <c r="M51" s="21">
        <f t="shared" si="3"/>
        <v>2.8332133440562162</v>
      </c>
      <c r="N51" s="21">
        <f t="shared" si="4"/>
        <v>2.3739658869883922</v>
      </c>
    </row>
    <row r="52" spans="1:14" x14ac:dyDescent="0.2">
      <c r="A52" s="25" t="str">
        <f>'GF + UG Iteration 6'!A52</f>
        <v>79B</v>
      </c>
      <c r="B52" s="25" t="str">
        <f>'GF + UG Iteration 6'!B52</f>
        <v>GF</v>
      </c>
      <c r="C52" s="18">
        <f>'GF + UG Iteration 6'!C52</f>
        <v>8</v>
      </c>
      <c r="D52" s="19">
        <f>'GF + UG Iteration 6'!D52</f>
        <v>3.3788339951362953</v>
      </c>
      <c r="E52" s="30">
        <f>'GF + UG Iteration 6'!E52</f>
        <v>2000</v>
      </c>
      <c r="F52" s="18"/>
      <c r="G52" s="19"/>
      <c r="H52" s="20"/>
      <c r="I52" s="18">
        <f t="shared" si="0"/>
        <v>8</v>
      </c>
      <c r="J52" s="19">
        <f t="shared" si="1"/>
        <v>3.3788339951362953</v>
      </c>
      <c r="K52" s="20">
        <f t="shared" si="2"/>
        <v>2000</v>
      </c>
      <c r="M52" s="21">
        <f t="shared" si="3"/>
        <v>2.0794415416798357</v>
      </c>
      <c r="N52" s="21">
        <f t="shared" si="4"/>
        <v>1.2175306781252826</v>
      </c>
    </row>
    <row r="53" spans="1:14" x14ac:dyDescent="0.2">
      <c r="A53" s="25" t="str">
        <f>'GF + UG Iteration 6'!A53</f>
        <v>10B</v>
      </c>
      <c r="B53" s="25" t="str">
        <f>'GF + UG Iteration 6'!B53</f>
        <v>GF</v>
      </c>
      <c r="C53" s="18">
        <f>'GF + UG Iteration 6'!C53</f>
        <v>9.4060000000000006</v>
      </c>
      <c r="D53" s="19">
        <f>'GF + UG Iteration 6'!D53</f>
        <v>9.7991326901064184</v>
      </c>
      <c r="E53" s="30">
        <f>'GF + UG Iteration 6'!E53</f>
        <v>2001</v>
      </c>
      <c r="F53" s="18"/>
      <c r="G53" s="19"/>
      <c r="H53" s="20"/>
      <c r="I53" s="18">
        <f t="shared" si="0"/>
        <v>9.4060000000000006</v>
      </c>
      <c r="J53" s="19">
        <f t="shared" si="1"/>
        <v>9.7991326901064184</v>
      </c>
      <c r="K53" s="20">
        <f t="shared" si="2"/>
        <v>2001</v>
      </c>
      <c r="M53" s="21">
        <f t="shared" si="3"/>
        <v>2.2413477835228561</v>
      </c>
      <c r="N53" s="21">
        <f t="shared" si="4"/>
        <v>2.2822938807505317</v>
      </c>
    </row>
    <row r="54" spans="1:14" x14ac:dyDescent="0.2">
      <c r="A54" s="25">
        <f>'GF + UG Iteration 6'!A54</f>
        <v>8</v>
      </c>
      <c r="B54" s="25" t="str">
        <f>'GF + UG Iteration 6'!B54</f>
        <v>GF</v>
      </c>
      <c r="C54" s="18">
        <f>'GF + UG Iteration 6'!C54</f>
        <v>18</v>
      </c>
      <c r="D54" s="19">
        <f>'GF + UG Iteration 6'!D54</f>
        <v>11.984110505191126</v>
      </c>
      <c r="E54" s="30">
        <f>'GF + UG Iteration 6'!E54</f>
        <v>2000</v>
      </c>
      <c r="F54" s="18"/>
      <c r="G54" s="19"/>
      <c r="H54" s="20"/>
      <c r="I54" s="18">
        <f t="shared" si="0"/>
        <v>18</v>
      </c>
      <c r="J54" s="19">
        <f t="shared" si="1"/>
        <v>11.984110505191126</v>
      </c>
      <c r="K54" s="20">
        <f t="shared" si="2"/>
        <v>2000</v>
      </c>
      <c r="M54" s="21">
        <f t="shared" si="3"/>
        <v>2.8903717578961645</v>
      </c>
      <c r="N54" s="21">
        <f t="shared" si="4"/>
        <v>2.4835816477930246</v>
      </c>
    </row>
    <row r="55" spans="1:14" x14ac:dyDescent="0.2">
      <c r="A55" s="25">
        <f>'GF + UG Iteration 6'!A55</f>
        <v>487</v>
      </c>
      <c r="B55" s="25" t="str">
        <f>'GF + UG Iteration 6'!B55</f>
        <v>GF</v>
      </c>
      <c r="C55" s="18">
        <f>'GF + UG Iteration 6'!C55</f>
        <v>22</v>
      </c>
      <c r="D55" s="19">
        <f>'GF + UG Iteration 6'!D55</f>
        <v>16.606728766354362</v>
      </c>
      <c r="E55" s="30">
        <f>'GF + UG Iteration 6'!E55</f>
        <v>2007</v>
      </c>
      <c r="F55" s="18"/>
      <c r="G55" s="19"/>
      <c r="H55" s="20"/>
      <c r="I55" s="18">
        <f t="shared" si="0"/>
        <v>22</v>
      </c>
      <c r="J55" s="19">
        <f t="shared" si="1"/>
        <v>16.606728766354362</v>
      </c>
      <c r="K55" s="20">
        <f t="shared" si="2"/>
        <v>2007</v>
      </c>
      <c r="M55" s="21">
        <f t="shared" si="3"/>
        <v>3.0910424533583161</v>
      </c>
      <c r="N55" s="21">
        <f t="shared" si="4"/>
        <v>2.8098079606021904</v>
      </c>
    </row>
    <row r="56" spans="1:14" x14ac:dyDescent="0.2">
      <c r="A56" s="25">
        <f>'GF + UG Iteration 6'!A56</f>
        <v>385</v>
      </c>
      <c r="B56" s="25" t="str">
        <f>'GF + UG Iteration 6'!B56</f>
        <v>GF</v>
      </c>
      <c r="C56" s="18">
        <f>'GF + UG Iteration 6'!C56</f>
        <v>7.5</v>
      </c>
      <c r="D56" s="19">
        <f>'GF + UG Iteration 6'!D56</f>
        <v>8.5880709825089685</v>
      </c>
      <c r="E56" s="30">
        <f>'GF + UG Iteration 6'!E56</f>
        <v>2003</v>
      </c>
      <c r="F56" s="18"/>
      <c r="G56" s="19"/>
      <c r="H56" s="20"/>
      <c r="I56" s="18">
        <f t="shared" si="0"/>
        <v>7.5</v>
      </c>
      <c r="J56" s="19">
        <f t="shared" si="1"/>
        <v>8.5880709825089685</v>
      </c>
      <c r="K56" s="20">
        <f t="shared" si="2"/>
        <v>2003</v>
      </c>
      <c r="M56" s="21">
        <f t="shared" si="3"/>
        <v>2.0149030205422647</v>
      </c>
      <c r="N56" s="21">
        <f t="shared" si="4"/>
        <v>2.1503741452954848</v>
      </c>
    </row>
    <row r="57" spans="1:14" x14ac:dyDescent="0.2">
      <c r="A57" s="25">
        <f>'GF + UG Iteration 6'!A57</f>
        <v>865</v>
      </c>
      <c r="B57" s="25" t="str">
        <f>'GF + UG Iteration 6'!B57</f>
        <v>GF</v>
      </c>
      <c r="C57" s="18">
        <f>'GF + UG Iteration 6'!C57</f>
        <v>25</v>
      </c>
      <c r="D57" s="19">
        <f>'GF + UG Iteration 6'!D57</f>
        <v>8.6091983279462436</v>
      </c>
      <c r="E57" s="30">
        <f>'GF + UG Iteration 6'!E57</f>
        <v>2007</v>
      </c>
      <c r="F57" s="18"/>
      <c r="G57" s="19"/>
      <c r="H57" s="20"/>
      <c r="I57" s="18">
        <f t="shared" si="0"/>
        <v>25</v>
      </c>
      <c r="J57" s="19">
        <f t="shared" si="1"/>
        <v>8.6091983279462436</v>
      </c>
      <c r="K57" s="20">
        <f t="shared" si="2"/>
        <v>2007</v>
      </c>
      <c r="M57" s="21">
        <f t="shared" si="3"/>
        <v>3.2188758248682006</v>
      </c>
      <c r="N57" s="21">
        <f t="shared" si="4"/>
        <v>2.1528312046907798</v>
      </c>
    </row>
    <row r="58" spans="1:14" x14ac:dyDescent="0.2">
      <c r="A58" s="25">
        <f>'GF + UG Iteration 6'!A58</f>
        <v>863</v>
      </c>
      <c r="B58" s="25" t="str">
        <f>'GF + UG Iteration 6'!B58</f>
        <v>GF</v>
      </c>
      <c r="C58" s="18">
        <f>'GF + UG Iteration 6'!C58</f>
        <v>25</v>
      </c>
      <c r="D58" s="19">
        <f>'GF + UG Iteration 6'!D58</f>
        <v>8.2434360504581008</v>
      </c>
      <c r="E58" s="30">
        <f>'GF + UG Iteration 6'!E58</f>
        <v>2007</v>
      </c>
      <c r="F58" s="18"/>
      <c r="G58" s="19"/>
      <c r="H58" s="20"/>
      <c r="I58" s="18">
        <f t="shared" si="0"/>
        <v>25</v>
      </c>
      <c r="J58" s="19">
        <f t="shared" si="1"/>
        <v>8.2434360504581008</v>
      </c>
      <c r="K58" s="20">
        <f t="shared" si="2"/>
        <v>2007</v>
      </c>
      <c r="M58" s="21">
        <f t="shared" si="3"/>
        <v>3.2188758248682006</v>
      </c>
      <c r="N58" s="21">
        <f t="shared" si="4"/>
        <v>2.1094172534173556</v>
      </c>
    </row>
    <row r="59" spans="1:14" x14ac:dyDescent="0.2">
      <c r="A59" s="25">
        <f>'GF + UG Iteration 6'!A59</f>
        <v>527</v>
      </c>
      <c r="B59" s="25" t="str">
        <f>'GF + UG Iteration 6'!B59</f>
        <v>GF</v>
      </c>
      <c r="C59" s="18">
        <f>'GF + UG Iteration 6'!C59</f>
        <v>17</v>
      </c>
      <c r="D59" s="19">
        <f>'GF + UG Iteration 6'!D59</f>
        <v>6.9318595783251213</v>
      </c>
      <c r="E59" s="30">
        <f>'GF + UG Iteration 6'!E59</f>
        <v>2007</v>
      </c>
      <c r="F59" s="18"/>
      <c r="G59" s="19"/>
      <c r="H59" s="20"/>
      <c r="I59" s="18">
        <f t="shared" si="0"/>
        <v>17</v>
      </c>
      <c r="J59" s="19">
        <f t="shared" si="1"/>
        <v>6.9318595783251213</v>
      </c>
      <c r="K59" s="20">
        <f t="shared" si="2"/>
        <v>2007</v>
      </c>
      <c r="M59" s="21">
        <f t="shared" si="3"/>
        <v>2.8332133440562162</v>
      </c>
      <c r="N59" s="21">
        <f t="shared" si="4"/>
        <v>1.936128114626418</v>
      </c>
    </row>
    <row r="60" spans="1:14" x14ac:dyDescent="0.2">
      <c r="A60" s="25">
        <f>'GF + UG Iteration 6'!A60</f>
        <v>595</v>
      </c>
      <c r="B60" s="25" t="str">
        <f>'GF + UG Iteration 6'!B60</f>
        <v>GF</v>
      </c>
      <c r="C60" s="18">
        <f>'GF + UG Iteration 6'!C60</f>
        <v>11</v>
      </c>
      <c r="D60" s="19">
        <f>'GF + UG Iteration 6'!D60</f>
        <v>19.087371326529755</v>
      </c>
      <c r="E60" s="30">
        <f>'GF + UG Iteration 6'!E60</f>
        <v>2007</v>
      </c>
      <c r="F60" s="18"/>
      <c r="G60" s="19"/>
      <c r="H60" s="20"/>
      <c r="I60" s="18">
        <f t="shared" si="0"/>
        <v>11</v>
      </c>
      <c r="J60" s="19">
        <f t="shared" si="1"/>
        <v>19.087371326529755</v>
      </c>
      <c r="K60" s="20">
        <f t="shared" si="2"/>
        <v>2007</v>
      </c>
      <c r="M60" s="21">
        <f t="shared" si="3"/>
        <v>2.3978952727983707</v>
      </c>
      <c r="N60" s="21">
        <f t="shared" si="4"/>
        <v>2.9490269292793174</v>
      </c>
    </row>
    <row r="61" spans="1:14" x14ac:dyDescent="0.2">
      <c r="A61" s="25">
        <f>'GF + UG Iteration 6'!A61</f>
        <v>528</v>
      </c>
      <c r="B61" s="25" t="str">
        <f>'GF + UG Iteration 6'!B61</f>
        <v>GF</v>
      </c>
      <c r="C61" s="18">
        <f>'GF + UG Iteration 6'!C61</f>
        <v>17</v>
      </c>
      <c r="D61" s="19">
        <f>'GF + UG Iteration 6'!D61</f>
        <v>5.2657663175025586</v>
      </c>
      <c r="E61" s="30">
        <f>'GF + UG Iteration 6'!E61</f>
        <v>2007</v>
      </c>
      <c r="F61" s="18"/>
      <c r="G61" s="19"/>
      <c r="H61" s="20"/>
      <c r="I61" s="18">
        <f t="shared" si="0"/>
        <v>17</v>
      </c>
      <c r="J61" s="19">
        <f t="shared" si="1"/>
        <v>5.2657663175025586</v>
      </c>
      <c r="K61" s="20">
        <f t="shared" si="2"/>
        <v>2007</v>
      </c>
      <c r="M61" s="21">
        <f t="shared" si="3"/>
        <v>2.8332133440562162</v>
      </c>
      <c r="N61" s="21">
        <f t="shared" si="4"/>
        <v>1.6612266843778571</v>
      </c>
    </row>
    <row r="62" spans="1:14" x14ac:dyDescent="0.2">
      <c r="A62" s="25">
        <f>'GF + UG Iteration 6'!A62</f>
        <v>529</v>
      </c>
      <c r="B62" s="25" t="str">
        <f>'GF + UG Iteration 6'!B62</f>
        <v>GF</v>
      </c>
      <c r="C62" s="18">
        <f>'GF + UG Iteration 6'!C62</f>
        <v>17</v>
      </c>
      <c r="D62" s="19">
        <f>'GF + UG Iteration 6'!D62</f>
        <v>7.7921694439597555</v>
      </c>
      <c r="E62" s="30">
        <f>'GF + UG Iteration 6'!E62</f>
        <v>2007</v>
      </c>
      <c r="F62" s="18"/>
      <c r="G62" s="19"/>
      <c r="H62" s="20"/>
      <c r="I62" s="18">
        <f t="shared" si="0"/>
        <v>17</v>
      </c>
      <c r="J62" s="19">
        <f t="shared" si="1"/>
        <v>7.7921694439597555</v>
      </c>
      <c r="K62" s="20">
        <f t="shared" si="2"/>
        <v>2007</v>
      </c>
      <c r="M62" s="21">
        <f t="shared" si="3"/>
        <v>2.8332133440562162</v>
      </c>
      <c r="N62" s="21">
        <f t="shared" si="4"/>
        <v>2.0531193119918547</v>
      </c>
    </row>
    <row r="63" spans="1:14" x14ac:dyDescent="0.2">
      <c r="A63" s="25">
        <f>'GF + UG Iteration 6'!A63</f>
        <v>1095</v>
      </c>
      <c r="B63" s="25" t="str">
        <f>'GF + UG Iteration 6'!B63</f>
        <v>GF</v>
      </c>
      <c r="C63" s="18">
        <f>'GF + UG Iteration 6'!C63</f>
        <v>18</v>
      </c>
      <c r="D63" s="19">
        <f>'GF + UG Iteration 6'!D63</f>
        <v>11.923356574074873</v>
      </c>
      <c r="E63" s="30">
        <f>'GF + UG Iteration 6'!E63</f>
        <v>2011</v>
      </c>
      <c r="F63" s="18"/>
      <c r="G63" s="19"/>
      <c r="H63" s="20"/>
      <c r="I63" s="18">
        <f t="shared" si="0"/>
        <v>18</v>
      </c>
      <c r="J63" s="19">
        <f t="shared" si="1"/>
        <v>11.923356574074873</v>
      </c>
      <c r="K63" s="20">
        <f t="shared" si="2"/>
        <v>2011</v>
      </c>
      <c r="M63" s="21">
        <f t="shared" si="3"/>
        <v>2.8903717578961645</v>
      </c>
      <c r="N63" s="21">
        <f t="shared" si="4"/>
        <v>2.4784992137824831</v>
      </c>
    </row>
    <row r="64" spans="1:14" x14ac:dyDescent="0.2">
      <c r="A64" s="25">
        <f>'GF + UG Iteration 6'!A64</f>
        <v>561</v>
      </c>
      <c r="B64" s="25" t="str">
        <f>'GF + UG Iteration 6'!B64</f>
        <v>GF</v>
      </c>
      <c r="C64" s="18">
        <f>'GF + UG Iteration 6'!C64</f>
        <v>46</v>
      </c>
      <c r="D64" s="19">
        <f>'GF + UG Iteration 6'!D64</f>
        <v>58.100097147658744</v>
      </c>
      <c r="E64" s="30">
        <f>'GF + UG Iteration 6'!E64</f>
        <v>2011</v>
      </c>
      <c r="F64" s="18"/>
      <c r="G64" s="19"/>
      <c r="H64" s="20"/>
      <c r="I64" s="18">
        <f t="shared" si="0"/>
        <v>46</v>
      </c>
      <c r="J64" s="19">
        <f t="shared" si="1"/>
        <v>58.100097147658744</v>
      </c>
      <c r="K64" s="20">
        <f t="shared" si="2"/>
        <v>2011</v>
      </c>
      <c r="M64" s="21">
        <f t="shared" si="3"/>
        <v>3.8286413964890951</v>
      </c>
      <c r="N64" s="21">
        <f t="shared" si="4"/>
        <v>4.0621673359332098</v>
      </c>
    </row>
    <row r="65" spans="1:14" x14ac:dyDescent="0.2">
      <c r="A65" s="25">
        <f>'GF + UG Iteration 6'!A65</f>
        <v>1018</v>
      </c>
      <c r="B65" s="25" t="str">
        <f>'GF + UG Iteration 6'!B65</f>
        <v>GF</v>
      </c>
      <c r="C65" s="18">
        <f>'GF + UG Iteration 6'!C65</f>
        <v>3</v>
      </c>
      <c r="D65" s="19">
        <f>'GF + UG Iteration 6'!D65</f>
        <v>10.634643135603309</v>
      </c>
      <c r="E65" s="30">
        <f>'GF + UG Iteration 6'!E65</f>
        <v>2011</v>
      </c>
      <c r="F65" s="18"/>
      <c r="G65" s="19"/>
      <c r="H65" s="20"/>
      <c r="I65" s="18">
        <f t="shared" si="0"/>
        <v>3</v>
      </c>
      <c r="J65" s="19">
        <f t="shared" si="1"/>
        <v>10.634643135603309</v>
      </c>
      <c r="K65" s="20">
        <f t="shared" si="2"/>
        <v>2011</v>
      </c>
      <c r="M65" s="21">
        <f t="shared" si="3"/>
        <v>1.0986122886681098</v>
      </c>
      <c r="N65" s="21">
        <f t="shared" si="4"/>
        <v>2.3641168924336546</v>
      </c>
    </row>
    <row r="66" spans="1:14" x14ac:dyDescent="0.2">
      <c r="A66" s="25">
        <f>'GF + UG Iteration 6'!A66</f>
        <v>360</v>
      </c>
      <c r="B66" s="25" t="str">
        <f>'GF + UG Iteration 6'!B66</f>
        <v>GF</v>
      </c>
      <c r="C66" s="18">
        <f>'GF + UG Iteration 6'!C66</f>
        <v>22</v>
      </c>
      <c r="D66" s="19">
        <f>'GF + UG Iteration 6'!D66</f>
        <v>7.1174715515965792</v>
      </c>
      <c r="E66" s="30">
        <f>'GF + UG Iteration 6'!E66</f>
        <v>2003</v>
      </c>
      <c r="F66" s="18"/>
      <c r="G66" s="19"/>
      <c r="H66" s="20"/>
      <c r="I66" s="18">
        <f t="shared" si="0"/>
        <v>22</v>
      </c>
      <c r="J66" s="19">
        <f t="shared" si="1"/>
        <v>7.1174715515965792</v>
      </c>
      <c r="K66" s="20">
        <f t="shared" si="2"/>
        <v>2003</v>
      </c>
      <c r="M66" s="21">
        <f t="shared" si="3"/>
        <v>3.0910424533583161</v>
      </c>
      <c r="N66" s="21">
        <f t="shared" si="4"/>
        <v>1.9625525431963604</v>
      </c>
    </row>
    <row r="67" spans="1:14" x14ac:dyDescent="0.2">
      <c r="A67" s="25">
        <f>'GF + UG Iteration 6'!A67</f>
        <v>1106</v>
      </c>
      <c r="B67" s="25" t="str">
        <f>'GF + UG Iteration 6'!B67</f>
        <v>GF</v>
      </c>
      <c r="C67" s="18">
        <f>'GF + UG Iteration 6'!C67</f>
        <v>12</v>
      </c>
      <c r="D67" s="19">
        <f>'GF + UG Iteration 6'!D67</f>
        <v>20.217898457447252</v>
      </c>
      <c r="E67" s="30">
        <f>'GF + UG Iteration 6'!E67</f>
        <v>2011</v>
      </c>
      <c r="F67" s="18"/>
      <c r="G67" s="19"/>
      <c r="H67" s="20"/>
      <c r="I67" s="18">
        <f t="shared" si="0"/>
        <v>12</v>
      </c>
      <c r="J67" s="19">
        <f t="shared" si="1"/>
        <v>20.217898457447252</v>
      </c>
      <c r="K67" s="20">
        <f t="shared" si="2"/>
        <v>2011</v>
      </c>
      <c r="M67" s="21">
        <f t="shared" si="3"/>
        <v>2.4849066497880004</v>
      </c>
      <c r="N67" s="21">
        <f t="shared" si="4"/>
        <v>3.0065682743355979</v>
      </c>
    </row>
    <row r="68" spans="1:14" x14ac:dyDescent="0.2">
      <c r="A68" s="25">
        <f>'GF + UG Iteration 6'!A68</f>
        <v>899</v>
      </c>
      <c r="B68" s="25" t="str">
        <f>'GF + UG Iteration 6'!B68</f>
        <v>GF</v>
      </c>
      <c r="C68" s="18">
        <f>'GF + UG Iteration 6'!C68</f>
        <v>25</v>
      </c>
      <c r="D68" s="19">
        <f>'GF + UG Iteration 6'!D68</f>
        <v>15.17251837286627</v>
      </c>
      <c r="E68" s="30">
        <f>'GF + UG Iteration 6'!E68</f>
        <v>2010</v>
      </c>
      <c r="F68" s="18"/>
      <c r="G68" s="19"/>
      <c r="H68" s="20"/>
      <c r="I68" s="18">
        <f t="shared" si="0"/>
        <v>25</v>
      </c>
      <c r="J68" s="19">
        <f t="shared" si="1"/>
        <v>15.17251837286627</v>
      </c>
      <c r="K68" s="20">
        <f t="shared" si="2"/>
        <v>2010</v>
      </c>
      <c r="M68" s="21">
        <f t="shared" si="3"/>
        <v>3.2188758248682006</v>
      </c>
      <c r="N68" s="21">
        <f t="shared" si="4"/>
        <v>2.7194857896591729</v>
      </c>
    </row>
    <row r="69" spans="1:14" x14ac:dyDescent="0.2">
      <c r="A69" s="25">
        <f>'GF + UG Iteration 6'!A69</f>
        <v>1191</v>
      </c>
      <c r="B69" s="25" t="str">
        <f>'GF + UG Iteration 6'!B69</f>
        <v>GF</v>
      </c>
      <c r="C69" s="18">
        <f>'GF + UG Iteration 6'!C69</f>
        <v>11</v>
      </c>
      <c r="D69" s="19">
        <f>'GF + UG Iteration 6'!D69</f>
        <v>12.628076471206382</v>
      </c>
      <c r="E69" s="30">
        <f>'GF + UG Iteration 6'!E69</f>
        <v>2011</v>
      </c>
      <c r="F69" s="18"/>
      <c r="G69" s="19"/>
      <c r="H69" s="20"/>
      <c r="I69" s="18">
        <f t="shared" si="0"/>
        <v>11</v>
      </c>
      <c r="J69" s="19">
        <f t="shared" si="1"/>
        <v>12.628076471206382</v>
      </c>
      <c r="K69" s="20">
        <f t="shared" si="2"/>
        <v>2011</v>
      </c>
      <c r="M69" s="21">
        <f t="shared" si="3"/>
        <v>2.3978952727983707</v>
      </c>
      <c r="N69" s="21">
        <f t="shared" si="4"/>
        <v>2.5359226263636927</v>
      </c>
    </row>
    <row r="70" spans="1:14" x14ac:dyDescent="0.2">
      <c r="A70" s="25">
        <f>'GF + UG Iteration 6'!A70</f>
        <v>1115</v>
      </c>
      <c r="B70" s="25" t="str">
        <f>'GF + UG Iteration 6'!B70</f>
        <v>GF</v>
      </c>
      <c r="C70" s="18">
        <f>'GF + UG Iteration 6'!C70</f>
        <v>10</v>
      </c>
      <c r="D70" s="19">
        <f>'GF + UG Iteration 6'!D70</f>
        <v>24.362790290493837</v>
      </c>
      <c r="E70" s="30">
        <f>'GF + UG Iteration 6'!E70</f>
        <v>2011</v>
      </c>
      <c r="F70" s="18"/>
      <c r="G70" s="19"/>
      <c r="H70" s="20"/>
      <c r="I70" s="18">
        <f t="shared" si="0"/>
        <v>10</v>
      </c>
      <c r="J70" s="19">
        <f t="shared" si="1"/>
        <v>24.362790290493837</v>
      </c>
      <c r="K70" s="20">
        <f t="shared" si="2"/>
        <v>2011</v>
      </c>
      <c r="M70" s="21">
        <f t="shared" si="3"/>
        <v>2.3025850929940459</v>
      </c>
      <c r="N70" s="21">
        <f t="shared" si="4"/>
        <v>3.1930569802267783</v>
      </c>
    </row>
    <row r="71" spans="1:14" x14ac:dyDescent="0.2">
      <c r="A71" s="25">
        <f>'GF + UG Iteration 6'!A71</f>
        <v>1053</v>
      </c>
      <c r="B71" s="25" t="str">
        <f>'GF + UG Iteration 6'!B71</f>
        <v>GF</v>
      </c>
      <c r="C71" s="18">
        <f>'GF + UG Iteration 6'!C71</f>
        <v>9</v>
      </c>
      <c r="D71" s="19">
        <f>'GF + UG Iteration 6'!D71</f>
        <v>14.71443826778331</v>
      </c>
      <c r="E71" s="30">
        <f>'GF + UG Iteration 6'!E71</f>
        <v>2011</v>
      </c>
      <c r="F71" s="18"/>
      <c r="G71" s="19"/>
      <c r="H71" s="20"/>
      <c r="I71" s="18">
        <f t="shared" si="0"/>
        <v>9</v>
      </c>
      <c r="J71" s="19">
        <f t="shared" si="1"/>
        <v>14.71443826778331</v>
      </c>
      <c r="K71" s="20">
        <f t="shared" si="2"/>
        <v>2011</v>
      </c>
      <c r="M71" s="21">
        <f t="shared" si="3"/>
        <v>2.1972245773362196</v>
      </c>
      <c r="N71" s="21">
        <f t="shared" si="4"/>
        <v>2.6888292068340069</v>
      </c>
    </row>
    <row r="72" spans="1:14" x14ac:dyDescent="0.2">
      <c r="A72" s="25">
        <f>'GF + UG Iteration 6'!A72</f>
        <v>864</v>
      </c>
      <c r="B72" s="25" t="str">
        <f>'GF + UG Iteration 6'!B72</f>
        <v>GF</v>
      </c>
      <c r="C72" s="18">
        <f>'GF + UG Iteration 6'!C72</f>
        <v>25</v>
      </c>
      <c r="D72" s="19">
        <f>'GF + UG Iteration 6'!D72</f>
        <v>9.825778201045452</v>
      </c>
      <c r="E72" s="30">
        <f>'GF + UG Iteration 6'!E72</f>
        <v>2007</v>
      </c>
      <c r="F72" s="18"/>
      <c r="G72" s="19"/>
      <c r="H72" s="20"/>
      <c r="I72" s="18">
        <f t="shared" ref="I72:I117" si="5">C72+F72</f>
        <v>25</v>
      </c>
      <c r="J72" s="19">
        <f t="shared" ref="J72:J117" si="6">D72+G72</f>
        <v>9.825778201045452</v>
      </c>
      <c r="K72" s="20">
        <f t="shared" ref="K72:K117" si="7">MAX(E72,H72)</f>
        <v>2007</v>
      </c>
      <c r="M72" s="21">
        <f t="shared" ref="M72:M135" si="8">LN(I72)</f>
        <v>3.2188758248682006</v>
      </c>
      <c r="N72" s="21">
        <f t="shared" ref="N72:N135" si="9">LN(J72)</f>
        <v>2.2850093608319559</v>
      </c>
    </row>
    <row r="73" spans="1:14" x14ac:dyDescent="0.2">
      <c r="A73" s="25">
        <f>'GF + UG Iteration 6'!A73</f>
        <v>834</v>
      </c>
      <c r="B73" s="25" t="str">
        <f>'GF + UG Iteration 6'!B73</f>
        <v>GF</v>
      </c>
      <c r="C73" s="18">
        <f>'GF + UG Iteration 6'!C73</f>
        <v>45</v>
      </c>
      <c r="D73" s="19">
        <f>'GF + UG Iteration 6'!D73</f>
        <v>25.798393978216257</v>
      </c>
      <c r="E73" s="30">
        <f>'GF + UG Iteration 6'!E73</f>
        <v>2010</v>
      </c>
      <c r="F73" s="18"/>
      <c r="G73" s="19"/>
      <c r="H73" s="20"/>
      <c r="I73" s="18">
        <f t="shared" si="5"/>
        <v>45</v>
      </c>
      <c r="J73" s="19">
        <f t="shared" si="6"/>
        <v>25.798393978216257</v>
      </c>
      <c r="K73" s="20">
        <f t="shared" si="7"/>
        <v>2010</v>
      </c>
      <c r="M73" s="21">
        <f t="shared" si="8"/>
        <v>3.8066624897703196</v>
      </c>
      <c r="N73" s="21">
        <f t="shared" si="9"/>
        <v>3.2503122410836816</v>
      </c>
    </row>
    <row r="74" spans="1:14" x14ac:dyDescent="0.2">
      <c r="A74" s="25">
        <f>'GF + UG Iteration 6'!A74</f>
        <v>722</v>
      </c>
      <c r="B74" s="25" t="str">
        <f>'GF + UG Iteration 6'!B74</f>
        <v>GF</v>
      </c>
      <c r="C74" s="18">
        <f>'GF + UG Iteration 6'!C74</f>
        <v>10.5</v>
      </c>
      <c r="D74" s="19">
        <f>'GF + UG Iteration 6'!D74</f>
        <v>13.501544643115857</v>
      </c>
      <c r="E74" s="30">
        <f>'GF + UG Iteration 6'!E74</f>
        <v>2010</v>
      </c>
      <c r="F74" s="18"/>
      <c r="G74" s="19"/>
      <c r="H74" s="20"/>
      <c r="I74" s="18">
        <f t="shared" si="5"/>
        <v>10.5</v>
      </c>
      <c r="J74" s="19">
        <f t="shared" si="6"/>
        <v>13.501544643115857</v>
      </c>
      <c r="K74" s="20">
        <f t="shared" si="7"/>
        <v>2010</v>
      </c>
      <c r="M74" s="21">
        <f t="shared" si="8"/>
        <v>2.3513752571634776</v>
      </c>
      <c r="N74" s="21">
        <f t="shared" si="9"/>
        <v>2.6028040969077249</v>
      </c>
    </row>
    <row r="75" spans="1:14" x14ac:dyDescent="0.2">
      <c r="A75" s="25">
        <f>'GF + UG Iteration 6'!A75</f>
        <v>927</v>
      </c>
      <c r="B75" s="25" t="str">
        <f>'GF + UG Iteration 6'!B75</f>
        <v>GF</v>
      </c>
      <c r="C75" s="18">
        <f>'GF + UG Iteration 6'!C75</f>
        <v>60</v>
      </c>
      <c r="D75" s="19">
        <f>'GF + UG Iteration 6'!D75</f>
        <v>25.887106037100622</v>
      </c>
      <c r="E75" s="30">
        <f>'GF + UG Iteration 6'!E75</f>
        <v>2011</v>
      </c>
      <c r="F75" s="18"/>
      <c r="G75" s="19"/>
      <c r="H75" s="20"/>
      <c r="I75" s="18">
        <f t="shared" si="5"/>
        <v>60</v>
      </c>
      <c r="J75" s="19">
        <f t="shared" si="6"/>
        <v>25.887106037100622</v>
      </c>
      <c r="K75" s="20">
        <f t="shared" si="7"/>
        <v>2011</v>
      </c>
      <c r="M75" s="21">
        <f t="shared" si="8"/>
        <v>4.0943445622221004</v>
      </c>
      <c r="N75" s="21">
        <f t="shared" si="9"/>
        <v>3.2537450083384241</v>
      </c>
    </row>
    <row r="76" spans="1:14" x14ac:dyDescent="0.2">
      <c r="A76" s="25">
        <f>'GF + UG Iteration 6'!A76</f>
        <v>1068</v>
      </c>
      <c r="B76" s="25" t="str">
        <f>'GF + UG Iteration 6'!B76</f>
        <v>GF</v>
      </c>
      <c r="C76" s="18">
        <f>'GF + UG Iteration 6'!C76</f>
        <v>11.2</v>
      </c>
      <c r="D76" s="19">
        <f>'GF + UG Iteration 6'!D76</f>
        <v>26.918199168374588</v>
      </c>
      <c r="E76" s="30">
        <f>'GF + UG Iteration 6'!E76</f>
        <v>2011</v>
      </c>
      <c r="F76" s="18"/>
      <c r="G76" s="19"/>
      <c r="H76" s="20"/>
      <c r="I76" s="18">
        <f t="shared" si="5"/>
        <v>11.2</v>
      </c>
      <c r="J76" s="19">
        <f t="shared" si="6"/>
        <v>26.918199168374588</v>
      </c>
      <c r="K76" s="20">
        <f t="shared" si="7"/>
        <v>2011</v>
      </c>
      <c r="M76" s="21">
        <f t="shared" si="8"/>
        <v>2.4159137783010487</v>
      </c>
      <c r="N76" s="21">
        <f t="shared" si="9"/>
        <v>3.2928026068618901</v>
      </c>
    </row>
    <row r="77" spans="1:14" x14ac:dyDescent="0.2">
      <c r="A77" s="25">
        <f>'GF + UG Iteration 6'!A77</f>
        <v>506</v>
      </c>
      <c r="B77" s="25" t="str">
        <f>'GF + UG Iteration 6'!B77</f>
        <v>GF</v>
      </c>
      <c r="C77" s="18">
        <f>'GF + UG Iteration 6'!C77</f>
        <v>20</v>
      </c>
      <c r="D77" s="19">
        <f>'GF + UG Iteration 6'!D77</f>
        <v>13.969254162639503</v>
      </c>
      <c r="E77" s="30">
        <f>'GF + UG Iteration 6'!E77</f>
        <v>2003</v>
      </c>
      <c r="F77" s="18"/>
      <c r="G77" s="19"/>
      <c r="H77" s="20"/>
      <c r="I77" s="18">
        <f t="shared" si="5"/>
        <v>20</v>
      </c>
      <c r="J77" s="19">
        <f t="shared" si="6"/>
        <v>13.969254162639503</v>
      </c>
      <c r="K77" s="20">
        <f t="shared" si="7"/>
        <v>2003</v>
      </c>
      <c r="M77" s="21">
        <f t="shared" si="8"/>
        <v>2.9957322735539909</v>
      </c>
      <c r="N77" s="21">
        <f t="shared" si="9"/>
        <v>2.6368587833425443</v>
      </c>
    </row>
    <row r="78" spans="1:14" x14ac:dyDescent="0.2">
      <c r="A78" s="25">
        <f>'GF + UG Iteration 6'!A78</f>
        <v>456</v>
      </c>
      <c r="B78" s="25" t="str">
        <f>'GF + UG Iteration 6'!B78</f>
        <v>GF</v>
      </c>
      <c r="C78" s="18">
        <f>'GF + UG Iteration 6'!C78</f>
        <v>16</v>
      </c>
      <c r="D78" s="19">
        <f>'GF + UG Iteration 6'!D78</f>
        <v>17.647037003819346</v>
      </c>
      <c r="E78" s="30">
        <f>'GF + UG Iteration 6'!E78</f>
        <v>2007</v>
      </c>
      <c r="F78" s="18"/>
      <c r="G78" s="19"/>
      <c r="H78" s="20"/>
      <c r="I78" s="18">
        <f t="shared" si="5"/>
        <v>16</v>
      </c>
      <c r="J78" s="19">
        <f t="shared" si="6"/>
        <v>17.647037003819346</v>
      </c>
      <c r="K78" s="20">
        <f t="shared" si="7"/>
        <v>2007</v>
      </c>
      <c r="M78" s="21">
        <f t="shared" si="8"/>
        <v>2.7725887222397811</v>
      </c>
      <c r="N78" s="21">
        <f t="shared" si="9"/>
        <v>2.8705678941489836</v>
      </c>
    </row>
    <row r="79" spans="1:14" x14ac:dyDescent="0.2">
      <c r="A79" s="25">
        <f>'GF + UG Iteration 6'!A79</f>
        <v>130</v>
      </c>
      <c r="B79" s="25" t="str">
        <f>'GF + UG Iteration 6'!B79</f>
        <v>GF</v>
      </c>
      <c r="C79" s="18">
        <f>'GF + UG Iteration 6'!C79</f>
        <v>18</v>
      </c>
      <c r="D79" s="19">
        <f>'GF + UG Iteration 6'!D79</f>
        <v>8.4369732753123952</v>
      </c>
      <c r="E79" s="30">
        <f>'GF + UG Iteration 6'!E79</f>
        <v>2001</v>
      </c>
      <c r="F79" s="18"/>
      <c r="G79" s="19"/>
      <c r="H79" s="20"/>
      <c r="I79" s="18">
        <f t="shared" si="5"/>
        <v>18</v>
      </c>
      <c r="J79" s="19">
        <f t="shared" si="6"/>
        <v>8.4369732753123952</v>
      </c>
      <c r="K79" s="20">
        <f t="shared" si="7"/>
        <v>2001</v>
      </c>
      <c r="M79" s="21">
        <f t="shared" si="8"/>
        <v>2.8903717578961645</v>
      </c>
      <c r="N79" s="21">
        <f t="shared" si="9"/>
        <v>2.1326236276203829</v>
      </c>
    </row>
    <row r="80" spans="1:14" x14ac:dyDescent="0.2">
      <c r="A80" s="25">
        <f>'GF + UG Iteration 6'!A80</f>
        <v>308</v>
      </c>
      <c r="B80" s="25" t="str">
        <f>'GF + UG Iteration 6'!B80</f>
        <v>GF</v>
      </c>
      <c r="C80" s="18">
        <f>'GF + UG Iteration 6'!C80</f>
        <v>10</v>
      </c>
      <c r="D80" s="19">
        <f>'GF + UG Iteration 6'!D80</f>
        <v>8.8753762889293544</v>
      </c>
      <c r="E80" s="30">
        <f>'GF + UG Iteration 6'!E80</f>
        <v>2003</v>
      </c>
      <c r="F80" s="18"/>
      <c r="G80" s="19"/>
      <c r="H80" s="20"/>
      <c r="I80" s="18">
        <f t="shared" si="5"/>
        <v>10</v>
      </c>
      <c r="J80" s="19">
        <f t="shared" si="6"/>
        <v>8.8753762889293544</v>
      </c>
      <c r="K80" s="20">
        <f t="shared" si="7"/>
        <v>2003</v>
      </c>
      <c r="M80" s="21">
        <f t="shared" si="8"/>
        <v>2.3025850929940459</v>
      </c>
      <c r="N80" s="21">
        <f t="shared" si="9"/>
        <v>2.1832807332152813</v>
      </c>
    </row>
    <row r="81" spans="1:14" x14ac:dyDescent="0.2">
      <c r="A81" s="25">
        <f>'GF + UG Iteration 6'!A81</f>
        <v>829</v>
      </c>
      <c r="B81" s="25" t="str">
        <f>'GF + UG Iteration 6'!B81</f>
        <v>GF</v>
      </c>
      <c r="C81" s="18">
        <f>'GF + UG Iteration 6'!C81</f>
        <v>20</v>
      </c>
      <c r="D81" s="19">
        <f>'GF + UG Iteration 6'!D81</f>
        <v>27.761077137379147</v>
      </c>
      <c r="E81" s="30">
        <f>'GF + UG Iteration 6'!E81</f>
        <v>2011</v>
      </c>
      <c r="F81" s="18"/>
      <c r="G81" s="19"/>
      <c r="H81" s="20"/>
      <c r="I81" s="18">
        <f t="shared" si="5"/>
        <v>20</v>
      </c>
      <c r="J81" s="19">
        <f t="shared" si="6"/>
        <v>27.761077137379147</v>
      </c>
      <c r="K81" s="20">
        <f t="shared" si="7"/>
        <v>2011</v>
      </c>
      <c r="M81" s="21">
        <f t="shared" si="8"/>
        <v>2.9957322735539909</v>
      </c>
      <c r="N81" s="21">
        <f t="shared" si="9"/>
        <v>3.3236349366646221</v>
      </c>
    </row>
    <row r="82" spans="1:14" x14ac:dyDescent="0.2">
      <c r="A82" s="25">
        <f>'GF + UG Iteration 6'!A82</f>
        <v>425</v>
      </c>
      <c r="B82" s="25" t="str">
        <f>'GF + UG Iteration 6'!B82</f>
        <v>GF</v>
      </c>
      <c r="C82" s="18">
        <f>'GF + UG Iteration 6'!C82</f>
        <v>17</v>
      </c>
      <c r="D82" s="19">
        <f>'GF + UG Iteration 6'!D82</f>
        <v>11.725448588458148</v>
      </c>
      <c r="E82" s="30">
        <f>'GF + UG Iteration 6'!E82</f>
        <v>2006</v>
      </c>
      <c r="F82" s="18"/>
      <c r="G82" s="19"/>
      <c r="H82" s="20"/>
      <c r="I82" s="18">
        <f t="shared" si="5"/>
        <v>17</v>
      </c>
      <c r="J82" s="19">
        <f t="shared" si="6"/>
        <v>11.725448588458148</v>
      </c>
      <c r="K82" s="20">
        <f t="shared" si="7"/>
        <v>2006</v>
      </c>
      <c r="M82" s="21">
        <f t="shared" si="8"/>
        <v>2.8332133440562162</v>
      </c>
      <c r="N82" s="21">
        <f t="shared" si="9"/>
        <v>2.4617615727440327</v>
      </c>
    </row>
    <row r="83" spans="1:14" x14ac:dyDescent="0.2">
      <c r="A83" s="25">
        <f>'GF + UG Iteration 6'!A83</f>
        <v>333</v>
      </c>
      <c r="B83" s="25" t="str">
        <f>'GF + UG Iteration 6'!B83</f>
        <v>GF</v>
      </c>
      <c r="C83" s="18">
        <f>'GF + UG Iteration 6'!C83</f>
        <v>12</v>
      </c>
      <c r="D83" s="19">
        <f>'GF + UG Iteration 6'!D83</f>
        <v>7.5607136656563343</v>
      </c>
      <c r="E83" s="30">
        <f>'GF + UG Iteration 6'!E83</f>
        <v>2003</v>
      </c>
      <c r="F83" s="18"/>
      <c r="G83" s="19"/>
      <c r="H83" s="20"/>
      <c r="I83" s="18">
        <f t="shared" si="5"/>
        <v>12</v>
      </c>
      <c r="J83" s="19">
        <f t="shared" si="6"/>
        <v>7.5607136656563343</v>
      </c>
      <c r="K83" s="20">
        <f t="shared" si="7"/>
        <v>2003</v>
      </c>
      <c r="M83" s="21">
        <f t="shared" si="8"/>
        <v>2.4849066497880004</v>
      </c>
      <c r="N83" s="21">
        <f t="shared" si="9"/>
        <v>2.022965585955113</v>
      </c>
    </row>
    <row r="84" spans="1:14" x14ac:dyDescent="0.2">
      <c r="A84" s="25">
        <f>'GF + UG Iteration 6'!A84</f>
        <v>769</v>
      </c>
      <c r="B84" s="25" t="str">
        <f>'GF + UG Iteration 6'!B84</f>
        <v>GF</v>
      </c>
      <c r="C84" s="18">
        <f>'GF + UG Iteration 6'!C84</f>
        <v>40</v>
      </c>
      <c r="D84" s="19">
        <f>'GF + UG Iteration 6'!D84</f>
        <v>26.381292343151443</v>
      </c>
      <c r="E84" s="30">
        <f>'GF + UG Iteration 6'!E84</f>
        <v>2007</v>
      </c>
      <c r="F84" s="18"/>
      <c r="G84" s="19"/>
      <c r="H84" s="20"/>
      <c r="I84" s="18">
        <f t="shared" si="5"/>
        <v>40</v>
      </c>
      <c r="J84" s="19">
        <f t="shared" si="6"/>
        <v>26.381292343151443</v>
      </c>
      <c r="K84" s="20">
        <f t="shared" si="7"/>
        <v>2007</v>
      </c>
      <c r="M84" s="21">
        <f t="shared" si="8"/>
        <v>3.6888794541139363</v>
      </c>
      <c r="N84" s="21">
        <f t="shared" si="9"/>
        <v>3.2726551355945839</v>
      </c>
    </row>
    <row r="85" spans="1:14" x14ac:dyDescent="0.2">
      <c r="A85" s="25">
        <f>'GF + UG Iteration 6'!A85</f>
        <v>948</v>
      </c>
      <c r="B85" s="25" t="str">
        <f>'GF + UG Iteration 6'!B85</f>
        <v>GF</v>
      </c>
      <c r="C85" s="18">
        <f>'GF + UG Iteration 6'!C85</f>
        <v>57</v>
      </c>
      <c r="D85" s="19">
        <f>'GF + UG Iteration 6'!D85</f>
        <v>12.653662771089085</v>
      </c>
      <c r="E85" s="30">
        <f>'GF + UG Iteration 6'!E85</f>
        <v>2014</v>
      </c>
      <c r="F85" s="18"/>
      <c r="G85" s="19"/>
      <c r="H85" s="20"/>
      <c r="I85" s="18">
        <f t="shared" si="5"/>
        <v>57</v>
      </c>
      <c r="J85" s="19">
        <f t="shared" si="6"/>
        <v>12.653662771089085</v>
      </c>
      <c r="K85" s="20">
        <f t="shared" si="7"/>
        <v>2014</v>
      </c>
      <c r="M85" s="21">
        <f t="shared" si="8"/>
        <v>4.0430512678345503</v>
      </c>
      <c r="N85" s="21">
        <f t="shared" si="9"/>
        <v>2.5379467203845181</v>
      </c>
    </row>
    <row r="86" spans="1:14" x14ac:dyDescent="0.2">
      <c r="A86" s="25">
        <f>'GF + UG Iteration 6'!A86</f>
        <v>1128</v>
      </c>
      <c r="B86" s="25" t="str">
        <f>'GF + UG Iteration 6'!B86</f>
        <v>GF</v>
      </c>
      <c r="C86" s="18">
        <f>'GF + UG Iteration 6'!C86</f>
        <v>45</v>
      </c>
      <c r="D86" s="19">
        <f>'GF + UG Iteration 6'!D86</f>
        <v>63.556235718349399</v>
      </c>
      <c r="E86" s="30">
        <f>'GF + UG Iteration 6'!E86</f>
        <v>2013</v>
      </c>
      <c r="F86" s="18"/>
      <c r="G86" s="19"/>
      <c r="H86" s="20"/>
      <c r="I86" s="18">
        <f t="shared" si="5"/>
        <v>45</v>
      </c>
      <c r="J86" s="19">
        <f t="shared" si="6"/>
        <v>63.556235718349399</v>
      </c>
      <c r="K86" s="20">
        <f t="shared" si="7"/>
        <v>2013</v>
      </c>
      <c r="M86" s="21">
        <f t="shared" si="8"/>
        <v>3.8066624897703196</v>
      </c>
      <c r="N86" s="21">
        <f t="shared" si="9"/>
        <v>4.1519251158484547</v>
      </c>
    </row>
    <row r="87" spans="1:14" x14ac:dyDescent="0.2">
      <c r="A87" s="25">
        <f>'GF + UG Iteration 6'!A87</f>
        <v>1214</v>
      </c>
      <c r="B87" s="25" t="str">
        <f>'GF + UG Iteration 6'!B87</f>
        <v>GF</v>
      </c>
      <c r="C87" s="18">
        <f>'GF + UG Iteration 6'!C87</f>
        <v>52</v>
      </c>
      <c r="D87" s="19">
        <f>'GF + UG Iteration 6'!D87</f>
        <v>22.631695273294461</v>
      </c>
      <c r="E87" s="30">
        <f>'GF + UG Iteration 6'!E87</f>
        <v>2013</v>
      </c>
      <c r="F87" s="18"/>
      <c r="G87" s="19"/>
      <c r="H87" s="20"/>
      <c r="I87" s="18">
        <f t="shared" si="5"/>
        <v>52</v>
      </c>
      <c r="J87" s="19">
        <f t="shared" si="6"/>
        <v>22.631695273294461</v>
      </c>
      <c r="K87" s="20">
        <f t="shared" si="7"/>
        <v>2013</v>
      </c>
      <c r="M87" s="21">
        <f t="shared" si="8"/>
        <v>3.9512437185814275</v>
      </c>
      <c r="N87" s="21">
        <f t="shared" si="9"/>
        <v>3.1193513694907367</v>
      </c>
    </row>
    <row r="88" spans="1:14" x14ac:dyDescent="0.2">
      <c r="A88" s="25">
        <f>'GF + UG Iteration 6'!A88</f>
        <v>1225</v>
      </c>
      <c r="B88" s="25" t="str">
        <f>'GF + UG Iteration 6'!B88</f>
        <v>GF</v>
      </c>
      <c r="C88" s="18">
        <f>'GF + UG Iteration 6'!C88</f>
        <v>20</v>
      </c>
      <c r="D88" s="19">
        <f>'GF + UG Iteration 6'!D88</f>
        <v>18.636695744675041</v>
      </c>
      <c r="E88" s="30">
        <f>'GF + UG Iteration 6'!E88</f>
        <v>2013</v>
      </c>
      <c r="F88" s="18"/>
      <c r="G88" s="19"/>
      <c r="H88" s="20"/>
      <c r="I88" s="18">
        <f t="shared" si="5"/>
        <v>20</v>
      </c>
      <c r="J88" s="19">
        <f t="shared" si="6"/>
        <v>18.636695744675041</v>
      </c>
      <c r="K88" s="20">
        <f t="shared" si="7"/>
        <v>2013</v>
      </c>
      <c r="M88" s="21">
        <f t="shared" si="8"/>
        <v>2.9957322735539909</v>
      </c>
      <c r="N88" s="21">
        <f t="shared" si="9"/>
        <v>2.925132526627233</v>
      </c>
    </row>
    <row r="89" spans="1:14" x14ac:dyDescent="0.2">
      <c r="A89" s="25">
        <f>'GF + UG Iteration 6'!A89</f>
        <v>1263</v>
      </c>
      <c r="B89" s="25" t="str">
        <f>'GF + UG Iteration 6'!B89</f>
        <v>GF</v>
      </c>
      <c r="C89" s="18">
        <f>'GF + UG Iteration 6'!C89</f>
        <v>8</v>
      </c>
      <c r="D89" s="19">
        <f>'GF + UG Iteration 6'!D89</f>
        <v>19.611656992669992</v>
      </c>
      <c r="E89" s="30">
        <f>'GF + UG Iteration 6'!E89</f>
        <v>2013</v>
      </c>
      <c r="F89" s="18"/>
      <c r="G89" s="19"/>
      <c r="H89" s="20"/>
      <c r="I89" s="18">
        <f t="shared" si="5"/>
        <v>8</v>
      </c>
      <c r="J89" s="19">
        <f t="shared" si="6"/>
        <v>19.611656992669992</v>
      </c>
      <c r="K89" s="20">
        <f t="shared" si="7"/>
        <v>2013</v>
      </c>
      <c r="M89" s="21">
        <f t="shared" si="8"/>
        <v>2.0794415416798357</v>
      </c>
      <c r="N89" s="21">
        <f t="shared" si="9"/>
        <v>2.9761241339700195</v>
      </c>
    </row>
    <row r="90" spans="1:14" x14ac:dyDescent="0.2">
      <c r="A90" s="25">
        <f>'GF + UG Iteration 6'!A90</f>
        <v>1309</v>
      </c>
      <c r="B90" s="25" t="str">
        <f>'GF + UG Iteration 6'!B90</f>
        <v>GF</v>
      </c>
      <c r="C90" s="18">
        <f>'GF + UG Iteration 6'!C90</f>
        <v>15</v>
      </c>
      <c r="D90" s="19">
        <f>'GF + UG Iteration 6'!D90</f>
        <v>16.109333942693336</v>
      </c>
      <c r="E90" s="30">
        <f>'GF + UG Iteration 6'!E90</f>
        <v>2013</v>
      </c>
      <c r="F90" s="18"/>
      <c r="G90" s="19"/>
      <c r="H90" s="20"/>
      <c r="I90" s="18">
        <f t="shared" si="5"/>
        <v>15</v>
      </c>
      <c r="J90" s="19">
        <f t="shared" si="6"/>
        <v>16.109333942693336</v>
      </c>
      <c r="K90" s="20">
        <f t="shared" si="7"/>
        <v>2013</v>
      </c>
      <c r="M90" s="21">
        <f t="shared" si="8"/>
        <v>2.7080502011022101</v>
      </c>
      <c r="N90" s="21">
        <f t="shared" si="9"/>
        <v>2.7793988519948485</v>
      </c>
    </row>
    <row r="91" spans="1:14" x14ac:dyDescent="0.2">
      <c r="A91" s="25">
        <f>'GF + UG Iteration 6'!A91</f>
        <v>1349</v>
      </c>
      <c r="B91" s="25" t="str">
        <f>'GF + UG Iteration 6'!B91</f>
        <v>GF</v>
      </c>
      <c r="C91" s="18">
        <f>'GF + UG Iteration 6'!C91</f>
        <v>34</v>
      </c>
      <c r="D91" s="19">
        <f>'GF + UG Iteration 6'!D91</f>
        <v>8.9679522578977586</v>
      </c>
      <c r="E91" s="30">
        <f>'GF + UG Iteration 6'!E91</f>
        <v>2013</v>
      </c>
      <c r="F91" s="18"/>
      <c r="G91" s="19"/>
      <c r="H91" s="20"/>
      <c r="I91" s="18">
        <f t="shared" si="5"/>
        <v>34</v>
      </c>
      <c r="J91" s="19">
        <f t="shared" si="6"/>
        <v>8.9679522578977586</v>
      </c>
      <c r="K91" s="20">
        <f t="shared" si="7"/>
        <v>2013</v>
      </c>
      <c r="M91" s="21">
        <f t="shared" si="8"/>
        <v>3.5263605246161616</v>
      </c>
      <c r="N91" s="21">
        <f t="shared" si="9"/>
        <v>2.193657362149283</v>
      </c>
    </row>
    <row r="92" spans="1:14" x14ac:dyDescent="0.2">
      <c r="A92" s="25">
        <f>'GF + UG Iteration 6'!A92</f>
        <v>1358</v>
      </c>
      <c r="B92" s="25" t="str">
        <f>'GF + UG Iteration 6'!B92</f>
        <v>GF</v>
      </c>
      <c r="C92" s="18">
        <f>'GF + UG Iteration 6'!C92</f>
        <v>27</v>
      </c>
      <c r="D92" s="19">
        <f>'GF + UG Iteration 6'!D92</f>
        <v>13.07265503282744</v>
      </c>
      <c r="E92" s="30">
        <f>'GF + UG Iteration 6'!E92</f>
        <v>2013</v>
      </c>
      <c r="F92" s="18"/>
      <c r="G92" s="19"/>
      <c r="H92" s="20"/>
      <c r="I92" s="18">
        <f t="shared" si="5"/>
        <v>27</v>
      </c>
      <c r="J92" s="19">
        <f t="shared" si="6"/>
        <v>13.07265503282744</v>
      </c>
      <c r="K92" s="20">
        <f t="shared" si="7"/>
        <v>2013</v>
      </c>
      <c r="M92" s="21">
        <f t="shared" si="8"/>
        <v>3.2958368660043291</v>
      </c>
      <c r="N92" s="21">
        <f t="shared" si="9"/>
        <v>2.5705226464726247</v>
      </c>
    </row>
    <row r="93" spans="1:14" x14ac:dyDescent="0.2">
      <c r="A93" s="25">
        <f>'GF + UG Iteration 6'!A93</f>
        <v>1404</v>
      </c>
      <c r="B93" s="25" t="str">
        <f>'GF + UG Iteration 6'!B93</f>
        <v>GF</v>
      </c>
      <c r="C93" s="18">
        <f>'GF + UG Iteration 6'!C93</f>
        <v>35</v>
      </c>
      <c r="D93" s="19">
        <f>'GF + UG Iteration 6'!D93</f>
        <v>35.276341164894447</v>
      </c>
      <c r="E93" s="30">
        <f>'GF + UG Iteration 6'!E93</f>
        <v>2013</v>
      </c>
      <c r="F93" s="18"/>
      <c r="G93" s="19"/>
      <c r="H93" s="20"/>
      <c r="I93" s="18">
        <f t="shared" si="5"/>
        <v>35</v>
      </c>
      <c r="J93" s="19">
        <f t="shared" si="6"/>
        <v>35.276341164894447</v>
      </c>
      <c r="K93" s="20">
        <f t="shared" si="7"/>
        <v>2013</v>
      </c>
      <c r="M93" s="21">
        <f t="shared" si="8"/>
        <v>3.5553480614894135</v>
      </c>
      <c r="N93" s="21">
        <f t="shared" si="9"/>
        <v>3.5632125172824458</v>
      </c>
    </row>
    <row r="94" spans="1:14" x14ac:dyDescent="0.2">
      <c r="A94" s="25">
        <f>'GF + UG Iteration 6'!A94</f>
        <v>1482</v>
      </c>
      <c r="B94" s="25" t="str">
        <f>'GF + UG Iteration 6'!B94</f>
        <v>GF</v>
      </c>
      <c r="C94" s="18">
        <f>'GF + UG Iteration 6'!C94</f>
        <v>18.399999999999999</v>
      </c>
      <c r="D94" s="19">
        <f>'GF + UG Iteration 6'!D94</f>
        <v>18.765793673519447</v>
      </c>
      <c r="E94" s="30">
        <f>'GF + UG Iteration 6'!E94</f>
        <v>2013</v>
      </c>
      <c r="F94" s="18"/>
      <c r="G94" s="19"/>
      <c r="H94" s="20"/>
      <c r="I94" s="18">
        <f t="shared" si="5"/>
        <v>18.399999999999999</v>
      </c>
      <c r="J94" s="19">
        <f t="shared" si="6"/>
        <v>18.765793673519447</v>
      </c>
      <c r="K94" s="20">
        <f t="shared" si="7"/>
        <v>2013</v>
      </c>
      <c r="M94" s="21">
        <f t="shared" si="8"/>
        <v>2.91235066461494</v>
      </c>
      <c r="N94" s="21">
        <f t="shared" si="9"/>
        <v>2.9320357271105943</v>
      </c>
    </row>
    <row r="95" spans="1:14" x14ac:dyDescent="0.2">
      <c r="A95" s="25">
        <f>'GF + UG Iteration 6'!A95</f>
        <v>1515</v>
      </c>
      <c r="B95" s="25" t="str">
        <f>'GF + UG Iteration 6'!B95</f>
        <v>GF</v>
      </c>
      <c r="C95" s="18">
        <f>'GF + UG Iteration 6'!C95</f>
        <v>7.2</v>
      </c>
      <c r="D95" s="19">
        <f>'GF + UG Iteration 6'!D95</f>
        <v>12.99271394051414</v>
      </c>
      <c r="E95" s="30">
        <f>'GF + UG Iteration 6'!E95</f>
        <v>2013</v>
      </c>
      <c r="F95" s="18"/>
      <c r="G95" s="19"/>
      <c r="H95" s="20"/>
      <c r="I95" s="18">
        <f t="shared" si="5"/>
        <v>7.2</v>
      </c>
      <c r="J95" s="19">
        <f t="shared" si="6"/>
        <v>12.99271394051414</v>
      </c>
      <c r="K95" s="20">
        <f t="shared" si="7"/>
        <v>2013</v>
      </c>
      <c r="M95" s="21">
        <f t="shared" si="8"/>
        <v>1.9740810260220096</v>
      </c>
      <c r="N95" s="21">
        <f t="shared" si="9"/>
        <v>2.5643887342273977</v>
      </c>
    </row>
    <row r="96" spans="1:14" x14ac:dyDescent="0.2">
      <c r="A96" s="25">
        <f>'GF + UG Iteration 6'!A96</f>
        <v>1618</v>
      </c>
      <c r="B96" s="25" t="str">
        <f>'GF + UG Iteration 6'!B96</f>
        <v>GF</v>
      </c>
      <c r="C96" s="18">
        <f>'GF + UG Iteration 6'!C96</f>
        <v>21</v>
      </c>
      <c r="D96" s="19">
        <f>'GF + UG Iteration 6'!D96</f>
        <v>15.965955598995766</v>
      </c>
      <c r="E96" s="30">
        <f>'GF + UG Iteration 6'!E96</f>
        <v>2016</v>
      </c>
      <c r="F96" s="18"/>
      <c r="G96" s="19"/>
      <c r="H96" s="20"/>
      <c r="I96" s="18">
        <f t="shared" si="5"/>
        <v>21</v>
      </c>
      <c r="J96" s="19">
        <f t="shared" si="6"/>
        <v>15.965955598995766</v>
      </c>
      <c r="K96" s="20">
        <f t="shared" si="7"/>
        <v>2016</v>
      </c>
      <c r="M96" s="21">
        <f t="shared" si="8"/>
        <v>3.044522437723423</v>
      </c>
      <c r="N96" s="21">
        <f t="shared" si="9"/>
        <v>2.7704586802474096</v>
      </c>
    </row>
    <row r="97" spans="1:14" x14ac:dyDescent="0.2">
      <c r="A97" s="25">
        <f>'GF + UG Iteration 6'!A97</f>
        <v>1634</v>
      </c>
      <c r="B97" s="25" t="str">
        <f>'GF + UG Iteration 6'!B97</f>
        <v>GF</v>
      </c>
      <c r="C97" s="18">
        <f>'GF + UG Iteration 6'!C97</f>
        <v>17.899999999999999</v>
      </c>
      <c r="D97" s="19">
        <f>'GF + UG Iteration 6'!D97</f>
        <v>17.172783979023848</v>
      </c>
      <c r="E97" s="30">
        <f>'GF + UG Iteration 6'!E97</f>
        <v>2015</v>
      </c>
      <c r="F97" s="18"/>
      <c r="G97" s="19"/>
      <c r="H97" s="20"/>
      <c r="I97" s="18">
        <f t="shared" si="5"/>
        <v>17.899999999999999</v>
      </c>
      <c r="J97" s="19">
        <f t="shared" si="6"/>
        <v>17.172783979023848</v>
      </c>
      <c r="K97" s="20">
        <f t="shared" si="7"/>
        <v>2015</v>
      </c>
      <c r="M97" s="21">
        <f t="shared" si="8"/>
        <v>2.884800712846709</v>
      </c>
      <c r="N97" s="21">
        <f t="shared" si="9"/>
        <v>2.8433258038172586</v>
      </c>
    </row>
    <row r="98" spans="1:14" x14ac:dyDescent="0.2">
      <c r="A98" s="25">
        <f>'GF + UG Iteration 6'!A98</f>
        <v>1258</v>
      </c>
      <c r="B98" s="25" t="str">
        <f>'GF + UG Iteration 6'!B98</f>
        <v>GF</v>
      </c>
      <c r="C98" s="18">
        <f>'GF + UG Iteration 6'!C98</f>
        <v>46</v>
      </c>
      <c r="D98" s="19">
        <f>'GF + UG Iteration 6'!D98</f>
        <v>53.518330212347877</v>
      </c>
      <c r="E98" s="30">
        <f>'GF + UG Iteration 6'!E98</f>
        <v>2017</v>
      </c>
      <c r="F98" s="18"/>
      <c r="G98" s="19"/>
      <c r="H98" s="20"/>
      <c r="I98" s="18">
        <f t="shared" si="5"/>
        <v>46</v>
      </c>
      <c r="J98" s="19">
        <f t="shared" si="6"/>
        <v>53.518330212347877</v>
      </c>
      <c r="K98" s="20">
        <f t="shared" si="7"/>
        <v>2017</v>
      </c>
      <c r="M98" s="21">
        <f t="shared" si="8"/>
        <v>3.8286413964890951</v>
      </c>
      <c r="N98" s="21">
        <f t="shared" si="9"/>
        <v>3.98002421601241</v>
      </c>
    </row>
    <row r="99" spans="1:14" x14ac:dyDescent="0.2">
      <c r="A99" s="25">
        <f>'GF + UG Iteration 6'!A99</f>
        <v>1284</v>
      </c>
      <c r="B99" s="25" t="str">
        <f>'GF + UG Iteration 6'!B99</f>
        <v>GF</v>
      </c>
      <c r="C99" s="18">
        <f>'GF + UG Iteration 6'!C99</f>
        <v>24.1</v>
      </c>
      <c r="D99" s="19">
        <f>'GF + UG Iteration 6'!D99</f>
        <v>7.0843108002972475</v>
      </c>
      <c r="E99" s="30">
        <f>'GF + UG Iteration 6'!E99</f>
        <v>2013</v>
      </c>
      <c r="F99" s="18"/>
      <c r="G99" s="19"/>
      <c r="H99" s="20"/>
      <c r="I99" s="18">
        <f t="shared" si="5"/>
        <v>24.1</v>
      </c>
      <c r="J99" s="19">
        <f t="shared" si="6"/>
        <v>7.0843108002972475</v>
      </c>
      <c r="K99" s="20">
        <f t="shared" si="7"/>
        <v>2013</v>
      </c>
      <c r="M99" s="21">
        <f t="shared" si="8"/>
        <v>3.1822118404966093</v>
      </c>
      <c r="N99" s="21">
        <f t="shared" si="9"/>
        <v>1.9578825925179175</v>
      </c>
    </row>
    <row r="100" spans="1:14" x14ac:dyDescent="0.2">
      <c r="A100" s="25" t="str">
        <f>'GF + UG Iteration 6'!A100</f>
        <v>Pre-01</v>
      </c>
      <c r="B100" s="25" t="str">
        <f>'GF + UG Iteration 6'!B100</f>
        <v>GF</v>
      </c>
      <c r="C100" s="18">
        <f>'GF + UG Iteration 6'!C100</f>
        <v>2.2000000000000002</v>
      </c>
      <c r="D100" s="19">
        <f>'GF + UG Iteration 6'!D100</f>
        <v>2.4933711786255444</v>
      </c>
      <c r="E100" s="30">
        <f>'GF + UG Iteration 6'!E100</f>
        <v>1990</v>
      </c>
      <c r="F100" s="18"/>
      <c r="G100" s="19"/>
      <c r="H100" s="20"/>
      <c r="I100" s="18">
        <f t="shared" si="5"/>
        <v>2.2000000000000002</v>
      </c>
      <c r="J100" s="19">
        <f t="shared" si="6"/>
        <v>2.4933711786255444</v>
      </c>
      <c r="K100" s="20">
        <f t="shared" si="7"/>
        <v>1990</v>
      </c>
      <c r="M100" s="21">
        <f t="shared" si="8"/>
        <v>0.78845736036427028</v>
      </c>
      <c r="N100" s="21">
        <f t="shared" si="9"/>
        <v>0.91363568179621524</v>
      </c>
    </row>
    <row r="101" spans="1:14" x14ac:dyDescent="0.2">
      <c r="A101" s="25" t="str">
        <f>'GF + UG Iteration 6'!A101</f>
        <v>Pre-02</v>
      </c>
      <c r="B101" s="25" t="str">
        <f>'GF + UG Iteration 6'!B101</f>
        <v>GF</v>
      </c>
      <c r="C101" s="18">
        <f>'GF + UG Iteration 6'!C101</f>
        <v>1.464</v>
      </c>
      <c r="D101" s="19">
        <f>'GF + UG Iteration 6'!D101</f>
        <v>1.4940223849019025</v>
      </c>
      <c r="E101" s="30">
        <f>'GF + UG Iteration 6'!E101</f>
        <v>1987</v>
      </c>
      <c r="F101" s="18"/>
      <c r="G101" s="19"/>
      <c r="H101" s="20"/>
      <c r="I101" s="18">
        <f t="shared" si="5"/>
        <v>1.464</v>
      </c>
      <c r="J101" s="19">
        <f t="shared" si="6"/>
        <v>1.4940223849019025</v>
      </c>
      <c r="K101" s="20">
        <f t="shared" si="7"/>
        <v>1987</v>
      </c>
      <c r="M101" s="21">
        <f t="shared" si="8"/>
        <v>0.38117241553911979</v>
      </c>
      <c r="N101" s="21">
        <f t="shared" si="9"/>
        <v>0.40147206979911648</v>
      </c>
    </row>
    <row r="102" spans="1:14" x14ac:dyDescent="0.2">
      <c r="A102" s="25" t="str">
        <f>'GF + UG Iteration 6'!A102</f>
        <v>Pre-03</v>
      </c>
      <c r="B102" s="25" t="str">
        <f>'GF + UG Iteration 6'!B102</f>
        <v>GF</v>
      </c>
      <c r="C102" s="18">
        <f>'GF + UG Iteration 6'!C102</f>
        <v>4.0750000000000002</v>
      </c>
      <c r="D102" s="19">
        <f>'GF + UG Iteration 6'!D102</f>
        <v>1.9369408873503524</v>
      </c>
      <c r="E102" s="30">
        <f>'GF + UG Iteration 6'!E102</f>
        <v>1990</v>
      </c>
      <c r="F102" s="18"/>
      <c r="G102" s="19"/>
      <c r="H102" s="20"/>
      <c r="I102" s="18">
        <f t="shared" si="5"/>
        <v>4.0750000000000002</v>
      </c>
      <c r="J102" s="19">
        <f t="shared" si="6"/>
        <v>1.9369408873503524</v>
      </c>
      <c r="K102" s="20">
        <f t="shared" si="7"/>
        <v>1990</v>
      </c>
      <c r="M102" s="21">
        <f t="shared" si="8"/>
        <v>1.4048707466928261</v>
      </c>
      <c r="N102" s="21">
        <f t="shared" si="9"/>
        <v>0.66110986632901214</v>
      </c>
    </row>
    <row r="103" spans="1:14" x14ac:dyDescent="0.2">
      <c r="A103" s="25" t="str">
        <f>'GF + UG Iteration 6'!A103</f>
        <v>Pre-04</v>
      </c>
      <c r="B103" s="25" t="str">
        <f>'GF + UG Iteration 6'!B103</f>
        <v>GF</v>
      </c>
      <c r="C103" s="18">
        <f>'GF + UG Iteration 6'!C103</f>
        <v>10</v>
      </c>
      <c r="D103" s="19">
        <f>'GF + UG Iteration 6'!D103</f>
        <v>8.526519330793306</v>
      </c>
      <c r="E103" s="30">
        <f>'GF + UG Iteration 6'!E103</f>
        <v>1991</v>
      </c>
      <c r="F103" s="18"/>
      <c r="G103" s="19"/>
      <c r="H103" s="20"/>
      <c r="I103" s="18">
        <f t="shared" si="5"/>
        <v>10</v>
      </c>
      <c r="J103" s="19">
        <f t="shared" si="6"/>
        <v>8.526519330793306</v>
      </c>
      <c r="K103" s="20">
        <f t="shared" si="7"/>
        <v>1991</v>
      </c>
      <c r="M103" s="21">
        <f t="shared" si="8"/>
        <v>2.3025850929940459</v>
      </c>
      <c r="N103" s="21">
        <f t="shared" si="9"/>
        <v>2.143181227911088</v>
      </c>
    </row>
    <row r="104" spans="1:14" x14ac:dyDescent="0.2">
      <c r="A104" s="25" t="str">
        <f>'GF + UG Iteration 6'!A104</f>
        <v>Pre-05</v>
      </c>
      <c r="B104" s="25" t="str">
        <f>'GF + UG Iteration 6'!B104</f>
        <v>GF</v>
      </c>
      <c r="C104" s="18">
        <f>'GF + UG Iteration 6'!C104</f>
        <v>4.8</v>
      </c>
      <c r="D104" s="19">
        <f>'GF + UG Iteration 6'!D104</f>
        <v>4.0521826998299986</v>
      </c>
      <c r="E104" s="30">
        <f>'GF + UG Iteration 6'!E104</f>
        <v>1988</v>
      </c>
      <c r="F104" s="18"/>
      <c r="G104" s="19"/>
      <c r="H104" s="20"/>
      <c r="I104" s="18">
        <f t="shared" si="5"/>
        <v>4.8</v>
      </c>
      <c r="J104" s="19">
        <f t="shared" si="6"/>
        <v>4.0521826998299986</v>
      </c>
      <c r="K104" s="20">
        <f t="shared" si="7"/>
        <v>1988</v>
      </c>
      <c r="M104" s="21">
        <f t="shared" si="8"/>
        <v>1.5686159179138452</v>
      </c>
      <c r="N104" s="21">
        <f t="shared" si="9"/>
        <v>1.3992556741730273</v>
      </c>
    </row>
    <row r="105" spans="1:14" x14ac:dyDescent="0.2">
      <c r="A105" s="25" t="str">
        <f>'GF + UG Iteration 6'!A105</f>
        <v>Pre-06</v>
      </c>
      <c r="B105" s="25" t="str">
        <f>'GF + UG Iteration 6'!B105</f>
        <v>GF</v>
      </c>
      <c r="C105" s="18">
        <f>'GF + UG Iteration 6'!C105</f>
        <v>5.0999999999999996</v>
      </c>
      <c r="D105" s="19">
        <f>'GF + UG Iteration 6'!D105</f>
        <v>9.6482174286466869</v>
      </c>
      <c r="E105" s="30">
        <f>'GF + UG Iteration 6'!E105</f>
        <v>1989</v>
      </c>
      <c r="F105" s="18"/>
      <c r="G105" s="19"/>
      <c r="H105" s="20"/>
      <c r="I105" s="18">
        <f t="shared" si="5"/>
        <v>5.0999999999999996</v>
      </c>
      <c r="J105" s="19">
        <f t="shared" si="6"/>
        <v>9.6482174286466869</v>
      </c>
      <c r="K105" s="20">
        <f t="shared" si="7"/>
        <v>1989</v>
      </c>
      <c r="M105" s="21">
        <f t="shared" si="8"/>
        <v>1.62924053973028</v>
      </c>
      <c r="N105" s="21">
        <f t="shared" si="9"/>
        <v>2.2667731758675744</v>
      </c>
    </row>
    <row r="106" spans="1:14" x14ac:dyDescent="0.2">
      <c r="A106" s="25" t="str">
        <f>'GF + UG Iteration 6'!A106</f>
        <v>Pre-07</v>
      </c>
      <c r="B106" s="25" t="str">
        <f>'GF + UG Iteration 6'!B106</f>
        <v>GF</v>
      </c>
      <c r="C106" s="18">
        <f>'GF + UG Iteration 6'!C106</f>
        <v>6.9</v>
      </c>
      <c r="D106" s="19">
        <f>'GF + UG Iteration 6'!D106</f>
        <v>5.029432718717521</v>
      </c>
      <c r="E106" s="30">
        <f>'GF + UG Iteration 6'!E106</f>
        <v>1997</v>
      </c>
      <c r="F106" s="18"/>
      <c r="G106" s="19"/>
      <c r="H106" s="20"/>
      <c r="I106" s="18">
        <f t="shared" si="5"/>
        <v>6.9</v>
      </c>
      <c r="J106" s="19">
        <f t="shared" si="6"/>
        <v>5.029432718717521</v>
      </c>
      <c r="K106" s="20">
        <f t="shared" si="7"/>
        <v>1997</v>
      </c>
      <c r="M106" s="21">
        <f t="shared" si="8"/>
        <v>1.9315214116032138</v>
      </c>
      <c r="N106" s="21">
        <f t="shared" si="9"/>
        <v>1.6153071981725313</v>
      </c>
    </row>
    <row r="107" spans="1:14" x14ac:dyDescent="0.2">
      <c r="A107" s="25" t="str">
        <f>'GF + UG Iteration 6'!A107</f>
        <v>Pre-08</v>
      </c>
      <c r="B107" s="25" t="str">
        <f>'GF + UG Iteration 6'!B107</f>
        <v>GF</v>
      </c>
      <c r="C107" s="18">
        <f>'GF + UG Iteration 6'!C107</f>
        <v>11.8</v>
      </c>
      <c r="D107" s="19">
        <f>'GF + UG Iteration 6'!D107</f>
        <v>6.372939235597177</v>
      </c>
      <c r="E107" s="30">
        <f>'GF + UG Iteration 6'!E107</f>
        <v>1987</v>
      </c>
      <c r="F107" s="18"/>
      <c r="G107" s="19"/>
      <c r="H107" s="20"/>
      <c r="I107" s="18">
        <f t="shared" si="5"/>
        <v>11.8</v>
      </c>
      <c r="J107" s="19">
        <f t="shared" si="6"/>
        <v>6.372939235597177</v>
      </c>
      <c r="K107" s="20">
        <f t="shared" si="7"/>
        <v>1987</v>
      </c>
      <c r="M107" s="21">
        <f t="shared" si="8"/>
        <v>2.4680995314716192</v>
      </c>
      <c r="N107" s="21">
        <f t="shared" si="9"/>
        <v>1.8520607816244041</v>
      </c>
    </row>
    <row r="108" spans="1:14" x14ac:dyDescent="0.2">
      <c r="A108" s="25" t="str">
        <f>'GF + UG Iteration 6'!A108</f>
        <v>Pre-09</v>
      </c>
      <c r="B108" s="25" t="str">
        <f>'GF + UG Iteration 6'!B108</f>
        <v>GF</v>
      </c>
      <c r="C108" s="18">
        <f>'GF + UG Iteration 6'!C108</f>
        <v>9.6999999999999993</v>
      </c>
      <c r="D108" s="19">
        <f>'GF + UG Iteration 6'!D108</f>
        <v>2.9443376052628771</v>
      </c>
      <c r="E108" s="30">
        <f>'GF + UG Iteration 6'!E108</f>
        <v>1997</v>
      </c>
      <c r="F108" s="18"/>
      <c r="G108" s="19"/>
      <c r="H108" s="20"/>
      <c r="I108" s="18">
        <f t="shared" si="5"/>
        <v>9.6999999999999993</v>
      </c>
      <c r="J108" s="19">
        <f t="shared" si="6"/>
        <v>2.9443376052628771</v>
      </c>
      <c r="K108" s="20">
        <f t="shared" si="7"/>
        <v>1997</v>
      </c>
      <c r="M108" s="21">
        <f t="shared" si="8"/>
        <v>2.2721258855093369</v>
      </c>
      <c r="N108" s="21">
        <f t="shared" si="9"/>
        <v>1.0798838699925799</v>
      </c>
    </row>
    <row r="109" spans="1:14" x14ac:dyDescent="0.2">
      <c r="A109" s="25" t="str">
        <f>'GF + UG Iteration 6'!A109</f>
        <v>Pre-10</v>
      </c>
      <c r="B109" s="25" t="str">
        <f>'GF + UG Iteration 6'!B109</f>
        <v>GF</v>
      </c>
      <c r="C109" s="18">
        <f>'GF + UG Iteration 6'!C109</f>
        <v>6.12</v>
      </c>
      <c r="D109" s="19">
        <f>'GF + UG Iteration 6'!D109</f>
        <v>13.481108575958453</v>
      </c>
      <c r="E109" s="30">
        <f>'GF + UG Iteration 6'!E109</f>
        <v>1990</v>
      </c>
      <c r="F109" s="18"/>
      <c r="G109" s="19"/>
      <c r="H109" s="20"/>
      <c r="I109" s="18">
        <f t="shared" si="5"/>
        <v>6.12</v>
      </c>
      <c r="J109" s="19">
        <f t="shared" si="6"/>
        <v>13.481108575958453</v>
      </c>
      <c r="K109" s="20">
        <f t="shared" si="7"/>
        <v>1990</v>
      </c>
      <c r="M109" s="21">
        <f t="shared" si="8"/>
        <v>1.8115620965242347</v>
      </c>
      <c r="N109" s="21">
        <f t="shared" si="9"/>
        <v>2.6012893406753403</v>
      </c>
    </row>
    <row r="110" spans="1:14" x14ac:dyDescent="0.2">
      <c r="A110" s="25" t="str">
        <f>'GF + UG Iteration 6'!A110</f>
        <v>Pre-11</v>
      </c>
      <c r="B110" s="25" t="str">
        <f>'GF + UG Iteration 6'!B110</f>
        <v>GF</v>
      </c>
      <c r="C110" s="18">
        <f>'GF + UG Iteration 6'!C110</f>
        <v>6.2671999999999999</v>
      </c>
      <c r="D110" s="19">
        <f>'GF + UG Iteration 6'!D110</f>
        <v>2.9102311039234974</v>
      </c>
      <c r="E110" s="30">
        <f>'GF + UG Iteration 6'!E110</f>
        <v>1987</v>
      </c>
      <c r="F110" s="18"/>
      <c r="G110" s="19"/>
      <c r="H110" s="20"/>
      <c r="I110" s="18">
        <f t="shared" si="5"/>
        <v>6.2671999999999999</v>
      </c>
      <c r="J110" s="19">
        <f t="shared" si="6"/>
        <v>2.9102311039234974</v>
      </c>
      <c r="K110" s="20">
        <f t="shared" si="7"/>
        <v>1987</v>
      </c>
      <c r="M110" s="21">
        <f t="shared" si="8"/>
        <v>1.8353296839294297</v>
      </c>
      <c r="N110" s="21">
        <f t="shared" si="9"/>
        <v>1.0682324951858668</v>
      </c>
    </row>
    <row r="111" spans="1:14" x14ac:dyDescent="0.2">
      <c r="A111" s="25" t="str">
        <f>'GF + UG Iteration 6'!A111</f>
        <v>Pre-12</v>
      </c>
      <c r="B111" s="25" t="str">
        <f>'GF + UG Iteration 6'!B111</f>
        <v>GF</v>
      </c>
      <c r="C111" s="18">
        <f>'GF + UG Iteration 6'!C111</f>
        <v>6.3659999999999997</v>
      </c>
      <c r="D111" s="19">
        <f>'GF + UG Iteration 6'!D111</f>
        <v>9.8906921245327926</v>
      </c>
      <c r="E111" s="30">
        <f>'GF + UG Iteration 6'!E111</f>
        <v>1993</v>
      </c>
      <c r="F111" s="18"/>
      <c r="G111" s="19"/>
      <c r="H111" s="20"/>
      <c r="I111" s="18">
        <f t="shared" si="5"/>
        <v>6.3659999999999997</v>
      </c>
      <c r="J111" s="19">
        <f t="shared" si="6"/>
        <v>9.8906921245327926</v>
      </c>
      <c r="K111" s="20">
        <f t="shared" si="7"/>
        <v>1993</v>
      </c>
      <c r="M111" s="21">
        <f t="shared" si="8"/>
        <v>1.850971328859901</v>
      </c>
      <c r="N111" s="21">
        <f t="shared" si="9"/>
        <v>2.2915941254440955</v>
      </c>
    </row>
    <row r="112" spans="1:14" x14ac:dyDescent="0.2">
      <c r="A112" s="25" t="str">
        <f>'GF + UG Iteration 6'!A112</f>
        <v>Pre-13</v>
      </c>
      <c r="B112" s="25" t="str">
        <f>'GF + UG Iteration 6'!B112</f>
        <v>GF</v>
      </c>
      <c r="C112" s="18">
        <f>'GF + UG Iteration 6'!C112</f>
        <v>8.5</v>
      </c>
      <c r="D112" s="19">
        <f>'GF + UG Iteration 6'!D112</f>
        <v>5.9446476688134462</v>
      </c>
      <c r="E112" s="30">
        <f>'GF + UG Iteration 6'!E112</f>
        <v>1990</v>
      </c>
      <c r="F112" s="18"/>
      <c r="G112" s="19"/>
      <c r="H112" s="20"/>
      <c r="I112" s="18">
        <f t="shared" si="5"/>
        <v>8.5</v>
      </c>
      <c r="J112" s="19">
        <f t="shared" si="6"/>
        <v>5.9446476688134462</v>
      </c>
      <c r="K112" s="20">
        <f t="shared" si="7"/>
        <v>1990</v>
      </c>
      <c r="M112" s="21">
        <f t="shared" si="8"/>
        <v>2.1400661634962708</v>
      </c>
      <c r="N112" s="21">
        <f t="shared" si="9"/>
        <v>1.7824912632583982</v>
      </c>
    </row>
    <row r="113" spans="1:14" x14ac:dyDescent="0.2">
      <c r="A113" s="25" t="str">
        <f>'GF + UG Iteration 6'!A113</f>
        <v>Pre-14</v>
      </c>
      <c r="B113" s="25" t="str">
        <f>'GF + UG Iteration 6'!B113</f>
        <v>GF</v>
      </c>
      <c r="C113" s="18">
        <f>'GF + UG Iteration 6'!C113</f>
        <v>46.55</v>
      </c>
      <c r="D113" s="19">
        <f>'GF + UG Iteration 6'!D113</f>
        <v>7.1936227504100643</v>
      </c>
      <c r="E113" s="30">
        <f>'GF + UG Iteration 6'!E113</f>
        <v>1991</v>
      </c>
      <c r="F113" s="18"/>
      <c r="G113" s="19"/>
      <c r="H113" s="20"/>
      <c r="I113" s="18">
        <f t="shared" si="5"/>
        <v>46.55</v>
      </c>
      <c r="J113" s="19">
        <f t="shared" si="6"/>
        <v>7.1936227504100643</v>
      </c>
      <c r="K113" s="20">
        <f t="shared" si="7"/>
        <v>1991</v>
      </c>
      <c r="M113" s="21">
        <f t="shared" si="8"/>
        <v>3.8405270037230759</v>
      </c>
      <c r="N113" s="21">
        <f t="shared" si="9"/>
        <v>1.9731949044224915</v>
      </c>
    </row>
    <row r="114" spans="1:14" x14ac:dyDescent="0.2">
      <c r="A114" s="25" t="str">
        <f>'GF + UG Iteration 6'!A114</f>
        <v>Pre-15</v>
      </c>
      <c r="B114" s="25" t="str">
        <f>'GF + UG Iteration 6'!B114</f>
        <v>GF</v>
      </c>
      <c r="C114" s="18">
        <f>'GF + UG Iteration 6'!C114</f>
        <v>56.8</v>
      </c>
      <c r="D114" s="19">
        <f>'GF + UG Iteration 6'!D114</f>
        <v>17.594466678549747</v>
      </c>
      <c r="E114" s="30">
        <f>'GF + UG Iteration 6'!E114</f>
        <v>1990</v>
      </c>
      <c r="F114" s="18"/>
      <c r="G114" s="19"/>
      <c r="H114" s="20"/>
      <c r="I114" s="18">
        <f t="shared" si="5"/>
        <v>56.8</v>
      </c>
      <c r="J114" s="19">
        <f t="shared" si="6"/>
        <v>17.594466678549747</v>
      </c>
      <c r="K114" s="20">
        <f t="shared" si="7"/>
        <v>1990</v>
      </c>
      <c r="M114" s="21">
        <f t="shared" si="8"/>
        <v>4.0395363257271057</v>
      </c>
      <c r="N114" s="21">
        <f t="shared" si="9"/>
        <v>2.867584459347964</v>
      </c>
    </row>
    <row r="115" spans="1:14" x14ac:dyDescent="0.2">
      <c r="A115" s="25" t="str">
        <f>'GF + UG Iteration 6'!A115</f>
        <v>Pre-16</v>
      </c>
      <c r="B115" s="25" t="str">
        <f>'GF + UG Iteration 6'!B115</f>
        <v>GF</v>
      </c>
      <c r="C115" s="18">
        <f>'GF + UG Iteration 6'!C115</f>
        <v>81.575999999999993</v>
      </c>
      <c r="D115" s="19">
        <f>'GF + UG Iteration 6'!D115</f>
        <v>14.026199251012313</v>
      </c>
      <c r="E115" s="30">
        <f>'GF + UG Iteration 6'!E115</f>
        <v>1988</v>
      </c>
      <c r="F115" s="18"/>
      <c r="G115" s="19"/>
      <c r="H115" s="20"/>
      <c r="I115" s="18">
        <f t="shared" si="5"/>
        <v>81.575999999999993</v>
      </c>
      <c r="J115" s="19">
        <f t="shared" si="6"/>
        <v>14.026199251012313</v>
      </c>
      <c r="K115" s="20">
        <f t="shared" si="7"/>
        <v>1988</v>
      </c>
      <c r="M115" s="21">
        <f t="shared" si="8"/>
        <v>4.4015351010619241</v>
      </c>
      <c r="N115" s="21">
        <f t="shared" si="9"/>
        <v>2.6409269558467208</v>
      </c>
    </row>
    <row r="116" spans="1:14" x14ac:dyDescent="0.2">
      <c r="A116" s="25" t="str">
        <f>'GF + UG Iteration 6'!A116</f>
        <v>Pre-17</v>
      </c>
      <c r="B116" s="25" t="str">
        <f>'GF + UG Iteration 6'!B116</f>
        <v>GF</v>
      </c>
      <c r="C116" s="18">
        <f>'GF + UG Iteration 6'!C116</f>
        <v>95.2</v>
      </c>
      <c r="D116" s="19">
        <f>'GF + UG Iteration 6'!D116</f>
        <v>14.219904176944949</v>
      </c>
      <c r="E116" s="30">
        <f>'GF + UG Iteration 6'!E116</f>
        <v>1999</v>
      </c>
      <c r="F116" s="18"/>
      <c r="G116" s="19"/>
      <c r="H116" s="20"/>
      <c r="I116" s="18">
        <f t="shared" si="5"/>
        <v>95.2</v>
      </c>
      <c r="J116" s="19">
        <f t="shared" si="6"/>
        <v>14.219904176944949</v>
      </c>
      <c r="K116" s="20">
        <f t="shared" si="7"/>
        <v>1999</v>
      </c>
      <c r="M116" s="21">
        <f t="shared" si="8"/>
        <v>4.5559799417973199</v>
      </c>
      <c r="N116" s="21">
        <f t="shared" si="9"/>
        <v>2.654642685740924</v>
      </c>
    </row>
    <row r="117" spans="1:14" x14ac:dyDescent="0.2">
      <c r="A117" s="25" t="str">
        <f>'GF + UG Iteration 6'!A117</f>
        <v>Pre-18</v>
      </c>
      <c r="B117" s="25" t="str">
        <f>'GF + UG Iteration 6'!B117</f>
        <v>GF</v>
      </c>
      <c r="C117" s="18">
        <f>'GF + UG Iteration 6'!C117</f>
        <v>122.77200000000001</v>
      </c>
      <c r="D117" s="19">
        <f>'GF + UG Iteration 6'!D117</f>
        <v>23.447549869052086</v>
      </c>
      <c r="E117" s="30">
        <f>'GF + UG Iteration 6'!E117</f>
        <v>1990</v>
      </c>
      <c r="F117" s="18"/>
      <c r="G117" s="19"/>
      <c r="H117" s="20"/>
      <c r="I117" s="18">
        <f t="shared" si="5"/>
        <v>122.77200000000001</v>
      </c>
      <c r="J117" s="19">
        <f t="shared" si="6"/>
        <v>23.447549869052086</v>
      </c>
      <c r="K117" s="20">
        <f t="shared" si="7"/>
        <v>1990</v>
      </c>
      <c r="M117" s="21">
        <f t="shared" si="8"/>
        <v>4.8103289766848034</v>
      </c>
      <c r="N117" s="21">
        <f t="shared" si="9"/>
        <v>3.1547660062374661</v>
      </c>
    </row>
    <row r="118" spans="1:14" x14ac:dyDescent="0.2">
      <c r="A118" s="33">
        <f>'GF + UG Iteration 6'!A118</f>
        <v>1184</v>
      </c>
      <c r="B118" s="34" t="str">
        <f>'GF + UG Iteration 6'!B118</f>
        <v>UG</v>
      </c>
      <c r="C118" s="35">
        <f>'GF + UG Iteration 6'!C118</f>
        <v>30</v>
      </c>
      <c r="D118" s="36">
        <f>'GF + UG Iteration 6'!P$16*(C118^'GF + UG Iteration 6'!P$15)</f>
        <v>17.900111217726465</v>
      </c>
      <c r="E118" s="37">
        <f>'GF + UG Iteration 6'!E118</f>
        <v>2013</v>
      </c>
      <c r="F118" s="35">
        <f>'GF + UG Iteration 6'!F118</f>
        <v>18.200000000000003</v>
      </c>
      <c r="G118" s="36">
        <f>'GF + UG Iteration 6'!G118</f>
        <v>18.869341885211266</v>
      </c>
      <c r="H118" s="38">
        <f>'GF + UG Iteration 6'!H118</f>
        <v>2012</v>
      </c>
      <c r="I118" s="35">
        <f>C118+F118</f>
        <v>48.2</v>
      </c>
      <c r="J118" s="36">
        <f>D118+G118</f>
        <v>36.769453102937732</v>
      </c>
      <c r="K118" s="38">
        <f>MAX(E118,H118)</f>
        <v>2013</v>
      </c>
      <c r="M118" s="21">
        <f t="shared" si="8"/>
        <v>3.8753590210565547</v>
      </c>
      <c r="N118" s="21">
        <f t="shared" si="9"/>
        <v>3.6046674217442538</v>
      </c>
    </row>
    <row r="119" spans="1:14" x14ac:dyDescent="0.2">
      <c r="A119" s="33">
        <f>'GF + UG Iteration 6'!A119</f>
        <v>1481</v>
      </c>
      <c r="B119" s="34" t="str">
        <f>'GF + UG Iteration 6'!B119</f>
        <v>UG</v>
      </c>
      <c r="C119" s="35">
        <f>'GF + UG Iteration 6'!C119</f>
        <v>48.2</v>
      </c>
      <c r="D119" s="36">
        <f>'GF + UG Iteration 6'!P$16*(C119^'GF + UG Iteration 6'!P$15)</f>
        <v>23.473160580477771</v>
      </c>
      <c r="E119" s="37">
        <f>'GF + UG Iteration 6'!E119</f>
        <v>2013</v>
      </c>
      <c r="F119" s="35">
        <f>'GF + UG Iteration 6'!F119</f>
        <v>0</v>
      </c>
      <c r="G119" s="36">
        <f>'GF + UG Iteration 6'!G119</f>
        <v>1.1114331301697908</v>
      </c>
      <c r="H119" s="38">
        <f>'GF + UG Iteration 6'!H119</f>
        <v>2014</v>
      </c>
      <c r="I119" s="35">
        <f t="shared" ref="I119:I183" si="10">C119+F119</f>
        <v>48.2</v>
      </c>
      <c r="J119" s="36">
        <f t="shared" ref="J119:J183" si="11">D119+G119</f>
        <v>24.58459371064756</v>
      </c>
      <c r="K119" s="38">
        <f t="shared" ref="K119:K183" si="12">MAX(E119,H119)</f>
        <v>2014</v>
      </c>
      <c r="M119" s="21">
        <f t="shared" si="8"/>
        <v>3.8753590210565547</v>
      </c>
      <c r="N119" s="21">
        <f t="shared" si="9"/>
        <v>3.2021199748232427</v>
      </c>
    </row>
    <row r="120" spans="1:14" x14ac:dyDescent="0.2">
      <c r="A120" s="33">
        <f>'GF + UG Iteration 6'!A120</f>
        <v>457</v>
      </c>
      <c r="B120" s="34" t="str">
        <f>'GF + UG Iteration 6'!B120</f>
        <v>UG</v>
      </c>
      <c r="C120" s="35">
        <f>'GF + UG Iteration 6'!C120</f>
        <v>10.77</v>
      </c>
      <c r="D120" s="36">
        <f>'GF + UG Iteration 6'!P$16*(C120^'GF + UG Iteration 6'!P$15)</f>
        <v>9.9661862838354978</v>
      </c>
      <c r="E120" s="37">
        <f>'GF + UG Iteration 6'!E120</f>
        <v>1990</v>
      </c>
      <c r="F120" s="35">
        <f>'GF + UG Iteration 6'!F120</f>
        <v>10</v>
      </c>
      <c r="G120" s="36">
        <f>'GF + UG Iteration 6'!G120</f>
        <v>3.289132084924363</v>
      </c>
      <c r="H120" s="38">
        <f>'GF + UG Iteration 6'!H120</f>
        <v>2006</v>
      </c>
      <c r="I120" s="35">
        <f t="shared" si="10"/>
        <v>20.77</v>
      </c>
      <c r="J120" s="36">
        <f t="shared" si="11"/>
        <v>13.255318368759861</v>
      </c>
      <c r="K120" s="38">
        <f t="shared" si="12"/>
        <v>2006</v>
      </c>
      <c r="M120" s="21">
        <f t="shared" si="8"/>
        <v>3.0335096378880211</v>
      </c>
      <c r="N120" s="21">
        <f t="shared" si="9"/>
        <v>2.5843988582197901</v>
      </c>
    </row>
    <row r="121" spans="1:14" x14ac:dyDescent="0.2">
      <c r="A121" s="33">
        <f>'GF + UG Iteration 6'!A121</f>
        <v>407</v>
      </c>
      <c r="B121" s="34" t="str">
        <f>'GF + UG Iteration 6'!B121</f>
        <v>UG</v>
      </c>
      <c r="C121" s="35">
        <f>'GF + UG Iteration 6'!C121</f>
        <v>25.4</v>
      </c>
      <c r="D121" s="36">
        <f>'GF + UG Iteration 6'!P$16*(C121^'GF + UG Iteration 6'!P$15)</f>
        <v>16.275454740243035</v>
      </c>
      <c r="E121" s="37">
        <f>'GF + UG Iteration 6'!E121</f>
        <v>1982</v>
      </c>
      <c r="F121" s="35">
        <f>'GF + UG Iteration 6'!F121</f>
        <v>2</v>
      </c>
      <c r="G121" s="36">
        <f>'GF + UG Iteration 6'!G121</f>
        <v>0.60106525862386018</v>
      </c>
      <c r="H121" s="38">
        <f>'GF + UG Iteration 6'!H121</f>
        <v>2004</v>
      </c>
      <c r="I121" s="35">
        <f t="shared" si="10"/>
        <v>27.4</v>
      </c>
      <c r="J121" s="36">
        <f t="shared" si="11"/>
        <v>16.876519998866893</v>
      </c>
      <c r="K121" s="38">
        <f t="shared" si="12"/>
        <v>2004</v>
      </c>
      <c r="M121" s="21">
        <f t="shared" si="8"/>
        <v>3.3105430133940246</v>
      </c>
      <c r="N121" s="21">
        <f t="shared" si="9"/>
        <v>2.8259233067091007</v>
      </c>
    </row>
    <row r="122" spans="1:14" x14ac:dyDescent="0.2">
      <c r="A122" s="33">
        <f>'GF + UG Iteration 6'!A122</f>
        <v>706</v>
      </c>
      <c r="B122" s="34" t="str">
        <f>'GF + UG Iteration 6'!B122</f>
        <v>UG</v>
      </c>
      <c r="C122" s="35">
        <f>'GF + UG Iteration 6'!C122</f>
        <v>14.85</v>
      </c>
      <c r="D122" s="36">
        <f>'GF + UG Iteration 6'!P$16*(C122^'GF + UG Iteration 6'!P$15)</f>
        <v>11.975101804555099</v>
      </c>
      <c r="E122" s="37">
        <f>'GF + UG Iteration 6'!E122</f>
        <v>1984</v>
      </c>
      <c r="F122" s="35">
        <f>'GF + UG Iteration 6'!F122</f>
        <v>14.250000000000002</v>
      </c>
      <c r="G122" s="36">
        <f>'GF + UG Iteration 6'!G122</f>
        <v>5.8346214151737739</v>
      </c>
      <c r="H122" s="38">
        <f>'GF + UG Iteration 6'!H122</f>
        <v>2008</v>
      </c>
      <c r="I122" s="35">
        <f t="shared" si="10"/>
        <v>29.1</v>
      </c>
      <c r="J122" s="36">
        <f t="shared" si="11"/>
        <v>17.809723219728873</v>
      </c>
      <c r="K122" s="38">
        <f t="shared" si="12"/>
        <v>2008</v>
      </c>
      <c r="M122" s="21">
        <f t="shared" si="8"/>
        <v>3.3707381741774469</v>
      </c>
      <c r="N122" s="21">
        <f t="shared" si="9"/>
        <v>2.879744556458121</v>
      </c>
    </row>
    <row r="123" spans="1:14" x14ac:dyDescent="0.2">
      <c r="A123" s="33">
        <f>'GF + UG Iteration 6'!A123</f>
        <v>1070</v>
      </c>
      <c r="B123" s="34" t="str">
        <f>'GF + UG Iteration 6'!B123</f>
        <v>UG</v>
      </c>
      <c r="C123" s="35">
        <f>'GF + UG Iteration 6'!C123</f>
        <v>34</v>
      </c>
      <c r="D123" s="36">
        <f>'GF + UG Iteration 6'!P$16*(C123^'GF + UG Iteration 6'!P$15)</f>
        <v>19.227767222651682</v>
      </c>
      <c r="E123" s="37">
        <f>'GF + UG Iteration 6'!E123</f>
        <v>1984</v>
      </c>
      <c r="F123" s="35">
        <f>'GF + UG Iteration 6'!F123</f>
        <v>4.8999999999999986</v>
      </c>
      <c r="G123" s="36">
        <f>'GF + UG Iteration 6'!G123</f>
        <v>0.83607952853202894</v>
      </c>
      <c r="H123" s="38">
        <f>'GF + UG Iteration 6'!H123</f>
        <v>2011</v>
      </c>
      <c r="I123" s="35">
        <f t="shared" si="10"/>
        <v>38.9</v>
      </c>
      <c r="J123" s="36">
        <f t="shared" si="11"/>
        <v>20.063846751183711</v>
      </c>
      <c r="K123" s="38">
        <f t="shared" si="12"/>
        <v>2011</v>
      </c>
      <c r="M123" s="21">
        <f t="shared" si="8"/>
        <v>3.6609942506244004</v>
      </c>
      <c r="N123" s="21">
        <f t="shared" si="9"/>
        <v>2.9989195264221236</v>
      </c>
    </row>
    <row r="124" spans="1:14" x14ac:dyDescent="0.2">
      <c r="A124" s="33">
        <f>'GF + UG Iteration 6'!A124</f>
        <v>1264</v>
      </c>
      <c r="B124" s="34" t="str">
        <f>'GF + UG Iteration 6'!B124</f>
        <v>UG</v>
      </c>
      <c r="C124" s="35">
        <f>'GF + UG Iteration 6'!C124</f>
        <v>38.9</v>
      </c>
      <c r="D124" s="36">
        <f>'GF + UG Iteration 6'!P$16*(C124^'GF + UG Iteration 6'!P$15)</f>
        <v>20.766014770122645</v>
      </c>
      <c r="E124" s="37">
        <f>'GF + UG Iteration 6'!E124</f>
        <v>1984</v>
      </c>
      <c r="F124" s="35">
        <f>'GF + UG Iteration 6'!F124</f>
        <v>7.2000000000000028</v>
      </c>
      <c r="G124" s="36">
        <f>'GF + UG Iteration 6'!G124</f>
        <v>8.0578720930203094</v>
      </c>
      <c r="H124" s="38">
        <f>'GF + UG Iteration 6'!H124</f>
        <v>2013</v>
      </c>
      <c r="I124" s="35">
        <f t="shared" si="10"/>
        <v>46.1</v>
      </c>
      <c r="J124" s="36">
        <f t="shared" si="11"/>
        <v>28.823886863142953</v>
      </c>
      <c r="K124" s="38">
        <f t="shared" si="12"/>
        <v>2013</v>
      </c>
      <c r="M124" s="21">
        <f t="shared" si="8"/>
        <v>3.8308129500026027</v>
      </c>
      <c r="N124" s="21">
        <f t="shared" si="9"/>
        <v>3.3612044483459069</v>
      </c>
    </row>
    <row r="125" spans="1:14" x14ac:dyDescent="0.2">
      <c r="A125" s="33">
        <f>'GF + UG Iteration 6'!A125</f>
        <v>1208</v>
      </c>
      <c r="B125" s="34" t="str">
        <f>'GF + UG Iteration 6'!B125</f>
        <v>UG</v>
      </c>
      <c r="C125" s="35">
        <f>'GF + UG Iteration 6'!C125</f>
        <v>14.1</v>
      </c>
      <c r="D125" s="36">
        <f>'GF + UG Iteration 6'!P$16*(C125^'GF + UG Iteration 6'!P$15)</f>
        <v>11.625538300209374</v>
      </c>
      <c r="E125" s="37">
        <f>'GF + UG Iteration 6'!E125</f>
        <v>1961</v>
      </c>
      <c r="F125" s="35">
        <f>'GF + UG Iteration 6'!F125</f>
        <v>11.500000000000002</v>
      </c>
      <c r="G125" s="36">
        <f>'GF + UG Iteration 6'!G125</f>
        <v>2.7992110812000917</v>
      </c>
      <c r="H125" s="38">
        <f>'GF + UG Iteration 6'!H125</f>
        <v>2012</v>
      </c>
      <c r="I125" s="35">
        <f t="shared" si="10"/>
        <v>25.6</v>
      </c>
      <c r="J125" s="36">
        <f t="shared" si="11"/>
        <v>14.424749381409466</v>
      </c>
      <c r="K125" s="38">
        <f t="shared" si="12"/>
        <v>2012</v>
      </c>
      <c r="M125" s="21">
        <f t="shared" si="8"/>
        <v>3.2425923514855168</v>
      </c>
      <c r="N125" s="21">
        <f t="shared" si="9"/>
        <v>2.6689454383374791</v>
      </c>
    </row>
    <row r="126" spans="1:14" x14ac:dyDescent="0.2">
      <c r="A126" s="33">
        <f>'GF + UG Iteration 6'!A126</f>
        <v>655</v>
      </c>
      <c r="B126" s="34" t="str">
        <f>'GF + UG Iteration 6'!B126</f>
        <v>UG</v>
      </c>
      <c r="C126" s="35">
        <f>'GF + UG Iteration 6'!C126</f>
        <v>12.052999999999999</v>
      </c>
      <c r="D126" s="36">
        <f>'GF + UG Iteration 6'!P$16*(C126^'GF + UG Iteration 6'!P$15)</f>
        <v>10.628465134792538</v>
      </c>
      <c r="E126" s="37">
        <f>'GF + UG Iteration 6'!E126</f>
        <v>1974</v>
      </c>
      <c r="F126" s="35">
        <f>'GF + UG Iteration 6'!F126</f>
        <v>2.3390000000000004</v>
      </c>
      <c r="G126" s="36">
        <f>'GF + UG Iteration 6'!G126</f>
        <v>0.59464786373478107</v>
      </c>
      <c r="H126" s="38">
        <f>'GF + UG Iteration 6'!H126</f>
        <v>2007</v>
      </c>
      <c r="I126" s="35">
        <f t="shared" si="10"/>
        <v>14.391999999999999</v>
      </c>
      <c r="J126" s="36">
        <f t="shared" si="11"/>
        <v>11.22311299852732</v>
      </c>
      <c r="K126" s="38">
        <f t="shared" si="12"/>
        <v>2007</v>
      </c>
      <c r="M126" s="21">
        <f t="shared" si="8"/>
        <v>2.666672496648232</v>
      </c>
      <c r="N126" s="21">
        <f t="shared" si="9"/>
        <v>2.4179753124613184</v>
      </c>
    </row>
    <row r="127" spans="1:14" x14ac:dyDescent="0.2">
      <c r="A127" s="33">
        <f>'GF + UG Iteration 6'!A127</f>
        <v>733</v>
      </c>
      <c r="B127" s="34" t="str">
        <f>'GF + UG Iteration 6'!B127</f>
        <v>UG</v>
      </c>
      <c r="C127" s="35">
        <f>'GF + UG Iteration 6'!C127</f>
        <v>24.3</v>
      </c>
      <c r="D127" s="36">
        <f>'GF + UG Iteration 6'!P$16*(C127^'GF + UG Iteration 6'!P$15)</f>
        <v>15.868720703873894</v>
      </c>
      <c r="E127" s="37">
        <f>'GF + UG Iteration 6'!E127</f>
        <v>2007</v>
      </c>
      <c r="F127" s="35">
        <f>'GF + UG Iteration 6'!F127</f>
        <v>17.099999999999998</v>
      </c>
      <c r="G127" s="36">
        <f>'GF + UG Iteration 6'!G127</f>
        <v>6.7726080218724345</v>
      </c>
      <c r="H127" s="38">
        <f>'GF + UG Iteration 6'!H127</f>
        <v>2009</v>
      </c>
      <c r="I127" s="35">
        <f t="shared" si="10"/>
        <v>41.4</v>
      </c>
      <c r="J127" s="36">
        <f t="shared" si="11"/>
        <v>22.641328725746327</v>
      </c>
      <c r="K127" s="38">
        <f t="shared" si="12"/>
        <v>2009</v>
      </c>
      <c r="M127" s="21">
        <f t="shared" si="8"/>
        <v>3.7232808808312687</v>
      </c>
      <c r="N127" s="21">
        <f t="shared" si="9"/>
        <v>3.119776940912582</v>
      </c>
    </row>
    <row r="128" spans="1:14" x14ac:dyDescent="0.2">
      <c r="A128" s="33">
        <f>'GF + UG Iteration 6'!A128</f>
        <v>1700</v>
      </c>
      <c r="B128" s="34" t="str">
        <f>'GF + UG Iteration 6'!B128</f>
        <v>UG</v>
      </c>
      <c r="C128" s="35">
        <f>'GF + UG Iteration 6'!C128</f>
        <v>13.4</v>
      </c>
      <c r="D128" s="36">
        <f>'GF + UG Iteration 6'!P$16*(C128^'GF + UG Iteration 6'!P$15)</f>
        <v>11.292018967047234</v>
      </c>
      <c r="E128" s="37">
        <f>'GF + UG Iteration 6'!E128</f>
        <v>0</v>
      </c>
      <c r="F128" s="35">
        <f>'GF + UG Iteration 6'!F128</f>
        <v>0</v>
      </c>
      <c r="G128" s="36">
        <f>'GF + UG Iteration 6'!G128</f>
        <v>4.0238803148956235</v>
      </c>
      <c r="H128" s="38">
        <f>'GF + UG Iteration 6'!H128</f>
        <v>2016</v>
      </c>
      <c r="I128" s="35">
        <f t="shared" ref="I128" si="13">C128+F128</f>
        <v>13.4</v>
      </c>
      <c r="J128" s="36">
        <f t="shared" ref="J128" si="14">D128+G128</f>
        <v>15.315899281942858</v>
      </c>
      <c r="K128" s="38">
        <f t="shared" ref="K128" si="15">MAX(E128,H128)</f>
        <v>2016</v>
      </c>
      <c r="M128" s="21">
        <f t="shared" ref="M128" si="16">LN(I128)</f>
        <v>2.5952547069568657</v>
      </c>
      <c r="N128" s="21">
        <f t="shared" ref="N128" si="17">LN(J128)</f>
        <v>2.7288914575907399</v>
      </c>
    </row>
    <row r="129" spans="1:14" x14ac:dyDescent="0.2">
      <c r="A129" s="33">
        <f>'GF + UG Iteration 6'!A129</f>
        <v>1569</v>
      </c>
      <c r="B129" s="34" t="str">
        <f>'GF + UG Iteration 6'!B129</f>
        <v>UG</v>
      </c>
      <c r="C129" s="35">
        <f>'GF + UG Iteration 6'!C129</f>
        <v>17.7</v>
      </c>
      <c r="D129" s="36">
        <f>'GF + UG Iteration 6'!P$16*(C129^'GF + UG Iteration 6'!P$15)</f>
        <v>13.239302330957225</v>
      </c>
      <c r="E129" s="37">
        <f>'GF + UG Iteration 6'!E129</f>
        <v>1997</v>
      </c>
      <c r="F129" s="35">
        <f>'GF + UG Iteration 6'!F129</f>
        <v>0</v>
      </c>
      <c r="G129" s="36">
        <f>'GF + UG Iteration 6'!G129</f>
        <v>3.7372730134616279</v>
      </c>
      <c r="H129" s="38">
        <f>'GF + UG Iteration 6'!H129</f>
        <v>2015</v>
      </c>
      <c r="I129" s="35">
        <f t="shared" si="10"/>
        <v>17.7</v>
      </c>
      <c r="J129" s="36">
        <f t="shared" si="11"/>
        <v>16.976575344418851</v>
      </c>
      <c r="K129" s="38">
        <f t="shared" si="12"/>
        <v>2015</v>
      </c>
      <c r="M129" s="21">
        <f t="shared" si="8"/>
        <v>2.8735646395797834</v>
      </c>
      <c r="N129" s="21">
        <f t="shared" si="9"/>
        <v>2.8318344729336791</v>
      </c>
    </row>
    <row r="130" spans="1:14" x14ac:dyDescent="0.2">
      <c r="A130" s="33">
        <f>'GF + UG Iteration 6'!A130</f>
        <v>401</v>
      </c>
      <c r="B130" s="34" t="str">
        <f>'GF + UG Iteration 6'!B130</f>
        <v>UG</v>
      </c>
      <c r="C130" s="35">
        <f>'GF + UG Iteration 6'!C130</f>
        <v>2</v>
      </c>
      <c r="D130" s="36">
        <f>'GF + UG Iteration 6'!P$16*(C130^'GF + UG Iteration 6'!P$15)</f>
        <v>3.8067336549605097</v>
      </c>
      <c r="E130" s="37">
        <f>'GF + UG Iteration 6'!E130</f>
        <v>1986</v>
      </c>
      <c r="F130" s="35">
        <f>'GF + UG Iteration 6'!F130</f>
        <v>1.5</v>
      </c>
      <c r="G130" s="36">
        <f>'GF + UG Iteration 6'!G130</f>
        <v>0.36204281296556784</v>
      </c>
      <c r="H130" s="38">
        <f>'GF + UG Iteration 6'!H130</f>
        <v>2004</v>
      </c>
      <c r="I130" s="35">
        <f t="shared" si="10"/>
        <v>3.5</v>
      </c>
      <c r="J130" s="36">
        <f t="shared" si="11"/>
        <v>4.1687764679260777</v>
      </c>
      <c r="K130" s="38">
        <f t="shared" si="12"/>
        <v>2004</v>
      </c>
      <c r="M130" s="21">
        <f t="shared" si="8"/>
        <v>1.2527629684953681</v>
      </c>
      <c r="N130" s="21">
        <f t="shared" si="9"/>
        <v>1.427622579789336</v>
      </c>
    </row>
    <row r="131" spans="1:14" x14ac:dyDescent="0.2">
      <c r="A131" s="33">
        <f>'GF + UG Iteration 6'!A131</f>
        <v>1412</v>
      </c>
      <c r="B131" s="34" t="str">
        <f>'GF + UG Iteration 6'!B131</f>
        <v>UG</v>
      </c>
      <c r="C131" s="35">
        <f>'GF + UG Iteration 6'!C131</f>
        <v>3.5</v>
      </c>
      <c r="D131" s="36">
        <f>'GF + UG Iteration 6'!P$16*(C131^'GF + UG Iteration 6'!P$15)</f>
        <v>5.2418340072381984</v>
      </c>
      <c r="E131" s="37">
        <f>'GF + UG Iteration 6'!E131</f>
        <v>1986</v>
      </c>
      <c r="F131" s="35">
        <f>'GF + UG Iteration 6'!F131</f>
        <v>11</v>
      </c>
      <c r="G131" s="36">
        <f>'GF + UG Iteration 6'!G131</f>
        <v>4.3574845496482366</v>
      </c>
      <c r="H131" s="38">
        <f>'GF + UG Iteration 6'!H131</f>
        <v>2015</v>
      </c>
      <c r="I131" s="35">
        <f t="shared" si="10"/>
        <v>14.5</v>
      </c>
      <c r="J131" s="36">
        <f t="shared" si="11"/>
        <v>9.5993185568864341</v>
      </c>
      <c r="K131" s="38">
        <f t="shared" si="12"/>
        <v>2015</v>
      </c>
      <c r="M131" s="21">
        <f t="shared" si="8"/>
        <v>2.6741486494265287</v>
      </c>
      <c r="N131" s="21">
        <f t="shared" si="9"/>
        <v>2.2616921122966684</v>
      </c>
    </row>
    <row r="132" spans="1:14" x14ac:dyDescent="0.2">
      <c r="A132" s="33">
        <f>'GF + UG Iteration 6'!A132</f>
        <v>1318</v>
      </c>
      <c r="B132" s="34" t="str">
        <f>'GF + UG Iteration 6'!B132</f>
        <v>UG</v>
      </c>
      <c r="C132" s="35">
        <f>'GF + UG Iteration 6'!C132</f>
        <v>22.3</v>
      </c>
      <c r="D132" s="36">
        <f>'GF + UG Iteration 6'!P$16*(C132^'GF + UG Iteration 6'!P$15)</f>
        <v>15.108413450342054</v>
      </c>
      <c r="E132" s="37">
        <f>'GF + UG Iteration 6'!E132</f>
        <v>1997</v>
      </c>
      <c r="F132" s="35">
        <f>'GF + UG Iteration 6'!F132</f>
        <v>28.900000000000002</v>
      </c>
      <c r="G132" s="36">
        <f>'GF + UG Iteration 6'!G132</f>
        <v>1.6878206182928517</v>
      </c>
      <c r="H132" s="38">
        <f>'GF + UG Iteration 6'!H132</f>
        <v>2013</v>
      </c>
      <c r="I132" s="35">
        <f t="shared" si="10"/>
        <v>51.2</v>
      </c>
      <c r="J132" s="36">
        <f t="shared" si="11"/>
        <v>16.796234068634906</v>
      </c>
      <c r="K132" s="38">
        <f t="shared" si="12"/>
        <v>2013</v>
      </c>
      <c r="M132" s="21">
        <f t="shared" si="8"/>
        <v>3.9357395320454622</v>
      </c>
      <c r="N132" s="21">
        <f t="shared" si="9"/>
        <v>2.8211546986997709</v>
      </c>
    </row>
    <row r="133" spans="1:14" x14ac:dyDescent="0.2">
      <c r="A133" s="33">
        <f>'GF + UG Iteration 6'!A133</f>
        <v>1194</v>
      </c>
      <c r="B133" s="34" t="str">
        <f>'GF + UG Iteration 6'!B133</f>
        <v>UG</v>
      </c>
      <c r="C133" s="35">
        <f>'GF + UG Iteration 6'!C133</f>
        <v>5.8</v>
      </c>
      <c r="D133" s="36">
        <f>'GF + UG Iteration 6'!P$16*(C133^'GF + UG Iteration 6'!P$15)</f>
        <v>6.9964645621864037</v>
      </c>
      <c r="E133" s="37">
        <f>'GF + UG Iteration 6'!E133</f>
        <v>1980</v>
      </c>
      <c r="F133" s="35">
        <f>'GF + UG Iteration 6'!F133</f>
        <v>9.6000000000000014</v>
      </c>
      <c r="G133" s="36">
        <f>'GF + UG Iteration 6'!G133</f>
        <v>1.6086060831571487</v>
      </c>
      <c r="H133" s="38">
        <f>'GF + UG Iteration 6'!H133</f>
        <v>2011</v>
      </c>
      <c r="I133" s="35">
        <f t="shared" si="10"/>
        <v>15.400000000000002</v>
      </c>
      <c r="J133" s="36">
        <f t="shared" si="11"/>
        <v>8.6050706453435524</v>
      </c>
      <c r="K133" s="38">
        <f t="shared" si="12"/>
        <v>2011</v>
      </c>
      <c r="M133" s="21">
        <f t="shared" si="8"/>
        <v>2.7343675094195836</v>
      </c>
      <c r="N133" s="21">
        <f t="shared" si="9"/>
        <v>2.1523516394314934</v>
      </c>
    </row>
    <row r="134" spans="1:14" x14ac:dyDescent="0.2">
      <c r="A134" s="33">
        <f>'GF + UG Iteration 6'!A134</f>
        <v>801</v>
      </c>
      <c r="B134" s="34" t="str">
        <f>'GF + UG Iteration 6'!B134</f>
        <v>UG</v>
      </c>
      <c r="C134" s="35">
        <f>'GF + UG Iteration 6'!C134</f>
        <v>10</v>
      </c>
      <c r="D134" s="36">
        <f>'GF + UG Iteration 6'!P$16*(C134^'GF + UG Iteration 6'!P$15)</f>
        <v>9.5524142840776953</v>
      </c>
      <c r="E134" s="37">
        <f>'GF + UG Iteration 6'!E134</f>
        <v>2008</v>
      </c>
      <c r="F134" s="35">
        <f>'GF + UG Iteration 6'!F134</f>
        <v>0</v>
      </c>
      <c r="G134" s="36">
        <f>'GF + UG Iteration 6'!G134</f>
        <v>6.3106495854024782</v>
      </c>
      <c r="H134" s="38">
        <f>'GF + UG Iteration 6'!H134</f>
        <v>2009</v>
      </c>
      <c r="I134" s="35">
        <f t="shared" si="10"/>
        <v>10</v>
      </c>
      <c r="J134" s="36">
        <f t="shared" si="11"/>
        <v>15.863063869480174</v>
      </c>
      <c r="K134" s="38">
        <f t="shared" si="12"/>
        <v>2009</v>
      </c>
      <c r="M134" s="21">
        <f t="shared" si="8"/>
        <v>2.3025850929940459</v>
      </c>
      <c r="N134" s="21">
        <f t="shared" si="9"/>
        <v>2.7639933797360703</v>
      </c>
    </row>
    <row r="135" spans="1:14" x14ac:dyDescent="0.2">
      <c r="A135" s="33">
        <f>'GF + UG Iteration 6'!A135</f>
        <v>804</v>
      </c>
      <c r="B135" s="34" t="str">
        <f>'GF + UG Iteration 6'!B135</f>
        <v>UG</v>
      </c>
      <c r="C135" s="35">
        <f>'GF + UG Iteration 6'!C135</f>
        <v>14.429</v>
      </c>
      <c r="D135" s="36">
        <f>'GF + UG Iteration 6'!P$16*(C135^'GF + UG Iteration 6'!P$15)</f>
        <v>11.779836940653059</v>
      </c>
      <c r="E135" s="37">
        <f>'GF + UG Iteration 6'!E135</f>
        <v>1982</v>
      </c>
      <c r="F135" s="35">
        <f>'GF + UG Iteration 6'!F135</f>
        <v>9.8710000000000004</v>
      </c>
      <c r="G135" s="36">
        <f>'GF + UG Iteration 6'!G135</f>
        <v>9.1566982400815444</v>
      </c>
      <c r="H135" s="38">
        <f>'GF + UG Iteration 6'!H135</f>
        <v>2009</v>
      </c>
      <c r="I135" s="35">
        <f t="shared" si="10"/>
        <v>24.3</v>
      </c>
      <c r="J135" s="36">
        <f t="shared" si="11"/>
        <v>20.936535180734602</v>
      </c>
      <c r="K135" s="38">
        <f t="shared" si="12"/>
        <v>2009</v>
      </c>
      <c r="M135" s="21">
        <f t="shared" si="8"/>
        <v>3.1904763503465028</v>
      </c>
      <c r="N135" s="21">
        <f t="shared" si="9"/>
        <v>3.0414957276033885</v>
      </c>
    </row>
    <row r="136" spans="1:14" x14ac:dyDescent="0.2">
      <c r="A136" s="33">
        <f>'GF + UG Iteration 6'!A136</f>
        <v>365</v>
      </c>
      <c r="B136" s="34" t="str">
        <f>'GF + UG Iteration 6'!B136</f>
        <v>UG</v>
      </c>
      <c r="C136" s="35">
        <f>'GF + UG Iteration 6'!C136</f>
        <v>15.9</v>
      </c>
      <c r="D136" s="36">
        <f>'GF + UG Iteration 6'!P$16*(C136^'GF + UG Iteration 6'!P$15)</f>
        <v>12.452031701749615</v>
      </c>
      <c r="E136" s="37">
        <f>'GF + UG Iteration 6'!E136</f>
        <v>1982</v>
      </c>
      <c r="F136" s="35">
        <f>'GF + UG Iteration 6'!F136</f>
        <v>0.26900000000000013</v>
      </c>
      <c r="G136" s="36">
        <f>'GF + UG Iteration 6'!G136</f>
        <v>0.59607313292480213</v>
      </c>
      <c r="H136" s="38">
        <f>'GF + UG Iteration 6'!H136</f>
        <v>2003</v>
      </c>
      <c r="I136" s="35">
        <f t="shared" si="10"/>
        <v>16.169</v>
      </c>
      <c r="J136" s="36">
        <f t="shared" si="11"/>
        <v>13.048104834674417</v>
      </c>
      <c r="K136" s="38">
        <f t="shared" si="12"/>
        <v>2003</v>
      </c>
      <c r="M136" s="21">
        <f t="shared" ref="M136:M183" si="18">LN(I136)</f>
        <v>2.7830958287576775</v>
      </c>
      <c r="N136" s="21">
        <f t="shared" ref="N136:N183" si="19">LN(J136)</f>
        <v>2.5686428998261674</v>
      </c>
    </row>
    <row r="137" spans="1:14" x14ac:dyDescent="0.2">
      <c r="A137" s="33">
        <f>'GF + UG Iteration 6'!A137</f>
        <v>708</v>
      </c>
      <c r="B137" s="34" t="str">
        <f>'GF + UG Iteration 6'!B137</f>
        <v>UG</v>
      </c>
      <c r="C137" s="35">
        <f>'GF + UG Iteration 6'!C137</f>
        <v>16.2</v>
      </c>
      <c r="D137" s="36">
        <f>'GF + UG Iteration 6'!P$16*(C137^'GF + UG Iteration 6'!P$15)</f>
        <v>12.585797655618146</v>
      </c>
      <c r="E137" s="37">
        <f>'GF + UG Iteration 6'!E137</f>
        <v>1982</v>
      </c>
      <c r="F137" s="35">
        <f>'GF + UG Iteration 6'!F137</f>
        <v>11.5</v>
      </c>
      <c r="G137" s="36">
        <f>'GF + UG Iteration 6'!G137</f>
        <v>6.8374623210633541</v>
      </c>
      <c r="H137" s="38">
        <f>'GF + UG Iteration 6'!H137</f>
        <v>2007</v>
      </c>
      <c r="I137" s="35">
        <f t="shared" si="10"/>
        <v>27.7</v>
      </c>
      <c r="J137" s="36">
        <f t="shared" si="11"/>
        <v>19.4232599766815</v>
      </c>
      <c r="K137" s="38">
        <f t="shared" si="12"/>
        <v>2007</v>
      </c>
      <c r="M137" s="21">
        <f t="shared" si="18"/>
        <v>3.3214324131932926</v>
      </c>
      <c r="N137" s="21">
        <f t="shared" si="19"/>
        <v>2.9664713157514848</v>
      </c>
    </row>
    <row r="138" spans="1:14" x14ac:dyDescent="0.2">
      <c r="A138" s="33">
        <f>'GF + UG Iteration 6'!A138</f>
        <v>1568</v>
      </c>
      <c r="B138" s="34" t="str">
        <f>'GF + UG Iteration 6'!B138</f>
        <v>UG</v>
      </c>
      <c r="C138" s="35">
        <f>'GF + UG Iteration 6'!C138</f>
        <v>27.7</v>
      </c>
      <c r="D138" s="36">
        <f>'GF + UG Iteration 6'!P$16*(C138^'GF + UG Iteration 6'!P$15)</f>
        <v>17.102247963123425</v>
      </c>
      <c r="E138" s="37">
        <f>'GF + UG Iteration 6'!E138</f>
        <v>1997</v>
      </c>
      <c r="F138" s="35">
        <f>'GF + UG Iteration 6'!F138</f>
        <v>8.0999999999999979</v>
      </c>
      <c r="G138" s="36">
        <f>'GF + UG Iteration 6'!G138</f>
        <v>3.5848996641236104</v>
      </c>
      <c r="H138" s="38">
        <f>'GF + UG Iteration 6'!H138</f>
        <v>2015</v>
      </c>
      <c r="I138" s="35">
        <f t="shared" si="10"/>
        <v>35.799999999999997</v>
      </c>
      <c r="J138" s="36">
        <f t="shared" si="11"/>
        <v>20.687147627247036</v>
      </c>
      <c r="K138" s="38">
        <f t="shared" si="12"/>
        <v>2015</v>
      </c>
      <c r="M138" s="21">
        <f t="shared" si="18"/>
        <v>3.5779478934066544</v>
      </c>
      <c r="N138" s="21">
        <f t="shared" si="19"/>
        <v>3.0295126198682061</v>
      </c>
    </row>
    <row r="139" spans="1:14" x14ac:dyDescent="0.2">
      <c r="A139" s="33">
        <f>'GF + UG Iteration 6'!A139</f>
        <v>398</v>
      </c>
      <c r="B139" s="34" t="str">
        <f>'GF + UG Iteration 6'!B139</f>
        <v>UG</v>
      </c>
      <c r="C139" s="35">
        <f>'GF + UG Iteration 6'!C139</f>
        <v>27.329000000000001</v>
      </c>
      <c r="D139" s="36">
        <f>'GF + UG Iteration 6'!P$16*(C139^'GF + UG Iteration 6'!P$15)</f>
        <v>16.970930179798749</v>
      </c>
      <c r="E139" s="37">
        <f>'GF + UG Iteration 6'!E139</f>
        <v>1981</v>
      </c>
      <c r="F139" s="35">
        <f>'GF + UG Iteration 6'!F139</f>
        <v>2</v>
      </c>
      <c r="G139" s="36">
        <f>'GF + UG Iteration 6'!G139</f>
        <v>1.454685054931611</v>
      </c>
      <c r="H139" s="38">
        <f>'GF + UG Iteration 6'!H139</f>
        <v>2004</v>
      </c>
      <c r="I139" s="35">
        <f t="shared" si="10"/>
        <v>29.329000000000001</v>
      </c>
      <c r="J139" s="36">
        <f t="shared" si="11"/>
        <v>18.425615234730362</v>
      </c>
      <c r="K139" s="38">
        <f t="shared" si="12"/>
        <v>2004</v>
      </c>
      <c r="M139" s="21">
        <f t="shared" si="18"/>
        <v>3.3785767876246213</v>
      </c>
      <c r="N139" s="21">
        <f t="shared" si="19"/>
        <v>2.9137418288194352</v>
      </c>
    </row>
    <row r="140" spans="1:14" x14ac:dyDescent="0.2">
      <c r="A140" s="33">
        <f>'GF + UG Iteration 6'!A140</f>
        <v>1642</v>
      </c>
      <c r="B140" s="34" t="str">
        <f>'GF + UG Iteration 6'!B140</f>
        <v>UG</v>
      </c>
      <c r="C140" s="35">
        <f>'GF + UG Iteration 6'!C140</f>
        <v>16.12</v>
      </c>
      <c r="D140" s="36">
        <f>'GF + UG Iteration 6'!P$16*(C140^'GF + UG Iteration 6'!P$15)</f>
        <v>12.550231241613732</v>
      </c>
      <c r="E140" s="37" t="str">
        <f>'GF + UG Iteration 6'!E140</f>
        <v>unknown</v>
      </c>
      <c r="F140" s="35">
        <f>'GF + UG Iteration 6'!F140</f>
        <v>2.7799999999999976</v>
      </c>
      <c r="G140" s="36">
        <f>'GF + UG Iteration 6'!G140</f>
        <v>10.134123990225088</v>
      </c>
      <c r="H140" s="38">
        <f>'GF + UG Iteration 6'!H140</f>
        <v>2015</v>
      </c>
      <c r="I140" s="35">
        <f t="shared" si="10"/>
        <v>18.899999999999999</v>
      </c>
      <c r="J140" s="36">
        <f t="shared" si="11"/>
        <v>22.684355231838822</v>
      </c>
      <c r="K140" s="38">
        <f t="shared" si="12"/>
        <v>2015</v>
      </c>
      <c r="M140" s="21">
        <f t="shared" si="18"/>
        <v>2.9391619220655967</v>
      </c>
      <c r="N140" s="21">
        <f t="shared" si="19"/>
        <v>3.1216754900467465</v>
      </c>
    </row>
    <row r="141" spans="1:14" x14ac:dyDescent="0.2">
      <c r="A141" s="33">
        <f>'GF + UG Iteration 6'!A141</f>
        <v>522</v>
      </c>
      <c r="B141" s="34" t="str">
        <f>'GF + UG Iteration 6'!B141</f>
        <v>UG</v>
      </c>
      <c r="C141" s="35">
        <f>'GF + UG Iteration 6'!C141</f>
        <v>38.700000000000003</v>
      </c>
      <c r="D141" s="36">
        <f>'GF + UG Iteration 6'!P$16*(C141^'GF + UG Iteration 6'!P$15)</f>
        <v>20.704915379535869</v>
      </c>
      <c r="E141" s="37">
        <f>'GF + UG Iteration 6'!E141</f>
        <v>1981</v>
      </c>
      <c r="F141" s="35">
        <f>'GF + UG Iteration 6'!F141</f>
        <v>2.2999999999999972</v>
      </c>
      <c r="G141" s="36">
        <f>'GF + UG Iteration 6'!G141</f>
        <v>0.49326793696611254</v>
      </c>
      <c r="H141" s="38">
        <f>'GF + UG Iteration 6'!H141</f>
        <v>2006</v>
      </c>
      <c r="I141" s="35">
        <f t="shared" si="10"/>
        <v>41</v>
      </c>
      <c r="J141" s="36">
        <f t="shared" si="11"/>
        <v>21.198183316501982</v>
      </c>
      <c r="K141" s="38">
        <f t="shared" si="12"/>
        <v>2006</v>
      </c>
      <c r="M141" s="21">
        <f t="shared" si="18"/>
        <v>3.713572066704308</v>
      </c>
      <c r="N141" s="21">
        <f t="shared" si="19"/>
        <v>3.0539154853883135</v>
      </c>
    </row>
    <row r="142" spans="1:14" x14ac:dyDescent="0.2">
      <c r="A142" s="33">
        <f>'GF + UG Iteration 6'!A142</f>
        <v>170</v>
      </c>
      <c r="B142" s="34" t="str">
        <f>'GF + UG Iteration 6'!B142</f>
        <v>UG</v>
      </c>
      <c r="C142" s="35">
        <f>'GF + UG Iteration 6'!C142</f>
        <v>20.399999999999999</v>
      </c>
      <c r="D142" s="36">
        <f>'GF + UG Iteration 6'!P$16*(C142^'GF + UG Iteration 6'!P$15)</f>
        <v>14.358556389890879</v>
      </c>
      <c r="E142" s="37" t="str">
        <f>'GF + UG Iteration 6'!E142</f>
        <v>unknown</v>
      </c>
      <c r="F142" s="35">
        <f>'GF + UG Iteration 6'!F142</f>
        <v>5.6000000000000014</v>
      </c>
      <c r="G142" s="36">
        <f>'GF + UG Iteration 6'!G142</f>
        <v>4.433742547698083</v>
      </c>
      <c r="H142" s="38">
        <f>'GF + UG Iteration 6'!H142</f>
        <v>2001</v>
      </c>
      <c r="I142" s="35">
        <f t="shared" si="10"/>
        <v>26</v>
      </c>
      <c r="J142" s="36">
        <f t="shared" si="11"/>
        <v>18.79229893758896</v>
      </c>
      <c r="K142" s="38">
        <f t="shared" si="12"/>
        <v>2001</v>
      </c>
      <c r="M142" s="21">
        <f t="shared" si="18"/>
        <v>3.2580965380214821</v>
      </c>
      <c r="N142" s="21">
        <f t="shared" si="19"/>
        <v>2.9334471549349046</v>
      </c>
    </row>
    <row r="143" spans="1:14" x14ac:dyDescent="0.2">
      <c r="A143" s="33">
        <f>'GF + UG Iteration 6'!A143</f>
        <v>1312</v>
      </c>
      <c r="B143" s="34" t="str">
        <f>'GF + UG Iteration 6'!B143</f>
        <v>UG</v>
      </c>
      <c r="C143" s="35">
        <f>'GF + UG Iteration 6'!C143</f>
        <v>23.63</v>
      </c>
      <c r="D143" s="36">
        <f>'GF + UG Iteration 6'!P$16*(C143^'GF + UG Iteration 6'!P$15)</f>
        <v>15.617111929548837</v>
      </c>
      <c r="E143" s="37" t="str">
        <f>'GF + UG Iteration 6'!E143</f>
        <v>unknown</v>
      </c>
      <c r="F143" s="35">
        <f>'GF + UG Iteration 6'!F143</f>
        <v>0</v>
      </c>
      <c r="G143" s="36">
        <f>'GF + UG Iteration 6'!G143</f>
        <v>6.0245111186360631</v>
      </c>
      <c r="H143" s="38">
        <f>'GF + UG Iteration 6'!H143</f>
        <v>2013</v>
      </c>
      <c r="I143" s="35">
        <f t="shared" si="10"/>
        <v>23.63</v>
      </c>
      <c r="J143" s="36">
        <f t="shared" si="11"/>
        <v>21.641623048184901</v>
      </c>
      <c r="K143" s="38">
        <f t="shared" si="12"/>
        <v>2013</v>
      </c>
      <c r="M143" s="21">
        <f t="shared" si="18"/>
        <v>3.1625170911988163</v>
      </c>
      <c r="N143" s="21">
        <f t="shared" si="19"/>
        <v>3.0746184533924135</v>
      </c>
    </row>
    <row r="144" spans="1:14" x14ac:dyDescent="0.2">
      <c r="A144" s="33">
        <f>'GF + UG Iteration 6'!A144</f>
        <v>170</v>
      </c>
      <c r="B144" s="34" t="str">
        <f>'GF + UG Iteration 6'!B144</f>
        <v>UG</v>
      </c>
      <c r="C144" s="35">
        <f>'GF + UG Iteration 6'!C144</f>
        <v>21.6</v>
      </c>
      <c r="D144" s="36">
        <f>'GF + UG Iteration 6'!P$16*(C144^'GF + UG Iteration 6'!P$15)</f>
        <v>14.835458834002065</v>
      </c>
      <c r="E144" s="37" t="str">
        <f>'GF + UG Iteration 6'!E144</f>
        <v>unknown</v>
      </c>
      <c r="F144" s="35">
        <f>'GF + UG Iteration 6'!F144</f>
        <v>1</v>
      </c>
      <c r="G144" s="36">
        <f>'GF + UG Iteration 6'!G144</f>
        <v>4.8829870198591019</v>
      </c>
      <c r="H144" s="38">
        <f>'GF + UG Iteration 6'!H144</f>
        <v>2001</v>
      </c>
      <c r="I144" s="35">
        <f t="shared" si="10"/>
        <v>22.6</v>
      </c>
      <c r="J144" s="36">
        <f t="shared" si="11"/>
        <v>19.718445853861166</v>
      </c>
      <c r="K144" s="38">
        <f t="shared" si="12"/>
        <v>2001</v>
      </c>
      <c r="M144" s="21">
        <f t="shared" si="18"/>
        <v>3.1179499062782403</v>
      </c>
      <c r="N144" s="21">
        <f t="shared" si="19"/>
        <v>2.9815545354126387</v>
      </c>
    </row>
    <row r="145" spans="1:14" x14ac:dyDescent="0.2">
      <c r="A145" s="33">
        <f>'GF + UG Iteration 6'!A145</f>
        <v>1366</v>
      </c>
      <c r="B145" s="34" t="str">
        <f>'GF + UG Iteration 6'!B145</f>
        <v>UG</v>
      </c>
      <c r="C145" s="35">
        <f>'GF + UG Iteration 6'!C145</f>
        <v>25.5</v>
      </c>
      <c r="D145" s="36">
        <f>'GF + UG Iteration 6'!P$16*(C145^'GF + UG Iteration 6'!P$15)</f>
        <v>16.312052787944616</v>
      </c>
      <c r="E145" s="37">
        <f>'GF + UG Iteration 6'!E145</f>
        <v>0</v>
      </c>
      <c r="F145" s="35">
        <f>'GF + UG Iteration 6'!F145</f>
        <v>14</v>
      </c>
      <c r="G145" s="36">
        <f>'GF + UG Iteration 6'!G145</f>
        <v>5.5737060104438019</v>
      </c>
      <c r="H145" s="38">
        <f>'GF + UG Iteration 6'!H145</f>
        <v>2013</v>
      </c>
      <c r="I145" s="35">
        <f t="shared" si="10"/>
        <v>39.5</v>
      </c>
      <c r="J145" s="36">
        <f t="shared" si="11"/>
        <v>21.885758798388416</v>
      </c>
      <c r="K145" s="38">
        <f t="shared" si="12"/>
        <v>2013</v>
      </c>
      <c r="M145" s="21">
        <f t="shared" si="18"/>
        <v>3.6763006719070761</v>
      </c>
      <c r="N145" s="21">
        <f t="shared" si="19"/>
        <v>3.0858361421180316</v>
      </c>
    </row>
    <row r="146" spans="1:14" x14ac:dyDescent="0.2">
      <c r="A146" s="33">
        <f>'GF + UG Iteration 6'!A146</f>
        <v>170</v>
      </c>
      <c r="B146" s="34" t="str">
        <f>'GF + UG Iteration 6'!B146</f>
        <v>UG</v>
      </c>
      <c r="C146" s="35">
        <f>'GF + UG Iteration 6'!C146</f>
        <v>5.4</v>
      </c>
      <c r="D146" s="36">
        <f>'GF + UG Iteration 6'!P$16*(C146^'GF + UG Iteration 6'!P$15)</f>
        <v>6.7164249338842055</v>
      </c>
      <c r="E146" s="37" t="str">
        <f>'GF + UG Iteration 6'!E146</f>
        <v>unknown</v>
      </c>
      <c r="F146" s="35">
        <f>'GF + UG Iteration 6'!F146</f>
        <v>10.6</v>
      </c>
      <c r="G146" s="36">
        <f>'GF + UG Iteration 6'!G146</f>
        <v>5.2097107088088661</v>
      </c>
      <c r="H146" s="38">
        <f>'GF + UG Iteration 6'!H146</f>
        <v>2001</v>
      </c>
      <c r="I146" s="35">
        <f t="shared" si="10"/>
        <v>16</v>
      </c>
      <c r="J146" s="36">
        <f t="shared" si="11"/>
        <v>11.926135642693072</v>
      </c>
      <c r="K146" s="38">
        <f t="shared" si="12"/>
        <v>2001</v>
      </c>
      <c r="M146" s="21">
        <f t="shared" si="18"/>
        <v>2.7725887222397811</v>
      </c>
      <c r="N146" s="21">
        <f t="shared" si="19"/>
        <v>2.4787322643317795</v>
      </c>
    </row>
    <row r="147" spans="1:14" x14ac:dyDescent="0.2">
      <c r="A147" s="33">
        <f>'GF + UG Iteration 6'!A147</f>
        <v>1350</v>
      </c>
      <c r="B147" s="34" t="str">
        <f>'GF + UG Iteration 6'!B147</f>
        <v>UG</v>
      </c>
      <c r="C147" s="35">
        <f>'GF + UG Iteration 6'!C147</f>
        <v>16</v>
      </c>
      <c r="D147" s="36">
        <f>'GF + UG Iteration 6'!P$16*(C147^'GF + UG Iteration 6'!P$15)</f>
        <v>12.496739534340005</v>
      </c>
      <c r="E147" s="37">
        <f>'GF + UG Iteration 6'!E147</f>
        <v>0</v>
      </c>
      <c r="F147" s="35">
        <f>'GF + UG Iteration 6'!F147</f>
        <v>20</v>
      </c>
      <c r="G147" s="36">
        <f>'GF + UG Iteration 6'!G147</f>
        <v>6.5300342953877131</v>
      </c>
      <c r="H147" s="38">
        <f>'GF + UG Iteration 6'!H147</f>
        <v>2013</v>
      </c>
      <c r="I147" s="35">
        <f t="shared" si="10"/>
        <v>36</v>
      </c>
      <c r="J147" s="36">
        <f t="shared" si="11"/>
        <v>19.026773829727716</v>
      </c>
      <c r="K147" s="38">
        <f t="shared" si="12"/>
        <v>2013</v>
      </c>
      <c r="M147" s="21">
        <f t="shared" si="18"/>
        <v>3.5835189384561099</v>
      </c>
      <c r="N147" s="21">
        <f t="shared" si="19"/>
        <v>2.9458471361808516</v>
      </c>
    </row>
    <row r="148" spans="1:14" x14ac:dyDescent="0.2">
      <c r="A148" s="33">
        <f>'GF + UG Iteration 6'!A148</f>
        <v>658</v>
      </c>
      <c r="B148" s="34" t="str">
        <f>'GF + UG Iteration 6'!B148</f>
        <v>UG</v>
      </c>
      <c r="C148" s="35">
        <f>'GF + UG Iteration 6'!C148</f>
        <v>1.6</v>
      </c>
      <c r="D148" s="36">
        <f>'GF + UG Iteration 6'!P$16*(C148^'GF + UG Iteration 6'!P$15)</f>
        <v>3.3508474105994583</v>
      </c>
      <c r="E148" s="37">
        <f>'GF + UG Iteration 6'!E148</f>
        <v>1996</v>
      </c>
      <c r="F148" s="35">
        <f>'GF + UG Iteration 6'!F148</f>
        <v>13.200000000000001</v>
      </c>
      <c r="G148" s="36">
        <f>'GF + UG Iteration 6'!G148</f>
        <v>7.1146692323992218</v>
      </c>
      <c r="H148" s="38">
        <f>'GF + UG Iteration 6'!H148</f>
        <v>2008</v>
      </c>
      <c r="I148" s="35">
        <f t="shared" si="10"/>
        <v>14.8</v>
      </c>
      <c r="J148" s="36">
        <f t="shared" si="11"/>
        <v>10.465516642998679</v>
      </c>
      <c r="K148" s="38">
        <f t="shared" si="12"/>
        <v>2008</v>
      </c>
      <c r="M148" s="21">
        <f t="shared" si="18"/>
        <v>2.6946271807700692</v>
      </c>
      <c r="N148" s="21">
        <f t="shared" si="19"/>
        <v>2.3480857233366743</v>
      </c>
    </row>
    <row r="149" spans="1:14" x14ac:dyDescent="0.2">
      <c r="A149" s="33">
        <f>'GF + UG Iteration 6'!A149</f>
        <v>897</v>
      </c>
      <c r="B149" s="34" t="str">
        <f>'GF + UG Iteration 6'!B149</f>
        <v>UG</v>
      </c>
      <c r="C149" s="35">
        <f>'GF + UG Iteration 6'!C149</f>
        <v>14.8</v>
      </c>
      <c r="D149" s="36">
        <f>'GF + UG Iteration 6'!P$16*(C149^'GF + UG Iteration 6'!P$15)</f>
        <v>11.952036429388967</v>
      </c>
      <c r="E149" s="37">
        <f>'GF + UG Iteration 6'!E149</f>
        <v>1996</v>
      </c>
      <c r="F149" s="35">
        <f>'GF + UG Iteration 6'!F149</f>
        <v>3</v>
      </c>
      <c r="G149" s="36">
        <f>'GF + UG Iteration 6'!G149</f>
        <v>6.2372112776035529</v>
      </c>
      <c r="H149" s="38">
        <f>'GF + UG Iteration 6'!H149</f>
        <v>2010</v>
      </c>
      <c r="I149" s="35">
        <f t="shared" si="10"/>
        <v>17.8</v>
      </c>
      <c r="J149" s="36">
        <f t="shared" si="11"/>
        <v>18.189247706992518</v>
      </c>
      <c r="K149" s="38">
        <f t="shared" si="12"/>
        <v>2010</v>
      </c>
      <c r="M149" s="21">
        <f t="shared" si="18"/>
        <v>2.8791984572980396</v>
      </c>
      <c r="N149" s="21">
        <f t="shared" si="19"/>
        <v>2.9008306341702514</v>
      </c>
    </row>
    <row r="150" spans="1:14" x14ac:dyDescent="0.2">
      <c r="A150" s="33">
        <f>'GF + UG Iteration 6'!A150</f>
        <v>483</v>
      </c>
      <c r="B150" s="34" t="str">
        <f>'GF + UG Iteration 6'!B150</f>
        <v>UG</v>
      </c>
      <c r="C150" s="35">
        <f>'GF + UG Iteration 6'!C150</f>
        <v>20.7</v>
      </c>
      <c r="D150" s="36">
        <f>'GF + UG Iteration 6'!P$16*(C150^'GF + UG Iteration 6'!P$15)</f>
        <v>14.478884062544532</v>
      </c>
      <c r="E150" s="37">
        <f>'GF + UG Iteration 6'!E150</f>
        <v>1986</v>
      </c>
      <c r="F150" s="35">
        <f>'GF + UG Iteration 6'!F150</f>
        <v>18.099999999999998</v>
      </c>
      <c r="G150" s="36">
        <f>'GF + UG Iteration 6'!G150</f>
        <v>3.6200694377675466</v>
      </c>
      <c r="H150" s="38">
        <f>'GF + UG Iteration 6'!H150</f>
        <v>2005</v>
      </c>
      <c r="I150" s="35">
        <f t="shared" si="10"/>
        <v>38.799999999999997</v>
      </c>
      <c r="J150" s="36">
        <f t="shared" si="11"/>
        <v>18.098953500312078</v>
      </c>
      <c r="K150" s="38">
        <f t="shared" si="12"/>
        <v>2005</v>
      </c>
      <c r="M150" s="21">
        <f t="shared" si="18"/>
        <v>3.6584202466292277</v>
      </c>
      <c r="N150" s="21">
        <f t="shared" si="19"/>
        <v>2.8958541189379585</v>
      </c>
    </row>
    <row r="151" spans="1:14" x14ac:dyDescent="0.2">
      <c r="A151" s="33">
        <f>'GF + UG Iteration 6'!A151</f>
        <v>1494</v>
      </c>
      <c r="B151" s="34" t="str">
        <f>'GF + UG Iteration 6'!B151</f>
        <v>UG</v>
      </c>
      <c r="C151" s="35">
        <f>'GF + UG Iteration 6'!C151</f>
        <v>13.3</v>
      </c>
      <c r="D151" s="36">
        <f>'GF + UG Iteration 6'!P$16*(C151^'GF + UG Iteration 6'!P$15)</f>
        <v>11.243770107165449</v>
      </c>
      <c r="E151" s="37">
        <f>'GF + UG Iteration 6'!E151</f>
        <v>0</v>
      </c>
      <c r="F151" s="35">
        <f>'GF + UG Iteration 6'!F151</f>
        <v>6</v>
      </c>
      <c r="G151" s="36">
        <f>'GF + UG Iteration 6'!G151</f>
        <v>6.4297485673579153</v>
      </c>
      <c r="H151" s="38">
        <f>'GF + UG Iteration 6'!H151</f>
        <v>2014</v>
      </c>
      <c r="I151" s="35">
        <f t="shared" si="10"/>
        <v>19.3</v>
      </c>
      <c r="J151" s="36">
        <f t="shared" si="11"/>
        <v>17.673518674523365</v>
      </c>
      <c r="K151" s="38">
        <f t="shared" si="12"/>
        <v>2014</v>
      </c>
      <c r="M151" s="21">
        <f t="shared" si="18"/>
        <v>2.9601050959108397</v>
      </c>
      <c r="N151" s="21">
        <f t="shared" si="19"/>
        <v>2.8720673991911587</v>
      </c>
    </row>
    <row r="152" spans="1:14" x14ac:dyDescent="0.2">
      <c r="A152" s="33">
        <f>'GF + UG Iteration 6'!A152</f>
        <v>488</v>
      </c>
      <c r="B152" s="34" t="str">
        <f>'GF + UG Iteration 6'!B152</f>
        <v>UG</v>
      </c>
      <c r="C152" s="35">
        <f>'GF + UG Iteration 6'!C152</f>
        <v>41.3</v>
      </c>
      <c r="D152" s="36">
        <f>'GF + UG Iteration 6'!P$16*(C152^'GF + UG Iteration 6'!P$15)</f>
        <v>21.48899524267453</v>
      </c>
      <c r="E152" s="37">
        <f>'GF + UG Iteration 6'!E152</f>
        <v>1982</v>
      </c>
      <c r="F152" s="35">
        <f>'GF + UG Iteration 6'!F152</f>
        <v>24.200000000000003</v>
      </c>
      <c r="G152" s="36">
        <f>'GF + UG Iteration 6'!G152</f>
        <v>0.40462675342078769</v>
      </c>
      <c r="H152" s="38">
        <f>'GF + UG Iteration 6'!H152</f>
        <v>2006</v>
      </c>
      <c r="I152" s="35">
        <f t="shared" si="10"/>
        <v>65.5</v>
      </c>
      <c r="J152" s="36">
        <f t="shared" si="11"/>
        <v>21.89362199609532</v>
      </c>
      <c r="K152" s="38">
        <f t="shared" si="12"/>
        <v>2006</v>
      </c>
      <c r="M152" s="21">
        <f t="shared" si="18"/>
        <v>4.1820501426412067</v>
      </c>
      <c r="N152" s="21">
        <f t="shared" si="19"/>
        <v>3.0861953613508653</v>
      </c>
    </row>
    <row r="153" spans="1:14" x14ac:dyDescent="0.2">
      <c r="A153" s="33">
        <f>'GF + UG Iteration 6'!A153</f>
        <v>1692</v>
      </c>
      <c r="B153" s="34" t="str">
        <f>'GF + UG Iteration 6'!B153</f>
        <v>UG</v>
      </c>
      <c r="C153" s="35">
        <f>'GF + UG Iteration 6'!C153</f>
        <v>65.5</v>
      </c>
      <c r="D153" s="36">
        <f>'GF + UG Iteration 6'!P$16*(C153^'GF + UG Iteration 6'!P$15)</f>
        <v>27.9711944785832</v>
      </c>
      <c r="E153" s="37">
        <f>'GF + UG Iteration 6'!E153</f>
        <v>0</v>
      </c>
      <c r="F153" s="35">
        <f>'GF + UG Iteration 6'!F153</f>
        <v>0</v>
      </c>
      <c r="G153" s="36">
        <f>'GF + UG Iteration 6'!G153</f>
        <v>2.2188176481219593</v>
      </c>
      <c r="H153" s="38">
        <f>'GF + UG Iteration 6'!H153</f>
        <v>2016</v>
      </c>
      <c r="I153" s="35">
        <f t="shared" si="10"/>
        <v>65.5</v>
      </c>
      <c r="J153" s="36">
        <f t="shared" si="11"/>
        <v>30.19001212670516</v>
      </c>
      <c r="K153" s="38">
        <f t="shared" si="12"/>
        <v>2016</v>
      </c>
      <c r="M153" s="21">
        <f t="shared" si="18"/>
        <v>4.1820501426412067</v>
      </c>
      <c r="N153" s="21">
        <f t="shared" si="19"/>
        <v>3.4075111453982019</v>
      </c>
    </row>
    <row r="154" spans="1:14" x14ac:dyDescent="0.2">
      <c r="A154" s="33">
        <f>'GF + UG Iteration 6'!A154</f>
        <v>318</v>
      </c>
      <c r="B154" s="34" t="str">
        <f>'GF + UG Iteration 6'!B154</f>
        <v>UG</v>
      </c>
      <c r="C154" s="35">
        <f>'GF + UG Iteration 6'!C154</f>
        <v>22.87</v>
      </c>
      <c r="D154" s="36">
        <f>'GF + UG Iteration 6'!P$16*(C154^'GF + UG Iteration 6'!P$15)</f>
        <v>15.327975660335007</v>
      </c>
      <c r="E154" s="37">
        <f>'GF + UG Iteration 6'!E154</f>
        <v>1996</v>
      </c>
      <c r="F154" s="35">
        <f>'GF + UG Iteration 6'!F154</f>
        <v>1</v>
      </c>
      <c r="G154" s="36">
        <f>'GF + UG Iteration 6'!G154</f>
        <v>0.76702040063252341</v>
      </c>
      <c r="H154" s="38">
        <f>'GF + UG Iteration 6'!H154</f>
        <v>2001</v>
      </c>
      <c r="I154" s="35">
        <f t="shared" si="10"/>
        <v>23.87</v>
      </c>
      <c r="J154" s="36">
        <f t="shared" si="11"/>
        <v>16.094996060967532</v>
      </c>
      <c r="K154" s="38">
        <f t="shared" si="12"/>
        <v>2001</v>
      </c>
      <c r="M154" s="21">
        <f t="shared" si="18"/>
        <v>3.1726224403507386</v>
      </c>
      <c r="N154" s="21">
        <f t="shared" si="19"/>
        <v>2.7785084200143348</v>
      </c>
    </row>
    <row r="155" spans="1:14" x14ac:dyDescent="0.2">
      <c r="A155" s="33">
        <f>'GF + UG Iteration 6'!A155</f>
        <v>806</v>
      </c>
      <c r="B155" s="34" t="str">
        <f>'GF + UG Iteration 6'!B155</f>
        <v>UG</v>
      </c>
      <c r="C155" s="35">
        <f>'GF + UG Iteration 6'!C155</f>
        <v>23.867000000000001</v>
      </c>
      <c r="D155" s="36">
        <f>'GF + UG Iteration 6'!P$16*(C155^'GF + UG Iteration 6'!P$15)</f>
        <v>15.706458942763836</v>
      </c>
      <c r="E155" s="37">
        <f>'GF + UG Iteration 6'!E155</f>
        <v>1996</v>
      </c>
      <c r="F155" s="35">
        <f>'GF + UG Iteration 6'!F155</f>
        <v>5.4329999999999998</v>
      </c>
      <c r="G155" s="36">
        <f>'GF + UG Iteration 6'!G155</f>
        <v>0.68947713107767894</v>
      </c>
      <c r="H155" s="38">
        <f>'GF + UG Iteration 6'!H155</f>
        <v>2008</v>
      </c>
      <c r="I155" s="35">
        <f t="shared" si="10"/>
        <v>29.3</v>
      </c>
      <c r="J155" s="36">
        <f t="shared" si="11"/>
        <v>16.395936073841515</v>
      </c>
      <c r="K155" s="38">
        <f t="shared" si="12"/>
        <v>2008</v>
      </c>
      <c r="M155" s="21">
        <f t="shared" si="18"/>
        <v>3.3775875160230218</v>
      </c>
      <c r="N155" s="21">
        <f t="shared" si="19"/>
        <v>2.7970335037470493</v>
      </c>
    </row>
    <row r="156" spans="1:14" x14ac:dyDescent="0.2">
      <c r="A156" s="33">
        <f>'GF + UG Iteration 6'!A156</f>
        <v>1495</v>
      </c>
      <c r="B156" s="34" t="str">
        <f>'GF + UG Iteration 6'!B156</f>
        <v>UG</v>
      </c>
      <c r="C156" s="35">
        <f>'GF + UG Iteration 6'!C156</f>
        <v>29.3</v>
      </c>
      <c r="D156" s="36">
        <f>'GF + UG Iteration 6'!P$16*(C156^'GF + UG Iteration 6'!P$15)</f>
        <v>17.66014725939343</v>
      </c>
      <c r="E156" s="37">
        <f>'GF + UG Iteration 6'!E156</f>
        <v>1996</v>
      </c>
      <c r="F156" s="35">
        <f>'GF + UG Iteration 6'!F156</f>
        <v>0</v>
      </c>
      <c r="G156" s="36">
        <f>'GF + UG Iteration 6'!G156</f>
        <v>5.142810508174632</v>
      </c>
      <c r="H156" s="38">
        <f>'GF + UG Iteration 6'!H156</f>
        <v>2014</v>
      </c>
      <c r="I156" s="35">
        <f t="shared" si="10"/>
        <v>29.3</v>
      </c>
      <c r="J156" s="36">
        <f t="shared" si="11"/>
        <v>22.80295776756806</v>
      </c>
      <c r="K156" s="38">
        <f t="shared" si="12"/>
        <v>2014</v>
      </c>
      <c r="M156" s="21">
        <f t="shared" si="18"/>
        <v>3.3775875160230218</v>
      </c>
      <c r="N156" s="21">
        <f t="shared" si="19"/>
        <v>3.1268902541943433</v>
      </c>
    </row>
    <row r="157" spans="1:14" x14ac:dyDescent="0.2">
      <c r="A157" s="33">
        <f>'GF + UG Iteration 6'!A157</f>
        <v>1386</v>
      </c>
      <c r="B157" s="34" t="str">
        <f>'GF + UG Iteration 6'!B157</f>
        <v>UG</v>
      </c>
      <c r="C157" s="35">
        <f>'GF + UG Iteration 6'!C157</f>
        <v>32.700000000000003</v>
      </c>
      <c r="D157" s="36">
        <f>'GF + UG Iteration 6'!P$16*(C157^'GF + UG Iteration 6'!P$15)</f>
        <v>18.804002055459325</v>
      </c>
      <c r="E157" s="37">
        <f>'GF + UG Iteration 6'!E157</f>
        <v>0</v>
      </c>
      <c r="F157" s="35">
        <f>'GF + UG Iteration 6'!F157</f>
        <v>13.5</v>
      </c>
      <c r="G157" s="36">
        <f>'GF + UG Iteration 6'!G157</f>
        <v>0.85934464632152285</v>
      </c>
      <c r="H157" s="38">
        <f>'GF + UG Iteration 6'!H157</f>
        <v>2013</v>
      </c>
      <c r="I157" s="35">
        <f t="shared" si="10"/>
        <v>46.2</v>
      </c>
      <c r="J157" s="36">
        <f t="shared" si="11"/>
        <v>19.663346701780849</v>
      </c>
      <c r="K157" s="38">
        <f t="shared" si="12"/>
        <v>2013</v>
      </c>
      <c r="M157" s="21">
        <f t="shared" si="18"/>
        <v>3.8329797980876932</v>
      </c>
      <c r="N157" s="21">
        <f t="shared" si="19"/>
        <v>2.9787563292134434</v>
      </c>
    </row>
    <row r="158" spans="1:14" x14ac:dyDescent="0.2">
      <c r="A158" s="33">
        <f>'GF + UG Iteration 6'!A158</f>
        <v>928</v>
      </c>
      <c r="B158" s="34" t="str">
        <f>'GF + UG Iteration 6'!B158</f>
        <v>UG</v>
      </c>
      <c r="C158" s="35">
        <f>'GF + UG Iteration 6'!C158</f>
        <v>18.02</v>
      </c>
      <c r="D158" s="36">
        <f>'GF + UG Iteration 6'!P$16*(C158^'GF + UG Iteration 6'!P$15)</f>
        <v>13.375602201466702</v>
      </c>
      <c r="E158" s="37">
        <f>'GF + UG Iteration 6'!E158</f>
        <v>1992</v>
      </c>
      <c r="F158" s="35">
        <f>'GF + UG Iteration 6'!F158</f>
        <v>3.4800000000000004</v>
      </c>
      <c r="G158" s="36">
        <f>'GF + UG Iteration 6'!G158</f>
        <v>10.364367944955573</v>
      </c>
      <c r="H158" s="38">
        <f>'GF + UG Iteration 6'!H158</f>
        <v>2010</v>
      </c>
      <c r="I158" s="35">
        <f t="shared" si="10"/>
        <v>21.5</v>
      </c>
      <c r="J158" s="36">
        <f t="shared" si="11"/>
        <v>23.739970146422273</v>
      </c>
      <c r="K158" s="38">
        <f t="shared" si="12"/>
        <v>2010</v>
      </c>
      <c r="M158" s="21">
        <f t="shared" si="18"/>
        <v>3.068052935133617</v>
      </c>
      <c r="N158" s="21">
        <f t="shared" si="19"/>
        <v>3.1671601316585019</v>
      </c>
    </row>
    <row r="159" spans="1:14" x14ac:dyDescent="0.2">
      <c r="A159" s="33">
        <f>'GF + UG Iteration 6'!A159</f>
        <v>1450</v>
      </c>
      <c r="B159" s="34" t="str">
        <f>'GF + UG Iteration 6'!B159</f>
        <v>UG</v>
      </c>
      <c r="C159" s="35">
        <f>'GF + UG Iteration 6'!C159</f>
        <v>21.5</v>
      </c>
      <c r="D159" s="36">
        <f>'GF + UG Iteration 6'!P$16*(C159^'GF + UG Iteration 6'!P$15)</f>
        <v>14.796157908038614</v>
      </c>
      <c r="E159" s="37">
        <f>'GF + UG Iteration 6'!E159</f>
        <v>1992</v>
      </c>
      <c r="F159" s="35">
        <f>'GF + UG Iteration 6'!F159</f>
        <v>16.299999999999997</v>
      </c>
      <c r="G159" s="36">
        <f>'GF + UG Iteration 6'!G159</f>
        <v>5.1529943993409928</v>
      </c>
      <c r="H159" s="38">
        <f>'GF + UG Iteration 6'!H159</f>
        <v>2014</v>
      </c>
      <c r="I159" s="35">
        <f t="shared" si="10"/>
        <v>37.799999999999997</v>
      </c>
      <c r="J159" s="36">
        <f t="shared" si="11"/>
        <v>19.949152307379606</v>
      </c>
      <c r="K159" s="38">
        <f t="shared" si="12"/>
        <v>2014</v>
      </c>
      <c r="M159" s="21">
        <f t="shared" si="18"/>
        <v>3.6323091026255421</v>
      </c>
      <c r="N159" s="21">
        <f t="shared" si="19"/>
        <v>2.9931866515749452</v>
      </c>
    </row>
    <row r="160" spans="1:14" x14ac:dyDescent="0.2">
      <c r="A160" s="33">
        <f>'GF + UG Iteration 6'!A160</f>
        <v>170</v>
      </c>
      <c r="B160" s="34" t="str">
        <f>'GF + UG Iteration 6'!B160</f>
        <v>UG</v>
      </c>
      <c r="C160" s="35">
        <f>'GF + UG Iteration 6'!C160</f>
        <v>17.7</v>
      </c>
      <c r="D160" s="36">
        <f>'GF + UG Iteration 6'!P$16*(C160^'GF + UG Iteration 6'!P$15)</f>
        <v>13.239302330957225</v>
      </c>
      <c r="E160" s="37" t="str">
        <f>'GF + UG Iteration 6'!E160</f>
        <v>unknown</v>
      </c>
      <c r="F160" s="35">
        <f>'GF + UG Iteration 6'!F160</f>
        <v>8.8000000000000007</v>
      </c>
      <c r="G160" s="36">
        <f>'GF + UG Iteration 6'!G160</f>
        <v>1.1342290648673055</v>
      </c>
      <c r="H160" s="38">
        <f>'GF + UG Iteration 6'!H160</f>
        <v>2001</v>
      </c>
      <c r="I160" s="35">
        <f t="shared" si="10"/>
        <v>26.5</v>
      </c>
      <c r="J160" s="36">
        <f t="shared" si="11"/>
        <v>14.37353139582453</v>
      </c>
      <c r="K160" s="38">
        <f t="shared" si="12"/>
        <v>2001</v>
      </c>
      <c r="M160" s="21">
        <f t="shared" si="18"/>
        <v>3.2771447329921766</v>
      </c>
      <c r="N160" s="21">
        <f t="shared" si="19"/>
        <v>2.6653884176956124</v>
      </c>
    </row>
    <row r="161" spans="1:14" x14ac:dyDescent="0.2">
      <c r="A161" s="33">
        <f>'GF + UG Iteration 6'!A161</f>
        <v>649</v>
      </c>
      <c r="B161" s="34" t="str">
        <f>'GF + UG Iteration 6'!B161</f>
        <v>UG</v>
      </c>
      <c r="C161" s="35">
        <f>'GF + UG Iteration 6'!C161</f>
        <v>26.5</v>
      </c>
      <c r="D161" s="36">
        <f>'GF + UG Iteration 6'!P$16*(C161^'GF + UG Iteration 6'!P$15)</f>
        <v>16.674710222184142</v>
      </c>
      <c r="E161" s="37">
        <f>'GF + UG Iteration 6'!E161</f>
        <v>1997</v>
      </c>
      <c r="F161" s="35">
        <f>'GF + UG Iteration 6'!F161</f>
        <v>33.799999999999997</v>
      </c>
      <c r="G161" s="36">
        <f>'GF + UG Iteration 6'!G161</f>
        <v>5.0180795362586865</v>
      </c>
      <c r="H161" s="38">
        <f>'GF + UG Iteration 6'!H161</f>
        <v>2007</v>
      </c>
      <c r="I161" s="35">
        <f t="shared" si="10"/>
        <v>60.3</v>
      </c>
      <c r="J161" s="36">
        <f t="shared" si="11"/>
        <v>21.692789758442828</v>
      </c>
      <c r="K161" s="38">
        <f t="shared" si="12"/>
        <v>2007</v>
      </c>
      <c r="M161" s="21">
        <f t="shared" si="18"/>
        <v>4.0993321037331398</v>
      </c>
      <c r="N161" s="21">
        <f t="shared" si="19"/>
        <v>3.0769799361365906</v>
      </c>
    </row>
    <row r="162" spans="1:14" x14ac:dyDescent="0.2">
      <c r="A162" s="33">
        <f>'GF + UG Iteration 6'!A162</f>
        <v>1203</v>
      </c>
      <c r="B162" s="34" t="str">
        <f>'GF + UG Iteration 6'!B162</f>
        <v>UG</v>
      </c>
      <c r="C162" s="35">
        <f>'GF + UG Iteration 6'!C162</f>
        <v>20.5</v>
      </c>
      <c r="D162" s="36">
        <f>'GF + UG Iteration 6'!P$16*(C162^'GF + UG Iteration 6'!P$15)</f>
        <v>14.398749318287507</v>
      </c>
      <c r="E162" s="37">
        <f>'GF + UG Iteration 6'!E162</f>
        <v>1977</v>
      </c>
      <c r="F162" s="35">
        <f>'GF + UG Iteration 6'!F162</f>
        <v>4.1000000000000014</v>
      </c>
      <c r="G162" s="36">
        <f>'GF + UG Iteration 6'!G162</f>
        <v>12.443615523285567</v>
      </c>
      <c r="H162" s="38">
        <f>'GF + UG Iteration 6'!H162</f>
        <v>2012</v>
      </c>
      <c r="I162" s="35">
        <f t="shared" si="10"/>
        <v>24.6</v>
      </c>
      <c r="J162" s="36">
        <f t="shared" si="11"/>
        <v>26.842364841573072</v>
      </c>
      <c r="K162" s="38">
        <f t="shared" si="12"/>
        <v>2012</v>
      </c>
      <c r="M162" s="21">
        <f t="shared" si="18"/>
        <v>3.202746442938317</v>
      </c>
      <c r="N162" s="21">
        <f t="shared" si="19"/>
        <v>3.2899814170735797</v>
      </c>
    </row>
    <row r="163" spans="1:14" x14ac:dyDescent="0.2">
      <c r="A163" s="33">
        <f>'GF + UG Iteration 6'!A163</f>
        <v>170</v>
      </c>
      <c r="B163" s="34" t="str">
        <f>'GF + UG Iteration 6'!B163</f>
        <v>UG</v>
      </c>
      <c r="C163" s="35">
        <f>'GF + UG Iteration 6'!C163</f>
        <v>7.9</v>
      </c>
      <c r="D163" s="36">
        <f>'GF + UG Iteration 6'!P$16*(C163^'GF + UG Iteration 6'!P$15)</f>
        <v>8.3481931423552833</v>
      </c>
      <c r="E163" s="37">
        <f>'GF + UG Iteration 6'!E163</f>
        <v>1972</v>
      </c>
      <c r="F163" s="35">
        <f>'GF + UG Iteration 6'!F163</f>
        <v>6.1</v>
      </c>
      <c r="G163" s="36">
        <f>'GF + UG Iteration 6'!G163</f>
        <v>2.9004939377112939</v>
      </c>
      <c r="H163" s="38">
        <f>'GF + UG Iteration 6'!H163</f>
        <v>2001</v>
      </c>
      <c r="I163" s="35">
        <f t="shared" si="10"/>
        <v>14</v>
      </c>
      <c r="J163" s="36">
        <f t="shared" si="11"/>
        <v>11.248687080066578</v>
      </c>
      <c r="K163" s="38">
        <f t="shared" si="12"/>
        <v>2001</v>
      </c>
      <c r="M163" s="21">
        <f t="shared" si="18"/>
        <v>2.6390573296152584</v>
      </c>
      <c r="N163" s="21">
        <f t="shared" si="19"/>
        <v>2.4202514178459062</v>
      </c>
    </row>
    <row r="164" spans="1:14" x14ac:dyDescent="0.2">
      <c r="A164" s="33">
        <f>'GF + UG Iteration 6'!A164</f>
        <v>363</v>
      </c>
      <c r="B164" s="34" t="str">
        <f>'GF + UG Iteration 6'!B164</f>
        <v>UG</v>
      </c>
      <c r="C164" s="35">
        <f>'GF + UG Iteration 6'!C164</f>
        <v>21.225999999999999</v>
      </c>
      <c r="D164" s="36">
        <f>'GF + UG Iteration 6'!P$16*(C164^'GF + UG Iteration 6'!P$15)</f>
        <v>14.688070207441417</v>
      </c>
      <c r="E164" s="37">
        <f>'GF + UG Iteration 6'!E164</f>
        <v>1975</v>
      </c>
      <c r="F164" s="35">
        <f>'GF + UG Iteration 6'!F164</f>
        <v>4.1999999999999993</v>
      </c>
      <c r="G164" s="36">
        <f>'GF + UG Iteration 6'!G164</f>
        <v>0.82194253395528394</v>
      </c>
      <c r="H164" s="38">
        <f>'GF + UG Iteration 6'!H164</f>
        <v>2004</v>
      </c>
      <c r="I164" s="35">
        <f t="shared" si="10"/>
        <v>25.425999999999998</v>
      </c>
      <c r="J164" s="36">
        <f t="shared" si="11"/>
        <v>15.5100127413967</v>
      </c>
      <c r="K164" s="38">
        <f t="shared" si="12"/>
        <v>2004</v>
      </c>
      <c r="M164" s="21">
        <f t="shared" si="18"/>
        <v>3.2357722725279308</v>
      </c>
      <c r="N164" s="21">
        <f t="shared" si="19"/>
        <v>2.7414857986837062</v>
      </c>
    </row>
    <row r="165" spans="1:14" x14ac:dyDescent="0.2">
      <c r="A165" s="33">
        <f>'GF + UG Iteration 6'!A165</f>
        <v>493</v>
      </c>
      <c r="B165" s="34" t="str">
        <f>'GF + UG Iteration 6'!B165</f>
        <v>UG</v>
      </c>
      <c r="C165" s="35">
        <f>'GF + UG Iteration 6'!C165</f>
        <v>25.4</v>
      </c>
      <c r="D165" s="36">
        <f>'GF + UG Iteration 6'!P$16*(C165^'GF + UG Iteration 6'!P$15)</f>
        <v>16.275454740243035</v>
      </c>
      <c r="E165" s="37">
        <f>'GF + UG Iteration 6'!E165</f>
        <v>1975</v>
      </c>
      <c r="F165" s="35">
        <f>'GF + UG Iteration 6'!F165</f>
        <v>3.3000000000000007</v>
      </c>
      <c r="G165" s="36">
        <f>'GF + UG Iteration 6'!G165</f>
        <v>3.4002692913337142</v>
      </c>
      <c r="H165" s="38">
        <f>'GF + UG Iteration 6'!H165</f>
        <v>2006</v>
      </c>
      <c r="I165" s="35">
        <f t="shared" si="10"/>
        <v>28.7</v>
      </c>
      <c r="J165" s="36">
        <f t="shared" si="11"/>
        <v>19.675724031576749</v>
      </c>
      <c r="K165" s="38">
        <f t="shared" si="12"/>
        <v>2006</v>
      </c>
      <c r="M165" s="21">
        <f t="shared" si="18"/>
        <v>3.3568971227655755</v>
      </c>
      <c r="N165" s="21">
        <f t="shared" si="19"/>
        <v>2.97938559319826</v>
      </c>
    </row>
    <row r="166" spans="1:14" x14ac:dyDescent="0.2">
      <c r="A166" s="33">
        <f>'GF + UG Iteration 6'!A166</f>
        <v>685</v>
      </c>
      <c r="B166" s="34" t="str">
        <f>'GF + UG Iteration 6'!B166</f>
        <v>UG</v>
      </c>
      <c r="C166" s="35">
        <f>'GF + UG Iteration 6'!C166</f>
        <v>28.7</v>
      </c>
      <c r="D166" s="36">
        <f>'GF + UG Iteration 6'!P$16*(C166^'GF + UG Iteration 6'!P$15)</f>
        <v>17.452502263672244</v>
      </c>
      <c r="E166" s="37">
        <f>'GF + UG Iteration 6'!E166</f>
        <v>1975</v>
      </c>
      <c r="F166" s="35">
        <f>'GF + UG Iteration 6'!F166</f>
        <v>4.1999999999999993</v>
      </c>
      <c r="G166" s="36">
        <f>'GF + UG Iteration 6'!G166</f>
        <v>0.94606982488538283</v>
      </c>
      <c r="H166" s="38">
        <f>'GF + UG Iteration 6'!H166</f>
        <v>2007</v>
      </c>
      <c r="I166" s="35">
        <f t="shared" si="10"/>
        <v>32.9</v>
      </c>
      <c r="J166" s="36">
        <f t="shared" si="11"/>
        <v>18.398572088557628</v>
      </c>
      <c r="K166" s="38">
        <f t="shared" si="12"/>
        <v>2007</v>
      </c>
      <c r="M166" s="21">
        <f t="shared" si="18"/>
        <v>3.493472657771326</v>
      </c>
      <c r="N166" s="21">
        <f t="shared" si="19"/>
        <v>2.9122730577208653</v>
      </c>
    </row>
    <row r="167" spans="1:14" x14ac:dyDescent="0.2">
      <c r="A167" s="33">
        <f>'GF + UG Iteration 6'!A167</f>
        <v>1574</v>
      </c>
      <c r="B167" s="34" t="str">
        <f>'GF + UG Iteration 6'!B167</f>
        <v>UG</v>
      </c>
      <c r="C167" s="35">
        <f>'GF + UG Iteration 6'!C167</f>
        <v>28</v>
      </c>
      <c r="D167" s="36">
        <f>'GF + UG Iteration 6'!P$16*(C167^'GF + UG Iteration 6'!P$15)</f>
        <v>17.207884818876572</v>
      </c>
      <c r="E167" s="37">
        <f>'GF + UG Iteration 6'!E167</f>
        <v>2013</v>
      </c>
      <c r="F167" s="35">
        <f>'GF + UG Iteration 6'!F167</f>
        <v>0</v>
      </c>
      <c r="G167" s="36">
        <f>'GF + UG Iteration 6'!G167</f>
        <v>6.2662260340537754</v>
      </c>
      <c r="H167" s="38">
        <f>'GF + UG Iteration 6'!H167</f>
        <v>2015</v>
      </c>
      <c r="I167" s="35">
        <f t="shared" si="10"/>
        <v>28</v>
      </c>
      <c r="J167" s="36">
        <f t="shared" si="11"/>
        <v>23.474110852930348</v>
      </c>
      <c r="K167" s="38">
        <f t="shared" si="12"/>
        <v>2015</v>
      </c>
      <c r="M167" s="21">
        <f t="shared" si="18"/>
        <v>3.3322045101752038</v>
      </c>
      <c r="N167" s="21">
        <f t="shared" si="19"/>
        <v>3.1558981480375046</v>
      </c>
    </row>
    <row r="168" spans="1:14" x14ac:dyDescent="0.2">
      <c r="A168" s="33">
        <f>'GF + UG Iteration 6'!A168</f>
        <v>435</v>
      </c>
      <c r="B168" s="34" t="str">
        <f>'GF + UG Iteration 6'!B168</f>
        <v>UG</v>
      </c>
      <c r="C168" s="35">
        <f>'GF + UG Iteration 6'!C168</f>
        <v>10.6</v>
      </c>
      <c r="D168" s="36">
        <f>'GF + UG Iteration 6'!P$16*(C168^'GF + UG Iteration 6'!P$15)</f>
        <v>9.8759537283496819</v>
      </c>
      <c r="E168" s="37">
        <f>'GF + UG Iteration 6'!E168</f>
        <v>1990</v>
      </c>
      <c r="F168" s="35">
        <f>'GF + UG Iteration 6'!F168</f>
        <v>8.4</v>
      </c>
      <c r="G168" s="36">
        <f>'GF + UG Iteration 6'!G168</f>
        <v>3.0773639102073269</v>
      </c>
      <c r="H168" s="38">
        <f>'GF + UG Iteration 6'!H168</f>
        <v>2004</v>
      </c>
      <c r="I168" s="35">
        <f t="shared" si="10"/>
        <v>19</v>
      </c>
      <c r="J168" s="36">
        <f t="shared" si="11"/>
        <v>12.953317638557008</v>
      </c>
      <c r="K168" s="38">
        <f t="shared" si="12"/>
        <v>2004</v>
      </c>
      <c r="M168" s="21">
        <f t="shared" si="18"/>
        <v>2.9444389791664403</v>
      </c>
      <c r="N168" s="21">
        <f t="shared" si="19"/>
        <v>2.5613519436404868</v>
      </c>
    </row>
    <row r="169" spans="1:14" x14ac:dyDescent="0.2">
      <c r="A169" s="33">
        <f>'GF + UG Iteration 6'!A169</f>
        <v>652</v>
      </c>
      <c r="B169" s="34" t="str">
        <f>'GF + UG Iteration 6'!B169</f>
        <v>UG</v>
      </c>
      <c r="C169" s="35">
        <f>'GF + UG Iteration 6'!C169</f>
        <v>10.195</v>
      </c>
      <c r="D169" s="36">
        <f>'GF + UG Iteration 6'!P$16*(C169^'GF + UG Iteration 6'!P$15)</f>
        <v>9.6584546040088473</v>
      </c>
      <c r="E169" s="37">
        <f>'GF + UG Iteration 6'!E169</f>
        <v>1986</v>
      </c>
      <c r="F169" s="35">
        <f>'GF + UG Iteration 6'!F169</f>
        <v>3.4049999999999994</v>
      </c>
      <c r="G169" s="36">
        <f>'GF + UG Iteration 6'!G169</f>
        <v>4.380227937072533</v>
      </c>
      <c r="H169" s="38">
        <f>'GF + UG Iteration 6'!H169</f>
        <v>2007</v>
      </c>
      <c r="I169" s="35">
        <f t="shared" si="10"/>
        <v>13.6</v>
      </c>
      <c r="J169" s="36">
        <f t="shared" si="11"/>
        <v>14.03868254108138</v>
      </c>
      <c r="K169" s="38">
        <f t="shared" si="12"/>
        <v>2007</v>
      </c>
      <c r="M169" s="21">
        <f t="shared" si="18"/>
        <v>2.6100697927420065</v>
      </c>
      <c r="N169" s="21">
        <f t="shared" si="19"/>
        <v>2.6418165580894675</v>
      </c>
    </row>
    <row r="170" spans="1:14" x14ac:dyDescent="0.2">
      <c r="A170" s="33">
        <f>'GF + UG Iteration 6'!A170</f>
        <v>366</v>
      </c>
      <c r="B170" s="34" t="str">
        <f>'GF + UG Iteration 6'!B170</f>
        <v>UG</v>
      </c>
      <c r="C170" s="35">
        <f>'GF + UG Iteration 6'!C170</f>
        <v>11.1</v>
      </c>
      <c r="D170" s="36">
        <f>'GF + UG Iteration 6'!P$16*(C170^'GF + UG Iteration 6'!P$15)</f>
        <v>10.13961979578942</v>
      </c>
      <c r="E170" s="37">
        <f>'GF + UG Iteration 6'!E170</f>
        <v>1981</v>
      </c>
      <c r="F170" s="35">
        <f>'GF + UG Iteration 6'!F170</f>
        <v>4.8000000000000007</v>
      </c>
      <c r="G170" s="36">
        <f>'GF + UG Iteration 6'!G170</f>
        <v>0.60207988766843201</v>
      </c>
      <c r="H170" s="38">
        <f>'GF + UG Iteration 6'!H170</f>
        <v>2003</v>
      </c>
      <c r="I170" s="35">
        <f t="shared" si="10"/>
        <v>15.9</v>
      </c>
      <c r="J170" s="36">
        <f t="shared" si="11"/>
        <v>10.741699683457853</v>
      </c>
      <c r="K170" s="38">
        <f t="shared" si="12"/>
        <v>2003</v>
      </c>
      <c r="M170" s="21">
        <f t="shared" si="18"/>
        <v>2.7663191092261861</v>
      </c>
      <c r="N170" s="21">
        <f t="shared" si="19"/>
        <v>2.3741333338645529</v>
      </c>
    </row>
    <row r="171" spans="1:14" x14ac:dyDescent="0.2">
      <c r="A171" s="33">
        <f>'GF + UG Iteration 6'!A171</f>
        <v>1640</v>
      </c>
      <c r="B171" s="34" t="str">
        <f>'GF + UG Iteration 6'!B171</f>
        <v>UG</v>
      </c>
      <c r="C171" s="35">
        <f>'GF + UG Iteration 6'!C171</f>
        <v>15.9</v>
      </c>
      <c r="D171" s="36">
        <f>'GF + UG Iteration 6'!P$16*(C171^'GF + UG Iteration 6'!P$15)</f>
        <v>12.452031701749615</v>
      </c>
      <c r="E171" s="37">
        <f>'GF + UG Iteration 6'!E171</f>
        <v>1981</v>
      </c>
      <c r="F171" s="35">
        <f>'GF + UG Iteration 6'!F171</f>
        <v>2.4999999999999982</v>
      </c>
      <c r="G171" s="36">
        <f>'GF + UG Iteration 6'!G171</f>
        <v>8.3244002844443177</v>
      </c>
      <c r="H171" s="38">
        <f>'GF + UG Iteration 6'!H171</f>
        <v>2015</v>
      </c>
      <c r="I171" s="35">
        <f t="shared" si="10"/>
        <v>18.399999999999999</v>
      </c>
      <c r="J171" s="36">
        <f t="shared" si="11"/>
        <v>20.776431986193934</v>
      </c>
      <c r="K171" s="38">
        <f t="shared" si="12"/>
        <v>2015</v>
      </c>
      <c r="M171" s="21">
        <f t="shared" si="18"/>
        <v>2.91235066461494</v>
      </c>
      <c r="N171" s="21">
        <f t="shared" si="19"/>
        <v>3.0338192667027148</v>
      </c>
    </row>
    <row r="172" spans="1:14" x14ac:dyDescent="0.2">
      <c r="A172" s="33">
        <f>'GF + UG Iteration 6'!A172</f>
        <v>367</v>
      </c>
      <c r="B172" s="34" t="str">
        <f>'GF + UG Iteration 6'!B172</f>
        <v>UG</v>
      </c>
      <c r="C172" s="35">
        <f>'GF + UG Iteration 6'!C172</f>
        <v>11.211</v>
      </c>
      <c r="D172" s="36">
        <f>'GF + UG Iteration 6'!P$16*(C172^'GF + UG Iteration 6'!P$15)</f>
        <v>10.197458572304265</v>
      </c>
      <c r="E172" s="37">
        <f>'GF + UG Iteration 6'!E172</f>
        <v>1988</v>
      </c>
      <c r="F172" s="35">
        <f>'GF + UG Iteration 6'!F172</f>
        <v>1</v>
      </c>
      <c r="G172" s="36">
        <f>'GF + UG Iteration 6'!G172</f>
        <v>0.55588557988620213</v>
      </c>
      <c r="H172" s="38">
        <f>'GF + UG Iteration 6'!H172</f>
        <v>2004</v>
      </c>
      <c r="I172" s="35">
        <f t="shared" si="10"/>
        <v>12.211</v>
      </c>
      <c r="J172" s="36">
        <f t="shared" si="11"/>
        <v>10.753344152190468</v>
      </c>
      <c r="K172" s="38">
        <f t="shared" si="12"/>
        <v>2004</v>
      </c>
      <c r="M172" s="21">
        <f t="shared" si="18"/>
        <v>2.5023371848508846</v>
      </c>
      <c r="N172" s="21">
        <f t="shared" si="19"/>
        <v>2.3752167901217951</v>
      </c>
    </row>
    <row r="173" spans="1:14" x14ac:dyDescent="0.2">
      <c r="A173" s="33">
        <f>'GF + UG Iteration 6'!A173</f>
        <v>650</v>
      </c>
      <c r="B173" s="34" t="str">
        <f>'GF + UG Iteration 6'!B173</f>
        <v>UG</v>
      </c>
      <c r="C173" s="35">
        <f>'GF + UG Iteration 6'!C173</f>
        <v>23</v>
      </c>
      <c r="D173" s="36">
        <f>'GF + UG Iteration 6'!P$16*(C173^'GF + UG Iteration 6'!P$15)</f>
        <v>15.377721703307285</v>
      </c>
      <c r="E173" s="37">
        <f>'GF + UG Iteration 6'!E173</f>
        <v>1981</v>
      </c>
      <c r="F173" s="35">
        <f>'GF + UG Iteration 6'!F173</f>
        <v>0</v>
      </c>
      <c r="G173" s="36">
        <f>'GF + UG Iteration 6'!G173</f>
        <v>5.9476879309059552</v>
      </c>
      <c r="H173" s="38">
        <f>'GF + UG Iteration 6'!H173</f>
        <v>2007</v>
      </c>
      <c r="I173" s="35">
        <f t="shared" si="10"/>
        <v>23</v>
      </c>
      <c r="J173" s="36">
        <f t="shared" si="11"/>
        <v>21.325409634213241</v>
      </c>
      <c r="K173" s="38">
        <f t="shared" si="12"/>
        <v>2007</v>
      </c>
      <c r="M173" s="21">
        <f t="shared" si="18"/>
        <v>3.1354942159291497</v>
      </c>
      <c r="N173" s="21">
        <f t="shared" si="19"/>
        <v>3.0598993023005536</v>
      </c>
    </row>
    <row r="174" spans="1:14" x14ac:dyDescent="0.2">
      <c r="A174" s="33">
        <f>'GF + UG Iteration 6'!A174</f>
        <v>902</v>
      </c>
      <c r="B174" s="34" t="str">
        <f>'GF + UG Iteration 6'!B174</f>
        <v>UG</v>
      </c>
      <c r="C174" s="35">
        <f>'GF + UG Iteration 6'!C174</f>
        <v>19.2</v>
      </c>
      <c r="D174" s="36">
        <f>'GF + UG Iteration 6'!P$16*(C174^'GF + UG Iteration 6'!P$15)</f>
        <v>13.869475865287685</v>
      </c>
      <c r="E174" s="37">
        <f>'GF + UG Iteration 6'!E174</f>
        <v>2002</v>
      </c>
      <c r="F174" s="35">
        <f>'GF + UG Iteration 6'!F174</f>
        <v>13.500000000000004</v>
      </c>
      <c r="G174" s="36">
        <f>'GF + UG Iteration 6'!G174</f>
        <v>0.54699963688402187</v>
      </c>
      <c r="H174" s="38">
        <f>'GF + UG Iteration 6'!H174</f>
        <v>2009</v>
      </c>
      <c r="I174" s="35">
        <f t="shared" si="10"/>
        <v>32.700000000000003</v>
      </c>
      <c r="J174" s="36">
        <f t="shared" si="11"/>
        <v>14.416475502171707</v>
      </c>
      <c r="K174" s="38">
        <f t="shared" si="12"/>
        <v>2009</v>
      </c>
      <c r="M174" s="21">
        <f t="shared" si="18"/>
        <v>3.487375077903208</v>
      </c>
      <c r="N174" s="21">
        <f t="shared" si="19"/>
        <v>2.6683716846568961</v>
      </c>
    </row>
    <row r="175" spans="1:14" x14ac:dyDescent="0.2">
      <c r="A175" s="33">
        <f>'GF + UG Iteration 6'!A175</f>
        <v>1202</v>
      </c>
      <c r="B175" s="34" t="str">
        <f>'GF + UG Iteration 6'!B175</f>
        <v>UG</v>
      </c>
      <c r="C175" s="35">
        <f>'GF + UG Iteration 6'!C175</f>
        <v>19.399999999999999</v>
      </c>
      <c r="D175" s="36">
        <f>'GF + UG Iteration 6'!P$16*(C175^'GF + UG Iteration 6'!P$15)</f>
        <v>13.951879767052503</v>
      </c>
      <c r="E175" s="37">
        <f>'GF + UG Iteration 6'!E175</f>
        <v>1989</v>
      </c>
      <c r="F175" s="35">
        <f>'GF + UG Iteration 6'!F175</f>
        <v>1.6000000000000014</v>
      </c>
      <c r="G175" s="36">
        <f>'GF + UG Iteration 6'!G175</f>
        <v>10.745042225505973</v>
      </c>
      <c r="H175" s="38">
        <f>'GF + UG Iteration 6'!H175</f>
        <v>2012</v>
      </c>
      <c r="I175" s="35">
        <f t="shared" si="10"/>
        <v>21</v>
      </c>
      <c r="J175" s="36">
        <f t="shared" si="11"/>
        <v>24.696921992558476</v>
      </c>
      <c r="K175" s="38">
        <f t="shared" si="12"/>
        <v>2012</v>
      </c>
      <c r="M175" s="21">
        <f t="shared" si="18"/>
        <v>3.044522437723423</v>
      </c>
      <c r="N175" s="21">
        <f t="shared" si="19"/>
        <v>3.2066786201828603</v>
      </c>
    </row>
    <row r="176" spans="1:14" x14ac:dyDescent="0.2">
      <c r="A176" s="33">
        <f>'GF + UG Iteration 6'!A176</f>
        <v>1338</v>
      </c>
      <c r="B176" s="34" t="str">
        <f>'GF + UG Iteration 6'!B176</f>
        <v>UG</v>
      </c>
      <c r="C176" s="35">
        <f>'GF + UG Iteration 6'!C176</f>
        <v>7.5</v>
      </c>
      <c r="D176" s="36">
        <f>'GF + UG Iteration 6'!P$16*(C176^'GF + UG Iteration 6'!P$15)</f>
        <v>8.1038783260609222</v>
      </c>
      <c r="E176" s="37" t="str">
        <f>'GF + UG Iteration 6'!E176</f>
        <v>unknown</v>
      </c>
      <c r="F176" s="35">
        <f>'GF + UG Iteration 6'!F176</f>
        <v>2</v>
      </c>
      <c r="G176" s="36">
        <f>'GF + UG Iteration 6'!G176</f>
        <v>6.6635813355623759</v>
      </c>
      <c r="H176" s="38">
        <f>'GF + UG Iteration 6'!H176</f>
        <v>2013</v>
      </c>
      <c r="I176" s="35">
        <f t="shared" si="10"/>
        <v>9.5</v>
      </c>
      <c r="J176" s="36">
        <f t="shared" si="11"/>
        <v>14.767459661623299</v>
      </c>
      <c r="K176" s="38">
        <f t="shared" si="12"/>
        <v>2013</v>
      </c>
      <c r="M176" s="21">
        <f t="shared" si="18"/>
        <v>2.2512917986064953</v>
      </c>
      <c r="N176" s="21">
        <f t="shared" si="19"/>
        <v>2.6924260886311617</v>
      </c>
    </row>
    <row r="177" spans="1:14" x14ac:dyDescent="0.2">
      <c r="A177" s="33">
        <f>'GF + UG Iteration 6'!A177</f>
        <v>212</v>
      </c>
      <c r="B177" s="34" t="str">
        <f>'GF + UG Iteration 6'!B177</f>
        <v>UG</v>
      </c>
      <c r="C177" s="35">
        <f>'GF + UG Iteration 6'!C177</f>
        <v>36.549999999999997</v>
      </c>
      <c r="D177" s="36">
        <f>'GF + UG Iteration 6'!P$16*(C177^'GF + UG Iteration 6'!P$15)</f>
        <v>20.03933267932408</v>
      </c>
      <c r="E177" s="37">
        <f>'GF + UG Iteration 6'!E177</f>
        <v>1978</v>
      </c>
      <c r="F177" s="35">
        <f>'GF + UG Iteration 6'!F177</f>
        <v>28</v>
      </c>
      <c r="G177" s="36">
        <f>'GF + UG Iteration 6'!G177</f>
        <v>4.6264535731184777</v>
      </c>
      <c r="H177" s="38">
        <f>'GF + UG Iteration 6'!H177</f>
        <v>2003</v>
      </c>
      <c r="I177" s="35">
        <f t="shared" si="10"/>
        <v>64.55</v>
      </c>
      <c r="J177" s="36">
        <f t="shared" si="11"/>
        <v>24.665786252442558</v>
      </c>
      <c r="K177" s="38">
        <f t="shared" si="12"/>
        <v>2003</v>
      </c>
      <c r="M177" s="21">
        <f t="shared" si="18"/>
        <v>4.1674401172926512</v>
      </c>
      <c r="N177" s="21">
        <f t="shared" si="19"/>
        <v>3.2054171114305237</v>
      </c>
    </row>
    <row r="178" spans="1:14" x14ac:dyDescent="0.2">
      <c r="A178" s="33">
        <f>'GF + UG Iteration 6'!A178</f>
        <v>653</v>
      </c>
      <c r="B178" s="34" t="str">
        <f>'GF + UG Iteration 6'!B178</f>
        <v>UG</v>
      </c>
      <c r="C178" s="35">
        <f>'GF + UG Iteration 6'!C178</f>
        <v>64.55</v>
      </c>
      <c r="D178" s="36">
        <f>'GF + UG Iteration 6'!P$16*(C178^'GF + UG Iteration 6'!P$15)</f>
        <v>27.738560110542004</v>
      </c>
      <c r="E178" s="37">
        <f>'GF + UG Iteration 6'!E178</f>
        <v>1977</v>
      </c>
      <c r="F178" s="35">
        <f>'GF + UG Iteration 6'!F178</f>
        <v>1.3200000000000074</v>
      </c>
      <c r="G178" s="36">
        <f>'GF + UG Iteration 6'!G178</f>
        <v>0.56894692945086811</v>
      </c>
      <c r="H178" s="38">
        <f>'GF + UG Iteration 6'!H178</f>
        <v>2007</v>
      </c>
      <c r="I178" s="35">
        <f t="shared" si="10"/>
        <v>65.87</v>
      </c>
      <c r="J178" s="36">
        <f t="shared" si="11"/>
        <v>28.307507039992871</v>
      </c>
      <c r="K178" s="38">
        <f t="shared" si="12"/>
        <v>2007</v>
      </c>
      <c r="M178" s="21">
        <f t="shared" si="18"/>
        <v>4.1876831026526018</v>
      </c>
      <c r="N178" s="21">
        <f t="shared" si="19"/>
        <v>3.3431270359031164</v>
      </c>
    </row>
    <row r="179" spans="1:14" x14ac:dyDescent="0.2">
      <c r="A179" s="33">
        <f>'GF + UG Iteration 6'!A179</f>
        <v>1679</v>
      </c>
      <c r="B179" s="34" t="str">
        <f>'GF + UG Iteration 6'!B179</f>
        <v>UG</v>
      </c>
      <c r="C179" s="35">
        <f>'GF + UG Iteration 6'!C179</f>
        <v>65.87</v>
      </c>
      <c r="D179" s="36">
        <f>'GF + UG Iteration 6'!P$16*(C179^'GF + UG Iteration 6'!P$15)</f>
        <v>28.061407924340333</v>
      </c>
      <c r="E179" s="37">
        <f>'GF + UG Iteration 6'!E179</f>
        <v>1977</v>
      </c>
      <c r="F179" s="35">
        <f>'GF + UG Iteration 6'!F179</f>
        <v>0</v>
      </c>
      <c r="G179" s="36">
        <f>'GF + UG Iteration 6'!G179</f>
        <v>3.0359489017822221</v>
      </c>
      <c r="H179" s="38">
        <f>'GF + UG Iteration 6'!H179</f>
        <v>2016</v>
      </c>
      <c r="I179" s="35">
        <f t="shared" si="10"/>
        <v>65.87</v>
      </c>
      <c r="J179" s="36">
        <f t="shared" si="11"/>
        <v>31.097356826122557</v>
      </c>
      <c r="K179" s="38">
        <f t="shared" si="12"/>
        <v>2016</v>
      </c>
      <c r="M179" s="21">
        <f t="shared" si="18"/>
        <v>4.1876831026526018</v>
      </c>
      <c r="N179" s="21">
        <f t="shared" si="19"/>
        <v>3.4371228260596309</v>
      </c>
    </row>
    <row r="180" spans="1:14" x14ac:dyDescent="0.2">
      <c r="A180" s="33">
        <f>'GF + UG Iteration 6'!A180</f>
        <v>1382</v>
      </c>
      <c r="B180" s="34" t="str">
        <f>'GF + UG Iteration 6'!B180</f>
        <v>UG</v>
      </c>
      <c r="C180" s="35">
        <f>'GF + UG Iteration 6'!C180</f>
        <v>24.2</v>
      </c>
      <c r="D180" s="36">
        <f>'GF + UG Iteration 6'!P$16*(C180^'GF + UG Iteration 6'!P$15)</f>
        <v>15.831357579038965</v>
      </c>
      <c r="E180" s="37" t="str">
        <f>'GF + UG Iteration 6'!E180</f>
        <v>unknown</v>
      </c>
      <c r="F180" s="35">
        <f>'GF + UG Iteration 6'!F180</f>
        <v>11.900000000000002</v>
      </c>
      <c r="G180" s="36">
        <f>'GF + UG Iteration 6'!G180</f>
        <v>2.4484361075925429</v>
      </c>
      <c r="H180" s="38">
        <f>'GF + UG Iteration 6'!H180</f>
        <v>2013</v>
      </c>
      <c r="I180" s="35">
        <f t="shared" si="10"/>
        <v>36.1</v>
      </c>
      <c r="J180" s="36">
        <f t="shared" si="11"/>
        <v>18.279793686631507</v>
      </c>
      <c r="K180" s="38">
        <f t="shared" si="12"/>
        <v>2013</v>
      </c>
      <c r="M180" s="21">
        <f t="shared" si="18"/>
        <v>3.5862928653388351</v>
      </c>
      <c r="N180" s="21">
        <f t="shared" si="19"/>
        <v>2.9057962796730084</v>
      </c>
    </row>
    <row r="181" spans="1:14" x14ac:dyDescent="0.2">
      <c r="A181" s="33">
        <f>'GF + UG Iteration 6'!A181</f>
        <v>1638</v>
      </c>
      <c r="B181" s="34" t="str">
        <f>'GF + UG Iteration 6'!B181</f>
        <v>UG</v>
      </c>
      <c r="C181" s="35">
        <f>'GF + UG Iteration 6'!C181</f>
        <v>36.1</v>
      </c>
      <c r="D181" s="36">
        <f>'GF + UG Iteration 6'!P$16*(C181^'GF + UG Iteration 6'!P$15)</f>
        <v>19.897921735853927</v>
      </c>
      <c r="E181" s="37" t="str">
        <f>'GF + UG Iteration 6'!E181</f>
        <v>unknown</v>
      </c>
      <c r="F181" s="35">
        <f>'GF + UG Iteration 6'!F181</f>
        <v>0</v>
      </c>
      <c r="G181" s="36">
        <f>'GF + UG Iteration 6'!G181</f>
        <v>1.4307693737810239</v>
      </c>
      <c r="H181" s="38">
        <f>'GF + UG Iteration 6'!H181</f>
        <v>2015</v>
      </c>
      <c r="I181" s="35">
        <f t="shared" si="10"/>
        <v>36.1</v>
      </c>
      <c r="J181" s="36">
        <f t="shared" si="11"/>
        <v>21.328691109634953</v>
      </c>
      <c r="K181" s="38">
        <f t="shared" si="12"/>
        <v>2015</v>
      </c>
      <c r="M181" s="21">
        <f t="shared" si="18"/>
        <v>3.5862928653388351</v>
      </c>
      <c r="N181" s="21">
        <f t="shared" si="19"/>
        <v>3.0600531667764637</v>
      </c>
    </row>
    <row r="182" spans="1:14" x14ac:dyDescent="0.2">
      <c r="A182" s="33">
        <f>'GF + UG Iteration 6'!A182</f>
        <v>874</v>
      </c>
      <c r="B182" s="34" t="str">
        <f>'GF + UG Iteration 6'!B182</f>
        <v>UG</v>
      </c>
      <c r="C182" s="35">
        <f>'GF + UG Iteration 6'!C182</f>
        <v>6.4</v>
      </c>
      <c r="D182" s="36">
        <f>'GF + UG Iteration 6'!P$16*(C182^'GF + UG Iteration 6'!P$15)</f>
        <v>7.4014612399191799</v>
      </c>
      <c r="E182" s="37">
        <f>'GF + UG Iteration 6'!E182</f>
        <v>1997</v>
      </c>
      <c r="F182" s="35">
        <f>'GF + UG Iteration 6'!F182</f>
        <v>0.5</v>
      </c>
      <c r="G182" s="36">
        <f>'GF + UG Iteration 6'!G182</f>
        <v>3.6333602061432981</v>
      </c>
      <c r="H182" s="38">
        <f>'GF + UG Iteration 6'!H182</f>
        <v>2009</v>
      </c>
      <c r="I182" s="35">
        <f t="shared" si="10"/>
        <v>6.9</v>
      </c>
      <c r="J182" s="36">
        <f t="shared" si="11"/>
        <v>11.034821446062479</v>
      </c>
      <c r="K182" s="38">
        <f t="shared" si="12"/>
        <v>2009</v>
      </c>
      <c r="M182" s="21">
        <f t="shared" si="18"/>
        <v>1.9315214116032138</v>
      </c>
      <c r="N182" s="21">
        <f t="shared" si="19"/>
        <v>2.4010558588856732</v>
      </c>
    </row>
    <row r="183" spans="1:14" x14ac:dyDescent="0.2">
      <c r="A183" s="33">
        <f>'GF + UG Iteration 6'!A183</f>
        <v>491</v>
      </c>
      <c r="B183" s="34" t="str">
        <f>'GF + UG Iteration 6'!B183</f>
        <v>UG</v>
      </c>
      <c r="C183" s="35">
        <f>'GF + UG Iteration 6'!C183</f>
        <v>27.9</v>
      </c>
      <c r="D183" s="36">
        <f>'GF + UG Iteration 6'!P$16*(C183^'GF + UG Iteration 6'!P$15)</f>
        <v>17.172726647321362</v>
      </c>
      <c r="E183" s="37">
        <f>'GF + UG Iteration 6'!E183</f>
        <v>1984</v>
      </c>
      <c r="F183" s="35">
        <f>'GF + UG Iteration 6'!F183</f>
        <v>1</v>
      </c>
      <c r="G183" s="36">
        <f>'GF + UG Iteration 6'!G183</f>
        <v>0.19252271805052243</v>
      </c>
      <c r="H183" s="38">
        <f>'GF + UG Iteration 6'!H183</f>
        <v>2006</v>
      </c>
      <c r="I183" s="35">
        <f t="shared" si="10"/>
        <v>28.9</v>
      </c>
      <c r="J183" s="36">
        <f t="shared" si="11"/>
        <v>17.365249365371884</v>
      </c>
      <c r="K183" s="38">
        <f t="shared" si="12"/>
        <v>2006</v>
      </c>
      <c r="M183" s="21">
        <f t="shared" si="18"/>
        <v>3.3638415951183864</v>
      </c>
      <c r="N183" s="21">
        <f t="shared" si="19"/>
        <v>2.8544710463216596</v>
      </c>
    </row>
    <row r="184" spans="1:14" x14ac:dyDescent="0.2">
      <c r="A184" s="33">
        <f>'GF + UG Iteration 6'!A184</f>
        <v>1396</v>
      </c>
      <c r="B184" s="34" t="str">
        <f>'GF + UG Iteration 6'!B184</f>
        <v>UG</v>
      </c>
      <c r="C184" s="35">
        <f>'GF + UG Iteration 6'!C184</f>
        <v>20.6</v>
      </c>
      <c r="D184" s="36">
        <f>'GF + UG Iteration 6'!P$16*(C184^'GF + UG Iteration 6'!P$15)</f>
        <v>14.438858348795604</v>
      </c>
      <c r="E184" s="37">
        <f>'GF + UG Iteration 6'!E184</f>
        <v>2009</v>
      </c>
      <c r="F184" s="35">
        <f>'GF + UG Iteration 6'!F184</f>
        <v>5.3999999999999986</v>
      </c>
      <c r="G184" s="36">
        <f>'GF + UG Iteration 6'!G184</f>
        <v>0.37351117224616898</v>
      </c>
      <c r="H184" s="38">
        <f>'GF + UG Iteration 6'!H184</f>
        <v>2013</v>
      </c>
      <c r="I184" s="35">
        <f t="shared" ref="I184:I246" si="20">C184+F184</f>
        <v>26</v>
      </c>
      <c r="J184" s="36">
        <f t="shared" ref="J184:J246" si="21">D184+G184</f>
        <v>14.812369521041772</v>
      </c>
      <c r="K184" s="38">
        <f t="shared" ref="K184:K246" si="22">MAX(E184,H184)</f>
        <v>2013</v>
      </c>
      <c r="M184" s="21">
        <f>LN(I184)</f>
        <v>3.2580965380214821</v>
      </c>
      <c r="N184" s="21">
        <f>LN(J184)</f>
        <v>2.6954626101505124</v>
      </c>
    </row>
    <row r="185" spans="1:14" x14ac:dyDescent="0.2">
      <c r="A185" s="33">
        <f>'GF + UG Iteration 6'!A185</f>
        <v>1597</v>
      </c>
      <c r="B185" s="34" t="str">
        <f>'GF + UG Iteration 6'!B185</f>
        <v>UG</v>
      </c>
      <c r="C185" s="35">
        <f>'GF + UG Iteration 6'!C185</f>
        <v>26</v>
      </c>
      <c r="D185" s="36">
        <f>'GF + UG Iteration 6'!P$16*(C185^'GF + UG Iteration 6'!P$15)</f>
        <v>16.494128418229657</v>
      </c>
      <c r="E185" s="37">
        <f>'GF + UG Iteration 6'!E185</f>
        <v>2009</v>
      </c>
      <c r="F185" s="35">
        <f>'GF + UG Iteration 6'!F185</f>
        <v>27.299999999999997</v>
      </c>
      <c r="G185" s="36">
        <f>'GF + UG Iteration 6'!G185</f>
        <v>4.2355817632178319</v>
      </c>
      <c r="H185" s="38">
        <f>'GF + UG Iteration 6'!H185</f>
        <v>2015</v>
      </c>
      <c r="I185" s="35">
        <f t="shared" si="20"/>
        <v>53.3</v>
      </c>
      <c r="J185" s="36">
        <f t="shared" si="21"/>
        <v>20.729710181447487</v>
      </c>
      <c r="K185" s="38">
        <f t="shared" si="22"/>
        <v>2015</v>
      </c>
      <c r="M185" s="21">
        <f t="shared" ref="M185:M247" si="23">LN(I185)</f>
        <v>3.9759363311717988</v>
      </c>
      <c r="N185" s="21">
        <f t="shared" ref="N185:N247" si="24">LN(J185)</f>
        <v>3.0315679457154907</v>
      </c>
    </row>
    <row r="186" spans="1:14" x14ac:dyDescent="0.2">
      <c r="A186" s="33">
        <f>'GF + UG Iteration 6'!A186</f>
        <v>1292</v>
      </c>
      <c r="B186" s="34" t="str">
        <f>'GF + UG Iteration 6'!B186</f>
        <v>UG</v>
      </c>
      <c r="C186" s="35">
        <f>'GF + UG Iteration 6'!C186</f>
        <v>30.3</v>
      </c>
      <c r="D186" s="36">
        <f>'GF + UG Iteration 6'!P$16*(C186^'GF + UG Iteration 6'!P$15)</f>
        <v>18.00221766285598</v>
      </c>
      <c r="E186" s="37" t="str">
        <f>'GF + UG Iteration 6'!E186</f>
        <v>unknown</v>
      </c>
      <c r="F186" s="35">
        <f>'GF + UG Iteration 6'!F186</f>
        <v>2.4999999999999964</v>
      </c>
      <c r="G186" s="36">
        <f>'GF + UG Iteration 6'!G186</f>
        <v>4.47116983018676</v>
      </c>
      <c r="H186" s="38">
        <f>'GF + UG Iteration 6'!H186</f>
        <v>2013</v>
      </c>
      <c r="I186" s="35">
        <f t="shared" si="20"/>
        <v>32.799999999999997</v>
      </c>
      <c r="J186" s="36">
        <f t="shared" si="21"/>
        <v>22.47338749304274</v>
      </c>
      <c r="K186" s="38">
        <f t="shared" si="22"/>
        <v>2013</v>
      </c>
      <c r="M186" s="21">
        <f t="shared" si="23"/>
        <v>3.4904285153900978</v>
      </c>
      <c r="N186" s="21">
        <f t="shared" si="24"/>
        <v>3.1123318310893393</v>
      </c>
    </row>
    <row r="187" spans="1:14" x14ac:dyDescent="0.2">
      <c r="A187" s="33">
        <f>'GF + UG Iteration 6'!A187</f>
        <v>364</v>
      </c>
      <c r="B187" s="34" t="str">
        <f>'GF + UG Iteration 6'!B187</f>
        <v>UG</v>
      </c>
      <c r="C187" s="35">
        <f>'GF + UG Iteration 6'!C187</f>
        <v>44.904000000000003</v>
      </c>
      <c r="D187" s="36">
        <f>'GF + UG Iteration 6'!P$16*(C187^'GF + UG Iteration 6'!P$15)</f>
        <v>22.541702376323933</v>
      </c>
      <c r="E187" s="37">
        <f>'GF + UG Iteration 6'!E187</f>
        <v>1975</v>
      </c>
      <c r="F187" s="35">
        <f>'GF + UG Iteration 6'!F187</f>
        <v>2</v>
      </c>
      <c r="G187" s="36">
        <f>'GF + UG Iteration 6'!G187</f>
        <v>1.3174901179839253</v>
      </c>
      <c r="H187" s="38">
        <f>'GF + UG Iteration 6'!H187</f>
        <v>2004</v>
      </c>
      <c r="I187" s="35">
        <f t="shared" si="20"/>
        <v>46.904000000000003</v>
      </c>
      <c r="J187" s="36">
        <f t="shared" si="21"/>
        <v>23.859192494307859</v>
      </c>
      <c r="K187" s="38">
        <f t="shared" si="22"/>
        <v>2004</v>
      </c>
      <c r="M187" s="21">
        <f t="shared" si="23"/>
        <v>3.8481029596619138</v>
      </c>
      <c r="N187" s="21">
        <f t="shared" si="24"/>
        <v>3.1721695726061969</v>
      </c>
    </row>
    <row r="188" spans="1:14" x14ac:dyDescent="0.2">
      <c r="A188" s="33">
        <f>'GF + UG Iteration 6'!A188</f>
        <v>1306</v>
      </c>
      <c r="B188" s="34" t="str">
        <f>'GF + UG Iteration 6'!B188</f>
        <v>UG</v>
      </c>
      <c r="C188" s="35">
        <f>'GF + UG Iteration 6'!C188</f>
        <v>23.1</v>
      </c>
      <c r="D188" s="36">
        <f>'GF + UG Iteration 6'!P$16*(C188^'GF + UG Iteration 6'!P$15)</f>
        <v>15.41590597999007</v>
      </c>
      <c r="E188" s="37">
        <f>'GF + UG Iteration 6'!E188</f>
        <v>1985</v>
      </c>
      <c r="F188" s="35">
        <f>'GF + UG Iteration 6'!F188</f>
        <v>2.0999999999999979</v>
      </c>
      <c r="G188" s="36">
        <f>'GF + UG Iteration 6'!G188</f>
        <v>5.9848606370399509</v>
      </c>
      <c r="H188" s="38">
        <f>'GF + UG Iteration 6'!H188</f>
        <v>2013</v>
      </c>
      <c r="I188" s="35">
        <f t="shared" si="20"/>
        <v>25.2</v>
      </c>
      <c r="J188" s="36">
        <f t="shared" si="21"/>
        <v>21.400766617030023</v>
      </c>
      <c r="K188" s="38">
        <f t="shared" si="22"/>
        <v>2013</v>
      </c>
      <c r="M188" s="21">
        <f t="shared" si="23"/>
        <v>3.2268439945173775</v>
      </c>
      <c r="N188" s="21">
        <f t="shared" si="24"/>
        <v>3.0634267446118715</v>
      </c>
    </row>
    <row r="189" spans="1:14" x14ac:dyDescent="0.2">
      <c r="A189" s="33">
        <f>'GF + UG Iteration 6'!A189</f>
        <v>858</v>
      </c>
      <c r="B189" s="34" t="str">
        <f>'GF + UG Iteration 6'!B189</f>
        <v>UG</v>
      </c>
      <c r="C189" s="35">
        <f>'GF + UG Iteration 6'!C189</f>
        <v>28.4</v>
      </c>
      <c r="D189" s="36">
        <f>'GF + UG Iteration 6'!P$16*(C189^'GF + UG Iteration 6'!P$15)</f>
        <v>17.347982765901797</v>
      </c>
      <c r="E189" s="37">
        <f>'GF + UG Iteration 6'!E189</f>
        <v>2009</v>
      </c>
      <c r="F189" s="35">
        <f>'GF + UG Iteration 6'!F189</f>
        <v>13.300000000000004</v>
      </c>
      <c r="G189" s="36">
        <f>'GF + UG Iteration 6'!G189</f>
        <v>5.4358775042665943</v>
      </c>
      <c r="H189" s="38">
        <f>'GF + UG Iteration 6'!H189</f>
        <v>2010</v>
      </c>
      <c r="I189" s="35">
        <f t="shared" si="20"/>
        <v>41.7</v>
      </c>
      <c r="J189" s="36">
        <f t="shared" si="21"/>
        <v>22.78386027016839</v>
      </c>
      <c r="K189" s="38">
        <f t="shared" si="22"/>
        <v>2010</v>
      </c>
      <c r="M189" s="21">
        <f t="shared" si="23"/>
        <v>3.730501128804756</v>
      </c>
      <c r="N189" s="21">
        <f t="shared" si="24"/>
        <v>3.1260524024056502</v>
      </c>
    </row>
    <row r="190" spans="1:14" x14ac:dyDescent="0.2">
      <c r="A190" s="33">
        <f>'GF + UG Iteration 6'!A190</f>
        <v>1454</v>
      </c>
      <c r="B190" s="34" t="str">
        <f>'GF + UG Iteration 6'!B190</f>
        <v>UG</v>
      </c>
      <c r="C190" s="35">
        <f>'GF + UG Iteration 6'!C190</f>
        <v>41.7</v>
      </c>
      <c r="D190" s="36">
        <f>'GF + UG Iteration 6'!P$16*(C190^'GF + UG Iteration 6'!P$15)</f>
        <v>21.60772307651348</v>
      </c>
      <c r="E190" s="37">
        <f>'GF + UG Iteration 6'!E190</f>
        <v>2009</v>
      </c>
      <c r="F190" s="35">
        <f>'GF + UG Iteration 6'!F190</f>
        <v>5.6999999999999957</v>
      </c>
      <c r="G190" s="36">
        <f>'GF + UG Iteration 6'!G190</f>
        <v>0.45762240995573644</v>
      </c>
      <c r="H190" s="38">
        <f>'GF + UG Iteration 6'!H190</f>
        <v>2013</v>
      </c>
      <c r="I190" s="35">
        <f t="shared" si="20"/>
        <v>47.4</v>
      </c>
      <c r="J190" s="36">
        <f t="shared" si="21"/>
        <v>22.065345486469216</v>
      </c>
      <c r="K190" s="38">
        <f t="shared" si="22"/>
        <v>2013</v>
      </c>
      <c r="M190" s="21">
        <f t="shared" si="23"/>
        <v>3.858622228701031</v>
      </c>
      <c r="N190" s="21">
        <f t="shared" si="24"/>
        <v>3.0940083002680541</v>
      </c>
    </row>
    <row r="191" spans="1:14" x14ac:dyDescent="0.2">
      <c r="A191" s="33">
        <f>'GF + UG Iteration 6'!A191</f>
        <v>637</v>
      </c>
      <c r="B191" s="34" t="str">
        <f>'GF + UG Iteration 6'!B191</f>
        <v>UG</v>
      </c>
      <c r="C191" s="35">
        <f>'GF + UG Iteration 6'!C191</f>
        <v>15.499999999999998</v>
      </c>
      <c r="D191" s="36">
        <f>'GF + UG Iteration 6'!P$16*(C191^'GF + UG Iteration 6'!P$15)</f>
        <v>12.271983271976323</v>
      </c>
      <c r="E191" s="37">
        <f>'GF + UG Iteration 6'!E191</f>
        <v>1989</v>
      </c>
      <c r="F191" s="35">
        <f>'GF + UG Iteration 6'!F191</f>
        <v>8.4</v>
      </c>
      <c r="G191" s="36">
        <f>'GF + UG Iteration 6'!G191</f>
        <v>5.068859840469166</v>
      </c>
      <c r="H191" s="38">
        <f>'GF + UG Iteration 6'!H191</f>
        <v>2007</v>
      </c>
      <c r="I191" s="35">
        <f t="shared" si="20"/>
        <v>23.9</v>
      </c>
      <c r="J191" s="36">
        <f t="shared" si="21"/>
        <v>17.340843112445491</v>
      </c>
      <c r="K191" s="38">
        <f t="shared" si="22"/>
        <v>2007</v>
      </c>
      <c r="M191" s="21">
        <f t="shared" si="23"/>
        <v>3.1738784589374651</v>
      </c>
      <c r="N191" s="21">
        <f t="shared" si="24"/>
        <v>2.8530645925720659</v>
      </c>
    </row>
    <row r="192" spans="1:14" x14ac:dyDescent="0.2">
      <c r="A192" s="33">
        <f>'GF + UG Iteration 6'!A192</f>
        <v>1254</v>
      </c>
      <c r="B192" s="34" t="str">
        <f>'GF + UG Iteration 6'!B192</f>
        <v>UG</v>
      </c>
      <c r="C192" s="35">
        <f>'GF + UG Iteration 6'!C192</f>
        <v>23.9</v>
      </c>
      <c r="D192" s="36">
        <f>'GF + UG Iteration 6'!P$16*(C192^'GF + UG Iteration 6'!P$15)</f>
        <v>15.71886946409885</v>
      </c>
      <c r="E192" s="37">
        <f>'GF + UG Iteration 6'!E192</f>
        <v>1989</v>
      </c>
      <c r="F192" s="35">
        <f>'GF + UG Iteration 6'!F192</f>
        <v>15.399999999999999</v>
      </c>
      <c r="G192" s="36">
        <f>'GF + UG Iteration 6'!G192</f>
        <v>6.528436764593768</v>
      </c>
      <c r="H192" s="38">
        <f>'GF + UG Iteration 6'!H192</f>
        <v>2012</v>
      </c>
      <c r="I192" s="35">
        <f t="shared" si="20"/>
        <v>39.299999999999997</v>
      </c>
      <c r="J192" s="36">
        <f t="shared" si="21"/>
        <v>22.247306228692619</v>
      </c>
      <c r="K192" s="38">
        <f t="shared" si="22"/>
        <v>2012</v>
      </c>
      <c r="M192" s="21">
        <f t="shared" si="23"/>
        <v>3.6712245188752153</v>
      </c>
      <c r="N192" s="21">
        <f t="shared" si="24"/>
        <v>3.1022209329095167</v>
      </c>
    </row>
    <row r="193" spans="1:14" x14ac:dyDescent="0.2">
      <c r="A193" s="33">
        <f>'GF + UG Iteration 6'!A193</f>
        <v>734</v>
      </c>
      <c r="B193" s="34" t="str">
        <f>'GF + UG Iteration 6'!B193</f>
        <v>UG</v>
      </c>
      <c r="C193" s="35">
        <f>'GF + UG Iteration 6'!C193</f>
        <v>20</v>
      </c>
      <c r="D193" s="36">
        <f>'GF + UG Iteration 6'!P$16*(C193^'GF + UG Iteration 6'!P$15)</f>
        <v>14.196933829982175</v>
      </c>
      <c r="E193" s="37">
        <f>'GF + UG Iteration 6'!E193</f>
        <v>1974</v>
      </c>
      <c r="F193" s="35">
        <f>'GF + UG Iteration 6'!F193</f>
        <v>4.3999999999999986</v>
      </c>
      <c r="G193" s="36">
        <f>'GF + UG Iteration 6'!G193</f>
        <v>11.261124599264825</v>
      </c>
      <c r="H193" s="38">
        <f>'GF + UG Iteration 6'!H193</f>
        <v>2011</v>
      </c>
      <c r="I193" s="35">
        <f t="shared" ref="I193" si="25">C193+F193</f>
        <v>24.4</v>
      </c>
      <c r="J193" s="36">
        <f t="shared" ref="J193" si="26">D193+G193</f>
        <v>25.458058429247</v>
      </c>
      <c r="K193" s="38">
        <f t="shared" ref="K193" si="27">MAX(E193,H193)</f>
        <v>2011</v>
      </c>
      <c r="M193" s="21">
        <f t="shared" ref="M193" si="28">LN(I193)</f>
        <v>3.1945831322991562</v>
      </c>
      <c r="N193" s="21">
        <f t="shared" ref="N193" si="29">LN(J193)</f>
        <v>3.2370323305688316</v>
      </c>
    </row>
    <row r="194" spans="1:14" x14ac:dyDescent="0.2">
      <c r="A194" s="33">
        <f>'GF + UG Iteration 6'!A194</f>
        <v>1594</v>
      </c>
      <c r="B194" s="34" t="str">
        <f>'GF + UG Iteration 6'!B194</f>
        <v>UG</v>
      </c>
      <c r="C194" s="35">
        <f>'GF + UG Iteration 6'!C194</f>
        <v>24.4</v>
      </c>
      <c r="D194" s="36">
        <f>'GF + UG Iteration 6'!P$16*(C194^'GF + UG Iteration 6'!P$15)</f>
        <v>15.906018023163798</v>
      </c>
      <c r="E194" s="37">
        <f>'GF + UG Iteration 6'!E194</f>
        <v>1974</v>
      </c>
      <c r="F194" s="35">
        <f>'GF + UG Iteration 6'!F194</f>
        <v>0</v>
      </c>
      <c r="G194" s="36">
        <f>'GF + UG Iteration 6'!G194</f>
        <v>17.2334453477478</v>
      </c>
      <c r="H194" s="38">
        <f>'GF + UG Iteration 6'!H194</f>
        <v>2017</v>
      </c>
      <c r="I194" s="35">
        <f t="shared" si="20"/>
        <v>24.4</v>
      </c>
      <c r="J194" s="36">
        <f t="shared" si="21"/>
        <v>33.139463370911599</v>
      </c>
      <c r="K194" s="38">
        <f t="shared" si="22"/>
        <v>2017</v>
      </c>
      <c r="M194" s="21">
        <f t="shared" si="23"/>
        <v>3.1945831322991562</v>
      </c>
      <c r="N194" s="21">
        <f t="shared" si="24"/>
        <v>3.5007248190764733</v>
      </c>
    </row>
    <row r="195" spans="1:14" x14ac:dyDescent="0.2">
      <c r="A195" s="33">
        <f>'GF + UG Iteration 6'!A195</f>
        <v>1674</v>
      </c>
      <c r="B195" s="34" t="str">
        <f>'GF + UG Iteration 6'!B195</f>
        <v>UG</v>
      </c>
      <c r="C195" s="35">
        <f>'GF + UG Iteration 6'!C195</f>
        <v>17.399999999999999</v>
      </c>
      <c r="D195" s="36">
        <f>'GF + UG Iteration 6'!P$16*(C195^'GF + UG Iteration 6'!P$15)</f>
        <v>13.110559285809956</v>
      </c>
      <c r="E195" s="37">
        <f>'GF + UG Iteration 6'!E195</f>
        <v>0</v>
      </c>
      <c r="F195" s="35">
        <f>'GF + UG Iteration 6'!F195</f>
        <v>3.7000000000000028</v>
      </c>
      <c r="G195" s="36">
        <f>'GF + UG Iteration 6'!G195</f>
        <v>10.327278566796926</v>
      </c>
      <c r="H195" s="38">
        <f>'GF + UG Iteration 6'!H195</f>
        <v>2016</v>
      </c>
      <c r="I195" s="35">
        <f t="shared" si="20"/>
        <v>21.1</v>
      </c>
      <c r="J195" s="36">
        <f t="shared" si="21"/>
        <v>23.437837852606883</v>
      </c>
      <c r="K195" s="38">
        <f t="shared" si="22"/>
        <v>2016</v>
      </c>
      <c r="M195" s="21">
        <f t="shared" si="23"/>
        <v>3.0492730404820207</v>
      </c>
      <c r="N195" s="21">
        <f t="shared" si="24"/>
        <v>3.1543517186712942</v>
      </c>
    </row>
    <row r="196" spans="1:14" x14ac:dyDescent="0.2">
      <c r="A196" s="33">
        <f>'GF + UG Iteration 6'!A196</f>
        <v>711</v>
      </c>
      <c r="B196" s="34" t="str">
        <f>'GF + UG Iteration 6'!B196</f>
        <v>UG</v>
      </c>
      <c r="C196" s="35">
        <f>'GF + UG Iteration 6'!C196</f>
        <v>11.5</v>
      </c>
      <c r="D196" s="36">
        <f>'GF + UG Iteration 6'!P$16*(C196^'GF + UG Iteration 6'!P$15)</f>
        <v>10.346908016505736</v>
      </c>
      <c r="E196" s="37">
        <f>'GF + UG Iteration 6'!E196</f>
        <v>1976</v>
      </c>
      <c r="F196" s="35">
        <f>'GF + UG Iteration 6'!F196</f>
        <v>13.7</v>
      </c>
      <c r="G196" s="36">
        <f>'GF + UG Iteration 6'!G196</f>
        <v>9.2617881543087019</v>
      </c>
      <c r="H196" s="38">
        <f>'GF + UG Iteration 6'!H196</f>
        <v>2009</v>
      </c>
      <c r="I196" s="35">
        <f t="shared" si="20"/>
        <v>25.2</v>
      </c>
      <c r="J196" s="36">
        <f t="shared" si="21"/>
        <v>19.60869617081444</v>
      </c>
      <c r="K196" s="38">
        <f t="shared" si="22"/>
        <v>2009</v>
      </c>
      <c r="M196" s="21">
        <f t="shared" si="23"/>
        <v>3.2268439945173775</v>
      </c>
      <c r="N196" s="21">
        <f t="shared" si="24"/>
        <v>2.9759731500230453</v>
      </c>
    </row>
    <row r="197" spans="1:14" x14ac:dyDescent="0.2">
      <c r="A197" s="33">
        <f>'GF + UG Iteration 6'!A197</f>
        <v>408</v>
      </c>
      <c r="B197" s="34" t="str">
        <f>'GF + UG Iteration 6'!B197</f>
        <v>UG</v>
      </c>
      <c r="C197" s="35">
        <f>'GF + UG Iteration 6'!C197</f>
        <v>37.700000000000003</v>
      </c>
      <c r="D197" s="36">
        <f>'GF + UG Iteration 6'!P$16*(C197^'GF + UG Iteration 6'!P$15)</f>
        <v>20.397366989159146</v>
      </c>
      <c r="E197" s="37">
        <f>'GF + UG Iteration 6'!E197</f>
        <v>1976</v>
      </c>
      <c r="F197" s="35">
        <f>'GF + UG Iteration 6'!F197</f>
        <v>2.0419999999999945</v>
      </c>
      <c r="G197" s="36">
        <f>'GF + UG Iteration 6'!G197</f>
        <v>0.58015876995711901</v>
      </c>
      <c r="H197" s="38">
        <f>'GF + UG Iteration 6'!H197</f>
        <v>2004</v>
      </c>
      <c r="I197" s="35">
        <f t="shared" si="20"/>
        <v>39.741999999999997</v>
      </c>
      <c r="J197" s="36">
        <f t="shared" si="21"/>
        <v>20.977525759116265</v>
      </c>
      <c r="K197" s="38">
        <f t="shared" si="22"/>
        <v>2004</v>
      </c>
      <c r="M197" s="21">
        <f t="shared" si="23"/>
        <v>3.6824085629836243</v>
      </c>
      <c r="N197" s="21">
        <f t="shared" si="24"/>
        <v>3.043451662701568</v>
      </c>
    </row>
    <row r="198" spans="1:14" x14ac:dyDescent="0.2">
      <c r="A198" s="33">
        <f>'GF + UG Iteration 6'!A198</f>
        <v>698</v>
      </c>
      <c r="B198" s="34" t="str">
        <f>'GF + UG Iteration 6'!B198</f>
        <v>UG</v>
      </c>
      <c r="C198" s="35">
        <f>'GF + UG Iteration 6'!C198</f>
        <v>39.700000000000003</v>
      </c>
      <c r="D198" s="36">
        <f>'GF + UG Iteration 6'!P$16*(C198^'GF + UG Iteration 6'!P$15)</f>
        <v>21.009077930452356</v>
      </c>
      <c r="E198" s="37">
        <f>'GF + UG Iteration 6'!E198</f>
        <v>1976</v>
      </c>
      <c r="F198" s="35">
        <f>'GF + UG Iteration 6'!F198</f>
        <v>20.9</v>
      </c>
      <c r="G198" s="36">
        <f>'GF + UG Iteration 6'!G198</f>
        <v>1.4406821685518079</v>
      </c>
      <c r="H198" s="38">
        <f>'GF + UG Iteration 6'!H198</f>
        <v>2007</v>
      </c>
      <c r="I198" s="35">
        <f t="shared" si="20"/>
        <v>60.6</v>
      </c>
      <c r="J198" s="36">
        <f t="shared" si="21"/>
        <v>22.449760099004166</v>
      </c>
      <c r="K198" s="38">
        <f t="shared" si="22"/>
        <v>2007</v>
      </c>
      <c r="M198" s="21">
        <f t="shared" si="23"/>
        <v>4.1042948930752692</v>
      </c>
      <c r="N198" s="21">
        <f t="shared" si="24"/>
        <v>3.1112799281179901</v>
      </c>
    </row>
    <row r="199" spans="1:14" x14ac:dyDescent="0.2">
      <c r="A199" s="33">
        <f>'GF + UG Iteration 6'!A199</f>
        <v>696</v>
      </c>
      <c r="B199" s="34" t="str">
        <f>'GF + UG Iteration 6'!B199</f>
        <v>UG</v>
      </c>
      <c r="C199" s="35">
        <f>'GF + UG Iteration 6'!C199</f>
        <v>9.1370000000000005</v>
      </c>
      <c r="D199" s="36">
        <f>'GF + UG Iteration 6'!P$16*(C199^'GF + UG Iteration 6'!P$15)</f>
        <v>9.0720796075871455</v>
      </c>
      <c r="E199" s="37">
        <f>'GF + UG Iteration 6'!E199</f>
        <v>1981</v>
      </c>
      <c r="F199" s="35">
        <f>'GF + UG Iteration 6'!F199</f>
        <v>8.0629999999999988</v>
      </c>
      <c r="G199" s="36">
        <f>'GF + UG Iteration 6'!G199</f>
        <v>0.26810351472539734</v>
      </c>
      <c r="H199" s="38">
        <f>'GF + UG Iteration 6'!H199</f>
        <v>2007</v>
      </c>
      <c r="I199" s="35">
        <f t="shared" si="20"/>
        <v>17.2</v>
      </c>
      <c r="J199" s="36">
        <f t="shared" si="21"/>
        <v>9.340183122312542</v>
      </c>
      <c r="K199" s="38">
        <f t="shared" si="22"/>
        <v>2007</v>
      </c>
      <c r="M199" s="21">
        <f t="shared" si="23"/>
        <v>2.8449093838194073</v>
      </c>
      <c r="N199" s="21">
        <f t="shared" si="24"/>
        <v>2.2343258582918644</v>
      </c>
    </row>
    <row r="200" spans="1:14" x14ac:dyDescent="0.2">
      <c r="A200" s="33">
        <f>'GF + UG Iteration 6'!A200</f>
        <v>1636</v>
      </c>
      <c r="B200" s="34" t="str">
        <f>'GF + UG Iteration 6'!B200</f>
        <v>UG</v>
      </c>
      <c r="C200" s="35">
        <f>'GF + UG Iteration 6'!C200</f>
        <v>17.2</v>
      </c>
      <c r="D200" s="36">
        <f>'GF + UG Iteration 6'!P$16*(C200^'GF + UG Iteration 6'!P$15)</f>
        <v>13.024201824145278</v>
      </c>
      <c r="E200" s="37">
        <f>'GF + UG Iteration 6'!E200</f>
        <v>1981</v>
      </c>
      <c r="F200" s="35">
        <f>'GF + UG Iteration 6'!F200</f>
        <v>0</v>
      </c>
      <c r="G200" s="36">
        <f>'GF + UG Iteration 6'!G200</f>
        <v>6.6058972937468434</v>
      </c>
      <c r="H200" s="38">
        <f>'GF + UG Iteration 6'!H200</f>
        <v>2015</v>
      </c>
      <c r="I200" s="35">
        <f t="shared" si="20"/>
        <v>17.2</v>
      </c>
      <c r="J200" s="36">
        <f t="shared" si="21"/>
        <v>19.630099117892122</v>
      </c>
      <c r="K200" s="38">
        <f t="shared" si="22"/>
        <v>2015</v>
      </c>
      <c r="M200" s="21">
        <f t="shared" si="23"/>
        <v>2.8449093838194073</v>
      </c>
      <c r="N200" s="21">
        <f t="shared" si="24"/>
        <v>2.9770640575824037</v>
      </c>
    </row>
    <row r="201" spans="1:14" x14ac:dyDescent="0.2">
      <c r="A201" s="33">
        <f>'GF + UG Iteration 6'!A201</f>
        <v>1185</v>
      </c>
      <c r="B201" s="34" t="str">
        <f>'GF + UG Iteration 6'!B201</f>
        <v>UG</v>
      </c>
      <c r="C201" s="35">
        <f>'GF + UG Iteration 6'!C201</f>
        <v>32.4</v>
      </c>
      <c r="D201" s="36">
        <f>'GF + UG Iteration 6'!P$16*(C201^'GF + UG Iteration 6'!P$15)</f>
        <v>18.705191295166649</v>
      </c>
      <c r="E201" s="37">
        <f>'GF + UG Iteration 6'!E201</f>
        <v>1988</v>
      </c>
      <c r="F201" s="35">
        <f>'GF + UG Iteration 6'!F201</f>
        <v>2.5</v>
      </c>
      <c r="G201" s="36">
        <f>'GF + UG Iteration 6'!G201</f>
        <v>2.8087836612562955</v>
      </c>
      <c r="H201" s="38">
        <f>'GF + UG Iteration 6'!H201</f>
        <v>2011</v>
      </c>
      <c r="I201" s="35">
        <f t="shared" si="20"/>
        <v>34.9</v>
      </c>
      <c r="J201" s="36">
        <f t="shared" si="21"/>
        <v>21.513974956422945</v>
      </c>
      <c r="K201" s="38">
        <f t="shared" si="22"/>
        <v>2011</v>
      </c>
      <c r="M201" s="21">
        <f t="shared" si="23"/>
        <v>3.5524868292083815</v>
      </c>
      <c r="N201" s="21">
        <f t="shared" si="24"/>
        <v>3.0687027219495908</v>
      </c>
    </row>
    <row r="202" spans="1:14" x14ac:dyDescent="0.2">
      <c r="A202" s="33">
        <f>'GF + UG Iteration 6'!A202</f>
        <v>568</v>
      </c>
      <c r="B202" s="34" t="str">
        <f>'GF + UG Iteration 6'!B202</f>
        <v>UG</v>
      </c>
      <c r="C202" s="35">
        <f>'GF + UG Iteration 6'!C202</f>
        <v>38.04</v>
      </c>
      <c r="D202" s="36">
        <f>'GF + UG Iteration 6'!P$16*(C202^'GF + UG Iteration 6'!P$15)</f>
        <v>20.502321173422796</v>
      </c>
      <c r="E202" s="37">
        <f>'GF + UG Iteration 6'!E202</f>
        <v>1978</v>
      </c>
      <c r="F202" s="35">
        <f>'GF + UG Iteration 6'!F202</f>
        <v>1</v>
      </c>
      <c r="G202" s="36">
        <f>'GF + UG Iteration 6'!G202</f>
        <v>2.8818936071529556E-2</v>
      </c>
      <c r="H202" s="38">
        <f>'GF + UG Iteration 6'!H202</f>
        <v>2006</v>
      </c>
      <c r="I202" s="35">
        <f t="shared" si="20"/>
        <v>39.04</v>
      </c>
      <c r="J202" s="36">
        <f t="shared" si="21"/>
        <v>20.531140109494327</v>
      </c>
      <c r="K202" s="38">
        <f t="shared" si="22"/>
        <v>2006</v>
      </c>
      <c r="M202" s="21">
        <f t="shared" si="23"/>
        <v>3.6645867615448919</v>
      </c>
      <c r="N202" s="21">
        <f t="shared" si="24"/>
        <v>3.0219427633171634</v>
      </c>
    </row>
    <row r="203" spans="1:14" x14ac:dyDescent="0.2">
      <c r="A203" s="33">
        <f>'GF + UG Iteration 6'!A203</f>
        <v>853</v>
      </c>
      <c r="B203" s="34" t="str">
        <f>'GF + UG Iteration 6'!B203</f>
        <v>UG</v>
      </c>
      <c r="C203" s="35">
        <f>'GF + UG Iteration 6'!C203</f>
        <v>20</v>
      </c>
      <c r="D203" s="36">
        <f>'GF + UG Iteration 6'!P$16*(C203^'GF + UG Iteration 6'!P$15)</f>
        <v>14.196933829982175</v>
      </c>
      <c r="E203" s="37">
        <f>'GF + UG Iteration 6'!E203</f>
        <v>1991</v>
      </c>
      <c r="F203" s="35">
        <f>'GF + UG Iteration 6'!F203</f>
        <v>21.700000000000003</v>
      </c>
      <c r="G203" s="36">
        <f>'GF + UG Iteration 6'!G203</f>
        <v>4.2556245512411124</v>
      </c>
      <c r="H203" s="38">
        <f>'GF + UG Iteration 6'!H203</f>
        <v>2009</v>
      </c>
      <c r="I203" s="35">
        <f t="shared" si="20"/>
        <v>41.7</v>
      </c>
      <c r="J203" s="36">
        <f t="shared" si="21"/>
        <v>18.452558381223287</v>
      </c>
      <c r="K203" s="38">
        <f t="shared" si="22"/>
        <v>2009</v>
      </c>
      <c r="M203" s="21">
        <f t="shared" si="23"/>
        <v>3.730501128804756</v>
      </c>
      <c r="N203" s="21">
        <f t="shared" si="24"/>
        <v>2.9152030265223026</v>
      </c>
    </row>
    <row r="204" spans="1:14" x14ac:dyDescent="0.2">
      <c r="A204" s="33">
        <f>'GF + UG Iteration 6'!A204</f>
        <v>1201</v>
      </c>
      <c r="B204" s="34" t="str">
        <f>'GF + UG Iteration 6'!B204</f>
        <v>UG</v>
      </c>
      <c r="C204" s="35">
        <f>'GF + UG Iteration 6'!C204</f>
        <v>13.3</v>
      </c>
      <c r="D204" s="36">
        <f>'GF + UG Iteration 6'!P$16*(C204^'GF + UG Iteration 6'!P$15)</f>
        <v>11.243770107165449</v>
      </c>
      <c r="E204" s="37" t="str">
        <f>'GF + UG Iteration 6'!E204</f>
        <v>unknown</v>
      </c>
      <c r="F204" s="35">
        <f>'GF + UG Iteration 6'!F204</f>
        <v>10.599999999999998</v>
      </c>
      <c r="G204" s="36">
        <f>'GF + UG Iteration 6'!G204</f>
        <v>7.6364894321569698</v>
      </c>
      <c r="H204" s="38">
        <f>'GF + UG Iteration 6'!H204</f>
        <v>2012</v>
      </c>
      <c r="I204" s="35">
        <f t="shared" si="20"/>
        <v>23.9</v>
      </c>
      <c r="J204" s="36">
        <f t="shared" si="21"/>
        <v>18.88025953932242</v>
      </c>
      <c r="K204" s="38">
        <f t="shared" si="22"/>
        <v>2012</v>
      </c>
      <c r="M204" s="21">
        <f t="shared" si="23"/>
        <v>3.1738784589374651</v>
      </c>
      <c r="N204" s="21">
        <f t="shared" si="24"/>
        <v>2.9381169074090137</v>
      </c>
    </row>
    <row r="205" spans="1:14" x14ac:dyDescent="0.2">
      <c r="A205" s="33">
        <f>'GF + UG Iteration 6'!A205</f>
        <v>654</v>
      </c>
      <c r="B205" s="34" t="str">
        <f>'GF + UG Iteration 6'!B205</f>
        <v>UG</v>
      </c>
      <c r="C205" s="35">
        <f>'GF + UG Iteration 6'!C205</f>
        <v>7.29</v>
      </c>
      <c r="D205" s="36">
        <f>'GF + UG Iteration 6'!P$16*(C205^'GF + UG Iteration 6'!P$15)</f>
        <v>7.9733794038435608</v>
      </c>
      <c r="E205" s="37">
        <f>'GF + UG Iteration 6'!E205</f>
        <v>1976</v>
      </c>
      <c r="F205" s="35">
        <f>'GF + UG Iteration 6'!F205</f>
        <v>4.4099999999999993</v>
      </c>
      <c r="G205" s="36">
        <f>'GF + UG Iteration 6'!G205</f>
        <v>0.73672544554632269</v>
      </c>
      <c r="H205" s="38">
        <f>'GF + UG Iteration 6'!H205</f>
        <v>2007</v>
      </c>
      <c r="I205" s="35">
        <f t="shared" si="20"/>
        <v>11.7</v>
      </c>
      <c r="J205" s="36">
        <f t="shared" si="21"/>
        <v>8.7101048493898841</v>
      </c>
      <c r="K205" s="38">
        <f t="shared" si="22"/>
        <v>2007</v>
      </c>
      <c r="M205" s="21">
        <f t="shared" si="23"/>
        <v>2.4595888418037104</v>
      </c>
      <c r="N205" s="21">
        <f t="shared" si="24"/>
        <v>2.1644838286093955</v>
      </c>
    </row>
    <row r="206" spans="1:14" x14ac:dyDescent="0.2">
      <c r="A206" s="33">
        <f>'GF + UG Iteration 6'!A206</f>
        <v>1394</v>
      </c>
      <c r="B206" s="34" t="str">
        <f>'GF + UG Iteration 6'!B206</f>
        <v>UG</v>
      </c>
      <c r="C206" s="35">
        <f>'GF + UG Iteration 6'!C206</f>
        <v>11.7</v>
      </c>
      <c r="D206" s="36">
        <f>'GF + UG Iteration 6'!P$16*(C206^'GF + UG Iteration 6'!P$15)</f>
        <v>10.449392832527931</v>
      </c>
      <c r="E206" s="37">
        <f>'GF + UG Iteration 6'!E206</f>
        <v>1976</v>
      </c>
      <c r="F206" s="35">
        <f>'GF + UG Iteration 6'!F206</f>
        <v>10</v>
      </c>
      <c r="G206" s="36">
        <f>'GF + UG Iteration 6'!G206</f>
        <v>5.0057806862702598</v>
      </c>
      <c r="H206" s="38">
        <f>'GF + UG Iteration 6'!H206</f>
        <v>2014</v>
      </c>
      <c r="I206" s="35">
        <f t="shared" si="20"/>
        <v>21.7</v>
      </c>
      <c r="J206" s="36">
        <f t="shared" si="21"/>
        <v>15.45517351879819</v>
      </c>
      <c r="K206" s="38">
        <f t="shared" si="22"/>
        <v>2014</v>
      </c>
      <c r="M206" s="21">
        <f t="shared" si="23"/>
        <v>3.0773122605464138</v>
      </c>
      <c r="N206" s="21">
        <f t="shared" si="24"/>
        <v>2.7379438028777785</v>
      </c>
    </row>
    <row r="207" spans="1:14" x14ac:dyDescent="0.2">
      <c r="A207" s="33">
        <f>'GF + UG Iteration 6'!A207</f>
        <v>1294</v>
      </c>
      <c r="B207" s="34" t="str">
        <f>'GF + UG Iteration 6'!B207</f>
        <v>UG</v>
      </c>
      <c r="C207" s="35">
        <f>'GF + UG Iteration 6'!C207</f>
        <v>8.5</v>
      </c>
      <c r="D207" s="36">
        <f>'GF + UG Iteration 6'!P$16*(C207^'GF + UG Iteration 6'!P$15)</f>
        <v>8.7049451346360165</v>
      </c>
      <c r="E207" s="37">
        <f>'GF + UG Iteration 6'!E207</f>
        <v>0</v>
      </c>
      <c r="F207" s="35">
        <f>'GF + UG Iteration 6'!F207</f>
        <v>1.5999999999999996</v>
      </c>
      <c r="G207" s="36">
        <f>'GF + UG Iteration 6'!G207</f>
        <v>4.5619922667121129</v>
      </c>
      <c r="H207" s="38">
        <f>'GF + UG Iteration 6'!H207</f>
        <v>2014</v>
      </c>
      <c r="I207" s="35">
        <f t="shared" si="20"/>
        <v>10.1</v>
      </c>
      <c r="J207" s="36">
        <f t="shared" si="21"/>
        <v>13.26693740134813</v>
      </c>
      <c r="K207" s="38">
        <f t="shared" si="22"/>
        <v>2014</v>
      </c>
      <c r="M207" s="21">
        <f t="shared" si="23"/>
        <v>2.3125354238472138</v>
      </c>
      <c r="N207" s="21">
        <f t="shared" si="24"/>
        <v>2.5852750305508532</v>
      </c>
    </row>
    <row r="208" spans="1:14" x14ac:dyDescent="0.2">
      <c r="A208" s="33">
        <f>'GF + UG Iteration 6'!A208</f>
        <v>1670</v>
      </c>
      <c r="B208" s="34" t="str">
        <f>'GF + UG Iteration 6'!B208</f>
        <v>UG</v>
      </c>
      <c r="C208" s="35">
        <f>'GF + UG Iteration 6'!C208</f>
        <v>31.45</v>
      </c>
      <c r="D208" s="36">
        <f>'GF + UG Iteration 6'!P$16*(C208^'GF + UG Iteration 6'!P$15)</f>
        <v>18.389674656292748</v>
      </c>
      <c r="E208" s="37">
        <f>'GF + UG Iteration 6'!E208</f>
        <v>0</v>
      </c>
      <c r="F208" s="35">
        <f>'GF + UG Iteration 6'!F208</f>
        <v>24.250000000000004</v>
      </c>
      <c r="G208" s="36">
        <f>'GF + UG Iteration 6'!G208</f>
        <v>2.7943521582603679</v>
      </c>
      <c r="H208" s="38">
        <f>'GF + UG Iteration 6'!H208</f>
        <v>2016</v>
      </c>
      <c r="I208" s="35">
        <f t="shared" si="20"/>
        <v>55.7</v>
      </c>
      <c r="J208" s="36">
        <f t="shared" si="21"/>
        <v>21.184026814553114</v>
      </c>
      <c r="K208" s="38">
        <f t="shared" si="22"/>
        <v>2016</v>
      </c>
      <c r="M208" s="21">
        <f t="shared" si="23"/>
        <v>4.0199801469332384</v>
      </c>
      <c r="N208" s="21">
        <f t="shared" si="24"/>
        <v>3.0532474455465231</v>
      </c>
    </row>
    <row r="209" spans="1:14" x14ac:dyDescent="0.2">
      <c r="A209" s="33">
        <f>'GF + UG Iteration 6'!A209</f>
        <v>579</v>
      </c>
      <c r="B209" s="34" t="str">
        <f>'GF + UG Iteration 6'!B209</f>
        <v>UG</v>
      </c>
      <c r="C209" s="35">
        <f>'GF + UG Iteration 6'!C209</f>
        <v>17.100000000000001</v>
      </c>
      <c r="D209" s="36">
        <f>'GF + UG Iteration 6'!P$16*(C209^'GF + UG Iteration 6'!P$15)</f>
        <v>12.980861833814075</v>
      </c>
      <c r="E209" s="37" t="str">
        <f>'GF + UG Iteration 6'!E209</f>
        <v>unknown</v>
      </c>
      <c r="F209" s="35">
        <f>'GF + UG Iteration 6'!F209</f>
        <v>11</v>
      </c>
      <c r="G209" s="36">
        <f>'GF + UG Iteration 6'!G209</f>
        <v>3.6516230200538073</v>
      </c>
      <c r="H209" s="38">
        <f>'GF + UG Iteration 6'!H209</f>
        <v>2008</v>
      </c>
      <c r="I209" s="35">
        <f t="shared" si="20"/>
        <v>28.1</v>
      </c>
      <c r="J209" s="36">
        <f t="shared" si="21"/>
        <v>16.632484853867883</v>
      </c>
      <c r="K209" s="38">
        <f t="shared" si="22"/>
        <v>2008</v>
      </c>
      <c r="M209" s="21">
        <f t="shared" si="23"/>
        <v>3.3357695763396999</v>
      </c>
      <c r="N209" s="21">
        <f t="shared" si="24"/>
        <v>2.8113577019987628</v>
      </c>
    </row>
    <row r="210" spans="1:14" x14ac:dyDescent="0.2">
      <c r="A210" s="33">
        <f>'GF + UG Iteration 6'!A210</f>
        <v>1670</v>
      </c>
      <c r="B210" s="34" t="str">
        <f>'GF + UG Iteration 6'!B210</f>
        <v>UG</v>
      </c>
      <c r="C210" s="35">
        <f>'GF + UG Iteration 6'!C210</f>
        <v>18.79</v>
      </c>
      <c r="D210" s="36">
        <f>'GF + UG Iteration 6'!P$16*(C210^'GF + UG Iteration 6'!P$15)</f>
        <v>13.699389699417797</v>
      </c>
      <c r="E210" s="37">
        <f>'GF + UG Iteration 6'!E210</f>
        <v>0</v>
      </c>
      <c r="F210" s="35">
        <f>'GF + UG Iteration 6'!F210</f>
        <v>30.509999999999998</v>
      </c>
      <c r="G210" s="36">
        <f>'GF + UG Iteration 6'!G210</f>
        <v>18.363697996227653</v>
      </c>
      <c r="H210" s="38">
        <f>'GF + UG Iteration 6'!H210</f>
        <v>2016</v>
      </c>
      <c r="I210" s="35">
        <f t="shared" si="20"/>
        <v>49.3</v>
      </c>
      <c r="J210" s="36">
        <f t="shared" si="21"/>
        <v>32.06308769564545</v>
      </c>
      <c r="K210" s="38">
        <f t="shared" si="22"/>
        <v>2016</v>
      </c>
      <c r="M210" s="21">
        <f t="shared" si="23"/>
        <v>3.8979240810486444</v>
      </c>
      <c r="N210" s="21">
        <f t="shared" si="24"/>
        <v>3.4677054524517485</v>
      </c>
    </row>
    <row r="211" spans="1:14" x14ac:dyDescent="0.2">
      <c r="A211" s="33">
        <f>'GF + UG Iteration 6'!A211</f>
        <v>1083</v>
      </c>
      <c r="B211" s="34" t="str">
        <f>'GF + UG Iteration 6'!B211</f>
        <v>UG</v>
      </c>
      <c r="C211" s="35">
        <f>'GF + UG Iteration 6'!C211</f>
        <v>7.53</v>
      </c>
      <c r="D211" s="36">
        <f>'GF + UG Iteration 6'!P$16*(C211^'GF + UG Iteration 6'!P$15)</f>
        <v>8.1223925522265468</v>
      </c>
      <c r="E211" s="37">
        <f>'GF + UG Iteration 6'!E211</f>
        <v>1981</v>
      </c>
      <c r="F211" s="35">
        <f>'GF + UG Iteration 6'!F211</f>
        <v>5.87</v>
      </c>
      <c r="G211" s="36">
        <f>'GF + UG Iteration 6'!G211</f>
        <v>7.4125108979310461</v>
      </c>
      <c r="H211" s="38">
        <f>'GF + UG Iteration 6'!H211</f>
        <v>2011</v>
      </c>
      <c r="I211" s="35">
        <f t="shared" si="20"/>
        <v>13.4</v>
      </c>
      <c r="J211" s="36">
        <f t="shared" si="21"/>
        <v>15.534903450157593</v>
      </c>
      <c r="K211" s="38">
        <f t="shared" si="22"/>
        <v>2011</v>
      </c>
      <c r="M211" s="21">
        <f t="shared" si="23"/>
        <v>2.5952547069568657</v>
      </c>
      <c r="N211" s="21">
        <f t="shared" si="24"/>
        <v>2.7430893278374513</v>
      </c>
    </row>
    <row r="212" spans="1:14" x14ac:dyDescent="0.2">
      <c r="A212" s="33">
        <f>'GF + UG Iteration 6'!A212</f>
        <v>552</v>
      </c>
      <c r="B212" s="34" t="str">
        <f>'GF + UG Iteration 6'!B212</f>
        <v>UG</v>
      </c>
      <c r="C212" s="35">
        <f>'GF + UG Iteration 6'!C212</f>
        <v>20.229999999999997</v>
      </c>
      <c r="D212" s="36">
        <f>'GF + UG Iteration 6'!P$16*(C212^'GF + UG Iteration 6'!P$15)</f>
        <v>14.290034197990096</v>
      </c>
      <c r="E212" s="37">
        <f>'GF + UG Iteration 6'!E212</f>
        <v>1991</v>
      </c>
      <c r="F212" s="35">
        <f>'GF + UG Iteration 6'!F212</f>
        <v>10.470000000000002</v>
      </c>
      <c r="G212" s="36">
        <f>'GF + UG Iteration 6'!G212</f>
        <v>1.1457716756011658</v>
      </c>
      <c r="H212" s="38">
        <f>'GF + UG Iteration 6'!H212</f>
        <v>2006</v>
      </c>
      <c r="I212" s="35">
        <f t="shared" si="20"/>
        <v>30.7</v>
      </c>
      <c r="J212" s="36">
        <f t="shared" si="21"/>
        <v>15.435805873591262</v>
      </c>
      <c r="K212" s="38">
        <f t="shared" si="22"/>
        <v>2006</v>
      </c>
      <c r="M212" s="21">
        <f t="shared" si="23"/>
        <v>3.4242626545931514</v>
      </c>
      <c r="N212" s="21">
        <f t="shared" si="24"/>
        <v>2.7366898673842712</v>
      </c>
    </row>
    <row r="213" spans="1:14" x14ac:dyDescent="0.2">
      <c r="A213" s="33">
        <f>'GF + UG Iteration 6'!A213</f>
        <v>1311</v>
      </c>
      <c r="B213" s="34" t="str">
        <f>'GF + UG Iteration 6'!B213</f>
        <v>UG</v>
      </c>
      <c r="C213" s="35">
        <f>'GF + UG Iteration 6'!C213</f>
        <v>30.7</v>
      </c>
      <c r="D213" s="36">
        <f>'GF + UG Iteration 6'!P$16*(C213^'GF + UG Iteration 6'!P$15)</f>
        <v>18.137688416593562</v>
      </c>
      <c r="E213" s="37">
        <f>'GF + UG Iteration 6'!E213</f>
        <v>1991</v>
      </c>
      <c r="F213" s="35">
        <f>'GF + UG Iteration 6'!F213</f>
        <v>19.3</v>
      </c>
      <c r="G213" s="36">
        <f>'GF + UG Iteration 6'!G213</f>
        <v>5.9841430822776953</v>
      </c>
      <c r="H213" s="38">
        <f>'GF + UG Iteration 6'!H213</f>
        <v>2013</v>
      </c>
      <c r="I213" s="35">
        <f t="shared" si="20"/>
        <v>50</v>
      </c>
      <c r="J213" s="36">
        <f t="shared" si="21"/>
        <v>24.121831498871259</v>
      </c>
      <c r="K213" s="38">
        <f t="shared" si="22"/>
        <v>2013</v>
      </c>
      <c r="M213" s="21">
        <f t="shared" si="23"/>
        <v>3.912023005428146</v>
      </c>
      <c r="N213" s="21">
        <f t="shared" si="24"/>
        <v>3.1831173017652605</v>
      </c>
    </row>
    <row r="214" spans="1:14" x14ac:dyDescent="0.2">
      <c r="A214" s="33">
        <f>'GF + UG Iteration 6'!A214</f>
        <v>1078</v>
      </c>
      <c r="B214" s="34" t="str">
        <f>'GF + UG Iteration 6'!B214</f>
        <v>UG</v>
      </c>
      <c r="C214" s="35">
        <f>'GF + UG Iteration 6'!C214</f>
        <v>17.66</v>
      </c>
      <c r="D214" s="36">
        <f>'GF + UG Iteration 6'!P$16*(C214^'GF + UG Iteration 6'!P$15)</f>
        <v>13.222190897682237</v>
      </c>
      <c r="E214" s="37">
        <f>'GF + UG Iteration 6'!E214</f>
        <v>1957</v>
      </c>
      <c r="F214" s="35">
        <f>'GF + UG Iteration 6'!F214</f>
        <v>7.34</v>
      </c>
      <c r="G214" s="36">
        <f>'GF + UG Iteration 6'!G214</f>
        <v>1.0936387702296273</v>
      </c>
      <c r="H214" s="38">
        <f>'GF + UG Iteration 6'!H214</f>
        <v>2011</v>
      </c>
      <c r="I214" s="35">
        <f t="shared" si="20"/>
        <v>25</v>
      </c>
      <c r="J214" s="36">
        <f t="shared" si="21"/>
        <v>14.315829667911865</v>
      </c>
      <c r="K214" s="38">
        <f t="shared" si="22"/>
        <v>2011</v>
      </c>
      <c r="M214" s="21">
        <f t="shared" si="23"/>
        <v>3.2188758248682006</v>
      </c>
      <c r="N214" s="21">
        <f t="shared" si="24"/>
        <v>2.6613658948106353</v>
      </c>
    </row>
    <row r="215" spans="1:14" x14ac:dyDescent="0.2">
      <c r="A215" s="33">
        <f>'GF + UG Iteration 6'!A215</f>
        <v>495</v>
      </c>
      <c r="B215" s="34" t="str">
        <f>'GF + UG Iteration 6'!B215</f>
        <v>UG</v>
      </c>
      <c r="C215" s="35">
        <f>'GF + UG Iteration 6'!C215</f>
        <v>12.974</v>
      </c>
      <c r="D215" s="36">
        <f>'GF + UG Iteration 6'!P$16*(C215^'GF + UG Iteration 6'!P$15)</f>
        <v>11.085389150809736</v>
      </c>
      <c r="E215" s="37">
        <f>'GF + UG Iteration 6'!E215</f>
        <v>1982</v>
      </c>
      <c r="F215" s="35">
        <f>'GF + UG Iteration 6'!F215</f>
        <v>0</v>
      </c>
      <c r="G215" s="36">
        <f>'GF + UG Iteration 6'!G215</f>
        <v>3.5907902166068872</v>
      </c>
      <c r="H215" s="38">
        <f>'GF + UG Iteration 6'!H215</f>
        <v>2006</v>
      </c>
      <c r="I215" s="35">
        <f t="shared" si="20"/>
        <v>12.974</v>
      </c>
      <c r="J215" s="36">
        <f t="shared" si="21"/>
        <v>14.676179367416623</v>
      </c>
      <c r="K215" s="38">
        <f t="shared" si="22"/>
        <v>2006</v>
      </c>
      <c r="M215" s="21">
        <f t="shared" si="23"/>
        <v>2.5629473547908637</v>
      </c>
      <c r="N215" s="21">
        <f t="shared" si="24"/>
        <v>2.6862257282374165</v>
      </c>
    </row>
    <row r="216" spans="1:14" x14ac:dyDescent="0.2">
      <c r="A216" s="33">
        <f>'GF + UG Iteration 6'!A216</f>
        <v>383</v>
      </c>
      <c r="B216" s="34" t="str">
        <f>'GF + UG Iteration 6'!B216</f>
        <v>UG</v>
      </c>
      <c r="C216" s="35">
        <f>'GF + UG Iteration 6'!C216</f>
        <v>0.51</v>
      </c>
      <c r="D216" s="36">
        <f>'GF + UG Iteration 6'!P$16*(C216^'GF + UG Iteration 6'!P$15)</f>
        <v>1.7430341421268229</v>
      </c>
      <c r="E216" s="37">
        <f>'GF + UG Iteration 6'!E216</f>
        <v>1984</v>
      </c>
      <c r="F216" s="35">
        <f>'GF + UG Iteration 6'!F216</f>
        <v>8</v>
      </c>
      <c r="G216" s="36">
        <f>'GF + UG Iteration 6'!G216</f>
        <v>3.9501723720469593</v>
      </c>
      <c r="H216" s="38">
        <f>'GF + UG Iteration 6'!H216</f>
        <v>2005</v>
      </c>
      <c r="I216" s="35">
        <f t="shared" si="20"/>
        <v>8.51</v>
      </c>
      <c r="J216" s="36">
        <f t="shared" si="21"/>
        <v>5.6932065141737827</v>
      </c>
      <c r="K216" s="38">
        <f t="shared" si="22"/>
        <v>2005</v>
      </c>
      <c r="M216" s="21">
        <f t="shared" si="23"/>
        <v>2.1412419425852827</v>
      </c>
      <c r="N216" s="21">
        <f t="shared" si="24"/>
        <v>1.7392736244161979</v>
      </c>
    </row>
    <row r="217" spans="1:14" x14ac:dyDescent="0.2">
      <c r="A217" s="33">
        <f>'GF + UG Iteration 6'!A217</f>
        <v>1020</v>
      </c>
      <c r="B217" s="34" t="str">
        <f>'GF + UG Iteration 6'!B217</f>
        <v>UG</v>
      </c>
      <c r="C217" s="35">
        <f>'GF + UG Iteration 6'!C217</f>
        <v>13</v>
      </c>
      <c r="D217" s="36">
        <f>'GF + UG Iteration 6'!P$16*(C217^'GF + UG Iteration 6'!P$15)</f>
        <v>11.098082853141436</v>
      </c>
      <c r="E217" s="37">
        <f>'GF + UG Iteration 6'!E217</f>
        <v>1977</v>
      </c>
      <c r="F217" s="35">
        <f>'GF + UG Iteration 6'!F217</f>
        <v>9</v>
      </c>
      <c r="G217" s="36">
        <f>'GF + UG Iteration 6'!G217</f>
        <v>7.3449786888029998</v>
      </c>
      <c r="H217" s="38">
        <f>'GF + UG Iteration 6'!H217</f>
        <v>2010</v>
      </c>
      <c r="I217" s="35">
        <f t="shared" si="20"/>
        <v>22</v>
      </c>
      <c r="J217" s="36">
        <f t="shared" si="21"/>
        <v>18.443061541944438</v>
      </c>
      <c r="K217" s="38">
        <f t="shared" si="22"/>
        <v>2010</v>
      </c>
      <c r="M217" s="21">
        <f t="shared" si="23"/>
        <v>3.0910424533583161</v>
      </c>
      <c r="N217" s="21">
        <f t="shared" si="24"/>
        <v>2.9146882315678684</v>
      </c>
    </row>
    <row r="218" spans="1:14" x14ac:dyDescent="0.2">
      <c r="A218" s="33">
        <f>'GF + UG Iteration 6'!A218</f>
        <v>1364</v>
      </c>
      <c r="B218" s="34" t="str">
        <f>'GF + UG Iteration 6'!B218</f>
        <v>UG</v>
      </c>
      <c r="C218" s="35">
        <f>'GF + UG Iteration 6'!C218</f>
        <v>8.5</v>
      </c>
      <c r="D218" s="36">
        <f>'GF + UG Iteration 6'!P$16*(C218^'GF + UG Iteration 6'!P$15)</f>
        <v>8.7049451346360165</v>
      </c>
      <c r="E218" s="37">
        <f>'GF + UG Iteration 6'!E218</f>
        <v>0</v>
      </c>
      <c r="F218" s="35">
        <f>'GF + UG Iteration 6'!F218</f>
        <v>34</v>
      </c>
      <c r="G218" s="36">
        <f>'GF + UG Iteration 6'!G218</f>
        <v>8.7951197470845859</v>
      </c>
      <c r="H218" s="38">
        <f>'GF + UG Iteration 6'!H218</f>
        <v>2013</v>
      </c>
      <c r="I218" s="35">
        <f t="shared" si="20"/>
        <v>42.5</v>
      </c>
      <c r="J218" s="36">
        <f t="shared" si="21"/>
        <v>17.500064881720604</v>
      </c>
      <c r="K218" s="38">
        <f t="shared" si="22"/>
        <v>2013</v>
      </c>
      <c r="M218" s="21">
        <f t="shared" si="23"/>
        <v>3.7495040759303713</v>
      </c>
      <c r="N218" s="21">
        <f t="shared" si="24"/>
        <v>2.8622045884494871</v>
      </c>
    </row>
    <row r="219" spans="1:14" x14ac:dyDescent="0.2">
      <c r="A219" s="33">
        <f>'GF + UG Iteration 6'!A219</f>
        <v>503</v>
      </c>
      <c r="B219" s="34" t="str">
        <f>'GF + UG Iteration 6'!B219</f>
        <v>UG</v>
      </c>
      <c r="C219" s="35">
        <f>'GF + UG Iteration 6'!C219</f>
        <v>31</v>
      </c>
      <c r="D219" s="36">
        <f>'GF + UG Iteration 6'!P$16*(C219^'GF + UG Iteration 6'!P$15)</f>
        <v>18.238795899514088</v>
      </c>
      <c r="E219" s="37">
        <f>'GF + UG Iteration 6'!E219</f>
        <v>1972</v>
      </c>
      <c r="F219" s="35">
        <f>'GF + UG Iteration 6'!F219</f>
        <v>16</v>
      </c>
      <c r="G219" s="36">
        <f>'GF + UG Iteration 6'!G219</f>
        <v>3.8033222269089473</v>
      </c>
      <c r="H219" s="38">
        <f>'GF + UG Iteration 6'!H219</f>
        <v>2007</v>
      </c>
      <c r="I219" s="35">
        <f t="shared" si="20"/>
        <v>47</v>
      </c>
      <c r="J219" s="36">
        <f t="shared" si="21"/>
        <v>22.042118126423034</v>
      </c>
      <c r="K219" s="38">
        <f t="shared" si="22"/>
        <v>2007</v>
      </c>
      <c r="M219" s="21">
        <f t="shared" si="23"/>
        <v>3.8501476017100584</v>
      </c>
      <c r="N219" s="21">
        <f t="shared" si="24"/>
        <v>3.0929550834067472</v>
      </c>
    </row>
    <row r="220" spans="1:14" x14ac:dyDescent="0.2">
      <c r="A220" s="33">
        <f>'GF + UG Iteration 6'!A220</f>
        <v>925</v>
      </c>
      <c r="B220" s="34" t="str">
        <f>'GF + UG Iteration 6'!B220</f>
        <v>UG</v>
      </c>
      <c r="C220" s="35">
        <f>'GF + UG Iteration 6'!C220</f>
        <v>47</v>
      </c>
      <c r="D220" s="36">
        <f>'GF + UG Iteration 6'!P$16*(C220^'GF + UG Iteration 6'!P$15)</f>
        <v>23.137293608439332</v>
      </c>
      <c r="E220" s="37">
        <f>'GF + UG Iteration 6'!E220</f>
        <v>1972</v>
      </c>
      <c r="F220" s="35">
        <f>'GF + UG Iteration 6'!F220</f>
        <v>9</v>
      </c>
      <c r="G220" s="36">
        <f>'GF + UG Iteration 6'!G220</f>
        <v>3.3164697860941139</v>
      </c>
      <c r="H220" s="38">
        <f>'GF + UG Iteration 6'!H220</f>
        <v>2011</v>
      </c>
      <c r="I220" s="35">
        <f t="shared" si="20"/>
        <v>56</v>
      </c>
      <c r="J220" s="36">
        <f t="shared" si="21"/>
        <v>26.453763394533446</v>
      </c>
      <c r="K220" s="38">
        <f t="shared" si="22"/>
        <v>2011</v>
      </c>
      <c r="M220" s="21">
        <f t="shared" si="23"/>
        <v>4.0253516907351496</v>
      </c>
      <c r="N220" s="21">
        <f t="shared" si="24"/>
        <v>3.2753984315301934</v>
      </c>
    </row>
    <row r="221" spans="1:14" x14ac:dyDescent="0.2">
      <c r="A221" s="33">
        <f>'GF + UG Iteration 6'!A221</f>
        <v>821</v>
      </c>
      <c r="B221" s="34" t="str">
        <f>'GF + UG Iteration 6'!B221</f>
        <v>UG</v>
      </c>
      <c r="C221" s="35">
        <f>'GF + UG Iteration 6'!C221</f>
        <v>25</v>
      </c>
      <c r="D221" s="36">
        <f>'GF + UG Iteration 6'!P$16*(C221^'GF + UG Iteration 6'!P$15)</f>
        <v>16.128441312155193</v>
      </c>
      <c r="E221" s="37">
        <f>'GF + UG Iteration 6'!E221</f>
        <v>2006</v>
      </c>
      <c r="F221" s="35">
        <f>'GF + UG Iteration 6'!F221</f>
        <v>32</v>
      </c>
      <c r="G221" s="36">
        <f>'GF + UG Iteration 6'!G221</f>
        <v>9.4177371403666275</v>
      </c>
      <c r="H221" s="38">
        <f>'GF + UG Iteration 6'!H221</f>
        <v>2011</v>
      </c>
      <c r="I221" s="35">
        <f t="shared" si="20"/>
        <v>57</v>
      </c>
      <c r="J221" s="36">
        <f t="shared" si="21"/>
        <v>25.546178452521822</v>
      </c>
      <c r="K221" s="38">
        <f t="shared" si="22"/>
        <v>2011</v>
      </c>
      <c r="M221" s="21">
        <f t="shared" si="23"/>
        <v>4.0430512678345503</v>
      </c>
      <c r="N221" s="21">
        <f t="shared" si="24"/>
        <v>3.2404877341329366</v>
      </c>
    </row>
    <row r="222" spans="1:14" x14ac:dyDescent="0.2">
      <c r="A222" s="33">
        <f>'GF + UG Iteration 6'!A222</f>
        <v>486</v>
      </c>
      <c r="B222" s="34" t="str">
        <f>'GF + UG Iteration 6'!B222</f>
        <v>UG</v>
      </c>
      <c r="C222" s="35">
        <f>'GF + UG Iteration 6'!C222</f>
        <v>10.81</v>
      </c>
      <c r="D222" s="36">
        <f>'GF + UG Iteration 6'!P$16*(C222^'GF + UG Iteration 6'!P$15)</f>
        <v>9.9873285957418929</v>
      </c>
      <c r="E222" s="37">
        <f>'GF + UG Iteration 6'!E222</f>
        <v>1993</v>
      </c>
      <c r="F222" s="35">
        <f>'GF + UG Iteration 6'!F222</f>
        <v>3.1399999999999988</v>
      </c>
      <c r="G222" s="36">
        <f>'GF + UG Iteration 6'!G222</f>
        <v>0.34692120274319505</v>
      </c>
      <c r="H222" s="38">
        <f>'GF + UG Iteration 6'!H222</f>
        <v>2005</v>
      </c>
      <c r="I222" s="35">
        <f t="shared" si="20"/>
        <v>13.95</v>
      </c>
      <c r="J222" s="36">
        <f t="shared" si="21"/>
        <v>10.334249798485088</v>
      </c>
      <c r="K222" s="38">
        <f t="shared" si="22"/>
        <v>2005</v>
      </c>
      <c r="M222" s="21">
        <f t="shared" si="23"/>
        <v>2.6354795082673745</v>
      </c>
      <c r="N222" s="21">
        <f t="shared" si="24"/>
        <v>2.3354636020602717</v>
      </c>
    </row>
    <row r="223" spans="1:14" x14ac:dyDescent="0.2">
      <c r="A223" s="33">
        <f>'GF + UG Iteration 6'!A223</f>
        <v>779</v>
      </c>
      <c r="B223" s="34" t="str">
        <f>'GF + UG Iteration 6'!B223</f>
        <v>UG</v>
      </c>
      <c r="C223" s="35">
        <f>'GF + UG Iteration 6'!C223</f>
        <v>13.95</v>
      </c>
      <c r="D223" s="36">
        <f>'GF + UG Iteration 6'!P$16*(C223^'GF + UG Iteration 6'!P$15)</f>
        <v>11.554678023222158</v>
      </c>
      <c r="E223" s="37">
        <f>'GF + UG Iteration 6'!E223</f>
        <v>1993</v>
      </c>
      <c r="F223" s="35">
        <f>'GF + UG Iteration 6'!F223</f>
        <v>4.0500000000000007</v>
      </c>
      <c r="G223" s="36">
        <f>'GF + UG Iteration 6'!G223</f>
        <v>0.91575874480529229</v>
      </c>
      <c r="H223" s="38">
        <f>'GF + UG Iteration 6'!H223</f>
        <v>2008</v>
      </c>
      <c r="I223" s="35">
        <f t="shared" si="20"/>
        <v>18</v>
      </c>
      <c r="J223" s="36">
        <f t="shared" si="21"/>
        <v>12.470436768027449</v>
      </c>
      <c r="K223" s="38">
        <f t="shared" si="22"/>
        <v>2008</v>
      </c>
      <c r="M223" s="21">
        <f t="shared" si="23"/>
        <v>2.8903717578961645</v>
      </c>
      <c r="N223" s="21">
        <f t="shared" si="24"/>
        <v>2.5233607845819708</v>
      </c>
    </row>
    <row r="224" spans="1:14" x14ac:dyDescent="0.2">
      <c r="A224" s="33">
        <f>'GF + UG Iteration 6'!A224</f>
        <v>1416</v>
      </c>
      <c r="B224" s="34" t="str">
        <f>'GF + UG Iteration 6'!B224</f>
        <v>UG</v>
      </c>
      <c r="C224" s="35">
        <f>'GF + UG Iteration 6'!C224</f>
        <v>18</v>
      </c>
      <c r="D224" s="36">
        <f>'GF + UG Iteration 6'!P$16*(C224^'GF + UG Iteration 6'!P$15)</f>
        <v>13.367113993467537</v>
      </c>
      <c r="E224" s="37">
        <f>'GF + UG Iteration 6'!E224</f>
        <v>1993</v>
      </c>
      <c r="F224" s="35">
        <f>'GF + UG Iteration 6'!F224</f>
        <v>6</v>
      </c>
      <c r="G224" s="36">
        <f>'GF + UG Iteration 6'!G224</f>
        <v>1.4181567457767223</v>
      </c>
      <c r="H224" s="38">
        <f>'GF + UG Iteration 6'!H224</f>
        <v>2014</v>
      </c>
      <c r="I224" s="35">
        <f t="shared" si="20"/>
        <v>24</v>
      </c>
      <c r="J224" s="36">
        <f t="shared" si="21"/>
        <v>14.785270739244259</v>
      </c>
      <c r="K224" s="38">
        <f t="shared" si="22"/>
        <v>2014</v>
      </c>
      <c r="M224" s="21">
        <f t="shared" si="23"/>
        <v>3.1780538303479458</v>
      </c>
      <c r="N224" s="21">
        <f t="shared" si="24"/>
        <v>2.6936314648881696</v>
      </c>
    </row>
    <row r="225" spans="1:14" x14ac:dyDescent="0.2">
      <c r="A225" s="33">
        <f>'GF + UG Iteration 6'!A225</f>
        <v>554</v>
      </c>
      <c r="B225" s="34" t="str">
        <f>'GF + UG Iteration 6'!B225</f>
        <v>UG</v>
      </c>
      <c r="C225" s="35">
        <f>'GF + UG Iteration 6'!C225</f>
        <v>23</v>
      </c>
      <c r="D225" s="36">
        <f>'GF + UG Iteration 6'!P$16*(C225^'GF + UG Iteration 6'!P$15)</f>
        <v>15.377721703307285</v>
      </c>
      <c r="E225" s="37">
        <f>'GF + UG Iteration 6'!E225</f>
        <v>1968</v>
      </c>
      <c r="F225" s="35">
        <f>'GF + UG Iteration 6'!F225</f>
        <v>8.2600000000000016</v>
      </c>
      <c r="G225" s="36">
        <f>'GF + UG Iteration 6'!G225</f>
        <v>1.061095708813089</v>
      </c>
      <c r="H225" s="38">
        <f>'GF + UG Iteration 6'!H225</f>
        <v>2006</v>
      </c>
      <c r="I225" s="35">
        <f t="shared" si="20"/>
        <v>31.26</v>
      </c>
      <c r="J225" s="36">
        <f t="shared" si="21"/>
        <v>16.438817412120375</v>
      </c>
      <c r="K225" s="38">
        <f t="shared" si="22"/>
        <v>2006</v>
      </c>
      <c r="M225" s="21">
        <f t="shared" si="23"/>
        <v>3.4423393249933305</v>
      </c>
      <c r="N225" s="21">
        <f t="shared" si="24"/>
        <v>2.7996454534713702</v>
      </c>
    </row>
    <row r="226" spans="1:14" x14ac:dyDescent="0.2">
      <c r="A226" s="33">
        <f>'GF + UG Iteration 6'!A226</f>
        <v>1581</v>
      </c>
      <c r="B226" s="34" t="str">
        <f>'GF + UG Iteration 6'!B226</f>
        <v>UG</v>
      </c>
      <c r="C226" s="35">
        <f>'GF + UG Iteration 6'!C226</f>
        <v>7.44</v>
      </c>
      <c r="D226" s="36">
        <f>'GF + UG Iteration 6'!P$16*(C226^'GF + UG Iteration 6'!P$15)</f>
        <v>8.066754440965429</v>
      </c>
      <c r="E226" s="37" t="str">
        <f>'GF + UG Iteration 6'!E226</f>
        <v>unknown</v>
      </c>
      <c r="F226" s="35">
        <f>'GF + UG Iteration 6'!F226</f>
        <v>9.36</v>
      </c>
      <c r="G226" s="36">
        <f>'GF + UG Iteration 6'!G226</f>
        <v>5.3848313505476417</v>
      </c>
      <c r="H226" s="38">
        <f>'GF + UG Iteration 6'!H226</f>
        <v>2015</v>
      </c>
      <c r="I226" s="35">
        <f t="shared" si="20"/>
        <v>16.8</v>
      </c>
      <c r="J226" s="36">
        <f t="shared" si="21"/>
        <v>13.451585791513072</v>
      </c>
      <c r="K226" s="38">
        <f t="shared" si="22"/>
        <v>2015</v>
      </c>
      <c r="M226" s="21">
        <f t="shared" si="23"/>
        <v>2.8213788864092133</v>
      </c>
      <c r="N226" s="21">
        <f t="shared" si="24"/>
        <v>2.5990970018125958</v>
      </c>
    </row>
    <row r="227" spans="1:14" x14ac:dyDescent="0.2">
      <c r="A227" s="33">
        <f>'GF + UG Iteration 6'!A227</f>
        <v>880</v>
      </c>
      <c r="B227" s="34" t="str">
        <f>'GF + UG Iteration 6'!B227</f>
        <v>UG</v>
      </c>
      <c r="C227" s="35">
        <f>'GF + UG Iteration 6'!C227</f>
        <v>8.9499999999999993</v>
      </c>
      <c r="D227" s="36">
        <f>'GF + UG Iteration 6'!P$16*(C227^'GF + UG Iteration 6'!P$15)</f>
        <v>8.9654722303753704</v>
      </c>
      <c r="E227" s="37">
        <f>'GF + UG Iteration 6'!E227</f>
        <v>1966</v>
      </c>
      <c r="F227" s="35">
        <f>'GF + UG Iteration 6'!F227</f>
        <v>2.0500000000000007</v>
      </c>
      <c r="G227" s="36">
        <f>'GF + UG Iteration 6'!G227</f>
        <v>4.5763928166345611</v>
      </c>
      <c r="H227" s="38">
        <f>'GF + UG Iteration 6'!H227</f>
        <v>2010</v>
      </c>
      <c r="I227" s="35">
        <f t="shared" si="20"/>
        <v>11</v>
      </c>
      <c r="J227" s="36">
        <f t="shared" si="21"/>
        <v>13.541865047009932</v>
      </c>
      <c r="K227" s="38">
        <f t="shared" si="22"/>
        <v>2010</v>
      </c>
      <c r="M227" s="21">
        <f t="shared" si="23"/>
        <v>2.3978952727983707</v>
      </c>
      <c r="N227" s="21">
        <f t="shared" si="24"/>
        <v>2.605786001499836</v>
      </c>
    </row>
    <row r="228" spans="1:14" x14ac:dyDescent="0.2">
      <c r="A228" s="33">
        <f>'GF + UG Iteration 6'!A228</f>
        <v>1047</v>
      </c>
      <c r="B228" s="34" t="str">
        <f>'GF + UG Iteration 6'!B228</f>
        <v>UG</v>
      </c>
      <c r="C228" s="35">
        <f>'GF + UG Iteration 6'!C228</f>
        <v>10</v>
      </c>
      <c r="D228" s="36">
        <f>'GF + UG Iteration 6'!P$16*(C228^'GF + UG Iteration 6'!P$15)</f>
        <v>9.5524142840776953</v>
      </c>
      <c r="E228" s="37">
        <f>'GF + UG Iteration 6'!E228</f>
        <v>1965</v>
      </c>
      <c r="F228" s="35">
        <f>'GF + UG Iteration 6'!F228</f>
        <v>5</v>
      </c>
      <c r="G228" s="36">
        <f>'GF + UG Iteration 6'!G228</f>
        <v>6.2586429220605622</v>
      </c>
      <c r="H228" s="38">
        <f>'GF + UG Iteration 6'!H228</f>
        <v>2012</v>
      </c>
      <c r="I228" s="35">
        <f t="shared" si="20"/>
        <v>15</v>
      </c>
      <c r="J228" s="36">
        <f t="shared" si="21"/>
        <v>15.811057206138258</v>
      </c>
      <c r="K228" s="38">
        <f t="shared" si="22"/>
        <v>2012</v>
      </c>
      <c r="M228" s="21">
        <f t="shared" si="23"/>
        <v>2.7080502011022101</v>
      </c>
      <c r="N228" s="21">
        <f t="shared" si="24"/>
        <v>2.7607095184441786</v>
      </c>
    </row>
    <row r="229" spans="1:14" x14ac:dyDescent="0.2">
      <c r="A229" s="33">
        <f>'GF + UG Iteration 6'!A229</f>
        <v>1045</v>
      </c>
      <c r="B229" s="34" t="str">
        <f>'GF + UG Iteration 6'!B229</f>
        <v>UG</v>
      </c>
      <c r="C229" s="35">
        <f>'GF + UG Iteration 6'!C229</f>
        <v>24.065999999999999</v>
      </c>
      <c r="D229" s="36">
        <f>'GF + UG Iteration 6'!P$16*(C229^'GF + UG Iteration 6'!P$15)</f>
        <v>15.781187142688127</v>
      </c>
      <c r="E229" s="37">
        <f>'GF + UG Iteration 6'!E229</f>
        <v>1971</v>
      </c>
      <c r="F229" s="35">
        <f>'GF + UG Iteration 6'!F229</f>
        <v>7.9340000000000011</v>
      </c>
      <c r="G229" s="36">
        <f>'GF + UG Iteration 6'!G229</f>
        <v>3.8009199870921253</v>
      </c>
      <c r="H229" s="38">
        <f>'GF + UG Iteration 6'!H229</f>
        <v>2011</v>
      </c>
      <c r="I229" s="35">
        <f t="shared" si="20"/>
        <v>32</v>
      </c>
      <c r="J229" s="36">
        <f t="shared" si="21"/>
        <v>19.582107129780251</v>
      </c>
      <c r="K229" s="38">
        <f t="shared" si="22"/>
        <v>2011</v>
      </c>
      <c r="M229" s="21">
        <f t="shared" si="23"/>
        <v>3.4657359027997265</v>
      </c>
      <c r="N229" s="21">
        <f t="shared" si="24"/>
        <v>2.9746162477462605</v>
      </c>
    </row>
    <row r="230" spans="1:14" x14ac:dyDescent="0.2">
      <c r="A230" s="33">
        <f>'GF + UG Iteration 6'!A230</f>
        <v>1616</v>
      </c>
      <c r="B230" s="34" t="str">
        <f>'GF + UG Iteration 6'!B230</f>
        <v>UG</v>
      </c>
      <c r="C230" s="35">
        <f>'GF + UG Iteration 6'!C230</f>
        <v>21.68</v>
      </c>
      <c r="D230" s="36">
        <f>'GF + UG Iteration 6'!P$16*(C230^'GF + UG Iteration 6'!P$15)</f>
        <v>14.866843489265687</v>
      </c>
      <c r="E230" s="37" t="str">
        <f>'GF + UG Iteration 6'!E230</f>
        <v>unknown</v>
      </c>
      <c r="F230" s="35">
        <f>'GF + UG Iteration 6'!F230</f>
        <v>25.75</v>
      </c>
      <c r="G230" s="36">
        <f>'GF + UG Iteration 6'!G230</f>
        <v>0.84818580502502572</v>
      </c>
      <c r="H230" s="38">
        <f>'GF + UG Iteration 6'!H230</f>
        <v>2015</v>
      </c>
      <c r="I230" s="35">
        <f t="shared" si="20"/>
        <v>47.43</v>
      </c>
      <c r="J230" s="36">
        <f t="shared" si="21"/>
        <v>15.715029294290712</v>
      </c>
      <c r="K230" s="38">
        <f t="shared" si="22"/>
        <v>2015</v>
      </c>
      <c r="M230" s="21">
        <f t="shared" si="23"/>
        <v>3.8592549398894902</v>
      </c>
      <c r="N230" s="21">
        <f t="shared" si="24"/>
        <v>2.754617534345198</v>
      </c>
    </row>
    <row r="231" spans="1:14" x14ac:dyDescent="0.2">
      <c r="A231" s="33">
        <f>'GF + UG Iteration 6'!A231</f>
        <v>362</v>
      </c>
      <c r="B231" s="34" t="str">
        <f>'GF + UG Iteration 6'!B231</f>
        <v>UG</v>
      </c>
      <c r="C231" s="35">
        <f>'GF + UG Iteration 6'!C231</f>
        <v>51.8</v>
      </c>
      <c r="D231" s="36">
        <f>'GF + UG Iteration 6'!P$16*(C231^'GF + UG Iteration 6'!P$15)</f>
        <v>24.459866894325504</v>
      </c>
      <c r="E231" s="37">
        <f>'GF + UG Iteration 6'!E231</f>
        <v>1971</v>
      </c>
      <c r="F231" s="35">
        <f>'GF + UG Iteration 6'!F231</f>
        <v>1</v>
      </c>
      <c r="G231" s="36">
        <f>'GF + UG Iteration 6'!G231</f>
        <v>0.78848028183233532</v>
      </c>
      <c r="H231" s="38">
        <f>'GF + UG Iteration 6'!H231</f>
        <v>2004</v>
      </c>
      <c r="I231" s="35">
        <f t="shared" si="20"/>
        <v>52.8</v>
      </c>
      <c r="J231" s="36">
        <f t="shared" si="21"/>
        <v>25.248347176157839</v>
      </c>
      <c r="K231" s="38">
        <f t="shared" si="22"/>
        <v>2004</v>
      </c>
      <c r="M231" s="21">
        <f t="shared" si="23"/>
        <v>3.9665111907122159</v>
      </c>
      <c r="N231" s="21">
        <f t="shared" si="24"/>
        <v>3.2287606952088899</v>
      </c>
    </row>
    <row r="232" spans="1:14" x14ac:dyDescent="0.2">
      <c r="A232" s="33">
        <f>'GF + UG Iteration 6'!A232</f>
        <v>924</v>
      </c>
      <c r="B232" s="34" t="str">
        <f>'GF + UG Iteration 6'!B232</f>
        <v>UG</v>
      </c>
      <c r="C232" s="35">
        <f>'GF + UG Iteration 6'!C232</f>
        <v>45.94</v>
      </c>
      <c r="D232" s="36">
        <f>'GF + UG Iteration 6'!P$16*(C232^'GF + UG Iteration 6'!P$15)</f>
        <v>22.837542878782138</v>
      </c>
      <c r="E232" s="37">
        <f>'GF + UG Iteration 6'!E232</f>
        <v>1982</v>
      </c>
      <c r="F232" s="35">
        <f>'GF + UG Iteration 6'!F232</f>
        <v>6.0600000000000023</v>
      </c>
      <c r="G232" s="36">
        <f>'GF + UG Iteration 6'!G232</f>
        <v>1.4264307906682692</v>
      </c>
      <c r="H232" s="38">
        <f>'GF + UG Iteration 6'!H232</f>
        <v>2010</v>
      </c>
      <c r="I232" s="35">
        <f t="shared" si="20"/>
        <v>52</v>
      </c>
      <c r="J232" s="36">
        <f t="shared" si="21"/>
        <v>24.263973669450408</v>
      </c>
      <c r="K232" s="38">
        <f t="shared" si="22"/>
        <v>2010</v>
      </c>
      <c r="M232" s="21">
        <f t="shared" si="23"/>
        <v>3.9512437185814275</v>
      </c>
      <c r="N232" s="21">
        <f t="shared" si="24"/>
        <v>3.1889926852163213</v>
      </c>
    </row>
    <row r="233" spans="1:14" x14ac:dyDescent="0.2">
      <c r="A233" s="33">
        <f>'GF + UG Iteration 6'!A233</f>
        <v>1241</v>
      </c>
      <c r="B233" s="34" t="str">
        <f>'GF + UG Iteration 6'!B233</f>
        <v>UG</v>
      </c>
      <c r="C233" s="35">
        <f>'GF + UG Iteration 6'!C233</f>
        <v>20.29</v>
      </c>
      <c r="D233" s="36">
        <f>'GF + UG Iteration 6'!P$16*(C233^'GF + UG Iteration 6'!P$15)</f>
        <v>14.314246564541053</v>
      </c>
      <c r="E233" s="37" t="str">
        <f>'GF + UG Iteration 6'!E233</f>
        <v>unknown</v>
      </c>
      <c r="F233" s="35">
        <f>'GF + UG Iteration 6'!F233</f>
        <v>6</v>
      </c>
      <c r="G233" s="36">
        <f>'GF + UG Iteration 6'!G233</f>
        <v>2.625007735639064</v>
      </c>
      <c r="H233" s="38">
        <f>'GF + UG Iteration 6'!H233</f>
        <v>2012</v>
      </c>
      <c r="I233" s="35">
        <f t="shared" si="20"/>
        <v>26.29</v>
      </c>
      <c r="J233" s="36">
        <f t="shared" si="21"/>
        <v>16.939254300180117</v>
      </c>
      <c r="K233" s="38">
        <f t="shared" si="22"/>
        <v>2012</v>
      </c>
      <c r="M233" s="21">
        <f t="shared" si="23"/>
        <v>3.2691886387417899</v>
      </c>
      <c r="N233" s="21">
        <f t="shared" si="24"/>
        <v>2.8296336681947913</v>
      </c>
    </row>
    <row r="234" spans="1:14" x14ac:dyDescent="0.2">
      <c r="A234" s="33">
        <f>'GF + UG Iteration 6'!A234</f>
        <v>438</v>
      </c>
      <c r="B234" s="34" t="str">
        <f>'GF + UG Iteration 6'!B234</f>
        <v>UG</v>
      </c>
      <c r="C234" s="35">
        <f>'GF + UG Iteration 6'!C234</f>
        <v>8.2460000000000004</v>
      </c>
      <c r="D234" s="36">
        <f>'GF + UG Iteration 6'!P$16*(C234^'GF + UG Iteration 6'!P$15)</f>
        <v>8.5552816914236285</v>
      </c>
      <c r="E234" s="37">
        <f>'GF + UG Iteration 6'!E234</f>
        <v>1978</v>
      </c>
      <c r="F234" s="35">
        <f>'GF + UG Iteration 6'!F234</f>
        <v>1</v>
      </c>
      <c r="G234" s="36">
        <f>'GF + UG Iteration 6'!G234</f>
        <v>0.18095315250984781</v>
      </c>
      <c r="H234" s="38">
        <f>'GF + UG Iteration 6'!H234</f>
        <v>2004</v>
      </c>
      <c r="I234" s="35">
        <f t="shared" si="20"/>
        <v>9.2460000000000004</v>
      </c>
      <c r="J234" s="36">
        <f t="shared" si="21"/>
        <v>8.7362348439334756</v>
      </c>
      <c r="K234" s="38">
        <f t="shared" si="22"/>
        <v>2004</v>
      </c>
      <c r="M234" s="21">
        <f t="shared" si="23"/>
        <v>2.2241910255660335</v>
      </c>
      <c r="N234" s="21">
        <f t="shared" si="24"/>
        <v>2.1674793009596187</v>
      </c>
    </row>
    <row r="235" spans="1:14" x14ac:dyDescent="0.2">
      <c r="A235" s="33">
        <f>'GF + UG Iteration 6'!A235</f>
        <v>748</v>
      </c>
      <c r="B235" s="34" t="str">
        <f>'GF + UG Iteration 6'!B235</f>
        <v>UG</v>
      </c>
      <c r="C235" s="35">
        <f>'GF + UG Iteration 6'!C235</f>
        <v>25.541</v>
      </c>
      <c r="D235" s="36">
        <f>'GF + UG Iteration 6'!P$16*(C235^'GF + UG Iteration 6'!P$15)</f>
        <v>16.327040212410509</v>
      </c>
      <c r="E235" s="37">
        <f>'GF + UG Iteration 6'!E235</f>
        <v>1995</v>
      </c>
      <c r="F235" s="35">
        <f>'GF + UG Iteration 6'!F235</f>
        <v>1</v>
      </c>
      <c r="G235" s="36">
        <f>'GF + UG Iteration 6'!G235</f>
        <v>0.38858476644316492</v>
      </c>
      <c r="H235" s="38">
        <f>'GF + UG Iteration 6'!H235</f>
        <v>2008</v>
      </c>
      <c r="I235" s="35">
        <f t="shared" si="20"/>
        <v>26.541</v>
      </c>
      <c r="J235" s="36">
        <f t="shared" si="21"/>
        <v>16.715624978853675</v>
      </c>
      <c r="K235" s="38">
        <f t="shared" si="22"/>
        <v>2008</v>
      </c>
      <c r="M235" s="21">
        <f t="shared" si="23"/>
        <v>3.2786907071693587</v>
      </c>
      <c r="N235" s="21">
        <f t="shared" si="24"/>
        <v>2.8163439094724145</v>
      </c>
    </row>
    <row r="236" spans="1:14" x14ac:dyDescent="0.2">
      <c r="A236" s="33">
        <f>'GF + UG Iteration 6'!A236</f>
        <v>1319</v>
      </c>
      <c r="B236" s="34" t="str">
        <f>'GF + UG Iteration 6'!B236</f>
        <v>UG</v>
      </c>
      <c r="C236" s="35">
        <f>'GF + UG Iteration 6'!C236</f>
        <v>15.71</v>
      </c>
      <c r="D236" s="36">
        <f>'GF + UG Iteration 6'!P$16*(C236^'GF + UG Iteration 6'!P$15)</f>
        <v>12.366753638286642</v>
      </c>
      <c r="E236" s="37">
        <f>'GF + UG Iteration 6'!E236</f>
        <v>0</v>
      </c>
      <c r="F236" s="35">
        <f>'GF + UG Iteration 6'!F236</f>
        <v>4.2899999999999991</v>
      </c>
      <c r="G236" s="36">
        <f>'GF + UG Iteration 6'!G236</f>
        <v>3.2376779482440865</v>
      </c>
      <c r="H236" s="38">
        <f>'GF + UG Iteration 6'!H236</f>
        <v>2014</v>
      </c>
      <c r="I236" s="35">
        <f t="shared" si="20"/>
        <v>20</v>
      </c>
      <c r="J236" s="36">
        <f t="shared" si="21"/>
        <v>15.60443158653073</v>
      </c>
      <c r="K236" s="38">
        <f t="shared" si="22"/>
        <v>2014</v>
      </c>
      <c r="M236" s="21">
        <f t="shared" si="23"/>
        <v>2.9957322735539909</v>
      </c>
      <c r="N236" s="21">
        <f t="shared" si="24"/>
        <v>2.7475549499731895</v>
      </c>
    </row>
    <row r="237" spans="1:14" x14ac:dyDescent="0.2">
      <c r="A237" s="33">
        <f>'GF + UG Iteration 6'!A237</f>
        <v>892</v>
      </c>
      <c r="B237" s="34" t="str">
        <f>'GF + UG Iteration 6'!B237</f>
        <v>UG</v>
      </c>
      <c r="C237" s="35">
        <f>'GF + UG Iteration 6'!C237</f>
        <v>13.05</v>
      </c>
      <c r="D237" s="36">
        <f>'GF + UG Iteration 6'!P$16*(C237^'GF + UG Iteration 6'!P$15)</f>
        <v>11.122463293484593</v>
      </c>
      <c r="E237" s="37">
        <f>'GF + UG Iteration 6'!E237</f>
        <v>1972</v>
      </c>
      <c r="F237" s="35">
        <f>'GF + UG Iteration 6'!F237</f>
        <v>0</v>
      </c>
      <c r="G237" s="36">
        <f>'GF + UG Iteration 6'!G237</f>
        <v>3.2490818561124843</v>
      </c>
      <c r="H237" s="38">
        <f>'GF + UG Iteration 6'!H237</f>
        <v>2011</v>
      </c>
      <c r="I237" s="35">
        <f t="shared" si="20"/>
        <v>13.05</v>
      </c>
      <c r="J237" s="36">
        <f t="shared" si="21"/>
        <v>14.371545149597077</v>
      </c>
      <c r="K237" s="38">
        <f t="shared" si="22"/>
        <v>2011</v>
      </c>
      <c r="M237" s="21">
        <f t="shared" si="23"/>
        <v>2.5687881337687024</v>
      </c>
      <c r="N237" s="21">
        <f t="shared" si="24"/>
        <v>2.6652502203784145</v>
      </c>
    </row>
    <row r="238" spans="1:14" x14ac:dyDescent="0.2">
      <c r="A238" s="33">
        <f>'GF + UG Iteration 6'!A238</f>
        <v>504</v>
      </c>
      <c r="B238" s="34" t="str">
        <f>'GF + UG Iteration 6'!B238</f>
        <v>UG</v>
      </c>
      <c r="C238" s="35">
        <f>'GF + UG Iteration 6'!C238</f>
        <v>10.496</v>
      </c>
      <c r="D238" s="36">
        <f>'GF + UG Iteration 6'!P$16*(C238^'GF + UG Iteration 6'!P$15)</f>
        <v>9.820446870887876</v>
      </c>
      <c r="E238" s="37">
        <f>'GF + UG Iteration 6'!E238</f>
        <v>2007</v>
      </c>
      <c r="F238" s="35">
        <f>'GF + UG Iteration 6'!F238</f>
        <v>0</v>
      </c>
      <c r="G238" s="36">
        <f>'GF + UG Iteration 6'!G238</f>
        <v>2.1923137026225539</v>
      </c>
      <c r="H238" s="38">
        <f>'GF + UG Iteration 6'!H238</f>
        <v>2006</v>
      </c>
      <c r="I238" s="35">
        <f t="shared" si="20"/>
        <v>10.496</v>
      </c>
      <c r="J238" s="36">
        <f t="shared" si="21"/>
        <v>12.01276057351043</v>
      </c>
      <c r="K238" s="38">
        <f t="shared" si="22"/>
        <v>2007</v>
      </c>
      <c r="M238" s="21">
        <f t="shared" si="23"/>
        <v>2.3509942322017334</v>
      </c>
      <c r="N238" s="21">
        <f t="shared" si="24"/>
        <v>2.4859694659246574</v>
      </c>
    </row>
    <row r="239" spans="1:14" x14ac:dyDescent="0.2">
      <c r="A239" s="33">
        <f>'GF + UG Iteration 6'!A239</f>
        <v>618</v>
      </c>
      <c r="B239" s="34" t="str">
        <f>'GF + UG Iteration 6'!B239</f>
        <v>UG</v>
      </c>
      <c r="C239" s="35">
        <f>'GF + UG Iteration 6'!C239</f>
        <v>11</v>
      </c>
      <c r="D239" s="36">
        <f>'GF + UG Iteration 6'!P$16*(C239^'GF + UG Iteration 6'!P$15)</f>
        <v>10.087300286644389</v>
      </c>
      <c r="E239" s="37">
        <f>'GF + UG Iteration 6'!E239</f>
        <v>1995</v>
      </c>
      <c r="F239" s="35">
        <f>'GF + UG Iteration 6'!F239</f>
        <v>11.5</v>
      </c>
      <c r="G239" s="36">
        <f>'GF + UG Iteration 6'!G239</f>
        <v>2.3464649770982668</v>
      </c>
      <c r="H239" s="38">
        <f>'GF + UG Iteration 6'!H239</f>
        <v>2006</v>
      </c>
      <c r="I239" s="35">
        <f t="shared" si="20"/>
        <v>22.5</v>
      </c>
      <c r="J239" s="36">
        <f t="shared" si="21"/>
        <v>12.433765263742655</v>
      </c>
      <c r="K239" s="38">
        <f t="shared" si="22"/>
        <v>2006</v>
      </c>
      <c r="M239" s="21">
        <f t="shared" si="23"/>
        <v>3.1135153092103742</v>
      </c>
      <c r="N239" s="21">
        <f t="shared" si="24"/>
        <v>2.5204157770894557</v>
      </c>
    </row>
    <row r="240" spans="1:14" x14ac:dyDescent="0.2">
      <c r="A240" s="33">
        <f>'GF + UG Iteration 6'!A240</f>
        <v>712</v>
      </c>
      <c r="B240" s="34" t="str">
        <f>'GF + UG Iteration 6'!B240</f>
        <v>UG</v>
      </c>
      <c r="C240" s="35">
        <f>'GF + UG Iteration 6'!C240</f>
        <v>7.5</v>
      </c>
      <c r="D240" s="36">
        <f>'GF + UG Iteration 6'!P$16*(C240^'GF + UG Iteration 6'!P$15)</f>
        <v>8.1038783260609222</v>
      </c>
      <c r="E240" s="37">
        <f>'GF + UG Iteration 6'!E240</f>
        <v>1980</v>
      </c>
      <c r="F240" s="35">
        <f>'GF + UG Iteration 6'!F240</f>
        <v>1</v>
      </c>
      <c r="G240" s="36">
        <f>'GF + UG Iteration 6'!G240</f>
        <v>7.8904141673966368</v>
      </c>
      <c r="H240" s="38">
        <f>'GF + UG Iteration 6'!H240</f>
        <v>2011</v>
      </c>
      <c r="I240" s="35">
        <f t="shared" si="20"/>
        <v>8.5</v>
      </c>
      <c r="J240" s="36">
        <f t="shared" si="21"/>
        <v>15.994292493457559</v>
      </c>
      <c r="K240" s="38">
        <f t="shared" si="22"/>
        <v>2011</v>
      </c>
      <c r="M240" s="21">
        <f t="shared" si="23"/>
        <v>2.1400661634962708</v>
      </c>
      <c r="N240" s="21">
        <f t="shared" si="24"/>
        <v>2.7722319394414647</v>
      </c>
    </row>
    <row r="241" spans="1:14" x14ac:dyDescent="0.2">
      <c r="A241" s="33">
        <f>'GF + UG Iteration 6'!A241</f>
        <v>726</v>
      </c>
      <c r="B241" s="34" t="str">
        <f>'GF + UG Iteration 6'!B241</f>
        <v>UG</v>
      </c>
      <c r="C241" s="35">
        <f>'GF + UG Iteration 6'!C241</f>
        <v>25.635400000000001</v>
      </c>
      <c r="D241" s="36">
        <f>'GF + UG Iteration 6'!P$16*(C241^'GF + UG Iteration 6'!P$15)</f>
        <v>16.361508714976278</v>
      </c>
      <c r="E241" s="37">
        <f>'GF + UG Iteration 6'!E241</f>
        <v>1982</v>
      </c>
      <c r="F241" s="35">
        <f>'GF + UG Iteration 6'!F241</f>
        <v>5.3645999999999994</v>
      </c>
      <c r="G241" s="36">
        <f>'GF + UG Iteration 6'!G241</f>
        <v>1.031633192087684</v>
      </c>
      <c r="H241" s="38">
        <f>'GF + UG Iteration 6'!H241</f>
        <v>2008</v>
      </c>
      <c r="I241" s="35">
        <f t="shared" si="20"/>
        <v>31</v>
      </c>
      <c r="J241" s="36">
        <f t="shared" si="21"/>
        <v>17.393141907063963</v>
      </c>
      <c r="K241" s="38">
        <f t="shared" si="22"/>
        <v>2008</v>
      </c>
      <c r="M241" s="21">
        <f t="shared" si="23"/>
        <v>3.4339872044851463</v>
      </c>
      <c r="N241" s="21">
        <f t="shared" si="24"/>
        <v>2.8560759852534221</v>
      </c>
    </row>
    <row r="242" spans="1:14" x14ac:dyDescent="0.2">
      <c r="A242" s="33">
        <f>'GF + UG Iteration 6'!A242</f>
        <v>530</v>
      </c>
      <c r="B242" s="34" t="str">
        <f>'GF + UG Iteration 6'!B242</f>
        <v>UG</v>
      </c>
      <c r="C242" s="35">
        <f>'GF + UG Iteration 6'!C242</f>
        <v>25</v>
      </c>
      <c r="D242" s="36">
        <f>'GF + UG Iteration 6'!P$16*(C242^'GF + UG Iteration 6'!P$15)</f>
        <v>16.128441312155193</v>
      </c>
      <c r="E242" s="37">
        <f>'GF + UG Iteration 6'!E242</f>
        <v>1982</v>
      </c>
      <c r="F242" s="35">
        <f>'GF + UG Iteration 6'!F242</f>
        <v>20</v>
      </c>
      <c r="G242" s="36">
        <f>'GF + UG Iteration 6'!G242</f>
        <v>4.5022608459814819</v>
      </c>
      <c r="H242" s="38">
        <f>'GF + UG Iteration 6'!H242</f>
        <v>2006</v>
      </c>
      <c r="I242" s="35">
        <f t="shared" si="20"/>
        <v>45</v>
      </c>
      <c r="J242" s="36">
        <f t="shared" si="21"/>
        <v>20.630702158136675</v>
      </c>
      <c r="K242" s="38">
        <f t="shared" si="22"/>
        <v>2006</v>
      </c>
      <c r="M242" s="21">
        <f t="shared" si="23"/>
        <v>3.8066624897703196</v>
      </c>
      <c r="N242" s="21">
        <f t="shared" si="24"/>
        <v>3.0267803622837275</v>
      </c>
    </row>
    <row r="243" spans="1:14" x14ac:dyDescent="0.2">
      <c r="A243" s="33">
        <f>'GF + UG Iteration 6'!A243</f>
        <v>755</v>
      </c>
      <c r="B243" s="34" t="str">
        <f>'GF + UG Iteration 6'!B243</f>
        <v>UG</v>
      </c>
      <c r="C243" s="35">
        <f>'GF + UG Iteration 6'!C243</f>
        <v>8.6980000000000004</v>
      </c>
      <c r="D243" s="36">
        <f>'GF + UG Iteration 6'!P$16*(C243^'GF + UG Iteration 6'!P$15)</f>
        <v>8.8202873083389015</v>
      </c>
      <c r="E243" s="37">
        <f>'GF + UG Iteration 6'!E243</f>
        <v>1983</v>
      </c>
      <c r="F243" s="35">
        <f>'GF + UG Iteration 6'!F243</f>
        <v>3.3019999999999996</v>
      </c>
      <c r="G243" s="36">
        <f>'GF + UG Iteration 6'!G243</f>
        <v>0.74649134624932623</v>
      </c>
      <c r="H243" s="38">
        <f>'GF + UG Iteration 6'!H243</f>
        <v>2008</v>
      </c>
      <c r="I243" s="35">
        <f t="shared" si="20"/>
        <v>12</v>
      </c>
      <c r="J243" s="36">
        <f t="shared" si="21"/>
        <v>9.5667786545882283</v>
      </c>
      <c r="K243" s="38">
        <f t="shared" si="22"/>
        <v>2008</v>
      </c>
      <c r="M243" s="21">
        <f t="shared" si="23"/>
        <v>2.4849066497880004</v>
      </c>
      <c r="N243" s="21">
        <f t="shared" si="24"/>
        <v>2.2582965400834691</v>
      </c>
    </row>
    <row r="244" spans="1:14" x14ac:dyDescent="0.2">
      <c r="A244" s="33">
        <f>'GF + UG Iteration 6'!A244</f>
        <v>1081</v>
      </c>
      <c r="B244" s="34" t="str">
        <f>'GF + UG Iteration 6'!B244</f>
        <v>UG</v>
      </c>
      <c r="C244" s="35">
        <f>'GF + UG Iteration 6'!C244</f>
        <v>12</v>
      </c>
      <c r="D244" s="36">
        <f>'GF + UG Iteration 6'!P$16*(C244^'GF + UG Iteration 6'!P$15)</f>
        <v>10.601723673937647</v>
      </c>
      <c r="E244" s="37">
        <f>'GF + UG Iteration 6'!E244</f>
        <v>1983</v>
      </c>
      <c r="F244" s="35">
        <f>'GF + UG Iteration 6'!F244</f>
        <v>4</v>
      </c>
      <c r="G244" s="36">
        <f>'GF + UG Iteration 6'!G244</f>
        <v>0.74615854172219498</v>
      </c>
      <c r="H244" s="38">
        <f>'GF + UG Iteration 6'!H244</f>
        <v>2010</v>
      </c>
      <c r="I244" s="35">
        <f t="shared" si="20"/>
        <v>16</v>
      </c>
      <c r="J244" s="36">
        <f t="shared" si="21"/>
        <v>11.347882215659842</v>
      </c>
      <c r="K244" s="38">
        <f t="shared" si="22"/>
        <v>2010</v>
      </c>
      <c r="M244" s="21">
        <f t="shared" si="23"/>
        <v>2.7725887222397811</v>
      </c>
      <c r="N244" s="21">
        <f t="shared" si="24"/>
        <v>2.4290311375888836</v>
      </c>
    </row>
    <row r="245" spans="1:14" x14ac:dyDescent="0.2">
      <c r="A245" s="33">
        <f>'GF + UG Iteration 6'!A245</f>
        <v>307</v>
      </c>
      <c r="B245" s="34" t="str">
        <f>'GF + UG Iteration 6'!B245</f>
        <v>UG</v>
      </c>
      <c r="C245" s="35">
        <f>'GF + UG Iteration 6'!C245</f>
        <v>9.07</v>
      </c>
      <c r="D245" s="36">
        <f>'GF + UG Iteration 6'!P$16*(C245^'GF + UG Iteration 6'!P$15)</f>
        <v>9.0339917855494321</v>
      </c>
      <c r="E245" s="37">
        <f>'GF + UG Iteration 6'!E245</f>
        <v>1985</v>
      </c>
      <c r="F245" s="35">
        <f>'GF + UG Iteration 6'!F245</f>
        <v>1.0019999999999989</v>
      </c>
      <c r="G245" s="36">
        <f>'GF + UG Iteration 6'!G245</f>
        <v>2.5230801807757093</v>
      </c>
      <c r="H245" s="38">
        <f>'GF + UG Iteration 6'!H245</f>
        <v>2003</v>
      </c>
      <c r="I245" s="35">
        <f t="shared" si="20"/>
        <v>10.071999999999999</v>
      </c>
      <c r="J245" s="36">
        <f t="shared" si="21"/>
        <v>11.557071966325141</v>
      </c>
      <c r="K245" s="38">
        <f t="shared" si="22"/>
        <v>2003</v>
      </c>
      <c r="M245" s="21">
        <f t="shared" si="23"/>
        <v>2.3097592967420462</v>
      </c>
      <c r="N245" s="21">
        <f t="shared" si="24"/>
        <v>2.4472975410505917</v>
      </c>
    </row>
    <row r="246" spans="1:14" x14ac:dyDescent="0.2">
      <c r="A246" s="33">
        <f>'GF + UG Iteration 6'!A246</f>
        <v>1466</v>
      </c>
      <c r="B246" s="34" t="str">
        <f>'GF + UG Iteration 6'!B246</f>
        <v>UG</v>
      </c>
      <c r="C246" s="35">
        <f>'GF + UG Iteration 6'!C246</f>
        <v>10.07</v>
      </c>
      <c r="D246" s="36">
        <f>'GF + UG Iteration 6'!P$16*(C246^'GF + UG Iteration 6'!P$15)</f>
        <v>9.5905810998169319</v>
      </c>
      <c r="E246" s="37">
        <f>'GF + UG Iteration 6'!E246</f>
        <v>1985</v>
      </c>
      <c r="F246" s="35">
        <f>'GF + UG Iteration 6'!F246</f>
        <v>4.93</v>
      </c>
      <c r="G246" s="36">
        <f>'GF + UG Iteration 6'!G246</f>
        <v>4.634839878669343</v>
      </c>
      <c r="H246" s="38">
        <f>'GF + UG Iteration 6'!H246</f>
        <v>2015</v>
      </c>
      <c r="I246" s="35">
        <f t="shared" si="20"/>
        <v>15</v>
      </c>
      <c r="J246" s="36">
        <f t="shared" si="21"/>
        <v>14.225420978486275</v>
      </c>
      <c r="K246" s="38">
        <f t="shared" si="22"/>
        <v>2015</v>
      </c>
      <c r="M246" s="21">
        <f t="shared" si="23"/>
        <v>2.7080502011022101</v>
      </c>
      <c r="N246" s="21">
        <f t="shared" si="24"/>
        <v>2.6550305738441784</v>
      </c>
    </row>
    <row r="247" spans="1:14" x14ac:dyDescent="0.2">
      <c r="A247" s="33">
        <f>'GF + UG Iteration 6'!A247</f>
        <v>1091</v>
      </c>
      <c r="B247" s="34" t="str">
        <f>'GF + UG Iteration 6'!B247</f>
        <v>UG</v>
      </c>
      <c r="C247" s="35">
        <f>'GF + UG Iteration 6'!C247</f>
        <v>16.059999999999999</v>
      </c>
      <c r="D247" s="36">
        <f>'GF + UG Iteration 6'!P$16*(C247^'GF + UG Iteration 6'!P$15)</f>
        <v>12.523506789275451</v>
      </c>
      <c r="E247" s="37">
        <f>'GF + UG Iteration 6'!E247</f>
        <v>1982</v>
      </c>
      <c r="F247" s="35">
        <f>'GF + UG Iteration 6'!F247</f>
        <v>24.34</v>
      </c>
      <c r="G247" s="36">
        <f>'GF + UG Iteration 6'!G247</f>
        <v>7.6638380518522098</v>
      </c>
      <c r="H247" s="38">
        <f>'GF + UG Iteration 6'!H247</f>
        <v>2011</v>
      </c>
      <c r="I247" s="35">
        <f t="shared" ref="I247:I292" si="30">C247+F247</f>
        <v>40.4</v>
      </c>
      <c r="J247" s="36">
        <f t="shared" ref="J247:J292" si="31">D247+G247</f>
        <v>20.187344841127661</v>
      </c>
      <c r="K247" s="38">
        <f t="shared" ref="K247:K292" si="32">MAX(E247,H247)</f>
        <v>2011</v>
      </c>
      <c r="M247" s="21">
        <f t="shared" si="23"/>
        <v>3.6988297849671046</v>
      </c>
      <c r="N247" s="21">
        <f t="shared" si="24"/>
        <v>3.0050559150649256</v>
      </c>
    </row>
    <row r="248" spans="1:14" x14ac:dyDescent="0.2">
      <c r="A248" s="33">
        <f>'GF + UG Iteration 6'!A248</f>
        <v>666</v>
      </c>
      <c r="B248" s="34" t="str">
        <f>'GF + UG Iteration 6'!B248</f>
        <v>UG</v>
      </c>
      <c r="C248" s="35">
        <f>'GF + UG Iteration 6'!C248</f>
        <v>25.92</v>
      </c>
      <c r="D248" s="36">
        <f>'GF + UG Iteration 6'!P$16*(C248^'GF + UG Iteration 6'!P$15)</f>
        <v>16.465097770762451</v>
      </c>
      <c r="E248" s="37">
        <f>'GF + UG Iteration 6'!E248</f>
        <v>1987</v>
      </c>
      <c r="F248" s="35">
        <f>'GF + UG Iteration 6'!F248</f>
        <v>14.079999999999998</v>
      </c>
      <c r="G248" s="36">
        <f>'GF + UG Iteration 6'!G248</f>
        <v>3.6887760601263184</v>
      </c>
      <c r="H248" s="38">
        <f>'GF + UG Iteration 6'!H248</f>
        <v>2008</v>
      </c>
      <c r="I248" s="35">
        <f t="shared" si="30"/>
        <v>40</v>
      </c>
      <c r="J248" s="36">
        <f t="shared" si="31"/>
        <v>20.15387383088877</v>
      </c>
      <c r="K248" s="38">
        <f t="shared" si="32"/>
        <v>2008</v>
      </c>
      <c r="M248" s="21">
        <f t="shared" ref="M248:M292" si="33">LN(I248)</f>
        <v>3.6888794541139363</v>
      </c>
      <c r="N248" s="21">
        <f t="shared" ref="N248:N292" si="34">LN(J248)</f>
        <v>3.0033965195869912</v>
      </c>
    </row>
    <row r="249" spans="1:14" x14ac:dyDescent="0.2">
      <c r="A249" s="33">
        <f>'GF + UG Iteration 6'!A249</f>
        <v>556</v>
      </c>
      <c r="B249" s="34" t="str">
        <f>'GF + UG Iteration 6'!B249</f>
        <v>UG</v>
      </c>
      <c r="C249" s="35">
        <f>'GF + UG Iteration 6'!C249</f>
        <v>8.6560000000000006</v>
      </c>
      <c r="D249" s="36">
        <f>'GF + UG Iteration 6'!P$16*(C249^'GF + UG Iteration 6'!P$15)</f>
        <v>8.7959155562636457</v>
      </c>
      <c r="E249" s="37">
        <f>'GF + UG Iteration 6'!E249</f>
        <v>1985</v>
      </c>
      <c r="F249" s="35">
        <f>'GF + UG Iteration 6'!F249</f>
        <v>4.3439999999999994</v>
      </c>
      <c r="G249" s="36">
        <f>'GF + UG Iteration 6'!G249</f>
        <v>3.2483692675760008</v>
      </c>
      <c r="H249" s="38">
        <f>'GF + UG Iteration 6'!H249</f>
        <v>2007</v>
      </c>
      <c r="I249" s="35">
        <f t="shared" si="30"/>
        <v>13</v>
      </c>
      <c r="J249" s="36">
        <f t="shared" si="31"/>
        <v>12.044284823839646</v>
      </c>
      <c r="K249" s="38">
        <f t="shared" si="32"/>
        <v>2007</v>
      </c>
      <c r="M249" s="21">
        <f t="shared" si="33"/>
        <v>2.5649493574615367</v>
      </c>
      <c r="N249" s="21">
        <f t="shared" si="34"/>
        <v>2.4885902589482698</v>
      </c>
    </row>
    <row r="250" spans="1:14" x14ac:dyDescent="0.2">
      <c r="A250" s="33">
        <f>'GF + UG Iteration 6'!A250</f>
        <v>452</v>
      </c>
      <c r="B250" s="34" t="str">
        <f>'GF + UG Iteration 6'!B250</f>
        <v>UG</v>
      </c>
      <c r="C250" s="35">
        <f>'GF + UG Iteration 6'!C250</f>
        <v>10.781000000000001</v>
      </c>
      <c r="D250" s="36">
        <f>'GF + UG Iteration 6'!P$16*(C250^'GF + UG Iteration 6'!P$15)</f>
        <v>9.9720037678094098</v>
      </c>
      <c r="E250" s="37">
        <f>'GF + UG Iteration 6'!E250</f>
        <v>1986</v>
      </c>
      <c r="F250" s="35">
        <f>'GF + UG Iteration 6'!F250</f>
        <v>3.6189999999999998</v>
      </c>
      <c r="G250" s="36">
        <f>'GF + UG Iteration 6'!G250</f>
        <v>3.4437072461958511</v>
      </c>
      <c r="H250" s="38">
        <f>'GF + UG Iteration 6'!H250</f>
        <v>2005</v>
      </c>
      <c r="I250" s="35">
        <f t="shared" si="30"/>
        <v>14.4</v>
      </c>
      <c r="J250" s="36">
        <f t="shared" si="31"/>
        <v>13.415711014005261</v>
      </c>
      <c r="K250" s="38">
        <f t="shared" si="32"/>
        <v>2005</v>
      </c>
      <c r="M250" s="21">
        <f t="shared" si="33"/>
        <v>2.6672282065819548</v>
      </c>
      <c r="N250" s="21">
        <f t="shared" si="34"/>
        <v>2.596426483889779</v>
      </c>
    </row>
    <row r="251" spans="1:14" x14ac:dyDescent="0.2">
      <c r="A251" s="33">
        <f>'GF + UG Iteration 6'!A251</f>
        <v>613</v>
      </c>
      <c r="B251" s="34" t="str">
        <f>'GF + UG Iteration 6'!B251</f>
        <v>UG</v>
      </c>
      <c r="C251" s="35">
        <f>'GF + UG Iteration 6'!C251</f>
        <v>6.2</v>
      </c>
      <c r="D251" s="36">
        <f>'GF + UG Iteration 6'!P$16*(C251^'GF + UG Iteration 6'!P$15)</f>
        <v>7.2683445369789732</v>
      </c>
      <c r="E251" s="37">
        <f>'GF + UG Iteration 6'!E251</f>
        <v>1999</v>
      </c>
      <c r="F251" s="35">
        <f>'GF + UG Iteration 6'!F251</f>
        <v>2.2000000000000002</v>
      </c>
      <c r="G251" s="36">
        <f>'GF + UG Iteration 6'!G251</f>
        <v>0.43131820582676678</v>
      </c>
      <c r="H251" s="38">
        <f>'GF + UG Iteration 6'!H251</f>
        <v>2006</v>
      </c>
      <c r="I251" s="35">
        <f t="shared" si="30"/>
        <v>8.4</v>
      </c>
      <c r="J251" s="36">
        <f t="shared" si="31"/>
        <v>7.6996627428057396</v>
      </c>
      <c r="K251" s="38">
        <f t="shared" si="32"/>
        <v>2006</v>
      </c>
      <c r="M251" s="21">
        <f t="shared" si="33"/>
        <v>2.1282317058492679</v>
      </c>
      <c r="N251" s="21">
        <f t="shared" si="34"/>
        <v>2.041176528264788</v>
      </c>
    </row>
    <row r="252" spans="1:14" x14ac:dyDescent="0.2">
      <c r="A252" s="33">
        <f>'GF + UG Iteration 6'!A252</f>
        <v>778</v>
      </c>
      <c r="B252" s="34" t="str">
        <f>'GF + UG Iteration 6'!B252</f>
        <v>UG</v>
      </c>
      <c r="C252" s="35">
        <f>'GF + UG Iteration 6'!C252</f>
        <v>0.1</v>
      </c>
      <c r="D252" s="36">
        <f>'GF + UG Iteration 6'!P$16*(C252^'GF + UG Iteration 6'!P$15)</f>
        <v>0.6867979914747443</v>
      </c>
      <c r="E252" s="37">
        <f>'GF + UG Iteration 6'!E252</f>
        <v>1988</v>
      </c>
      <c r="F252" s="35">
        <f>'GF + UG Iteration 6'!F252</f>
        <v>1.9</v>
      </c>
      <c r="G252" s="36">
        <f>'GF + UG Iteration 6'!G252</f>
        <v>0.48701021540648831</v>
      </c>
      <c r="H252" s="38">
        <f>'GF + UG Iteration 6'!H252</f>
        <v>2008</v>
      </c>
      <c r="I252" s="35">
        <f t="shared" si="30"/>
        <v>2</v>
      </c>
      <c r="J252" s="36">
        <f t="shared" si="31"/>
        <v>1.1738082068812326</v>
      </c>
      <c r="K252" s="38">
        <f t="shared" si="32"/>
        <v>2008</v>
      </c>
      <c r="M252" s="21">
        <f t="shared" si="33"/>
        <v>0.69314718055994529</v>
      </c>
      <c r="N252" s="21">
        <f t="shared" si="34"/>
        <v>0.16025334083790777</v>
      </c>
    </row>
    <row r="253" spans="1:14" x14ac:dyDescent="0.2">
      <c r="A253" s="33">
        <f>'GF + UG Iteration 6'!A253</f>
        <v>1571</v>
      </c>
      <c r="B253" s="34" t="str">
        <f>'GF + UG Iteration 6'!B253</f>
        <v>UG</v>
      </c>
      <c r="C253" s="35">
        <f>'GF + UG Iteration 6'!C253</f>
        <v>2</v>
      </c>
      <c r="D253" s="36">
        <f>'GF + UG Iteration 6'!P$16*(C253^'GF + UG Iteration 6'!P$15)</f>
        <v>3.8067336549605097</v>
      </c>
      <c r="E253" s="37">
        <f>'GF + UG Iteration 6'!E253</f>
        <v>1988</v>
      </c>
      <c r="F253" s="35">
        <f>'GF + UG Iteration 6'!F253</f>
        <v>11</v>
      </c>
      <c r="G253" s="36">
        <f>'GF + UG Iteration 6'!G253</f>
        <v>1.5920457896917759</v>
      </c>
      <c r="H253" s="38">
        <f>'GF + UG Iteration 6'!H253</f>
        <v>2016</v>
      </c>
      <c r="I253" s="35">
        <f t="shared" si="30"/>
        <v>13</v>
      </c>
      <c r="J253" s="36">
        <f t="shared" si="31"/>
        <v>5.3987794446522859</v>
      </c>
      <c r="K253" s="38">
        <f t="shared" si="32"/>
        <v>2016</v>
      </c>
      <c r="M253" s="21">
        <f t="shared" si="33"/>
        <v>2.5649493574615367</v>
      </c>
      <c r="N253" s="21">
        <f t="shared" si="34"/>
        <v>1.6861728992537817</v>
      </c>
    </row>
    <row r="254" spans="1:14" x14ac:dyDescent="0.2">
      <c r="A254" s="33">
        <f>'GF + UG Iteration 6'!A254</f>
        <v>525</v>
      </c>
      <c r="B254" s="34" t="str">
        <f>'GF + UG Iteration 6'!B254</f>
        <v>UG</v>
      </c>
      <c r="C254" s="35">
        <f>'GF + UG Iteration 6'!C254</f>
        <v>11.55</v>
      </c>
      <c r="D254" s="36">
        <f>'GF + UG Iteration 6'!P$16*(C254^'GF + UG Iteration 6'!P$15)</f>
        <v>10.372600326858098</v>
      </c>
      <c r="E254" s="37">
        <f>'GF + UG Iteration 6'!E254</f>
        <v>1995</v>
      </c>
      <c r="F254" s="35">
        <f>'GF + UG Iteration 6'!F254</f>
        <v>14</v>
      </c>
      <c r="G254" s="36">
        <f>'GF + UG Iteration 6'!G254</f>
        <v>2.107818995325883</v>
      </c>
      <c r="H254" s="38">
        <f>'GF + UG Iteration 6'!H254</f>
        <v>2006</v>
      </c>
      <c r="I254" s="35">
        <f t="shared" si="30"/>
        <v>25.55</v>
      </c>
      <c r="J254" s="36">
        <f t="shared" si="31"/>
        <v>12.48041932218398</v>
      </c>
      <c r="K254" s="38">
        <f t="shared" si="32"/>
        <v>2006</v>
      </c>
      <c r="M254" s="21">
        <f t="shared" si="33"/>
        <v>3.2406373166497136</v>
      </c>
      <c r="N254" s="21">
        <f t="shared" si="34"/>
        <v>2.5241609619108027</v>
      </c>
    </row>
    <row r="255" spans="1:14" x14ac:dyDescent="0.2">
      <c r="A255" s="33">
        <f>'GF + UG Iteration 6'!A255</f>
        <v>1324</v>
      </c>
      <c r="B255" s="34" t="str">
        <f>'GF + UG Iteration 6'!B255</f>
        <v>UG</v>
      </c>
      <c r="C255" s="35">
        <f>'GF + UG Iteration 6'!C255</f>
        <v>15.8</v>
      </c>
      <c r="D255" s="36">
        <f>'GF + UG Iteration 6'!P$16*(C255^'GF + UG Iteration 6'!P$15)</f>
        <v>12.407203259544573</v>
      </c>
      <c r="E255" s="37">
        <f>'GF + UG Iteration 6'!E255</f>
        <v>2012</v>
      </c>
      <c r="F255" s="35">
        <f>'GF + UG Iteration 6'!F255</f>
        <v>12.3</v>
      </c>
      <c r="G255" s="36">
        <f>'GF + UG Iteration 6'!G255</f>
        <v>2.2692987542218521</v>
      </c>
      <c r="H255" s="38">
        <f>'GF + UG Iteration 6'!H255</f>
        <v>2014</v>
      </c>
      <c r="I255" s="35">
        <f t="shared" si="30"/>
        <v>28.1</v>
      </c>
      <c r="J255" s="36">
        <f t="shared" si="31"/>
        <v>14.676502013766425</v>
      </c>
      <c r="K255" s="38">
        <f t="shared" si="32"/>
        <v>2014</v>
      </c>
      <c r="M255" s="21">
        <f t="shared" si="33"/>
        <v>3.3357695763396999</v>
      </c>
      <c r="N255" s="21">
        <f t="shared" si="34"/>
        <v>2.6862477123516189</v>
      </c>
    </row>
    <row r="256" spans="1:14" x14ac:dyDescent="0.2">
      <c r="A256" s="33">
        <f>'GF + UG Iteration 6'!A256</f>
        <v>511</v>
      </c>
      <c r="B256" s="34" t="str">
        <f>'GF + UG Iteration 6'!B256</f>
        <v>UG</v>
      </c>
      <c r="C256" s="35">
        <f>'GF + UG Iteration 6'!C256</f>
        <v>13.95</v>
      </c>
      <c r="D256" s="36">
        <f>'GF + UG Iteration 6'!P$16*(C256^'GF + UG Iteration 6'!P$15)</f>
        <v>11.554678023222158</v>
      </c>
      <c r="E256" s="37">
        <f>'GF + UG Iteration 6'!E256</f>
        <v>2004</v>
      </c>
      <c r="F256" s="35">
        <f>'GF + UG Iteration 6'!F256</f>
        <v>4.0500000000000007</v>
      </c>
      <c r="G256" s="36">
        <f>'GF + UG Iteration 6'!G256</f>
        <v>0.42903557118440139</v>
      </c>
      <c r="H256" s="38">
        <f>'GF + UG Iteration 6'!H256</f>
        <v>2004</v>
      </c>
      <c r="I256" s="35">
        <f t="shared" si="30"/>
        <v>18</v>
      </c>
      <c r="J256" s="36">
        <f t="shared" si="31"/>
        <v>11.983713594406559</v>
      </c>
      <c r="K256" s="38">
        <f t="shared" si="32"/>
        <v>2004</v>
      </c>
      <c r="M256" s="21">
        <f t="shared" si="33"/>
        <v>2.8903717578961645</v>
      </c>
      <c r="N256" s="21">
        <f t="shared" si="34"/>
        <v>2.4835485274911604</v>
      </c>
    </row>
    <row r="257" spans="1:14" x14ac:dyDescent="0.2">
      <c r="A257" s="33">
        <f>'GF + UG Iteration 6'!A257</f>
        <v>1094</v>
      </c>
      <c r="B257" s="34" t="str">
        <f>'GF + UG Iteration 6'!B257</f>
        <v>UG</v>
      </c>
      <c r="C257" s="35">
        <f>'GF + UG Iteration 6'!C257</f>
        <v>18</v>
      </c>
      <c r="D257" s="36">
        <f>'GF + UG Iteration 6'!P$16*(C257^'GF + UG Iteration 6'!P$15)</f>
        <v>13.367113993467537</v>
      </c>
      <c r="E257" s="37">
        <f>'GF + UG Iteration 6'!E257</f>
        <v>2004</v>
      </c>
      <c r="F257" s="35">
        <f>'GF + UG Iteration 6'!F257</f>
        <v>6</v>
      </c>
      <c r="G257" s="36">
        <f>'GF + UG Iteration 6'!G257</f>
        <v>1.0646458657975095</v>
      </c>
      <c r="H257" s="38">
        <f>'GF + UG Iteration 6'!H257</f>
        <v>2011</v>
      </c>
      <c r="I257" s="35">
        <f t="shared" si="30"/>
        <v>24</v>
      </c>
      <c r="J257" s="36">
        <f t="shared" si="31"/>
        <v>14.431759859265046</v>
      </c>
      <c r="K257" s="38">
        <f t="shared" si="32"/>
        <v>2011</v>
      </c>
      <c r="M257" s="21">
        <f t="shared" si="33"/>
        <v>3.1780538303479458</v>
      </c>
      <c r="N257" s="21">
        <f t="shared" si="34"/>
        <v>2.6694313237184883</v>
      </c>
    </row>
    <row r="258" spans="1:14" x14ac:dyDescent="0.2">
      <c r="A258" s="33">
        <f>'GF + UG Iteration 6'!A258</f>
        <v>775</v>
      </c>
      <c r="B258" s="34" t="str">
        <f>'GF + UG Iteration 6'!B258</f>
        <v>UG</v>
      </c>
      <c r="C258" s="35">
        <f>'GF + UG Iteration 6'!C258</f>
        <v>8</v>
      </c>
      <c r="D258" s="36">
        <f>'GF + UG Iteration 6'!P$16*(C258^'GF + UG Iteration 6'!P$15)</f>
        <v>8.4084376712473379</v>
      </c>
      <c r="E258" s="37">
        <f>'GF + UG Iteration 6'!E258</f>
        <v>2002</v>
      </c>
      <c r="F258" s="35">
        <f>'GF + UG Iteration 6'!F258</f>
        <v>7</v>
      </c>
      <c r="G258" s="36">
        <f>'GF + UG Iteration 6'!G258</f>
        <v>1.4058744428987999</v>
      </c>
      <c r="H258" s="38">
        <f>'GF + UG Iteration 6'!H258</f>
        <v>2008</v>
      </c>
      <c r="I258" s="35">
        <f t="shared" si="30"/>
        <v>15</v>
      </c>
      <c r="J258" s="36">
        <f t="shared" si="31"/>
        <v>9.8143121141461371</v>
      </c>
      <c r="K258" s="38">
        <f t="shared" si="32"/>
        <v>2008</v>
      </c>
      <c r="M258" s="21">
        <f t="shared" si="33"/>
        <v>2.7080502011022101</v>
      </c>
      <c r="N258" s="21">
        <f t="shared" si="34"/>
        <v>2.2838417401114826</v>
      </c>
    </row>
    <row r="259" spans="1:14" x14ac:dyDescent="0.2">
      <c r="A259" s="33">
        <f>'GF + UG Iteration 6'!A259</f>
        <v>1646</v>
      </c>
      <c r="B259" s="34" t="str">
        <f>'GF + UG Iteration 6'!B259</f>
        <v>UG</v>
      </c>
      <c r="C259" s="35">
        <f>'GF + UG Iteration 6'!C259</f>
        <v>2.88</v>
      </c>
      <c r="D259" s="36">
        <f>'GF + UG Iteration 6'!P$16*(C259^'GF + UG Iteration 6'!P$15)</f>
        <v>4.6889883520711599</v>
      </c>
      <c r="E259" s="37" t="str">
        <f>'GF + UG Iteration 6'!E259</f>
        <v>unknown</v>
      </c>
      <c r="F259" s="35">
        <f>'GF + UG Iteration 6'!F259</f>
        <v>3.5200000000000005</v>
      </c>
      <c r="G259" s="36">
        <f>'GF + UG Iteration 6'!G259</f>
        <v>6.6895680450065891</v>
      </c>
      <c r="H259" s="38">
        <f>'GF + UG Iteration 6'!H259</f>
        <v>2016</v>
      </c>
      <c r="I259" s="35">
        <f t="shared" si="30"/>
        <v>6.4</v>
      </c>
      <c r="J259" s="36">
        <f t="shared" si="31"/>
        <v>11.378556397077748</v>
      </c>
      <c r="K259" s="38">
        <f t="shared" si="32"/>
        <v>2016</v>
      </c>
      <c r="M259" s="21">
        <f t="shared" si="33"/>
        <v>1.8562979903656263</v>
      </c>
      <c r="N259" s="21">
        <f t="shared" si="34"/>
        <v>2.4317305662646453</v>
      </c>
    </row>
    <row r="260" spans="1:14" x14ac:dyDescent="0.2">
      <c r="A260" s="33">
        <f>'GF + UG Iteration 6'!A260</f>
        <v>467</v>
      </c>
      <c r="B260" s="34" t="str">
        <f>'GF + UG Iteration 6'!B260</f>
        <v>UG</v>
      </c>
      <c r="C260" s="35">
        <f>'GF + UG Iteration 6'!C260</f>
        <v>5.7</v>
      </c>
      <c r="D260" s="36">
        <f>'GF + UG Iteration 6'!P$16*(C260^'GF + UG Iteration 6'!P$15)</f>
        <v>6.9272513725037008</v>
      </c>
      <c r="E260" s="37">
        <f>'GF + UG Iteration 6'!E260</f>
        <v>1996</v>
      </c>
      <c r="F260" s="35">
        <f>'GF + UG Iteration 6'!F260</f>
        <v>7.8999999999999995</v>
      </c>
      <c r="G260" s="36">
        <f>'GF + UG Iteration 6'!G260</f>
        <v>3.4855022233326953</v>
      </c>
      <c r="H260" s="38">
        <f>'GF + UG Iteration 6'!H260</f>
        <v>2005</v>
      </c>
      <c r="I260" s="35">
        <f t="shared" si="30"/>
        <v>13.6</v>
      </c>
      <c r="J260" s="36">
        <f t="shared" si="31"/>
        <v>10.412753595836396</v>
      </c>
      <c r="K260" s="38">
        <f t="shared" si="32"/>
        <v>2005</v>
      </c>
      <c r="M260" s="21">
        <f t="shared" si="33"/>
        <v>2.6100697927420065</v>
      </c>
      <c r="N260" s="21">
        <f t="shared" si="34"/>
        <v>2.3430313621386554</v>
      </c>
    </row>
    <row r="261" spans="1:14" x14ac:dyDescent="0.2">
      <c r="A261" s="33">
        <f>'GF + UG Iteration 6'!A261</f>
        <v>437</v>
      </c>
      <c r="B261" s="34" t="str">
        <f>'GF + UG Iteration 6'!B261</f>
        <v>UG</v>
      </c>
      <c r="C261" s="35">
        <f>'GF + UG Iteration 6'!C261</f>
        <v>23</v>
      </c>
      <c r="D261" s="36">
        <f>'GF + UG Iteration 6'!P$16*(C261^'GF + UG Iteration 6'!P$15)</f>
        <v>15.377721703307285</v>
      </c>
      <c r="E261" s="37">
        <f>'GF + UG Iteration 6'!E261</f>
        <v>2001</v>
      </c>
      <c r="F261" s="35">
        <f>'GF + UG Iteration 6'!F261</f>
        <v>17</v>
      </c>
      <c r="G261" s="36">
        <f>'GF + UG Iteration 6'!G261</f>
        <v>3.6313804067567292</v>
      </c>
      <c r="H261" s="38">
        <f>'GF + UG Iteration 6'!H261</f>
        <v>2008</v>
      </c>
      <c r="I261" s="35">
        <f t="shared" si="30"/>
        <v>40</v>
      </c>
      <c r="J261" s="36">
        <f t="shared" si="31"/>
        <v>19.009102110064013</v>
      </c>
      <c r="K261" s="38">
        <f t="shared" si="32"/>
        <v>2008</v>
      </c>
      <c r="M261" s="21">
        <f t="shared" si="33"/>
        <v>3.6888794541139363</v>
      </c>
      <c r="N261" s="21">
        <f t="shared" si="34"/>
        <v>2.9449179228790094</v>
      </c>
    </row>
    <row r="262" spans="1:14" x14ac:dyDescent="0.2">
      <c r="A262" s="33">
        <f>'GF + UG Iteration 6'!A262</f>
        <v>1233</v>
      </c>
      <c r="B262" s="34" t="str">
        <f>'GF + UG Iteration 6'!B262</f>
        <v>UG</v>
      </c>
      <c r="C262" s="35">
        <f>'GF + UG Iteration 6'!C262</f>
        <v>40</v>
      </c>
      <c r="D262" s="36">
        <f>'GF + UG Iteration 6'!P$16*(C262^'GF + UG Iteration 6'!P$15)</f>
        <v>21.099684768577099</v>
      </c>
      <c r="E262" s="37">
        <f>'GF + UG Iteration 6'!E262</f>
        <v>2001</v>
      </c>
      <c r="F262" s="35">
        <f>'GF + UG Iteration 6'!F262</f>
        <v>10</v>
      </c>
      <c r="G262" s="36">
        <f>'GF + UG Iteration 6'!G262</f>
        <v>3.8904117673360803</v>
      </c>
      <c r="H262" s="38">
        <f>'GF + UG Iteration 6'!H262</f>
        <v>2011</v>
      </c>
      <c r="I262" s="35">
        <f t="shared" si="30"/>
        <v>50</v>
      </c>
      <c r="J262" s="36">
        <f t="shared" si="31"/>
        <v>24.990096535913178</v>
      </c>
      <c r="K262" s="38">
        <f t="shared" si="32"/>
        <v>2011</v>
      </c>
      <c r="M262" s="21">
        <f t="shared" si="33"/>
        <v>3.912023005428146</v>
      </c>
      <c r="N262" s="21">
        <f t="shared" si="34"/>
        <v>3.2184796078211195</v>
      </c>
    </row>
    <row r="263" spans="1:14" x14ac:dyDescent="0.2">
      <c r="A263" s="33">
        <f>'GF + UG Iteration 6'!A263</f>
        <v>361</v>
      </c>
      <c r="B263" s="34" t="str">
        <f>'GF + UG Iteration 6'!B263</f>
        <v>UG</v>
      </c>
      <c r="C263" s="35">
        <f>'GF + UG Iteration 6'!C263</f>
        <v>12.22</v>
      </c>
      <c r="D263" s="36">
        <f>'GF + UG Iteration 6'!P$16*(C263^'GF + UG Iteration 6'!P$15)</f>
        <v>10.712398337771655</v>
      </c>
      <c r="E263" s="37">
        <f>'GF + UG Iteration 6'!E263</f>
        <v>1986</v>
      </c>
      <c r="F263" s="35">
        <f>'GF + UG Iteration 6'!F263</f>
        <v>12.999999999999998</v>
      </c>
      <c r="G263" s="36">
        <f>'GF + UG Iteration 6'!G263</f>
        <v>1.1719780512644304</v>
      </c>
      <c r="H263" s="38">
        <f>'GF + UG Iteration 6'!H263</f>
        <v>2002</v>
      </c>
      <c r="I263" s="35">
        <f t="shared" si="30"/>
        <v>25.22</v>
      </c>
      <c r="J263" s="36">
        <f t="shared" si="31"/>
        <v>11.884376389036085</v>
      </c>
      <c r="K263" s="38">
        <f t="shared" si="32"/>
        <v>2002</v>
      </c>
      <c r="M263" s="21">
        <f t="shared" si="33"/>
        <v>3.2276373305367736</v>
      </c>
      <c r="N263" s="21">
        <f t="shared" si="34"/>
        <v>2.4752246290136672</v>
      </c>
    </row>
    <row r="264" spans="1:14" x14ac:dyDescent="0.2">
      <c r="A264" s="33">
        <f>'GF + UG Iteration 6'!A264</f>
        <v>645</v>
      </c>
      <c r="B264" s="34" t="str">
        <f>'GF + UG Iteration 6'!B264</f>
        <v>UG</v>
      </c>
      <c r="C264" s="35">
        <f>'GF + UG Iteration 6'!C264</f>
        <v>25.22</v>
      </c>
      <c r="D264" s="36">
        <f>'GF + UG Iteration 6'!P$16*(C264^'GF + UG Iteration 6'!P$15)</f>
        <v>16.209422351991968</v>
      </c>
      <c r="E264" s="37">
        <f>'GF + UG Iteration 6'!E264</f>
        <v>1986</v>
      </c>
      <c r="F264" s="35">
        <f>'GF + UG Iteration 6'!F264</f>
        <v>1</v>
      </c>
      <c r="G264" s="36">
        <f>'GF + UG Iteration 6'!G264</f>
        <v>0.22667756309168191</v>
      </c>
      <c r="H264" s="38">
        <f>'GF + UG Iteration 6'!H264</f>
        <v>2006</v>
      </c>
      <c r="I264" s="35">
        <f t="shared" si="30"/>
        <v>26.22</v>
      </c>
      <c r="J264" s="36">
        <f t="shared" si="31"/>
        <v>16.436099915083648</v>
      </c>
      <c r="K264" s="38">
        <f t="shared" si="32"/>
        <v>2006</v>
      </c>
      <c r="M264" s="21">
        <f t="shared" si="33"/>
        <v>3.2665224783355535</v>
      </c>
      <c r="N264" s="21">
        <f t="shared" si="34"/>
        <v>2.7994801300416037</v>
      </c>
    </row>
    <row r="265" spans="1:14" x14ac:dyDescent="0.2">
      <c r="A265" s="33">
        <f>'GF + UG Iteration 6'!A265</f>
        <v>720</v>
      </c>
      <c r="B265" s="34" t="str">
        <f>'GF + UG Iteration 6'!B265</f>
        <v>UG</v>
      </c>
      <c r="C265" s="35">
        <f>'GF + UG Iteration 6'!C265</f>
        <v>5.29</v>
      </c>
      <c r="D265" s="36">
        <f>'GF + UG Iteration 6'!P$16*(C265^'GF + UG Iteration 6'!P$15)</f>
        <v>6.6378705437174563</v>
      </c>
      <c r="E265" s="37">
        <f>'GF + UG Iteration 6'!E265</f>
        <v>1974</v>
      </c>
      <c r="F265" s="35">
        <f>'GF + UG Iteration 6'!F265</f>
        <v>3.9099999999999993</v>
      </c>
      <c r="G265" s="36">
        <f>'GF + UG Iteration 6'!G265</f>
        <v>3.214674226156069</v>
      </c>
      <c r="H265" s="38">
        <f>'GF + UG Iteration 6'!H265</f>
        <v>2009</v>
      </c>
      <c r="I265" s="35">
        <f t="shared" si="30"/>
        <v>9.1999999999999993</v>
      </c>
      <c r="J265" s="36">
        <f t="shared" si="31"/>
        <v>9.8525447698735249</v>
      </c>
      <c r="K265" s="38">
        <f t="shared" si="32"/>
        <v>2009</v>
      </c>
      <c r="M265" s="21">
        <f t="shared" si="33"/>
        <v>2.2192034840549946</v>
      </c>
      <c r="N265" s="21">
        <f t="shared" si="34"/>
        <v>2.2877297740882203</v>
      </c>
    </row>
    <row r="266" spans="1:14" x14ac:dyDescent="0.2">
      <c r="A266" s="33">
        <f>'GF + UG Iteration 6'!A266</f>
        <v>1554</v>
      </c>
      <c r="B266" s="34" t="str">
        <f>'GF + UG Iteration 6'!B266</f>
        <v>UG</v>
      </c>
      <c r="C266" s="35">
        <f>'GF + UG Iteration 6'!C266</f>
        <v>18</v>
      </c>
      <c r="D266" s="36">
        <f>'GF + UG Iteration 6'!P$16*(C266^'GF + UG Iteration 6'!P$15)</f>
        <v>13.367113993467537</v>
      </c>
      <c r="E266" s="37">
        <f>'GF + UG Iteration 6'!E266</f>
        <v>2013</v>
      </c>
      <c r="F266" s="35">
        <f>'GF + UG Iteration 6'!F266</f>
        <v>13</v>
      </c>
      <c r="G266" s="36">
        <f>'GF + UG Iteration 6'!G266</f>
        <v>4.0040929633677633</v>
      </c>
      <c r="H266" s="38">
        <f>'GF + UG Iteration 6'!H266</f>
        <v>2015</v>
      </c>
      <c r="I266" s="35">
        <f t="shared" si="30"/>
        <v>31</v>
      </c>
      <c r="J266" s="36">
        <f t="shared" si="31"/>
        <v>17.371206956835302</v>
      </c>
      <c r="K266" s="38">
        <f t="shared" si="32"/>
        <v>2015</v>
      </c>
      <c r="M266" s="21">
        <f t="shared" si="33"/>
        <v>3.4339872044851463</v>
      </c>
      <c r="N266" s="21">
        <f t="shared" si="34"/>
        <v>2.8548140629763563</v>
      </c>
    </row>
    <row r="267" spans="1:14" x14ac:dyDescent="0.2">
      <c r="A267" s="33">
        <f>'GF + UG Iteration 6'!A267</f>
        <v>1570</v>
      </c>
      <c r="B267" s="34" t="str">
        <f>'GF + UG Iteration 6'!B267</f>
        <v>UG</v>
      </c>
      <c r="C267" s="35">
        <f>'GF + UG Iteration 6'!C267</f>
        <v>12</v>
      </c>
      <c r="D267" s="36">
        <f>'GF + UG Iteration 6'!P$16*(C267^'GF + UG Iteration 6'!P$15)</f>
        <v>10.601723673937647</v>
      </c>
      <c r="E267" s="37">
        <f>'GF + UG Iteration 6'!E267</f>
        <v>0</v>
      </c>
      <c r="F267" s="35">
        <f>'GF + UG Iteration 6'!F267</f>
        <v>7</v>
      </c>
      <c r="G267" s="36">
        <f>'GF + UG Iteration 6'!G267</f>
        <v>5.7128729653456798</v>
      </c>
      <c r="H267" s="38">
        <f>'GF + UG Iteration 6'!H267</f>
        <v>2016</v>
      </c>
      <c r="I267" s="35">
        <f t="shared" si="30"/>
        <v>19</v>
      </c>
      <c r="J267" s="36">
        <f t="shared" si="31"/>
        <v>16.314596639283327</v>
      </c>
      <c r="K267" s="38">
        <f t="shared" si="32"/>
        <v>2016</v>
      </c>
      <c r="M267" s="21">
        <f t="shared" si="33"/>
        <v>2.9444389791664403</v>
      </c>
      <c r="N267" s="21">
        <f t="shared" si="34"/>
        <v>2.7920602064349276</v>
      </c>
    </row>
    <row r="268" spans="1:14" x14ac:dyDescent="0.2">
      <c r="A268" s="33">
        <f>'GF + UG Iteration 6'!A268</f>
        <v>1280</v>
      </c>
      <c r="B268" s="34" t="str">
        <f>'GF + UG Iteration 6'!B268</f>
        <v>UG</v>
      </c>
      <c r="C268" s="35">
        <f>'GF + UG Iteration 6'!C268</f>
        <v>10</v>
      </c>
      <c r="D268" s="36">
        <f>'GF + UG Iteration 6'!P$16*(C268^'GF + UG Iteration 6'!P$15)</f>
        <v>9.5524142840776953</v>
      </c>
      <c r="E268" s="37">
        <f>'GF + UG Iteration 6'!E268</f>
        <v>0</v>
      </c>
      <c r="F268" s="35">
        <f>'GF + UG Iteration 6'!F268</f>
        <v>10</v>
      </c>
      <c r="G268" s="36">
        <f>'GF + UG Iteration 6'!G268</f>
        <v>3.9567117678399111</v>
      </c>
      <c r="H268" s="38">
        <f>'GF + UG Iteration 6'!H268</f>
        <v>2013</v>
      </c>
      <c r="I268" s="35">
        <f t="shared" si="30"/>
        <v>20</v>
      </c>
      <c r="J268" s="36">
        <f t="shared" si="31"/>
        <v>13.509126051917606</v>
      </c>
      <c r="K268" s="38">
        <f t="shared" si="32"/>
        <v>2013</v>
      </c>
      <c r="M268" s="21">
        <f t="shared" si="33"/>
        <v>2.9957322735539909</v>
      </c>
      <c r="N268" s="21">
        <f t="shared" si="34"/>
        <v>2.6033654609024541</v>
      </c>
    </row>
    <row r="269" spans="1:14" x14ac:dyDescent="0.2">
      <c r="A269" s="33">
        <f>'GF + UG Iteration 6'!A269</f>
        <v>659</v>
      </c>
      <c r="B269" s="34" t="str">
        <f>'GF + UG Iteration 6'!B269</f>
        <v>UG</v>
      </c>
      <c r="C269" s="35">
        <f>'GF + UG Iteration 6'!C269</f>
        <v>51</v>
      </c>
      <c r="D269" s="36">
        <f>'GF + UG Iteration 6'!P$16*(C269^'GF + UG Iteration 6'!P$15)</f>
        <v>24.243204615573855</v>
      </c>
      <c r="E269" s="37">
        <f>'GF + UG Iteration 6'!E269</f>
        <v>1974</v>
      </c>
      <c r="F269" s="35">
        <f>'GF + UG Iteration 6'!F269</f>
        <v>7</v>
      </c>
      <c r="G269" s="36">
        <f>'GF + UG Iteration 6'!G269</f>
        <v>0.19038861907506671</v>
      </c>
      <c r="H269" s="38">
        <f>'GF + UG Iteration 6'!H269</f>
        <v>2006</v>
      </c>
      <c r="I269" s="35">
        <f t="shared" si="30"/>
        <v>58</v>
      </c>
      <c r="J269" s="36">
        <f t="shared" si="31"/>
        <v>24.433593234648921</v>
      </c>
      <c r="K269" s="38">
        <f t="shared" si="32"/>
        <v>2006</v>
      </c>
      <c r="M269" s="21">
        <f t="shared" si="33"/>
        <v>4.0604430105464191</v>
      </c>
      <c r="N269" s="21">
        <f t="shared" si="34"/>
        <v>3.1959589573295419</v>
      </c>
    </row>
    <row r="270" spans="1:14" x14ac:dyDescent="0.2">
      <c r="A270" s="33">
        <f>'GF + UG Iteration 6'!A270</f>
        <v>1240</v>
      </c>
      <c r="B270" s="34" t="str">
        <f>'GF + UG Iteration 6'!B270</f>
        <v>UG</v>
      </c>
      <c r="C270" s="35">
        <f>'GF + UG Iteration 6'!C270</f>
        <v>9</v>
      </c>
      <c r="D270" s="36">
        <f>'GF + UG Iteration 6'!P$16*(C270^'GF + UG Iteration 6'!P$15)</f>
        <v>8.9940695770823673</v>
      </c>
      <c r="E270" s="37">
        <f>'GF + UG Iteration 6'!E270</f>
        <v>0</v>
      </c>
      <c r="F270" s="35">
        <f>'GF + UG Iteration 6'!F270</f>
        <v>12</v>
      </c>
      <c r="G270" s="36">
        <f>'GF + UG Iteration 6'!G270</f>
        <v>2.4762389627807444</v>
      </c>
      <c r="H270" s="38">
        <f>'GF + UG Iteration 6'!H270</f>
        <v>2013</v>
      </c>
      <c r="I270" s="35">
        <f t="shared" si="30"/>
        <v>21</v>
      </c>
      <c r="J270" s="36">
        <f t="shared" si="31"/>
        <v>11.470308539863112</v>
      </c>
      <c r="K270" s="38">
        <f t="shared" si="32"/>
        <v>2013</v>
      </c>
      <c r="M270" s="21">
        <f t="shared" si="33"/>
        <v>3.044522437723423</v>
      </c>
      <c r="N270" s="21">
        <f t="shared" si="34"/>
        <v>2.439761830506002</v>
      </c>
    </row>
    <row r="271" spans="1:14" x14ac:dyDescent="0.2">
      <c r="A271" s="33">
        <f>'GF + UG Iteration 6'!A271</f>
        <v>317</v>
      </c>
      <c r="B271" s="34" t="str">
        <f>'GF + UG Iteration 6'!B271</f>
        <v>UG</v>
      </c>
      <c r="C271" s="35">
        <f>'GF + UG Iteration 6'!C271</f>
        <v>26.67</v>
      </c>
      <c r="D271" s="36">
        <f>'GF + UG Iteration 6'!P$16*(C271^'GF + UG Iteration 6'!P$15)</f>
        <v>16.735774921058471</v>
      </c>
      <c r="E271" s="37">
        <f>'GF + UG Iteration 6'!E271</f>
        <v>1978</v>
      </c>
      <c r="F271" s="35">
        <f>'GF + UG Iteration 6'!F271</f>
        <v>8.4600000000000009</v>
      </c>
      <c r="G271" s="36">
        <f>'GF + UG Iteration 6'!G271</f>
        <v>3.7336154837609361</v>
      </c>
      <c r="H271" s="38">
        <f>'GF + UG Iteration 6'!H271</f>
        <v>2002</v>
      </c>
      <c r="I271" s="35">
        <f t="shared" si="30"/>
        <v>35.130000000000003</v>
      </c>
      <c r="J271" s="36">
        <f t="shared" si="31"/>
        <v>20.469390404819407</v>
      </c>
      <c r="K271" s="38">
        <f t="shared" si="32"/>
        <v>2002</v>
      </c>
      <c r="M271" s="21">
        <f t="shared" si="33"/>
        <v>3.5590554662777358</v>
      </c>
      <c r="N271" s="21">
        <f t="shared" si="34"/>
        <v>3.0189306192991081</v>
      </c>
    </row>
    <row r="272" spans="1:14" x14ac:dyDescent="0.2">
      <c r="A272" s="33">
        <f>'GF + UG Iteration 6'!A272</f>
        <v>1510</v>
      </c>
      <c r="B272" s="34" t="str">
        <f>'GF + UG Iteration 6'!B272</f>
        <v>UG</v>
      </c>
      <c r="C272" s="35">
        <f>'GF + UG Iteration 6'!C272</f>
        <v>35.130000000000003</v>
      </c>
      <c r="D272" s="36">
        <f>'GF + UG Iteration 6'!P$16*(C272^'GF + UG Iteration 6'!P$15)</f>
        <v>19.590509657156691</v>
      </c>
      <c r="E272" s="37">
        <f>'GF + UG Iteration 6'!E272</f>
        <v>1978</v>
      </c>
      <c r="F272" s="35">
        <f>'GF + UG Iteration 6'!F272</f>
        <v>0</v>
      </c>
      <c r="G272" s="36">
        <f>'GF + UG Iteration 6'!G272</f>
        <v>1.0378442790997116</v>
      </c>
      <c r="H272" s="38">
        <f>'GF + UG Iteration 6'!H272</f>
        <v>2014</v>
      </c>
      <c r="I272" s="35">
        <f t="shared" si="30"/>
        <v>35.130000000000003</v>
      </c>
      <c r="J272" s="36">
        <f t="shared" si="31"/>
        <v>20.628353936256403</v>
      </c>
      <c r="K272" s="38">
        <f t="shared" si="32"/>
        <v>2014</v>
      </c>
      <c r="M272" s="21">
        <f t="shared" si="33"/>
        <v>3.5590554662777358</v>
      </c>
      <c r="N272" s="21">
        <f t="shared" si="34"/>
        <v>3.0266665340915635</v>
      </c>
    </row>
    <row r="273" spans="1:14" x14ac:dyDescent="0.2">
      <c r="A273" s="33">
        <f>'GF + UG Iteration 6'!A273</f>
        <v>1678</v>
      </c>
      <c r="B273" s="34" t="str">
        <f>'GF + UG Iteration 6'!B273</f>
        <v>UG</v>
      </c>
      <c r="C273" s="35">
        <f>'GF + UG Iteration 6'!C273</f>
        <v>71.19</v>
      </c>
      <c r="D273" s="36">
        <f>'GF + UG Iteration 6'!P$16*(C273^'GF + UG Iteration 6'!P$15)</f>
        <v>29.335379034035338</v>
      </c>
      <c r="E273" s="37">
        <f>'GF + UG Iteration 6'!E273</f>
        <v>0</v>
      </c>
      <c r="F273" s="35">
        <f>'GF + UG Iteration 6'!F273</f>
        <v>3.8100000000000023</v>
      </c>
      <c r="G273" s="36">
        <f>'GF + UG Iteration 6'!G273</f>
        <v>0.1876880715541229</v>
      </c>
      <c r="H273" s="38">
        <f>'GF + UG Iteration 6'!H273</f>
        <v>2015</v>
      </c>
      <c r="I273" s="35">
        <f t="shared" si="30"/>
        <v>75</v>
      </c>
      <c r="J273" s="36">
        <f t="shared" si="31"/>
        <v>29.523067105589462</v>
      </c>
      <c r="K273" s="38">
        <f t="shared" si="32"/>
        <v>2015</v>
      </c>
      <c r="M273" s="21">
        <f t="shared" si="33"/>
        <v>4.3174881135363101</v>
      </c>
      <c r="N273" s="21">
        <f t="shared" si="34"/>
        <v>3.3851718935759547</v>
      </c>
    </row>
    <row r="274" spans="1:14" x14ac:dyDescent="0.2">
      <c r="A274" s="33">
        <f>'GF + UG Iteration 6'!A274</f>
        <v>409</v>
      </c>
      <c r="B274" s="34" t="str">
        <f>'GF + UG Iteration 6'!B274</f>
        <v>UG</v>
      </c>
      <c r="C274" s="35">
        <f>'GF + UG Iteration 6'!C274</f>
        <v>50.9</v>
      </c>
      <c r="D274" s="36">
        <f>'GF + UG Iteration 6'!P$16*(C274^'GF + UG Iteration 6'!P$15)</f>
        <v>24.216019790092194</v>
      </c>
      <c r="E274" s="37" t="str">
        <f>'GF + UG Iteration 6'!E274</f>
        <v>unknown</v>
      </c>
      <c r="F274" s="35">
        <f>'GF + UG Iteration 6'!F274</f>
        <v>0</v>
      </c>
      <c r="G274" s="36">
        <f>'GF + UG Iteration 6'!G274</f>
        <v>6.9500275644125207</v>
      </c>
      <c r="H274" s="38">
        <f>'GF + UG Iteration 6'!H274</f>
        <v>2004</v>
      </c>
      <c r="I274" s="35">
        <f t="shared" si="30"/>
        <v>50.9</v>
      </c>
      <c r="J274" s="36">
        <f t="shared" si="31"/>
        <v>31.166047354504713</v>
      </c>
      <c r="K274" s="38">
        <f t="shared" si="32"/>
        <v>2004</v>
      </c>
      <c r="M274" s="21">
        <f t="shared" si="33"/>
        <v>3.929862923556477</v>
      </c>
      <c r="N274" s="21">
        <f t="shared" si="34"/>
        <v>3.4393292764506427</v>
      </c>
    </row>
    <row r="275" spans="1:14" x14ac:dyDescent="0.2">
      <c r="A275" s="33">
        <f>'GF + UG Iteration 6'!A275</f>
        <v>620</v>
      </c>
      <c r="B275" s="34" t="str">
        <f>'GF + UG Iteration 6'!B275</f>
        <v>UG</v>
      </c>
      <c r="C275" s="35">
        <f>'GF + UG Iteration 6'!C275</f>
        <v>66.040000000000006</v>
      </c>
      <c r="D275" s="36">
        <f>'GF + UG Iteration 6'!P$16*(C275^'GF + UG Iteration 6'!P$15)</f>
        <v>28.102784549254146</v>
      </c>
      <c r="E275" s="37" t="str">
        <f>'GF + UG Iteration 6'!E275</f>
        <v>unknown</v>
      </c>
      <c r="F275" s="35">
        <f>'GF + UG Iteration 6'!F275</f>
        <v>1</v>
      </c>
      <c r="G275" s="36">
        <f>'GF + UG Iteration 6'!G275</f>
        <v>5.2327101351069411E-2</v>
      </c>
      <c r="H275" s="38">
        <f>'GF + UG Iteration 6'!H275</f>
        <v>2006</v>
      </c>
      <c r="I275" s="35">
        <f t="shared" si="30"/>
        <v>67.040000000000006</v>
      </c>
      <c r="J275" s="36">
        <f t="shared" si="31"/>
        <v>28.155111650605214</v>
      </c>
      <c r="K275" s="38">
        <f t="shared" si="32"/>
        <v>2006</v>
      </c>
      <c r="M275" s="21">
        <f t="shared" si="33"/>
        <v>4.2052894561738281</v>
      </c>
      <c r="N275" s="21">
        <f t="shared" si="34"/>
        <v>3.3377289242680748</v>
      </c>
    </row>
    <row r="276" spans="1:14" x14ac:dyDescent="0.2">
      <c r="A276" s="33">
        <f>'GF + UG Iteration 6'!A276</f>
        <v>1085</v>
      </c>
      <c r="B276" s="34" t="str">
        <f>'GF + UG Iteration 6'!B276</f>
        <v>UG</v>
      </c>
      <c r="C276" s="35">
        <f>'GF + UG Iteration 6'!C276</f>
        <v>67.040000000000006</v>
      </c>
      <c r="D276" s="36">
        <f>'GF + UG Iteration 6'!P$16*(C276^'GF + UG Iteration 6'!P$15)</f>
        <v>28.345258888610378</v>
      </c>
      <c r="E276" s="37" t="str">
        <f>'GF + UG Iteration 6'!E276</f>
        <v>unknown</v>
      </c>
      <c r="F276" s="35">
        <f>'GF + UG Iteration 6'!F276</f>
        <v>2</v>
      </c>
      <c r="G276" s="36">
        <f>'GF + UG Iteration 6'!G276</f>
        <v>7.9312358901564406E-2</v>
      </c>
      <c r="H276" s="38">
        <f>'GF + UG Iteration 6'!H276</f>
        <v>2010</v>
      </c>
      <c r="I276" s="35">
        <f t="shared" si="30"/>
        <v>69.040000000000006</v>
      </c>
      <c r="J276" s="36">
        <f t="shared" si="31"/>
        <v>28.424571247511942</v>
      </c>
      <c r="K276" s="38">
        <f t="shared" si="32"/>
        <v>2010</v>
      </c>
      <c r="M276" s="21">
        <f t="shared" si="33"/>
        <v>4.234686046775173</v>
      </c>
      <c r="N276" s="21">
        <f t="shared" si="34"/>
        <v>3.3472539558820995</v>
      </c>
    </row>
    <row r="277" spans="1:14" x14ac:dyDescent="0.2">
      <c r="A277" s="33">
        <f>'GF + UG Iteration 6'!A277</f>
        <v>589</v>
      </c>
      <c r="B277" s="34" t="str">
        <f>'GF + UG Iteration 6'!B277</f>
        <v>UG</v>
      </c>
      <c r="C277" s="35">
        <f>'GF + UG Iteration 6'!C277</f>
        <v>36.963000000000001</v>
      </c>
      <c r="D277" s="36">
        <f>'GF + UG Iteration 6'!P$16*(C277^'GF + UG Iteration 6'!P$15)</f>
        <v>20.168461567252965</v>
      </c>
      <c r="E277" s="37">
        <f>'GF + UG Iteration 6'!E277</f>
        <v>1974</v>
      </c>
      <c r="F277" s="35">
        <f>'GF + UG Iteration 6'!F277</f>
        <v>0</v>
      </c>
      <c r="G277" s="36">
        <f>'GF + UG Iteration 6'!G277</f>
        <v>3.2007376892660457E-2</v>
      </c>
      <c r="H277" s="38">
        <f>'GF + UG Iteration 6'!H277</f>
        <v>2005</v>
      </c>
      <c r="I277" s="35">
        <f t="shared" si="30"/>
        <v>36.963000000000001</v>
      </c>
      <c r="J277" s="36">
        <f t="shared" si="31"/>
        <v>20.200468944145626</v>
      </c>
      <c r="K277" s="38">
        <f t="shared" si="32"/>
        <v>2005</v>
      </c>
      <c r="M277" s="21">
        <f t="shared" si="33"/>
        <v>3.609917412310641</v>
      </c>
      <c r="N277" s="21">
        <f t="shared" si="34"/>
        <v>3.0057058191944082</v>
      </c>
    </row>
    <row r="278" spans="1:14" x14ac:dyDescent="0.2">
      <c r="A278" s="33">
        <f>'GF + UG Iteration 6'!A278</f>
        <v>836</v>
      </c>
      <c r="B278" s="34" t="str">
        <f>'GF + UG Iteration 6'!B278</f>
        <v>UG</v>
      </c>
      <c r="C278" s="35">
        <f>'GF + UG Iteration 6'!C278</f>
        <v>33.963000000000001</v>
      </c>
      <c r="D278" s="36">
        <f>'GF + UG Iteration 6'!P$16*(C278^'GF + UG Iteration 6'!P$15)</f>
        <v>19.215803203264702</v>
      </c>
      <c r="E278" s="37">
        <f>'GF + UG Iteration 6'!E278</f>
        <v>1974</v>
      </c>
      <c r="F278" s="35">
        <f>'GF + UG Iteration 6'!F278</f>
        <v>10.036999999999999</v>
      </c>
      <c r="G278" s="36">
        <f>'GF + UG Iteration 6'!G278</f>
        <v>0.20824846319974696</v>
      </c>
      <c r="H278" s="38">
        <f>'GF + UG Iteration 6'!H278</f>
        <v>2008</v>
      </c>
      <c r="I278" s="35">
        <f t="shared" si="30"/>
        <v>44</v>
      </c>
      <c r="J278" s="36">
        <f t="shared" si="31"/>
        <v>19.42405166646445</v>
      </c>
      <c r="K278" s="38">
        <f t="shared" si="32"/>
        <v>2008</v>
      </c>
      <c r="M278" s="21">
        <f t="shared" si="33"/>
        <v>3.784189633918261</v>
      </c>
      <c r="N278" s="21">
        <f t="shared" si="34"/>
        <v>2.9665120748027332</v>
      </c>
    </row>
    <row r="279" spans="1:14" x14ac:dyDescent="0.2">
      <c r="A279" s="33">
        <f>'GF + UG Iteration 6'!A279</f>
        <v>1417</v>
      </c>
      <c r="B279" s="34" t="str">
        <f>'GF + UG Iteration 6'!B279</f>
        <v>UG</v>
      </c>
      <c r="C279" s="35">
        <f>'GF + UG Iteration 6'!C279</f>
        <v>53.176000000000002</v>
      </c>
      <c r="D279" s="36">
        <f>'GF + UG Iteration 6'!P$16*(C279^'GF + UG Iteration 6'!P$15)</f>
        <v>24.829201455224151</v>
      </c>
      <c r="E279" s="37">
        <f>'GF + UG Iteration 6'!E279</f>
        <v>0</v>
      </c>
      <c r="F279" s="35">
        <f>'GF + UG Iteration 6'!F279</f>
        <v>2.8239999999999981</v>
      </c>
      <c r="G279" s="36">
        <f>'GF + UG Iteration 6'!G279</f>
        <v>0.36631755287404399</v>
      </c>
      <c r="H279" s="38">
        <f>'GF + UG Iteration 6'!H279</f>
        <v>2013</v>
      </c>
      <c r="I279" s="35">
        <f t="shared" si="30"/>
        <v>56</v>
      </c>
      <c r="J279" s="36">
        <f t="shared" si="31"/>
        <v>25.195519008098195</v>
      </c>
      <c r="K279" s="38">
        <f t="shared" si="32"/>
        <v>2013</v>
      </c>
      <c r="M279" s="21">
        <f t="shared" si="33"/>
        <v>4.0253516907351496</v>
      </c>
      <c r="N279" s="21">
        <f t="shared" si="34"/>
        <v>3.2266661615670751</v>
      </c>
    </row>
    <row r="280" spans="1:14" x14ac:dyDescent="0.2">
      <c r="A280" s="33">
        <f>'GF + UG Iteration 6'!A280</f>
        <v>1575</v>
      </c>
      <c r="B280" s="34" t="str">
        <f>'GF + UG Iteration 6'!B280</f>
        <v>UG</v>
      </c>
      <c r="C280" s="35">
        <f>'GF + UG Iteration 6'!C280</f>
        <v>107.8</v>
      </c>
      <c r="D280" s="36">
        <f>'GF + UG Iteration 6'!P$16*(C280^'GF + UG Iteration 6'!P$15)</f>
        <v>37.187884350710689</v>
      </c>
      <c r="E280" s="37">
        <f>'GF + UG Iteration 6'!E280</f>
        <v>0</v>
      </c>
      <c r="F280" s="35">
        <f>'GF + UG Iteration 6'!F280</f>
        <v>2.2000000000000028</v>
      </c>
      <c r="G280" s="36">
        <f>'GF + UG Iteration 6'!G280</f>
        <v>8.4606138058298655E-2</v>
      </c>
      <c r="H280" s="38">
        <f>'GF + UG Iteration 6'!H280</f>
        <v>2014</v>
      </c>
      <c r="I280" s="35">
        <f t="shared" si="30"/>
        <v>110</v>
      </c>
      <c r="J280" s="36">
        <f t="shared" si="31"/>
        <v>37.272490488768987</v>
      </c>
      <c r="K280" s="38">
        <f t="shared" si="32"/>
        <v>2014</v>
      </c>
      <c r="M280" s="21">
        <f t="shared" si="33"/>
        <v>4.7004803657924166</v>
      </c>
      <c r="N280" s="21">
        <f t="shared" si="34"/>
        <v>3.6182555341394598</v>
      </c>
    </row>
    <row r="281" spans="1:14" x14ac:dyDescent="0.2">
      <c r="A281" s="33">
        <f>'GF + UG Iteration 6'!A281</f>
        <v>1480</v>
      </c>
      <c r="B281" s="34" t="str">
        <f>'GF + UG Iteration 6'!B281</f>
        <v>UG</v>
      </c>
      <c r="C281" s="35">
        <f>'GF + UG Iteration 6'!C281</f>
        <v>92</v>
      </c>
      <c r="D281" s="36">
        <f>'GF + UG Iteration 6'!P$16*(C281^'GF + UG Iteration 6'!P$15)</f>
        <v>33.966814121485513</v>
      </c>
      <c r="E281" s="37">
        <f>'GF + UG Iteration 6'!E281</f>
        <v>0</v>
      </c>
      <c r="F281" s="35">
        <f>'GF + UG Iteration 6'!F281</f>
        <v>9</v>
      </c>
      <c r="G281" s="36">
        <f>'GF + UG Iteration 6'!G281</f>
        <v>1.4186292000498641</v>
      </c>
      <c r="H281" s="38">
        <f>'GF + UG Iteration 6'!H281</f>
        <v>2015</v>
      </c>
      <c r="I281" s="35">
        <f t="shared" si="30"/>
        <v>101</v>
      </c>
      <c r="J281" s="36">
        <f t="shared" si="31"/>
        <v>35.385443321535377</v>
      </c>
      <c r="K281" s="38">
        <f t="shared" si="32"/>
        <v>2015</v>
      </c>
      <c r="M281" s="21">
        <f t="shared" si="33"/>
        <v>4.6151205168412597</v>
      </c>
      <c r="N281" s="21">
        <f t="shared" si="34"/>
        <v>3.566300529965174</v>
      </c>
    </row>
    <row r="282" spans="1:14" x14ac:dyDescent="0.2">
      <c r="A282" s="33">
        <f>'GF + UG Iteration 6'!A282</f>
        <v>1644</v>
      </c>
      <c r="B282" s="34" t="str">
        <f>'GF + UG Iteration 6'!B282</f>
        <v>UG</v>
      </c>
      <c r="C282" s="35">
        <f>'GF + UG Iteration 6'!C282</f>
        <v>25</v>
      </c>
      <c r="D282" s="36">
        <f>'GF + UG Iteration 6'!P$16*(C282^'GF + UG Iteration 6'!P$15)</f>
        <v>16.128441312155193</v>
      </c>
      <c r="E282" s="37">
        <f>'GF + UG Iteration 6'!E282</f>
        <v>0</v>
      </c>
      <c r="F282" s="35">
        <f>'GF + UG Iteration 6'!F282</f>
        <v>14</v>
      </c>
      <c r="G282" s="36">
        <f>'GF + UG Iteration 6'!G282</f>
        <v>6.4881768587089867</v>
      </c>
      <c r="H282" s="38">
        <f>'GF + UG Iteration 6'!H282</f>
        <v>2016</v>
      </c>
      <c r="I282" s="35">
        <f t="shared" si="30"/>
        <v>39</v>
      </c>
      <c r="J282" s="36">
        <f t="shared" si="31"/>
        <v>22.616618170864179</v>
      </c>
      <c r="K282" s="38">
        <f t="shared" si="32"/>
        <v>2016</v>
      </c>
      <c r="M282" s="21">
        <f t="shared" si="33"/>
        <v>3.6635616461296463</v>
      </c>
      <c r="N282" s="21">
        <f t="shared" si="34"/>
        <v>3.1186849533598067</v>
      </c>
    </row>
    <row r="283" spans="1:14" x14ac:dyDescent="0.2">
      <c r="A283" s="33">
        <f>'GF + UG Iteration 6'!A283</f>
        <v>1276</v>
      </c>
      <c r="B283" s="34" t="str">
        <f>'GF + UG Iteration 6'!B283</f>
        <v>UG</v>
      </c>
      <c r="C283" s="35">
        <f>'GF + UG Iteration 6'!C283</f>
        <v>34</v>
      </c>
      <c r="D283" s="36">
        <f>'GF + UG Iteration 6'!P$16*(C283^'GF + UG Iteration 6'!P$15)</f>
        <v>19.227767222651682</v>
      </c>
      <c r="E283" s="37" t="str">
        <f>'GF + UG Iteration 6'!E283</f>
        <v>unknown</v>
      </c>
      <c r="F283" s="35">
        <f>'GF + UG Iteration 6'!F283</f>
        <v>4</v>
      </c>
      <c r="G283" s="36">
        <f>'GF + UG Iteration 6'!G283</f>
        <v>0.69755192087391271</v>
      </c>
      <c r="H283" s="38">
        <f>'GF + UG Iteration 6'!H283</f>
        <v>2012</v>
      </c>
      <c r="I283" s="35">
        <f t="shared" si="30"/>
        <v>38</v>
      </c>
      <c r="J283" s="36">
        <f t="shared" si="31"/>
        <v>19.925319143525595</v>
      </c>
      <c r="K283" s="38">
        <f t="shared" si="32"/>
        <v>2012</v>
      </c>
      <c r="M283" s="21">
        <f t="shared" si="33"/>
        <v>3.6375861597263857</v>
      </c>
      <c r="N283" s="21">
        <f t="shared" si="34"/>
        <v>2.9919912417889374</v>
      </c>
    </row>
    <row r="284" spans="1:14" x14ac:dyDescent="0.2">
      <c r="A284" s="33">
        <f>'GF + UG Iteration 6'!A284</f>
        <v>823</v>
      </c>
      <c r="B284" s="34" t="str">
        <f>'GF + UG Iteration 6'!B284</f>
        <v>UG</v>
      </c>
      <c r="C284" s="35">
        <f>'GF + UG Iteration 6'!C284</f>
        <v>10</v>
      </c>
      <c r="D284" s="36">
        <f>'GF + UG Iteration 6'!P$16*(C284^'GF + UG Iteration 6'!P$15)</f>
        <v>9.5524142840776953</v>
      </c>
      <c r="E284" s="37" t="str">
        <f>'GF + UG Iteration 6'!E284</f>
        <v>unknown</v>
      </c>
      <c r="F284" s="35">
        <f>'GF + UG Iteration 6'!F284</f>
        <v>25</v>
      </c>
      <c r="G284" s="36">
        <f>'GF + UG Iteration 6'!G284</f>
        <v>8.3156614233786232</v>
      </c>
      <c r="H284" s="38">
        <f>'GF + UG Iteration 6'!H284</f>
        <v>2009</v>
      </c>
      <c r="I284" s="35">
        <f t="shared" si="30"/>
        <v>35</v>
      </c>
      <c r="J284" s="36">
        <f t="shared" si="31"/>
        <v>17.86807570745632</v>
      </c>
      <c r="K284" s="38">
        <f t="shared" si="32"/>
        <v>2009</v>
      </c>
      <c r="M284" s="21">
        <f t="shared" si="33"/>
        <v>3.5553480614894135</v>
      </c>
      <c r="N284" s="21">
        <f t="shared" si="34"/>
        <v>2.8830156405223288</v>
      </c>
    </row>
    <row r="285" spans="1:14" x14ac:dyDescent="0.2">
      <c r="A285" s="33">
        <f>'GF + UG Iteration 6'!A285</f>
        <v>1601</v>
      </c>
      <c r="B285" s="34" t="str">
        <f>'GF + UG Iteration 6'!B285</f>
        <v>UG</v>
      </c>
      <c r="C285" s="35">
        <f>'GF + UG Iteration 6'!C285</f>
        <v>77</v>
      </c>
      <c r="D285" s="36">
        <f>'GF + UG Iteration 6'!P$16*(C285^'GF + UG Iteration 6'!P$15)</f>
        <v>30.680931384717223</v>
      </c>
      <c r="E285" s="37">
        <f>'GF + UG Iteration 6'!E285</f>
        <v>0</v>
      </c>
      <c r="F285" s="35">
        <f>'GF + UG Iteration 6'!F285</f>
        <v>0</v>
      </c>
      <c r="G285" s="36">
        <f>'GF + UG Iteration 6'!G285</f>
        <v>4.0094648670350015</v>
      </c>
      <c r="H285" s="38">
        <f>'GF + UG Iteration 6'!H285</f>
        <v>2015</v>
      </c>
      <c r="I285" s="35">
        <f t="shared" si="30"/>
        <v>77</v>
      </c>
      <c r="J285" s="36">
        <f t="shared" si="31"/>
        <v>34.690396251752226</v>
      </c>
      <c r="K285" s="38">
        <f t="shared" si="32"/>
        <v>2015</v>
      </c>
      <c r="M285" s="21">
        <f t="shared" si="33"/>
        <v>4.3438054218536841</v>
      </c>
      <c r="N285" s="21">
        <f t="shared" si="34"/>
        <v>3.5464628835671044</v>
      </c>
    </row>
    <row r="286" spans="1:14" x14ac:dyDescent="0.2">
      <c r="A286" s="33">
        <f>'GF + UG Iteration 6'!A286</f>
        <v>1046</v>
      </c>
      <c r="B286" s="34" t="str">
        <f>'GF + UG Iteration 6'!B286</f>
        <v>UG</v>
      </c>
      <c r="C286" s="35">
        <f>'GF + UG Iteration 6'!C286</f>
        <v>33</v>
      </c>
      <c r="D286" s="36">
        <f>'GF + UG Iteration 6'!P$16*(C286^'GF + UG Iteration 6'!P$15)</f>
        <v>18.902425255833883</v>
      </c>
      <c r="E286" s="37" t="str">
        <f>'GF + UG Iteration 6'!E286</f>
        <v>unknown</v>
      </c>
      <c r="F286" s="35">
        <f>'GF + UG Iteration 6'!F286</f>
        <v>17</v>
      </c>
      <c r="G286" s="36">
        <f>'GF + UG Iteration 6'!G286</f>
        <v>13.838101419471103</v>
      </c>
      <c r="H286" s="38">
        <f>'GF + UG Iteration 6'!H286</f>
        <v>2011</v>
      </c>
      <c r="I286" s="35">
        <f t="shared" si="30"/>
        <v>50</v>
      </c>
      <c r="J286" s="36">
        <f t="shared" si="31"/>
        <v>32.740526675304984</v>
      </c>
      <c r="K286" s="38">
        <f t="shared" si="32"/>
        <v>2011</v>
      </c>
      <c r="M286" s="21">
        <f t="shared" si="33"/>
        <v>3.912023005428146</v>
      </c>
      <c r="N286" s="21">
        <f t="shared" si="34"/>
        <v>3.4886136584142418</v>
      </c>
    </row>
    <row r="287" spans="1:14" x14ac:dyDescent="0.2">
      <c r="A287" s="33">
        <f>'GF + UG Iteration 6'!A287</f>
        <v>873</v>
      </c>
      <c r="B287" s="34" t="str">
        <f>'GF + UG Iteration 6'!B287</f>
        <v>UG</v>
      </c>
      <c r="C287" s="35">
        <f>'GF + UG Iteration 6'!C287</f>
        <v>38</v>
      </c>
      <c r="D287" s="36">
        <f>'GF + UG Iteration 6'!P$16*(C287^'GF + UG Iteration 6'!P$15)</f>
        <v>20.489994538221236</v>
      </c>
      <c r="E287" s="37" t="str">
        <f>'GF + UG Iteration 6'!E287</f>
        <v>unknown</v>
      </c>
      <c r="F287" s="35">
        <f>'GF + UG Iteration 6'!F287</f>
        <v>10</v>
      </c>
      <c r="G287" s="36">
        <f>'GF + UG Iteration 6'!G287</f>
        <v>10.835025062169574</v>
      </c>
      <c r="H287" s="38">
        <f>'GF + UG Iteration 6'!H287</f>
        <v>2011</v>
      </c>
      <c r="I287" s="35">
        <f t="shared" si="30"/>
        <v>48</v>
      </c>
      <c r="J287" s="36">
        <f t="shared" si="31"/>
        <v>31.32501960039081</v>
      </c>
      <c r="K287" s="38">
        <f t="shared" si="32"/>
        <v>2011</v>
      </c>
      <c r="M287" s="21">
        <f t="shared" si="33"/>
        <v>3.8712010109078911</v>
      </c>
      <c r="N287" s="21">
        <f t="shared" si="34"/>
        <v>3.4444171264927363</v>
      </c>
    </row>
    <row r="288" spans="1:14" x14ac:dyDescent="0.2">
      <c r="A288" s="33">
        <f>'GF + UG Iteration 6'!A288</f>
        <v>630</v>
      </c>
      <c r="B288" s="34" t="str">
        <f>'GF + UG Iteration 6'!B288</f>
        <v>UG</v>
      </c>
      <c r="C288" s="35">
        <f>'GF + UG Iteration 6'!C288</f>
        <v>36.4</v>
      </c>
      <c r="D288" s="36">
        <f>'GF + UG Iteration 6'!P$16*(C288^'GF + UG Iteration 6'!P$15)</f>
        <v>19.992278995429469</v>
      </c>
      <c r="E288" s="37" t="str">
        <f>'GF + UG Iteration 6'!E288</f>
        <v>unknown</v>
      </c>
      <c r="F288" s="35">
        <f>'GF + UG Iteration 6'!F288</f>
        <v>3.6000000000000014</v>
      </c>
      <c r="G288" s="36">
        <f>'GF + UG Iteration 6'!G288</f>
        <v>0.76181860016629799</v>
      </c>
      <c r="H288" s="38">
        <f>'GF + UG Iteration 6'!H288</f>
        <v>2007</v>
      </c>
      <c r="I288" s="35">
        <f t="shared" si="30"/>
        <v>40</v>
      </c>
      <c r="J288" s="36">
        <f t="shared" si="31"/>
        <v>20.754097595595766</v>
      </c>
      <c r="K288" s="38">
        <f t="shared" si="32"/>
        <v>2007</v>
      </c>
      <c r="M288" s="21">
        <f t="shared" si="33"/>
        <v>3.6888794541139363</v>
      </c>
      <c r="N288" s="21">
        <f t="shared" si="34"/>
        <v>3.0327437016677306</v>
      </c>
    </row>
    <row r="289" spans="1:20" x14ac:dyDescent="0.2">
      <c r="A289" s="33">
        <f>'GF + UG Iteration 6'!A289</f>
        <v>1107</v>
      </c>
      <c r="B289" s="34" t="str">
        <f>'GF + UG Iteration 6'!B289</f>
        <v>UG</v>
      </c>
      <c r="C289" s="35">
        <f>'GF + UG Iteration 6'!C289</f>
        <v>16</v>
      </c>
      <c r="D289" s="36">
        <f>'GF + UG Iteration 6'!P$16*(C289^'GF + UG Iteration 6'!P$15)</f>
        <v>12.496739534340005</v>
      </c>
      <c r="E289" s="37">
        <f>'GF + UG Iteration 6'!E289</f>
        <v>2010</v>
      </c>
      <c r="F289" s="35">
        <f>'GF + UG Iteration 6'!F289</f>
        <v>24</v>
      </c>
      <c r="G289" s="36">
        <f>'GF + UG Iteration 6'!G289</f>
        <v>7.7000094501504579</v>
      </c>
      <c r="H289" s="38">
        <f>'GF + UG Iteration 6'!H289</f>
        <v>2014</v>
      </c>
      <c r="I289" s="35">
        <f t="shared" si="30"/>
        <v>40</v>
      </c>
      <c r="J289" s="36">
        <f t="shared" si="31"/>
        <v>20.196748984490462</v>
      </c>
      <c r="K289" s="38">
        <f t="shared" si="32"/>
        <v>2014</v>
      </c>
      <c r="M289" s="21">
        <f t="shared" si="33"/>
        <v>3.6888794541139363</v>
      </c>
      <c r="N289" s="21">
        <f t="shared" si="34"/>
        <v>3.0055216500928501</v>
      </c>
    </row>
    <row r="290" spans="1:20" x14ac:dyDescent="0.2">
      <c r="A290" s="33">
        <f>'GF + UG Iteration 6'!A290</f>
        <v>682</v>
      </c>
      <c r="B290" s="34" t="str">
        <f>'GF + UG Iteration 6'!B290</f>
        <v>UG</v>
      </c>
      <c r="C290" s="35">
        <f>'GF + UG Iteration 6'!C290</f>
        <v>12</v>
      </c>
      <c r="D290" s="36">
        <f>'GF + UG Iteration 6'!P$16*(C290^'GF + UG Iteration 6'!P$15)</f>
        <v>10.601723673937647</v>
      </c>
      <c r="E290" s="37">
        <f>'GF + UG Iteration 6'!E290</f>
        <v>2005</v>
      </c>
      <c r="F290" s="35">
        <f>'GF + UG Iteration 6'!F290</f>
        <v>18</v>
      </c>
      <c r="G290" s="36">
        <f>'GF + UG Iteration 6'!G290</f>
        <v>4.2252233548626927</v>
      </c>
      <c r="H290" s="38">
        <f>'GF + UG Iteration 6'!H290</f>
        <v>2009</v>
      </c>
      <c r="I290" s="35">
        <f t="shared" ref="I290:I291" si="35">C290+F290</f>
        <v>30</v>
      </c>
      <c r="J290" s="36">
        <f t="shared" ref="J290:J291" si="36">D290+G290</f>
        <v>14.82694702880034</v>
      </c>
      <c r="K290" s="38">
        <f t="shared" ref="K290:K291" si="37">MAX(E290,H290)</f>
        <v>2009</v>
      </c>
      <c r="M290" s="21">
        <f t="shared" ref="M290:M291" si="38">LN(I290)</f>
        <v>3.4011973816621555</v>
      </c>
      <c r="N290" s="21">
        <f t="shared" ref="N290:N291" si="39">LN(J290)</f>
        <v>2.6964462704120082</v>
      </c>
    </row>
    <row r="291" spans="1:20" x14ac:dyDescent="0.2">
      <c r="A291" s="33">
        <f>'GF + UG Iteration 6'!A291</f>
        <v>677</v>
      </c>
      <c r="B291" s="34" t="str">
        <f>'GF + UG Iteration 6'!B291</f>
        <v>UG</v>
      </c>
      <c r="C291" s="35">
        <f>'GF + UG Iteration 6'!C291</f>
        <v>117</v>
      </c>
      <c r="D291" s="36">
        <f>'GF + UG Iteration 6'!P$16*(C291^'GF + UG Iteration 6'!P$15)</f>
        <v>38.970243797744246</v>
      </c>
      <c r="E291" s="37" t="str">
        <f>'GF + UG Iteration 6'!E291</f>
        <v>unknown</v>
      </c>
      <c r="F291" s="35">
        <f>'GF + UG Iteration 6'!F291</f>
        <v>0</v>
      </c>
      <c r="G291" s="36">
        <f>'GF + UG Iteration 6'!G291</f>
        <v>5.9672660834890454</v>
      </c>
      <c r="H291" s="38">
        <f>'GF + UG Iteration 6'!H291</f>
        <v>2009</v>
      </c>
      <c r="I291" s="35">
        <f t="shared" si="35"/>
        <v>117</v>
      </c>
      <c r="J291" s="36">
        <f t="shared" si="36"/>
        <v>44.937509881233289</v>
      </c>
      <c r="K291" s="38">
        <f t="shared" si="37"/>
        <v>2009</v>
      </c>
      <c r="M291" s="21">
        <f t="shared" si="38"/>
        <v>4.7621739347977563</v>
      </c>
      <c r="N291" s="21">
        <f t="shared" si="39"/>
        <v>3.8052728553696036</v>
      </c>
    </row>
    <row r="292" spans="1:20" x14ac:dyDescent="0.2">
      <c r="A292" s="33">
        <f>'GF + UG Iteration 6'!A292</f>
        <v>643</v>
      </c>
      <c r="B292" s="34" t="str">
        <f>'GF + UG Iteration 6'!B292</f>
        <v>UG</v>
      </c>
      <c r="C292" s="35">
        <f>'GF + UG Iteration 6'!C292</f>
        <v>53.37</v>
      </c>
      <c r="D292" s="36">
        <f>'GF + UG Iteration 6'!P$16*(C292^'GF + UG Iteration 6'!P$15)</f>
        <v>24.880942370074511</v>
      </c>
      <c r="E292" s="37" t="str">
        <f>'GF + UG Iteration 6'!E292</f>
        <v>unknown</v>
      </c>
      <c r="F292" s="35">
        <f>'GF + UG Iteration 6'!F292</f>
        <v>0.5</v>
      </c>
      <c r="G292" s="36">
        <f>'GF + UG Iteration 6'!G292</f>
        <v>4.4086715648995529</v>
      </c>
      <c r="H292" s="38">
        <f>'GF + UG Iteration 6'!H292</f>
        <v>2009</v>
      </c>
      <c r="I292" s="35">
        <f t="shared" si="30"/>
        <v>53.87</v>
      </c>
      <c r="J292" s="36">
        <f t="shared" si="31"/>
        <v>29.289613934974064</v>
      </c>
      <c r="K292" s="38">
        <f t="shared" si="32"/>
        <v>2009</v>
      </c>
      <c r="M292" s="21">
        <f t="shared" si="33"/>
        <v>3.9865737366924425</v>
      </c>
      <c r="N292" s="21">
        <f t="shared" si="34"/>
        <v>3.3772329799734666</v>
      </c>
    </row>
    <row r="294" spans="1:20" s="9" customFormat="1" x14ac:dyDescent="0.2">
      <c r="A294" s="26" t="s">
        <v>29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42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8" activePane="bottomLeft" state="frozen"/>
      <selection activeCell="A4" sqref="A4"/>
      <selection pane="bottomLeft" activeCell="A8" sqref="A8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54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G - Point of Delivery Cost Function Workbook</v>
      </c>
    </row>
    <row r="4" spans="1:20" s="1" customFormat="1" x14ac:dyDescent="0.2">
      <c r="A4" s="1" t="s">
        <v>976</v>
      </c>
      <c r="B4" s="42"/>
    </row>
    <row r="5" spans="1:20" s="1" customFormat="1" x14ac:dyDescent="0.2">
      <c r="A5" s="43" t="str">
        <f>TableDate</f>
        <v>August 17, 2018</v>
      </c>
      <c r="B5" s="44"/>
    </row>
    <row r="6" spans="1:20" x14ac:dyDescent="0.2">
      <c r="E6" s="28"/>
    </row>
    <row r="7" spans="1:20" ht="25.5" x14ac:dyDescent="0.2">
      <c r="A7" s="10" t="s">
        <v>0</v>
      </c>
      <c r="B7" s="11" t="s">
        <v>7</v>
      </c>
      <c r="C7" s="12" t="s">
        <v>8</v>
      </c>
      <c r="D7" s="13" t="s">
        <v>30</v>
      </c>
      <c r="E7" s="14" t="s">
        <v>10</v>
      </c>
      <c r="F7" s="12" t="s">
        <v>11</v>
      </c>
      <c r="G7" s="13" t="s">
        <v>12</v>
      </c>
      <c r="H7" s="14" t="s">
        <v>13</v>
      </c>
      <c r="I7" s="12" t="s">
        <v>2</v>
      </c>
      <c r="J7" s="13" t="s">
        <v>14</v>
      </c>
      <c r="K7" s="14" t="s">
        <v>15</v>
      </c>
      <c r="M7" s="11" t="s">
        <v>16</v>
      </c>
      <c r="N7" s="11" t="s">
        <v>17</v>
      </c>
      <c r="P7" s="41" t="s">
        <v>53</v>
      </c>
      <c r="Q7" s="15"/>
      <c r="T7" s="3"/>
    </row>
    <row r="8" spans="1:20" x14ac:dyDescent="0.2">
      <c r="A8" s="25">
        <f>'GF + UG Iteration 7'!A8</f>
        <v>476</v>
      </c>
      <c r="B8" s="25" t="str">
        <f>'GF + UG Iteration 7'!B8</f>
        <v>GF</v>
      </c>
      <c r="C8" s="18">
        <f>'GF + UG Iteration 7'!C8</f>
        <v>14</v>
      </c>
      <c r="D8" s="19">
        <f>'GF + UG Iteration 7'!D8</f>
        <v>16.861812370959647</v>
      </c>
      <c r="E8" s="30">
        <f>'GF + UG Iteration 7'!E8</f>
        <v>2003</v>
      </c>
      <c r="F8" s="18"/>
      <c r="G8" s="19"/>
      <c r="H8" s="20"/>
      <c r="I8" s="18">
        <f>C8+F8</f>
        <v>14</v>
      </c>
      <c r="J8" s="19">
        <f>D8+G8</f>
        <v>16.861812370959647</v>
      </c>
      <c r="K8" s="20">
        <f>MAX(E8,H8)</f>
        <v>2003</v>
      </c>
      <c r="M8" s="21">
        <f>LN(I8)</f>
        <v>2.6390573296152584</v>
      </c>
      <c r="N8" s="21">
        <f>LN(J8)</f>
        <v>2.8250514421084625</v>
      </c>
      <c r="O8" s="3" t="s">
        <v>19</v>
      </c>
      <c r="P8" s="22">
        <f t="array" ref="P8:Q12">LINEST(N8:N292,M8:M292,TRUE,TRUE)</f>
        <v>0.57243284248508453</v>
      </c>
      <c r="Q8" s="22">
        <v>0.93828829361100752</v>
      </c>
      <c r="R8" s="5" t="s">
        <v>20</v>
      </c>
    </row>
    <row r="9" spans="1:20" x14ac:dyDescent="0.2">
      <c r="A9" s="25">
        <f>'GF + UG Iteration 7'!A9</f>
        <v>478</v>
      </c>
      <c r="B9" s="25" t="str">
        <f>'GF + UG Iteration 7'!B9</f>
        <v>GF</v>
      </c>
      <c r="C9" s="18">
        <f>'GF + UG Iteration 7'!C9</f>
        <v>8.5</v>
      </c>
      <c r="D9" s="19">
        <f>'GF + UG Iteration 7'!D9</f>
        <v>6.0182252638842719</v>
      </c>
      <c r="E9" s="30">
        <f>'GF + UG Iteration 7'!E9</f>
        <v>2003</v>
      </c>
      <c r="F9" s="18"/>
      <c r="G9" s="19"/>
      <c r="H9" s="20"/>
      <c r="I9" s="18">
        <f t="shared" ref="I9:I71" si="0">C9+F9</f>
        <v>8.5</v>
      </c>
      <c r="J9" s="19">
        <f t="shared" ref="J9:J71" si="1">D9+G9</f>
        <v>6.0182252638842719</v>
      </c>
      <c r="K9" s="20">
        <f t="shared" ref="K9:K71" si="2">MAX(E9,H9)</f>
        <v>2003</v>
      </c>
      <c r="M9" s="21">
        <f t="shared" ref="M9:M71" si="3">LN(I9)</f>
        <v>2.1400661634962708</v>
      </c>
      <c r="N9" s="21">
        <f t="shared" ref="N9:N71" si="4">LN(J9)</f>
        <v>1.7947924091929603</v>
      </c>
      <c r="O9" s="3" t="s">
        <v>21</v>
      </c>
      <c r="P9" s="22">
        <v>3.2092566408548337E-2</v>
      </c>
      <c r="Q9" s="22">
        <v>0.1023341782192899</v>
      </c>
      <c r="R9" s="5" t="s">
        <v>22</v>
      </c>
    </row>
    <row r="10" spans="1:20" x14ac:dyDescent="0.2">
      <c r="A10" s="25">
        <f>'GF + UG Iteration 7'!A10</f>
        <v>473</v>
      </c>
      <c r="B10" s="25" t="str">
        <f>'GF + UG Iteration 7'!B10</f>
        <v>GF</v>
      </c>
      <c r="C10" s="18">
        <f>'GF + UG Iteration 7'!C10</f>
        <v>30</v>
      </c>
      <c r="D10" s="19">
        <f>'GF + UG Iteration 7'!D10</f>
        <v>14.998991377977235</v>
      </c>
      <c r="E10" s="30">
        <f>'GF + UG Iteration 7'!E10</f>
        <v>2003</v>
      </c>
      <c r="F10" s="18"/>
      <c r="G10" s="19"/>
      <c r="H10" s="20"/>
      <c r="I10" s="18">
        <f t="shared" si="0"/>
        <v>30</v>
      </c>
      <c r="J10" s="19">
        <f t="shared" si="1"/>
        <v>14.998991377977235</v>
      </c>
      <c r="K10" s="20">
        <f t="shared" si="2"/>
        <v>2003</v>
      </c>
      <c r="M10" s="21">
        <f t="shared" si="3"/>
        <v>3.4011973816621555</v>
      </c>
      <c r="N10" s="21">
        <f t="shared" si="4"/>
        <v>2.707982957373217</v>
      </c>
      <c r="O10" s="3" t="s">
        <v>1</v>
      </c>
      <c r="P10" s="22">
        <v>0.52924037081758424</v>
      </c>
      <c r="Q10" s="22">
        <v>0.39313951322099522</v>
      </c>
      <c r="R10" s="5" t="s">
        <v>23</v>
      </c>
    </row>
    <row r="11" spans="1:20" x14ac:dyDescent="0.2">
      <c r="A11" s="25">
        <f>'GF + UG Iteration 7'!A11</f>
        <v>1042</v>
      </c>
      <c r="B11" s="25" t="str">
        <f>'GF + UG Iteration 7'!B11</f>
        <v>GF</v>
      </c>
      <c r="C11" s="18">
        <f>'GF + UG Iteration 7'!C11</f>
        <v>13</v>
      </c>
      <c r="D11" s="19">
        <f>'GF + UG Iteration 7'!D11</f>
        <v>11.164764224012115</v>
      </c>
      <c r="E11" s="30">
        <f>'GF + UG Iteration 7'!E11</f>
        <v>2011</v>
      </c>
      <c r="F11" s="18"/>
      <c r="G11" s="19"/>
      <c r="H11" s="20"/>
      <c r="I11" s="18">
        <f t="shared" si="0"/>
        <v>13</v>
      </c>
      <c r="J11" s="19">
        <f t="shared" si="1"/>
        <v>11.164764224012115</v>
      </c>
      <c r="K11" s="20">
        <f t="shared" si="2"/>
        <v>2011</v>
      </c>
      <c r="M11" s="21">
        <f t="shared" si="3"/>
        <v>2.5649493574615367</v>
      </c>
      <c r="N11" s="21">
        <f t="shared" si="4"/>
        <v>2.4127627676497201</v>
      </c>
      <c r="O11" s="3" t="s">
        <v>24</v>
      </c>
      <c r="P11" s="22">
        <v>318.15605174448734</v>
      </c>
      <c r="Q11" s="22">
        <v>283</v>
      </c>
      <c r="R11" s="5" t="s">
        <v>25</v>
      </c>
    </row>
    <row r="12" spans="1:20" x14ac:dyDescent="0.2">
      <c r="A12" s="25">
        <f>'GF + UG Iteration 7'!A12</f>
        <v>443</v>
      </c>
      <c r="B12" s="25" t="str">
        <f>'GF + UG Iteration 7'!B12</f>
        <v>GF</v>
      </c>
      <c r="C12" s="18">
        <f>'GF + UG Iteration 7'!C12</f>
        <v>24.3</v>
      </c>
      <c r="D12" s="19">
        <f>'GF + UG Iteration 7'!D12</f>
        <v>11.705577131494863</v>
      </c>
      <c r="E12" s="30">
        <f>'GF + UG Iteration 7'!E12</f>
        <v>2006</v>
      </c>
      <c r="F12" s="18"/>
      <c r="G12" s="19"/>
      <c r="H12" s="20"/>
      <c r="I12" s="18">
        <f t="shared" si="0"/>
        <v>24.3</v>
      </c>
      <c r="J12" s="19">
        <f t="shared" si="1"/>
        <v>11.705577131494863</v>
      </c>
      <c r="K12" s="20">
        <f t="shared" si="2"/>
        <v>2006</v>
      </c>
      <c r="M12" s="21">
        <f t="shared" si="3"/>
        <v>3.1904763503465028</v>
      </c>
      <c r="N12" s="21">
        <f t="shared" si="4"/>
        <v>2.4600654061344325</v>
      </c>
      <c r="O12" s="3" t="s">
        <v>26</v>
      </c>
      <c r="P12" s="22">
        <v>49.173778391242834</v>
      </c>
      <c r="Q12" s="22">
        <v>43.740105550146424</v>
      </c>
      <c r="R12" s="5" t="s">
        <v>27</v>
      </c>
    </row>
    <row r="13" spans="1:20" x14ac:dyDescent="0.2">
      <c r="A13" s="25">
        <f>'GF + UG Iteration 7'!A13</f>
        <v>1195</v>
      </c>
      <c r="B13" s="25" t="str">
        <f>'GF + UG Iteration 7'!B13</f>
        <v>GF</v>
      </c>
      <c r="C13" s="18">
        <f>'GF + UG Iteration 7'!C13</f>
        <v>18</v>
      </c>
      <c r="D13" s="19">
        <f>'GF + UG Iteration 7'!D13</f>
        <v>31.659927445331629</v>
      </c>
      <c r="E13" s="30">
        <f>'GF + UG Iteration 7'!E13</f>
        <v>2011</v>
      </c>
      <c r="F13" s="18"/>
      <c r="G13" s="19"/>
      <c r="H13" s="20"/>
      <c r="I13" s="18">
        <f t="shared" si="0"/>
        <v>18</v>
      </c>
      <c r="J13" s="19">
        <f t="shared" si="1"/>
        <v>31.659927445331629</v>
      </c>
      <c r="K13" s="20">
        <f t="shared" si="2"/>
        <v>2011</v>
      </c>
      <c r="M13" s="21">
        <f t="shared" si="3"/>
        <v>2.8903717578961645</v>
      </c>
      <c r="N13" s="21">
        <f t="shared" si="4"/>
        <v>3.4550517627677269</v>
      </c>
    </row>
    <row r="14" spans="1:20" x14ac:dyDescent="0.2">
      <c r="A14" s="25">
        <f>'GF + UG Iteration 7'!A14</f>
        <v>420</v>
      </c>
      <c r="B14" s="25" t="str">
        <f>'GF + UG Iteration 7'!B14</f>
        <v>GF</v>
      </c>
      <c r="C14" s="18">
        <f>'GF + UG Iteration 7'!C14</f>
        <v>6</v>
      </c>
      <c r="D14" s="19">
        <f>'GF + UG Iteration 7'!D14</f>
        <v>9.6396451057157435</v>
      </c>
      <c r="E14" s="30">
        <f>'GF + UG Iteration 7'!E14</f>
        <v>2007</v>
      </c>
      <c r="F14" s="18"/>
      <c r="G14" s="19"/>
      <c r="H14" s="20"/>
      <c r="I14" s="18">
        <f t="shared" si="0"/>
        <v>6</v>
      </c>
      <c r="J14" s="19">
        <f t="shared" si="1"/>
        <v>9.6396451057157435</v>
      </c>
      <c r="K14" s="20">
        <f t="shared" si="2"/>
        <v>2007</v>
      </c>
      <c r="M14" s="21">
        <f t="shared" si="3"/>
        <v>1.791759469228055</v>
      </c>
      <c r="N14" s="21">
        <f t="shared" si="4"/>
        <v>2.2658842931849965</v>
      </c>
      <c r="P14" s="15" t="s">
        <v>6</v>
      </c>
      <c r="Q14" s="15"/>
    </row>
    <row r="15" spans="1:20" x14ac:dyDescent="0.2">
      <c r="A15" s="25">
        <f>'GF + UG Iteration 7'!A15</f>
        <v>440</v>
      </c>
      <c r="B15" s="25" t="str">
        <f>'GF + UG Iteration 7'!B15</f>
        <v>GF</v>
      </c>
      <c r="C15" s="18">
        <f>'GF + UG Iteration 7'!C15</f>
        <v>10</v>
      </c>
      <c r="D15" s="19">
        <f>'GF + UG Iteration 7'!D15</f>
        <v>16.009559216092757</v>
      </c>
      <c r="E15" s="30">
        <f>'GF + UG Iteration 7'!E15</f>
        <v>2006</v>
      </c>
      <c r="F15" s="18"/>
      <c r="G15" s="19"/>
      <c r="H15" s="20"/>
      <c r="I15" s="18">
        <f t="shared" si="0"/>
        <v>10</v>
      </c>
      <c r="J15" s="19">
        <f t="shared" si="1"/>
        <v>16.009559216092757</v>
      </c>
      <c r="K15" s="20">
        <f t="shared" si="2"/>
        <v>2006</v>
      </c>
      <c r="M15" s="21">
        <f t="shared" si="3"/>
        <v>2.3025850929940459</v>
      </c>
      <c r="N15" s="21">
        <f t="shared" si="4"/>
        <v>2.7731859948427808</v>
      </c>
      <c r="O15" s="3" t="s">
        <v>19</v>
      </c>
      <c r="P15" s="23">
        <f>P8</f>
        <v>0.57243284248508453</v>
      </c>
      <c r="Q15" s="31">
        <f>(P15-'GF + UG Iteration 7'!P15)/'GF + UG Iteration 7'!P15</f>
        <v>4.2842822463958321E-4</v>
      </c>
      <c r="R15" s="32" t="s">
        <v>31</v>
      </c>
    </row>
    <row r="16" spans="1:20" x14ac:dyDescent="0.2">
      <c r="A16" s="25">
        <f>'GF + UG Iteration 7'!A16</f>
        <v>1102</v>
      </c>
      <c r="B16" s="25" t="str">
        <f>'GF + UG Iteration 7'!B16</f>
        <v>GF</v>
      </c>
      <c r="C16" s="18">
        <f>'GF + UG Iteration 7'!C16</f>
        <v>20</v>
      </c>
      <c r="D16" s="19">
        <f>'GF + UG Iteration 7'!D16</f>
        <v>16.293644713264708</v>
      </c>
      <c r="E16" s="30">
        <f>'GF + UG Iteration 7'!E16</f>
        <v>2011</v>
      </c>
      <c r="F16" s="18"/>
      <c r="G16" s="19"/>
      <c r="H16" s="20"/>
      <c r="I16" s="18">
        <f t="shared" si="0"/>
        <v>20</v>
      </c>
      <c r="J16" s="19">
        <f t="shared" si="1"/>
        <v>16.293644713264708</v>
      </c>
      <c r="K16" s="20">
        <f t="shared" si="2"/>
        <v>2011</v>
      </c>
      <c r="M16" s="21">
        <f t="shared" si="3"/>
        <v>2.9957322735539909</v>
      </c>
      <c r="N16" s="21">
        <f t="shared" si="4"/>
        <v>2.7907751368922047</v>
      </c>
      <c r="O16" s="3" t="s">
        <v>28</v>
      </c>
      <c r="P16" s="23">
        <f>EXP(Q8)</f>
        <v>2.5556032299353237</v>
      </c>
      <c r="Q16" s="31">
        <f>(P16-'GF + UG Iteration 7'!P16)/'GF + UG Iteration 7'!P16</f>
        <v>-7.1682805012253956E-4</v>
      </c>
      <c r="R16" s="32" t="s">
        <v>32</v>
      </c>
    </row>
    <row r="17" spans="1:18" x14ac:dyDescent="0.2">
      <c r="A17" s="25">
        <f>'GF + UG Iteration 7'!A17</f>
        <v>324</v>
      </c>
      <c r="B17" s="25" t="str">
        <f>'GF + UG Iteration 7'!B17</f>
        <v>GF</v>
      </c>
      <c r="C17" s="18">
        <f>'GF + UG Iteration 7'!C17</f>
        <v>17.2</v>
      </c>
      <c r="D17" s="19">
        <f>'GF + UG Iteration 7'!D17</f>
        <v>8.9094125785416409</v>
      </c>
      <c r="E17" s="30">
        <f>'GF + UG Iteration 7'!E17</f>
        <v>2003</v>
      </c>
      <c r="F17" s="18"/>
      <c r="G17" s="19"/>
      <c r="H17" s="20"/>
      <c r="I17" s="18">
        <f t="shared" si="0"/>
        <v>17.2</v>
      </c>
      <c r="J17" s="19">
        <f t="shared" si="1"/>
        <v>8.9094125785416409</v>
      </c>
      <c r="K17" s="20">
        <f t="shared" si="2"/>
        <v>2003</v>
      </c>
      <c r="M17" s="21">
        <f t="shared" si="3"/>
        <v>2.8449093838194073</v>
      </c>
      <c r="N17" s="21">
        <f t="shared" si="4"/>
        <v>2.1871083109750784</v>
      </c>
      <c r="O17" s="3"/>
      <c r="P17" s="24"/>
      <c r="R17" s="32" t="s">
        <v>33</v>
      </c>
    </row>
    <row r="18" spans="1:18" x14ac:dyDescent="0.2">
      <c r="A18" s="25">
        <f>'GF + UG Iteration 7'!A18</f>
        <v>1103</v>
      </c>
      <c r="B18" s="25" t="str">
        <f>'GF + UG Iteration 7'!B18</f>
        <v>GF</v>
      </c>
      <c r="C18" s="18">
        <f>'GF + UG Iteration 7'!C18</f>
        <v>20</v>
      </c>
      <c r="D18" s="19">
        <f>'GF + UG Iteration 7'!D18</f>
        <v>17.299482978955592</v>
      </c>
      <c r="E18" s="30">
        <f>'GF + UG Iteration 7'!E18</f>
        <v>2011</v>
      </c>
      <c r="F18" s="18"/>
      <c r="G18" s="19"/>
      <c r="H18" s="20"/>
      <c r="I18" s="18">
        <f t="shared" si="0"/>
        <v>20</v>
      </c>
      <c r="J18" s="19">
        <f t="shared" si="1"/>
        <v>17.299482978955592</v>
      </c>
      <c r="K18" s="20">
        <f t="shared" si="2"/>
        <v>2011</v>
      </c>
      <c r="M18" s="21">
        <f t="shared" si="3"/>
        <v>2.9957322735539909</v>
      </c>
      <c r="N18" s="21">
        <f t="shared" si="4"/>
        <v>2.8506766154476462</v>
      </c>
      <c r="P18"/>
      <c r="Q18"/>
      <c r="R18" s="32" t="s">
        <v>34</v>
      </c>
    </row>
    <row r="19" spans="1:18" x14ac:dyDescent="0.2">
      <c r="A19" s="25">
        <f>'GF + UG Iteration 7'!A19</f>
        <v>386</v>
      </c>
      <c r="B19" s="25" t="str">
        <f>'GF + UG Iteration 7'!B19</f>
        <v>GF</v>
      </c>
      <c r="C19" s="18">
        <f>'GF + UG Iteration 7'!C19</f>
        <v>9</v>
      </c>
      <c r="D19" s="19">
        <f>'GF + UG Iteration 7'!D19</f>
        <v>9.9511250787738224</v>
      </c>
      <c r="E19" s="30">
        <f>'GF + UG Iteration 7'!E19</f>
        <v>2003</v>
      </c>
      <c r="F19" s="18"/>
      <c r="G19" s="19"/>
      <c r="H19" s="20"/>
      <c r="I19" s="18">
        <f t="shared" si="0"/>
        <v>9</v>
      </c>
      <c r="J19" s="19">
        <f t="shared" si="1"/>
        <v>9.9511250787738224</v>
      </c>
      <c r="K19" s="20">
        <f t="shared" si="2"/>
        <v>2003</v>
      </c>
      <c r="M19" s="21">
        <f t="shared" si="3"/>
        <v>2.1972245773362196</v>
      </c>
      <c r="N19" s="21">
        <f t="shared" si="4"/>
        <v>2.2976856180218044</v>
      </c>
      <c r="P19"/>
      <c r="Q19"/>
    </row>
    <row r="20" spans="1:18" x14ac:dyDescent="0.2">
      <c r="A20" s="25">
        <f>'GF + UG Iteration 7'!A20</f>
        <v>80</v>
      </c>
      <c r="B20" s="25" t="str">
        <f>'GF + UG Iteration 7'!B20</f>
        <v>GF</v>
      </c>
      <c r="C20" s="18">
        <f>'GF + UG Iteration 7'!C20</f>
        <v>8</v>
      </c>
      <c r="D20" s="19">
        <f>'GF + UG Iteration 7'!D20</f>
        <v>6.0754029342110369</v>
      </c>
      <c r="E20" s="30">
        <f>'GF + UG Iteration 7'!E20</f>
        <v>2001</v>
      </c>
      <c r="F20" s="18"/>
      <c r="G20" s="19"/>
      <c r="H20" s="20"/>
      <c r="I20" s="18">
        <f t="shared" si="0"/>
        <v>8</v>
      </c>
      <c r="J20" s="19">
        <f t="shared" si="1"/>
        <v>6.0754029342110369</v>
      </c>
      <c r="K20" s="20">
        <f t="shared" si="2"/>
        <v>2001</v>
      </c>
      <c r="M20" s="21">
        <f t="shared" si="3"/>
        <v>2.0794415416798357</v>
      </c>
      <c r="N20" s="21">
        <f t="shared" si="4"/>
        <v>1.8042483136462</v>
      </c>
      <c r="P20"/>
      <c r="Q20"/>
    </row>
    <row r="21" spans="1:18" x14ac:dyDescent="0.2">
      <c r="A21" s="25">
        <f>'GF + UG Iteration 7'!A21</f>
        <v>1052</v>
      </c>
      <c r="B21" s="25" t="str">
        <f>'GF + UG Iteration 7'!B21</f>
        <v>GF</v>
      </c>
      <c r="C21" s="18">
        <f>'GF + UG Iteration 7'!C21</f>
        <v>13.6</v>
      </c>
      <c r="D21" s="19">
        <f>'GF + UG Iteration 7'!D21</f>
        <v>10.90270245998838</v>
      </c>
      <c r="E21" s="30">
        <f>'GF + UG Iteration 7'!E21</f>
        <v>2011</v>
      </c>
      <c r="F21" s="18"/>
      <c r="G21" s="19"/>
      <c r="H21" s="20"/>
      <c r="I21" s="18">
        <f t="shared" si="0"/>
        <v>13.6</v>
      </c>
      <c r="J21" s="19">
        <f t="shared" si="1"/>
        <v>10.90270245998838</v>
      </c>
      <c r="K21" s="20">
        <f t="shared" si="2"/>
        <v>2011</v>
      </c>
      <c r="M21" s="21">
        <f t="shared" si="3"/>
        <v>2.6100697927420065</v>
      </c>
      <c r="N21" s="21">
        <f t="shared" si="4"/>
        <v>2.3890106906140374</v>
      </c>
      <c r="P21"/>
      <c r="Q21"/>
    </row>
    <row r="22" spans="1:18" x14ac:dyDescent="0.2">
      <c r="A22" s="25">
        <f>'GF + UG Iteration 7'!A22</f>
        <v>347</v>
      </c>
      <c r="B22" s="25" t="str">
        <f>'GF + UG Iteration 7'!B22</f>
        <v>GF</v>
      </c>
      <c r="C22" s="18">
        <f>'GF + UG Iteration 7'!C22</f>
        <v>10.548</v>
      </c>
      <c r="D22" s="19">
        <f>'GF + UG Iteration 7'!D22</f>
        <v>9.3004925979781259</v>
      </c>
      <c r="E22" s="30">
        <f>'GF + UG Iteration 7'!E22</f>
        <v>2003</v>
      </c>
      <c r="F22" s="18"/>
      <c r="G22" s="19"/>
      <c r="H22" s="20"/>
      <c r="I22" s="18">
        <f t="shared" si="0"/>
        <v>10.548</v>
      </c>
      <c r="J22" s="19">
        <f t="shared" si="1"/>
        <v>9.3004925979781259</v>
      </c>
      <c r="K22" s="20">
        <f t="shared" si="2"/>
        <v>2003</v>
      </c>
      <c r="M22" s="21">
        <f t="shared" si="3"/>
        <v>2.3559362684910403</v>
      </c>
      <c r="N22" s="21">
        <f t="shared" si="4"/>
        <v>2.23006736628101</v>
      </c>
    </row>
    <row r="23" spans="1:18" x14ac:dyDescent="0.2">
      <c r="A23" s="25">
        <f>'GF + UG Iteration 7'!A23</f>
        <v>1358</v>
      </c>
      <c r="B23" s="25" t="str">
        <f>'GF + UG Iteration 7'!B23</f>
        <v>GF</v>
      </c>
      <c r="C23" s="18">
        <f>'GF + UG Iteration 7'!C23</f>
        <v>27</v>
      </c>
      <c r="D23" s="19">
        <f>'GF + UG Iteration 7'!D23</f>
        <v>13.07265503282744</v>
      </c>
      <c r="E23" s="30">
        <f>'GF + UG Iteration 7'!E23</f>
        <v>2011</v>
      </c>
      <c r="F23" s="18"/>
      <c r="G23" s="19"/>
      <c r="H23" s="20"/>
      <c r="I23" s="18">
        <f t="shared" si="0"/>
        <v>27</v>
      </c>
      <c r="J23" s="19">
        <f t="shared" si="1"/>
        <v>13.07265503282744</v>
      </c>
      <c r="K23" s="20">
        <f t="shared" si="2"/>
        <v>2011</v>
      </c>
      <c r="M23" s="21">
        <f t="shared" si="3"/>
        <v>3.2958368660043291</v>
      </c>
      <c r="N23" s="21">
        <f t="shared" si="4"/>
        <v>2.5705226464726247</v>
      </c>
    </row>
    <row r="24" spans="1:18" x14ac:dyDescent="0.2">
      <c r="A24" s="25">
        <f>'GF + UG Iteration 7'!A24</f>
        <v>584</v>
      </c>
      <c r="B24" s="25" t="str">
        <f>'GF + UG Iteration 7'!B24</f>
        <v>GF</v>
      </c>
      <c r="C24" s="18">
        <f>'GF + UG Iteration 7'!C24</f>
        <v>28</v>
      </c>
      <c r="D24" s="19">
        <f>'GF + UG Iteration 7'!D24</f>
        <v>34.903749706800433</v>
      </c>
      <c r="E24" s="30">
        <f>'GF + UG Iteration 7'!E24</f>
        <v>2011</v>
      </c>
      <c r="F24" s="18"/>
      <c r="G24" s="19"/>
      <c r="H24" s="20"/>
      <c r="I24" s="18">
        <f t="shared" si="0"/>
        <v>28</v>
      </c>
      <c r="J24" s="19">
        <f t="shared" si="1"/>
        <v>34.903749706800433</v>
      </c>
      <c r="K24" s="20">
        <f t="shared" si="2"/>
        <v>2011</v>
      </c>
      <c r="M24" s="21">
        <f t="shared" si="3"/>
        <v>3.3322045101752038</v>
      </c>
      <c r="N24" s="21">
        <f t="shared" si="4"/>
        <v>3.5525942648925612</v>
      </c>
    </row>
    <row r="25" spans="1:18" x14ac:dyDescent="0.2">
      <c r="A25" s="25">
        <f>'GF + UG Iteration 7'!A25</f>
        <v>422</v>
      </c>
      <c r="B25" s="25" t="str">
        <f>'GF + UG Iteration 7'!B25</f>
        <v>GF</v>
      </c>
      <c r="C25" s="18">
        <f>'GF + UG Iteration 7'!C25</f>
        <v>24</v>
      </c>
      <c r="D25" s="19">
        <f>'GF + UG Iteration 7'!D25</f>
        <v>13.650794587226329</v>
      </c>
      <c r="E25" s="30">
        <f>'GF + UG Iteration 7'!E25</f>
        <v>2003</v>
      </c>
      <c r="F25" s="18"/>
      <c r="G25" s="19"/>
      <c r="H25" s="20"/>
      <c r="I25" s="18">
        <f t="shared" si="0"/>
        <v>24</v>
      </c>
      <c r="J25" s="19">
        <f t="shared" si="1"/>
        <v>13.650794587226329</v>
      </c>
      <c r="K25" s="20">
        <f t="shared" si="2"/>
        <v>2003</v>
      </c>
      <c r="M25" s="21">
        <f t="shared" si="3"/>
        <v>3.1780538303479458</v>
      </c>
      <c r="N25" s="21">
        <f t="shared" si="4"/>
        <v>2.6137977314551564</v>
      </c>
    </row>
    <row r="26" spans="1:18" x14ac:dyDescent="0.2">
      <c r="A26" s="25">
        <f>'GF + UG Iteration 7'!A26</f>
        <v>944</v>
      </c>
      <c r="B26" s="25" t="str">
        <f>'GF + UG Iteration 7'!B26</f>
        <v>GF</v>
      </c>
      <c r="C26" s="18">
        <f>'GF + UG Iteration 7'!C26</f>
        <v>43</v>
      </c>
      <c r="D26" s="19">
        <f>'GF + UG Iteration 7'!D26</f>
        <v>26.816090615909914</v>
      </c>
      <c r="E26" s="30">
        <f>'GF + UG Iteration 7'!E26</f>
        <v>2010</v>
      </c>
      <c r="F26" s="18"/>
      <c r="G26" s="19"/>
      <c r="H26" s="20"/>
      <c r="I26" s="18">
        <f t="shared" si="0"/>
        <v>43</v>
      </c>
      <c r="J26" s="19">
        <f t="shared" si="1"/>
        <v>26.816090615909914</v>
      </c>
      <c r="K26" s="20">
        <f t="shared" si="2"/>
        <v>2010</v>
      </c>
      <c r="M26" s="21">
        <f t="shared" si="3"/>
        <v>3.7612001156935624</v>
      </c>
      <c r="N26" s="21">
        <f t="shared" si="4"/>
        <v>3.2890021034672148</v>
      </c>
    </row>
    <row r="27" spans="1:18" x14ac:dyDescent="0.2">
      <c r="A27" s="25">
        <f>'GF + UG Iteration 7'!A27</f>
        <v>387</v>
      </c>
      <c r="B27" s="25" t="str">
        <f>'GF + UG Iteration 7'!B27</f>
        <v>GF</v>
      </c>
      <c r="C27" s="18">
        <f>'GF + UG Iteration 7'!C27</f>
        <v>7.5</v>
      </c>
      <c r="D27" s="19">
        <f>'GF + UG Iteration 7'!D27</f>
        <v>9.5130592102135658</v>
      </c>
      <c r="E27" s="30">
        <f>'GF + UG Iteration 7'!E27</f>
        <v>2003</v>
      </c>
      <c r="F27" s="18"/>
      <c r="G27" s="19"/>
      <c r="H27" s="20"/>
      <c r="I27" s="18">
        <f t="shared" si="0"/>
        <v>7.5</v>
      </c>
      <c r="J27" s="19">
        <f t="shared" si="1"/>
        <v>9.5130592102135658</v>
      </c>
      <c r="K27" s="20">
        <f t="shared" si="2"/>
        <v>2003</v>
      </c>
      <c r="M27" s="21">
        <f t="shared" si="3"/>
        <v>2.0149030205422647</v>
      </c>
      <c r="N27" s="21">
        <f t="shared" si="4"/>
        <v>2.2526655083417699</v>
      </c>
    </row>
    <row r="28" spans="1:18" x14ac:dyDescent="0.2">
      <c r="A28" s="25">
        <f>'GF + UG Iteration 7'!A28</f>
        <v>587</v>
      </c>
      <c r="B28" s="25" t="str">
        <f>'GF + UG Iteration 7'!B28</f>
        <v>GF</v>
      </c>
      <c r="C28" s="18">
        <f>'GF + UG Iteration 7'!C28</f>
        <v>17.8</v>
      </c>
      <c r="D28" s="19">
        <f>'GF + UG Iteration 7'!D28</f>
        <v>13.152201549137706</v>
      </c>
      <c r="E28" s="30">
        <f>'GF + UG Iteration 7'!E28</f>
        <v>2006</v>
      </c>
      <c r="F28" s="18"/>
      <c r="G28" s="19"/>
      <c r="H28" s="20"/>
      <c r="I28" s="18">
        <f t="shared" si="0"/>
        <v>17.8</v>
      </c>
      <c r="J28" s="19">
        <f t="shared" si="1"/>
        <v>13.152201549137706</v>
      </c>
      <c r="K28" s="20">
        <f t="shared" si="2"/>
        <v>2006</v>
      </c>
      <c r="M28" s="21">
        <f t="shared" si="3"/>
        <v>2.8791984572980396</v>
      </c>
      <c r="N28" s="21">
        <f t="shared" si="4"/>
        <v>2.57658916279629</v>
      </c>
    </row>
    <row r="29" spans="1:18" x14ac:dyDescent="0.2">
      <c r="A29" s="25">
        <f>'GF + UG Iteration 7'!A29</f>
        <v>585</v>
      </c>
      <c r="B29" s="25" t="str">
        <f>'GF + UG Iteration 7'!B29</f>
        <v>GF</v>
      </c>
      <c r="C29" s="18">
        <f>'GF + UG Iteration 7'!C29</f>
        <v>20.6</v>
      </c>
      <c r="D29" s="19">
        <f>'GF + UG Iteration 7'!D29</f>
        <v>11.291169205189183</v>
      </c>
      <c r="E29" s="30">
        <f>'GF + UG Iteration 7'!E29</f>
        <v>2007</v>
      </c>
      <c r="F29" s="18"/>
      <c r="G29" s="19"/>
      <c r="H29" s="20"/>
      <c r="I29" s="18">
        <f t="shared" si="0"/>
        <v>20.6</v>
      </c>
      <c r="J29" s="19">
        <f t="shared" si="1"/>
        <v>11.291169205189183</v>
      </c>
      <c r="K29" s="20">
        <f t="shared" si="2"/>
        <v>2007</v>
      </c>
      <c r="M29" s="21">
        <f t="shared" si="3"/>
        <v>3.0252910757955354</v>
      </c>
      <c r="N29" s="21">
        <f t="shared" si="4"/>
        <v>2.4240209339322751</v>
      </c>
    </row>
    <row r="30" spans="1:18" x14ac:dyDescent="0.2">
      <c r="A30" s="25">
        <f>'GF + UG Iteration 7'!A30</f>
        <v>831</v>
      </c>
      <c r="B30" s="25" t="str">
        <f>'GF + UG Iteration 7'!B30</f>
        <v>GF</v>
      </c>
      <c r="C30" s="18">
        <f>'GF + UG Iteration 7'!C30</f>
        <v>19.600000000000001</v>
      </c>
      <c r="D30" s="19">
        <f>'GF + UG Iteration 7'!D30</f>
        <v>20.965601428070691</v>
      </c>
      <c r="E30" s="30">
        <f>'GF + UG Iteration 7'!E30</f>
        <v>2011</v>
      </c>
      <c r="F30" s="18"/>
      <c r="G30" s="19"/>
      <c r="H30" s="20"/>
      <c r="I30" s="18">
        <f t="shared" si="0"/>
        <v>19.600000000000001</v>
      </c>
      <c r="J30" s="19">
        <f t="shared" si="1"/>
        <v>20.965601428070691</v>
      </c>
      <c r="K30" s="20">
        <f t="shared" si="2"/>
        <v>2011</v>
      </c>
      <c r="M30" s="21">
        <f t="shared" si="3"/>
        <v>2.9755295662364718</v>
      </c>
      <c r="N30" s="21">
        <f t="shared" si="4"/>
        <v>3.042883067455266</v>
      </c>
    </row>
    <row r="31" spans="1:18" x14ac:dyDescent="0.2">
      <c r="A31" s="25">
        <f>'GF + UG Iteration 7'!A31</f>
        <v>340</v>
      </c>
      <c r="B31" s="25" t="str">
        <f>'GF + UG Iteration 7'!B31</f>
        <v>GF</v>
      </c>
      <c r="C31" s="18">
        <f>'GF + UG Iteration 7'!C31</f>
        <v>22</v>
      </c>
      <c r="D31" s="19">
        <f>'GF + UG Iteration 7'!D31</f>
        <v>13.309615571039751</v>
      </c>
      <c r="E31" s="30">
        <f>'GF + UG Iteration 7'!E31</f>
        <v>2003</v>
      </c>
      <c r="F31" s="18"/>
      <c r="G31" s="19"/>
      <c r="H31" s="20"/>
      <c r="I31" s="18">
        <f t="shared" si="0"/>
        <v>22</v>
      </c>
      <c r="J31" s="19">
        <f t="shared" si="1"/>
        <v>13.309615571039751</v>
      </c>
      <c r="K31" s="20">
        <f t="shared" si="2"/>
        <v>2003</v>
      </c>
      <c r="M31" s="21">
        <f t="shared" si="3"/>
        <v>3.0910424533583161</v>
      </c>
      <c r="N31" s="21">
        <f t="shared" si="4"/>
        <v>2.5884867492731334</v>
      </c>
    </row>
    <row r="32" spans="1:18" x14ac:dyDescent="0.2">
      <c r="A32" s="25">
        <f>'GF + UG Iteration 7'!A32</f>
        <v>334</v>
      </c>
      <c r="B32" s="25" t="str">
        <f>'GF + UG Iteration 7'!B32</f>
        <v>GF</v>
      </c>
      <c r="C32" s="18">
        <f>'GF + UG Iteration 7'!C32</f>
        <v>18.8</v>
      </c>
      <c r="D32" s="19">
        <f>'GF + UG Iteration 7'!D32</f>
        <v>7.9463711126733889</v>
      </c>
      <c r="E32" s="30">
        <f>'GF + UG Iteration 7'!E32</f>
        <v>2003</v>
      </c>
      <c r="F32" s="18"/>
      <c r="G32" s="19"/>
      <c r="H32" s="20"/>
      <c r="I32" s="18">
        <f t="shared" si="0"/>
        <v>18.8</v>
      </c>
      <c r="J32" s="19">
        <f t="shared" si="1"/>
        <v>7.9463711126733889</v>
      </c>
      <c r="K32" s="20">
        <f t="shared" si="2"/>
        <v>2003</v>
      </c>
      <c r="M32" s="21">
        <f t="shared" si="3"/>
        <v>2.9338568698359038</v>
      </c>
      <c r="N32" s="21">
        <f t="shared" si="4"/>
        <v>2.072715360640252</v>
      </c>
    </row>
    <row r="33" spans="1:14" x14ac:dyDescent="0.2">
      <c r="A33" s="25">
        <f>'GF + UG Iteration 7'!A33</f>
        <v>343</v>
      </c>
      <c r="B33" s="25" t="str">
        <f>'GF + UG Iteration 7'!B33</f>
        <v>GF</v>
      </c>
      <c r="C33" s="18">
        <f>'GF + UG Iteration 7'!C33</f>
        <v>15.6</v>
      </c>
      <c r="D33" s="19">
        <f>'GF + UG Iteration 7'!D33</f>
        <v>13.99971574022935</v>
      </c>
      <c r="E33" s="30">
        <f>'GF + UG Iteration 7'!E33</f>
        <v>2003</v>
      </c>
      <c r="F33" s="18"/>
      <c r="G33" s="19"/>
      <c r="H33" s="20"/>
      <c r="I33" s="18">
        <f t="shared" si="0"/>
        <v>15.6</v>
      </c>
      <c r="J33" s="19">
        <f t="shared" si="1"/>
        <v>13.99971574022935</v>
      </c>
      <c r="K33" s="20">
        <f t="shared" si="2"/>
        <v>2003</v>
      </c>
      <c r="M33" s="21">
        <f t="shared" si="3"/>
        <v>2.7472709142554912</v>
      </c>
      <c r="N33" s="21">
        <f t="shared" si="4"/>
        <v>2.6390370251397921</v>
      </c>
    </row>
    <row r="34" spans="1:14" x14ac:dyDescent="0.2">
      <c r="A34" s="25">
        <f>'GF + UG Iteration 7'!A34</f>
        <v>358</v>
      </c>
      <c r="B34" s="25" t="str">
        <f>'GF + UG Iteration 7'!B34</f>
        <v>GF</v>
      </c>
      <c r="C34" s="18">
        <f>'GF + UG Iteration 7'!C34</f>
        <v>19.8</v>
      </c>
      <c r="D34" s="19">
        <f>'GF + UG Iteration 7'!D34</f>
        <v>7.2248521864398549</v>
      </c>
      <c r="E34" s="30">
        <f>'GF + UG Iteration 7'!E34</f>
        <v>2003</v>
      </c>
      <c r="F34" s="18"/>
      <c r="G34" s="19"/>
      <c r="H34" s="20"/>
      <c r="I34" s="18">
        <f t="shared" si="0"/>
        <v>19.8</v>
      </c>
      <c r="J34" s="19">
        <f t="shared" si="1"/>
        <v>7.2248521864398549</v>
      </c>
      <c r="K34" s="20">
        <f t="shared" si="2"/>
        <v>2003</v>
      </c>
      <c r="M34" s="21">
        <f t="shared" si="3"/>
        <v>2.9856819377004897</v>
      </c>
      <c r="N34" s="21">
        <f t="shared" si="4"/>
        <v>1.9775267751649739</v>
      </c>
    </row>
    <row r="35" spans="1:14" x14ac:dyDescent="0.2">
      <c r="A35" s="25">
        <f>'GF + UG Iteration 7'!A35</f>
        <v>702</v>
      </c>
      <c r="B35" s="25" t="str">
        <f>'GF + UG Iteration 7'!B35</f>
        <v>GF</v>
      </c>
      <c r="C35" s="18">
        <f>'GF + UG Iteration 7'!C35</f>
        <v>28.4</v>
      </c>
      <c r="D35" s="19">
        <f>'GF + UG Iteration 7'!D35</f>
        <v>5.2101531080390755</v>
      </c>
      <c r="E35" s="30">
        <f>'GF + UG Iteration 7'!E35</f>
        <v>2007</v>
      </c>
      <c r="F35" s="18"/>
      <c r="G35" s="19"/>
      <c r="H35" s="20"/>
      <c r="I35" s="18">
        <f t="shared" si="0"/>
        <v>28.4</v>
      </c>
      <c r="J35" s="19">
        <f t="shared" si="1"/>
        <v>5.2101531080390755</v>
      </c>
      <c r="K35" s="20">
        <f t="shared" si="2"/>
        <v>2007</v>
      </c>
      <c r="M35" s="21">
        <f t="shared" si="3"/>
        <v>3.3463891451671604</v>
      </c>
      <c r="N35" s="21">
        <f t="shared" si="4"/>
        <v>1.6506092426730299</v>
      </c>
    </row>
    <row r="36" spans="1:14" x14ac:dyDescent="0.2">
      <c r="A36" s="25">
        <f>'GF + UG Iteration 7'!A36</f>
        <v>526</v>
      </c>
      <c r="B36" s="25" t="str">
        <f>'GF + UG Iteration 7'!B36</f>
        <v>GF</v>
      </c>
      <c r="C36" s="18">
        <f>'GF + UG Iteration 7'!C36</f>
        <v>19</v>
      </c>
      <c r="D36" s="19">
        <f>'GF + UG Iteration 7'!D36</f>
        <v>13.758834109767626</v>
      </c>
      <c r="E36" s="30">
        <f>'GF + UG Iteration 7'!E36</f>
        <v>2007</v>
      </c>
      <c r="F36" s="18"/>
      <c r="G36" s="19"/>
      <c r="H36" s="20"/>
      <c r="I36" s="18">
        <f t="shared" si="0"/>
        <v>19</v>
      </c>
      <c r="J36" s="19">
        <f t="shared" si="1"/>
        <v>13.758834109767626</v>
      </c>
      <c r="K36" s="20">
        <f t="shared" si="2"/>
        <v>2007</v>
      </c>
      <c r="M36" s="21">
        <f t="shared" si="3"/>
        <v>2.9444389791664403</v>
      </c>
      <c r="N36" s="21">
        <f t="shared" si="4"/>
        <v>2.6216810985205803</v>
      </c>
    </row>
    <row r="37" spans="1:14" x14ac:dyDescent="0.2">
      <c r="A37" s="25">
        <f>'GF + UG Iteration 7'!A37</f>
        <v>288</v>
      </c>
      <c r="B37" s="25" t="str">
        <f>'GF + UG Iteration 7'!B37</f>
        <v>GF</v>
      </c>
      <c r="C37" s="18">
        <f>'GF + UG Iteration 7'!C37</f>
        <v>12</v>
      </c>
      <c r="D37" s="19">
        <f>'GF + UG Iteration 7'!D37</f>
        <v>4.4533584840568787</v>
      </c>
      <c r="E37" s="30">
        <f>'GF + UG Iteration 7'!E37</f>
        <v>2001</v>
      </c>
      <c r="F37" s="18"/>
      <c r="G37" s="19"/>
      <c r="H37" s="20"/>
      <c r="I37" s="18">
        <f t="shared" si="0"/>
        <v>12</v>
      </c>
      <c r="J37" s="19">
        <f t="shared" si="1"/>
        <v>4.4533584840568787</v>
      </c>
      <c r="K37" s="20">
        <f t="shared" si="2"/>
        <v>2001</v>
      </c>
      <c r="M37" s="21">
        <f t="shared" si="3"/>
        <v>2.4849066497880004</v>
      </c>
      <c r="N37" s="21">
        <f t="shared" si="4"/>
        <v>1.4936585270420049</v>
      </c>
    </row>
    <row r="38" spans="1:14" x14ac:dyDescent="0.2">
      <c r="A38" s="25">
        <f>'GF + UG Iteration 7'!A38</f>
        <v>851</v>
      </c>
      <c r="B38" s="25" t="str">
        <f>'GF + UG Iteration 7'!B38</f>
        <v>GF</v>
      </c>
      <c r="C38" s="18">
        <f>'GF + UG Iteration 7'!C38</f>
        <v>25</v>
      </c>
      <c r="D38" s="19">
        <f>'GF + UG Iteration 7'!D38</f>
        <v>12.931754132918639</v>
      </c>
      <c r="E38" s="30">
        <f>'GF + UG Iteration 7'!E38</f>
        <v>2007</v>
      </c>
      <c r="F38" s="18"/>
      <c r="G38" s="19"/>
      <c r="H38" s="20"/>
      <c r="I38" s="18">
        <f t="shared" si="0"/>
        <v>25</v>
      </c>
      <c r="J38" s="19">
        <f t="shared" si="1"/>
        <v>12.931754132918639</v>
      </c>
      <c r="K38" s="20">
        <f t="shared" si="2"/>
        <v>2007</v>
      </c>
      <c r="M38" s="21">
        <f t="shared" si="3"/>
        <v>3.2188758248682006</v>
      </c>
      <c r="N38" s="21">
        <f t="shared" si="4"/>
        <v>2.5596858473810773</v>
      </c>
    </row>
    <row r="39" spans="1:14" x14ac:dyDescent="0.2">
      <c r="A39" s="25">
        <f>'GF + UG Iteration 7'!A39</f>
        <v>648</v>
      </c>
      <c r="B39" s="25" t="str">
        <f>'GF + UG Iteration 7'!B39</f>
        <v>GF</v>
      </c>
      <c r="C39" s="18">
        <f>'GF + UG Iteration 7'!C39</f>
        <v>15</v>
      </c>
      <c r="D39" s="19">
        <f>'GF + UG Iteration 7'!D39</f>
        <v>14.973718181093032</v>
      </c>
      <c r="E39" s="30">
        <f>'GF + UG Iteration 7'!E39</f>
        <v>2007</v>
      </c>
      <c r="F39" s="18"/>
      <c r="G39" s="19"/>
      <c r="H39" s="20"/>
      <c r="I39" s="18">
        <f t="shared" si="0"/>
        <v>15</v>
      </c>
      <c r="J39" s="19">
        <f t="shared" si="1"/>
        <v>14.973718181093032</v>
      </c>
      <c r="K39" s="20">
        <f t="shared" si="2"/>
        <v>2007</v>
      </c>
      <c r="M39" s="21">
        <f t="shared" si="3"/>
        <v>2.7080502011022101</v>
      </c>
      <c r="N39" s="21">
        <f t="shared" si="4"/>
        <v>2.7062965430819679</v>
      </c>
    </row>
    <row r="40" spans="1:14" x14ac:dyDescent="0.2">
      <c r="A40" s="25">
        <f>'GF + UG Iteration 7'!A40</f>
        <v>855</v>
      </c>
      <c r="B40" s="25" t="str">
        <f>'GF + UG Iteration 7'!B40</f>
        <v>GF</v>
      </c>
      <c r="C40" s="18">
        <f>'GF + UG Iteration 7'!C40</f>
        <v>23</v>
      </c>
      <c r="D40" s="19">
        <f>'GF + UG Iteration 7'!D40</f>
        <v>28.66706963950903</v>
      </c>
      <c r="E40" s="30">
        <f>'GF + UG Iteration 7'!E40</f>
        <v>2011</v>
      </c>
      <c r="F40" s="18"/>
      <c r="G40" s="19"/>
      <c r="H40" s="20"/>
      <c r="I40" s="18">
        <f t="shared" si="0"/>
        <v>23</v>
      </c>
      <c r="J40" s="19">
        <f t="shared" si="1"/>
        <v>28.66706963950903</v>
      </c>
      <c r="K40" s="20">
        <f t="shared" si="2"/>
        <v>2011</v>
      </c>
      <c r="M40" s="21">
        <f t="shared" si="3"/>
        <v>3.1354942159291497</v>
      </c>
      <c r="N40" s="21">
        <f t="shared" si="4"/>
        <v>3.355749064678772</v>
      </c>
    </row>
    <row r="41" spans="1:14" x14ac:dyDescent="0.2">
      <c r="A41" s="25">
        <f>'GF + UG Iteration 7'!A41</f>
        <v>700</v>
      </c>
      <c r="B41" s="25" t="str">
        <f>'GF + UG Iteration 7'!B41</f>
        <v>GF</v>
      </c>
      <c r="C41" s="18">
        <f>'GF + UG Iteration 7'!C41</f>
        <v>9.8000000000000007</v>
      </c>
      <c r="D41" s="19">
        <f>'GF + UG Iteration 7'!D41</f>
        <v>7.0657947644327148</v>
      </c>
      <c r="E41" s="30">
        <f>'GF + UG Iteration 7'!E41</f>
        <v>2007</v>
      </c>
      <c r="F41" s="18"/>
      <c r="G41" s="19"/>
      <c r="H41" s="20"/>
      <c r="I41" s="18">
        <f t="shared" si="0"/>
        <v>9.8000000000000007</v>
      </c>
      <c r="J41" s="19">
        <f t="shared" si="1"/>
        <v>7.0657947644327148</v>
      </c>
      <c r="K41" s="20">
        <f t="shared" si="2"/>
        <v>2007</v>
      </c>
      <c r="M41" s="21">
        <f t="shared" si="3"/>
        <v>2.2823823856765264</v>
      </c>
      <c r="N41" s="21">
        <f t="shared" si="4"/>
        <v>1.9552655030060266</v>
      </c>
    </row>
    <row r="42" spans="1:14" x14ac:dyDescent="0.2">
      <c r="A42" s="25">
        <f>'GF + UG Iteration 7'!A42</f>
        <v>683</v>
      </c>
      <c r="B42" s="25" t="str">
        <f>'GF + UG Iteration 7'!B42</f>
        <v>GF</v>
      </c>
      <c r="C42" s="18">
        <f>'GF + UG Iteration 7'!C42</f>
        <v>30</v>
      </c>
      <c r="D42" s="19">
        <f>'GF + UG Iteration 7'!D42</f>
        <v>16.03232257186292</v>
      </c>
      <c r="E42" s="30">
        <f>'GF + UG Iteration 7'!E42</f>
        <v>2011</v>
      </c>
      <c r="F42" s="18"/>
      <c r="G42" s="19"/>
      <c r="H42" s="20"/>
      <c r="I42" s="18">
        <f t="shared" si="0"/>
        <v>30</v>
      </c>
      <c r="J42" s="19">
        <f t="shared" si="1"/>
        <v>16.03232257186292</v>
      </c>
      <c r="K42" s="20">
        <f t="shared" si="2"/>
        <v>2011</v>
      </c>
      <c r="M42" s="21">
        <f t="shared" si="3"/>
        <v>3.4011973816621555</v>
      </c>
      <c r="N42" s="21">
        <f t="shared" si="4"/>
        <v>2.7746068452004713</v>
      </c>
    </row>
    <row r="43" spans="1:14" x14ac:dyDescent="0.2">
      <c r="A43" s="25">
        <f>'GF + UG Iteration 7'!A43</f>
        <v>559</v>
      </c>
      <c r="B43" s="25" t="str">
        <f>'GF + UG Iteration 7'!B43</f>
        <v>GF</v>
      </c>
      <c r="C43" s="18">
        <f>'GF + UG Iteration 7'!C43</f>
        <v>115</v>
      </c>
      <c r="D43" s="19">
        <f>'GF + UG Iteration 7'!D43</f>
        <v>56.859498956472109</v>
      </c>
      <c r="E43" s="30">
        <f>'GF + UG Iteration 7'!E43</f>
        <v>2011</v>
      </c>
      <c r="F43" s="18"/>
      <c r="G43" s="19"/>
      <c r="H43" s="20"/>
      <c r="I43" s="18">
        <f t="shared" si="0"/>
        <v>115</v>
      </c>
      <c r="J43" s="19">
        <f t="shared" si="1"/>
        <v>56.859498956472109</v>
      </c>
      <c r="K43" s="20">
        <f t="shared" si="2"/>
        <v>2011</v>
      </c>
      <c r="M43" s="21">
        <f t="shared" si="3"/>
        <v>4.7449321283632502</v>
      </c>
      <c r="N43" s="21">
        <f t="shared" si="4"/>
        <v>4.0405832943034818</v>
      </c>
    </row>
    <row r="44" spans="1:14" x14ac:dyDescent="0.2">
      <c r="A44" s="25">
        <f>'GF + UG Iteration 7'!A44</f>
        <v>1074</v>
      </c>
      <c r="B44" s="25" t="str">
        <f>'GF + UG Iteration 7'!B44</f>
        <v>GF</v>
      </c>
      <c r="C44" s="18">
        <f>'GF + UG Iteration 7'!C44</f>
        <v>67</v>
      </c>
      <c r="D44" s="19">
        <f>'GF + UG Iteration 7'!D44</f>
        <v>43.13883453102715</v>
      </c>
      <c r="E44" s="30">
        <f>'GF + UG Iteration 7'!E44</f>
        <v>2011</v>
      </c>
      <c r="F44" s="18"/>
      <c r="G44" s="19"/>
      <c r="H44" s="20"/>
      <c r="I44" s="18">
        <f t="shared" si="0"/>
        <v>67</v>
      </c>
      <c r="J44" s="19">
        <f t="shared" si="1"/>
        <v>43.13883453102715</v>
      </c>
      <c r="K44" s="20">
        <f t="shared" si="2"/>
        <v>2011</v>
      </c>
      <c r="M44" s="21">
        <f t="shared" si="3"/>
        <v>4.2046926193909657</v>
      </c>
      <c r="N44" s="21">
        <f t="shared" si="4"/>
        <v>3.7644236246254454</v>
      </c>
    </row>
    <row r="45" spans="1:14" x14ac:dyDescent="0.2">
      <c r="A45" s="25">
        <f>'GF + UG Iteration 7'!A45</f>
        <v>34</v>
      </c>
      <c r="B45" s="25" t="str">
        <f>'GF + UG Iteration 7'!B45</f>
        <v>GF</v>
      </c>
      <c r="C45" s="18">
        <f>'GF + UG Iteration 7'!C45</f>
        <v>16</v>
      </c>
      <c r="D45" s="19">
        <f>'GF + UG Iteration 7'!D45</f>
        <v>7.5134124542159286</v>
      </c>
      <c r="E45" s="30">
        <f>'GF + UG Iteration 7'!E45</f>
        <v>2000</v>
      </c>
      <c r="F45" s="18"/>
      <c r="G45" s="19"/>
      <c r="H45" s="20"/>
      <c r="I45" s="18">
        <f t="shared" si="0"/>
        <v>16</v>
      </c>
      <c r="J45" s="19">
        <f t="shared" si="1"/>
        <v>7.5134124542159286</v>
      </c>
      <c r="K45" s="20">
        <f t="shared" si="2"/>
        <v>2000</v>
      </c>
      <c r="M45" s="21">
        <f t="shared" si="3"/>
        <v>2.7725887222397811</v>
      </c>
      <c r="N45" s="21">
        <f t="shared" si="4"/>
        <v>2.0166897506177883</v>
      </c>
    </row>
    <row r="46" spans="1:14" x14ac:dyDescent="0.2">
      <c r="A46" s="25">
        <f>'GF + UG Iteration 7'!A46</f>
        <v>433</v>
      </c>
      <c r="B46" s="25" t="str">
        <f>'GF + UG Iteration 7'!B46</f>
        <v>GF</v>
      </c>
      <c r="C46" s="18">
        <f>'GF + UG Iteration 7'!C46</f>
        <v>25</v>
      </c>
      <c r="D46" s="19">
        <f>'GF + UG Iteration 7'!D46</f>
        <v>22.308265318441425</v>
      </c>
      <c r="E46" s="30">
        <f>'GF + UG Iteration 7'!E46</f>
        <v>2003</v>
      </c>
      <c r="F46" s="18"/>
      <c r="G46" s="19"/>
      <c r="H46" s="20"/>
      <c r="I46" s="18">
        <f t="shared" si="0"/>
        <v>25</v>
      </c>
      <c r="J46" s="19">
        <f t="shared" si="1"/>
        <v>22.308265318441425</v>
      </c>
      <c r="K46" s="20">
        <f t="shared" si="2"/>
        <v>2003</v>
      </c>
      <c r="M46" s="21">
        <f t="shared" si="3"/>
        <v>3.2188758248682006</v>
      </c>
      <c r="N46" s="21">
        <f t="shared" si="4"/>
        <v>3.1049572518778392</v>
      </c>
    </row>
    <row r="47" spans="1:14" x14ac:dyDescent="0.2">
      <c r="A47" s="25" t="str">
        <f>'GF + UG Iteration 7'!A47</f>
        <v>79A</v>
      </c>
      <c r="B47" s="25" t="str">
        <f>'GF + UG Iteration 7'!B47</f>
        <v>GF</v>
      </c>
      <c r="C47" s="18">
        <f>'GF + UG Iteration 7'!C47</f>
        <v>8</v>
      </c>
      <c r="D47" s="19">
        <f>'GF + UG Iteration 7'!D47</f>
        <v>5.0823375539699818</v>
      </c>
      <c r="E47" s="30">
        <f>'GF + UG Iteration 7'!E47</f>
        <v>2000</v>
      </c>
      <c r="F47" s="18"/>
      <c r="G47" s="19"/>
      <c r="H47" s="20"/>
      <c r="I47" s="18">
        <f t="shared" si="0"/>
        <v>8</v>
      </c>
      <c r="J47" s="19">
        <f t="shared" si="1"/>
        <v>5.0823375539699818</v>
      </c>
      <c r="K47" s="20">
        <f t="shared" si="2"/>
        <v>2000</v>
      </c>
      <c r="M47" s="21">
        <f t="shared" si="3"/>
        <v>2.0794415416798357</v>
      </c>
      <c r="N47" s="21">
        <f t="shared" si="4"/>
        <v>1.62577130417386</v>
      </c>
    </row>
    <row r="48" spans="1:14" x14ac:dyDescent="0.2">
      <c r="A48" s="25" t="str">
        <f>'GF + UG Iteration 7'!A48</f>
        <v>10A</v>
      </c>
      <c r="B48" s="25" t="str">
        <f>'GF + UG Iteration 7'!B48</f>
        <v>GF</v>
      </c>
      <c r="C48" s="18">
        <f>'GF + UG Iteration 7'!C48</f>
        <v>6.2</v>
      </c>
      <c r="D48" s="19">
        <f>'GF + UG Iteration 7'!D48</f>
        <v>8.9160103759227685</v>
      </c>
      <c r="E48" s="30">
        <f>'GF + UG Iteration 7'!E48</f>
        <v>2001</v>
      </c>
      <c r="F48" s="18"/>
      <c r="G48" s="19"/>
      <c r="H48" s="20"/>
      <c r="I48" s="18">
        <f t="shared" si="0"/>
        <v>6.2</v>
      </c>
      <c r="J48" s="19">
        <f t="shared" si="1"/>
        <v>8.9160103759227685</v>
      </c>
      <c r="K48" s="20">
        <f t="shared" si="2"/>
        <v>2001</v>
      </c>
      <c r="M48" s="21">
        <f t="shared" si="3"/>
        <v>1.824549292051046</v>
      </c>
      <c r="N48" s="21">
        <f t="shared" si="4"/>
        <v>2.1878485792648439</v>
      </c>
    </row>
    <row r="49" spans="1:14" x14ac:dyDescent="0.2">
      <c r="A49" s="25">
        <f>'GF + UG Iteration 7'!A49</f>
        <v>345</v>
      </c>
      <c r="B49" s="25" t="str">
        <f>'GF + UG Iteration 7'!B49</f>
        <v>GF</v>
      </c>
      <c r="C49" s="18">
        <f>'GF + UG Iteration 7'!C49</f>
        <v>35</v>
      </c>
      <c r="D49" s="19">
        <f>'GF + UG Iteration 7'!D49</f>
        <v>8.3689831482940882</v>
      </c>
      <c r="E49" s="30">
        <f>'GF + UG Iteration 7'!E49</f>
        <v>2003</v>
      </c>
      <c r="F49" s="18"/>
      <c r="G49" s="19"/>
      <c r="H49" s="20"/>
      <c r="I49" s="18">
        <f t="shared" si="0"/>
        <v>35</v>
      </c>
      <c r="J49" s="19">
        <f t="shared" si="1"/>
        <v>8.3689831482940882</v>
      </c>
      <c r="K49" s="20">
        <f t="shared" si="2"/>
        <v>2003</v>
      </c>
      <c r="M49" s="21">
        <f t="shared" si="3"/>
        <v>3.5553480614894135</v>
      </c>
      <c r="N49" s="21">
        <f t="shared" si="4"/>
        <v>2.1245323894621508</v>
      </c>
    </row>
    <row r="50" spans="1:14" x14ac:dyDescent="0.2">
      <c r="A50" s="25">
        <f>'GF + UG Iteration 7'!A50</f>
        <v>1049</v>
      </c>
      <c r="B50" s="25" t="str">
        <f>'GF + UG Iteration 7'!B50</f>
        <v>GF</v>
      </c>
      <c r="C50" s="18">
        <f>'GF + UG Iteration 7'!C50</f>
        <v>15.2</v>
      </c>
      <c r="D50" s="19">
        <f>'GF + UG Iteration 7'!D50</f>
        <v>54.551770509232071</v>
      </c>
      <c r="E50" s="30">
        <f>'GF + UG Iteration 7'!E50</f>
        <v>2011</v>
      </c>
      <c r="F50" s="18"/>
      <c r="G50" s="19"/>
      <c r="H50" s="20"/>
      <c r="I50" s="18">
        <f t="shared" si="0"/>
        <v>15.2</v>
      </c>
      <c r="J50" s="19">
        <f t="shared" si="1"/>
        <v>54.551770509232071</v>
      </c>
      <c r="K50" s="20">
        <f t="shared" si="2"/>
        <v>2011</v>
      </c>
      <c r="M50" s="21">
        <f t="shared" si="3"/>
        <v>2.7212954278522306</v>
      </c>
      <c r="N50" s="21">
        <f t="shared" si="4"/>
        <v>3.9991501683835766</v>
      </c>
    </row>
    <row r="51" spans="1:14" x14ac:dyDescent="0.2">
      <c r="A51" s="25">
        <f>'GF + UG Iteration 7'!A51</f>
        <v>230</v>
      </c>
      <c r="B51" s="25" t="str">
        <f>'GF + UG Iteration 7'!B51</f>
        <v>GF</v>
      </c>
      <c r="C51" s="18">
        <f>'GF + UG Iteration 7'!C51</f>
        <v>17</v>
      </c>
      <c r="D51" s="19">
        <f>'GF + UG Iteration 7'!D51</f>
        <v>10.739901169983137</v>
      </c>
      <c r="E51" s="30">
        <f>'GF + UG Iteration 7'!E51</f>
        <v>2003</v>
      </c>
      <c r="F51" s="18"/>
      <c r="G51" s="19"/>
      <c r="H51" s="20"/>
      <c r="I51" s="18">
        <f t="shared" si="0"/>
        <v>17</v>
      </c>
      <c r="J51" s="19">
        <f t="shared" si="1"/>
        <v>10.739901169983137</v>
      </c>
      <c r="K51" s="20">
        <f t="shared" si="2"/>
        <v>2003</v>
      </c>
      <c r="M51" s="21">
        <f t="shared" si="3"/>
        <v>2.8332133440562162</v>
      </c>
      <c r="N51" s="21">
        <f t="shared" si="4"/>
        <v>2.3739658869883922</v>
      </c>
    </row>
    <row r="52" spans="1:14" x14ac:dyDescent="0.2">
      <c r="A52" s="25" t="str">
        <f>'GF + UG Iteration 7'!A52</f>
        <v>79B</v>
      </c>
      <c r="B52" s="25" t="str">
        <f>'GF + UG Iteration 7'!B52</f>
        <v>GF</v>
      </c>
      <c r="C52" s="18">
        <f>'GF + UG Iteration 7'!C52</f>
        <v>8</v>
      </c>
      <c r="D52" s="19">
        <f>'GF + UG Iteration 7'!D52</f>
        <v>3.3788339951362953</v>
      </c>
      <c r="E52" s="30">
        <f>'GF + UG Iteration 7'!E52</f>
        <v>2000</v>
      </c>
      <c r="F52" s="18"/>
      <c r="G52" s="19"/>
      <c r="H52" s="20"/>
      <c r="I52" s="18">
        <f t="shared" si="0"/>
        <v>8</v>
      </c>
      <c r="J52" s="19">
        <f t="shared" si="1"/>
        <v>3.3788339951362953</v>
      </c>
      <c r="K52" s="20">
        <f t="shared" si="2"/>
        <v>2000</v>
      </c>
      <c r="M52" s="21">
        <f t="shared" si="3"/>
        <v>2.0794415416798357</v>
      </c>
      <c r="N52" s="21">
        <f t="shared" si="4"/>
        <v>1.2175306781252826</v>
      </c>
    </row>
    <row r="53" spans="1:14" x14ac:dyDescent="0.2">
      <c r="A53" s="25" t="str">
        <f>'GF + UG Iteration 7'!A53</f>
        <v>10B</v>
      </c>
      <c r="B53" s="25" t="str">
        <f>'GF + UG Iteration 7'!B53</f>
        <v>GF</v>
      </c>
      <c r="C53" s="18">
        <f>'GF + UG Iteration 7'!C53</f>
        <v>9.4060000000000006</v>
      </c>
      <c r="D53" s="19">
        <f>'GF + UG Iteration 7'!D53</f>
        <v>9.7991326901064184</v>
      </c>
      <c r="E53" s="30">
        <f>'GF + UG Iteration 7'!E53</f>
        <v>2001</v>
      </c>
      <c r="F53" s="18"/>
      <c r="G53" s="19"/>
      <c r="H53" s="20"/>
      <c r="I53" s="18">
        <f t="shared" si="0"/>
        <v>9.4060000000000006</v>
      </c>
      <c r="J53" s="19">
        <f t="shared" si="1"/>
        <v>9.7991326901064184</v>
      </c>
      <c r="K53" s="20">
        <f t="shared" si="2"/>
        <v>2001</v>
      </c>
      <c r="M53" s="21">
        <f t="shared" si="3"/>
        <v>2.2413477835228561</v>
      </c>
      <c r="N53" s="21">
        <f t="shared" si="4"/>
        <v>2.2822938807505317</v>
      </c>
    </row>
    <row r="54" spans="1:14" x14ac:dyDescent="0.2">
      <c r="A54" s="25">
        <f>'GF + UG Iteration 7'!A54</f>
        <v>8</v>
      </c>
      <c r="B54" s="25" t="str">
        <f>'GF + UG Iteration 7'!B54</f>
        <v>GF</v>
      </c>
      <c r="C54" s="18">
        <f>'GF + UG Iteration 7'!C54</f>
        <v>18</v>
      </c>
      <c r="D54" s="19">
        <f>'GF + UG Iteration 7'!D54</f>
        <v>11.984110505191126</v>
      </c>
      <c r="E54" s="30">
        <f>'GF + UG Iteration 7'!E54</f>
        <v>2000</v>
      </c>
      <c r="F54" s="18"/>
      <c r="G54" s="19"/>
      <c r="H54" s="20"/>
      <c r="I54" s="18">
        <f t="shared" si="0"/>
        <v>18</v>
      </c>
      <c r="J54" s="19">
        <f t="shared" si="1"/>
        <v>11.984110505191126</v>
      </c>
      <c r="K54" s="20">
        <f t="shared" si="2"/>
        <v>2000</v>
      </c>
      <c r="M54" s="21">
        <f t="shared" si="3"/>
        <v>2.8903717578961645</v>
      </c>
      <c r="N54" s="21">
        <f t="shared" si="4"/>
        <v>2.4835816477930246</v>
      </c>
    </row>
    <row r="55" spans="1:14" x14ac:dyDescent="0.2">
      <c r="A55" s="25">
        <f>'GF + UG Iteration 7'!A55</f>
        <v>487</v>
      </c>
      <c r="B55" s="25" t="str">
        <f>'GF + UG Iteration 7'!B55</f>
        <v>GF</v>
      </c>
      <c r="C55" s="18">
        <f>'GF + UG Iteration 7'!C55</f>
        <v>22</v>
      </c>
      <c r="D55" s="19">
        <f>'GF + UG Iteration 7'!D55</f>
        <v>16.606728766354362</v>
      </c>
      <c r="E55" s="30">
        <f>'GF + UG Iteration 7'!E55</f>
        <v>2007</v>
      </c>
      <c r="F55" s="18"/>
      <c r="G55" s="19"/>
      <c r="H55" s="20"/>
      <c r="I55" s="18">
        <f t="shared" si="0"/>
        <v>22</v>
      </c>
      <c r="J55" s="19">
        <f t="shared" si="1"/>
        <v>16.606728766354362</v>
      </c>
      <c r="K55" s="20">
        <f t="shared" si="2"/>
        <v>2007</v>
      </c>
      <c r="M55" s="21">
        <f t="shared" si="3"/>
        <v>3.0910424533583161</v>
      </c>
      <c r="N55" s="21">
        <f t="shared" si="4"/>
        <v>2.8098079606021904</v>
      </c>
    </row>
    <row r="56" spans="1:14" x14ac:dyDescent="0.2">
      <c r="A56" s="25">
        <f>'GF + UG Iteration 7'!A56</f>
        <v>385</v>
      </c>
      <c r="B56" s="25" t="str">
        <f>'GF + UG Iteration 7'!B56</f>
        <v>GF</v>
      </c>
      <c r="C56" s="18">
        <f>'GF + UG Iteration 7'!C56</f>
        <v>7.5</v>
      </c>
      <c r="D56" s="19">
        <f>'GF + UG Iteration 7'!D56</f>
        <v>8.5880709825089685</v>
      </c>
      <c r="E56" s="30">
        <f>'GF + UG Iteration 7'!E56</f>
        <v>2003</v>
      </c>
      <c r="F56" s="18"/>
      <c r="G56" s="19"/>
      <c r="H56" s="20"/>
      <c r="I56" s="18">
        <f t="shared" si="0"/>
        <v>7.5</v>
      </c>
      <c r="J56" s="19">
        <f t="shared" si="1"/>
        <v>8.5880709825089685</v>
      </c>
      <c r="K56" s="20">
        <f t="shared" si="2"/>
        <v>2003</v>
      </c>
      <c r="M56" s="21">
        <f t="shared" si="3"/>
        <v>2.0149030205422647</v>
      </c>
      <c r="N56" s="21">
        <f t="shared" si="4"/>
        <v>2.1503741452954848</v>
      </c>
    </row>
    <row r="57" spans="1:14" x14ac:dyDescent="0.2">
      <c r="A57" s="25">
        <f>'GF + UG Iteration 7'!A57</f>
        <v>865</v>
      </c>
      <c r="B57" s="25" t="str">
        <f>'GF + UG Iteration 7'!B57</f>
        <v>GF</v>
      </c>
      <c r="C57" s="18">
        <f>'GF + UG Iteration 7'!C57</f>
        <v>25</v>
      </c>
      <c r="D57" s="19">
        <f>'GF + UG Iteration 7'!D57</f>
        <v>8.6091983279462436</v>
      </c>
      <c r="E57" s="30">
        <f>'GF + UG Iteration 7'!E57</f>
        <v>2007</v>
      </c>
      <c r="F57" s="18"/>
      <c r="G57" s="19"/>
      <c r="H57" s="20"/>
      <c r="I57" s="18">
        <f t="shared" si="0"/>
        <v>25</v>
      </c>
      <c r="J57" s="19">
        <f t="shared" si="1"/>
        <v>8.6091983279462436</v>
      </c>
      <c r="K57" s="20">
        <f t="shared" si="2"/>
        <v>2007</v>
      </c>
      <c r="M57" s="21">
        <f t="shared" si="3"/>
        <v>3.2188758248682006</v>
      </c>
      <c r="N57" s="21">
        <f t="shared" si="4"/>
        <v>2.1528312046907798</v>
      </c>
    </row>
    <row r="58" spans="1:14" x14ac:dyDescent="0.2">
      <c r="A58" s="25">
        <f>'GF + UG Iteration 7'!A58</f>
        <v>863</v>
      </c>
      <c r="B58" s="25" t="str">
        <f>'GF + UG Iteration 7'!B58</f>
        <v>GF</v>
      </c>
      <c r="C58" s="18">
        <f>'GF + UG Iteration 7'!C58</f>
        <v>25</v>
      </c>
      <c r="D58" s="19">
        <f>'GF + UG Iteration 7'!D58</f>
        <v>8.2434360504581008</v>
      </c>
      <c r="E58" s="30">
        <f>'GF + UG Iteration 7'!E58</f>
        <v>2007</v>
      </c>
      <c r="F58" s="18"/>
      <c r="G58" s="19"/>
      <c r="H58" s="20"/>
      <c r="I58" s="18">
        <f t="shared" si="0"/>
        <v>25</v>
      </c>
      <c r="J58" s="19">
        <f t="shared" si="1"/>
        <v>8.2434360504581008</v>
      </c>
      <c r="K58" s="20">
        <f t="shared" si="2"/>
        <v>2007</v>
      </c>
      <c r="M58" s="21">
        <f t="shared" si="3"/>
        <v>3.2188758248682006</v>
      </c>
      <c r="N58" s="21">
        <f t="shared" si="4"/>
        <v>2.1094172534173556</v>
      </c>
    </row>
    <row r="59" spans="1:14" x14ac:dyDescent="0.2">
      <c r="A59" s="25">
        <f>'GF + UG Iteration 7'!A59</f>
        <v>527</v>
      </c>
      <c r="B59" s="25" t="str">
        <f>'GF + UG Iteration 7'!B59</f>
        <v>GF</v>
      </c>
      <c r="C59" s="18">
        <f>'GF + UG Iteration 7'!C59</f>
        <v>17</v>
      </c>
      <c r="D59" s="19">
        <f>'GF + UG Iteration 7'!D59</f>
        <v>6.9318595783251213</v>
      </c>
      <c r="E59" s="30">
        <f>'GF + UG Iteration 7'!E59</f>
        <v>2007</v>
      </c>
      <c r="F59" s="18"/>
      <c r="G59" s="19"/>
      <c r="H59" s="20"/>
      <c r="I59" s="18">
        <f t="shared" si="0"/>
        <v>17</v>
      </c>
      <c r="J59" s="19">
        <f t="shared" si="1"/>
        <v>6.9318595783251213</v>
      </c>
      <c r="K59" s="20">
        <f t="shared" si="2"/>
        <v>2007</v>
      </c>
      <c r="M59" s="21">
        <f t="shared" si="3"/>
        <v>2.8332133440562162</v>
      </c>
      <c r="N59" s="21">
        <f t="shared" si="4"/>
        <v>1.936128114626418</v>
      </c>
    </row>
    <row r="60" spans="1:14" x14ac:dyDescent="0.2">
      <c r="A60" s="25">
        <f>'GF + UG Iteration 7'!A60</f>
        <v>595</v>
      </c>
      <c r="B60" s="25" t="str">
        <f>'GF + UG Iteration 7'!B60</f>
        <v>GF</v>
      </c>
      <c r="C60" s="18">
        <f>'GF + UG Iteration 7'!C60</f>
        <v>11</v>
      </c>
      <c r="D60" s="19">
        <f>'GF + UG Iteration 7'!D60</f>
        <v>19.087371326529755</v>
      </c>
      <c r="E60" s="30">
        <f>'GF + UG Iteration 7'!E60</f>
        <v>2007</v>
      </c>
      <c r="F60" s="18"/>
      <c r="G60" s="19"/>
      <c r="H60" s="20"/>
      <c r="I60" s="18">
        <f t="shared" si="0"/>
        <v>11</v>
      </c>
      <c r="J60" s="19">
        <f t="shared" si="1"/>
        <v>19.087371326529755</v>
      </c>
      <c r="K60" s="20">
        <f t="shared" si="2"/>
        <v>2007</v>
      </c>
      <c r="M60" s="21">
        <f t="shared" si="3"/>
        <v>2.3978952727983707</v>
      </c>
      <c r="N60" s="21">
        <f t="shared" si="4"/>
        <v>2.9490269292793174</v>
      </c>
    </row>
    <row r="61" spans="1:14" x14ac:dyDescent="0.2">
      <c r="A61" s="25">
        <f>'GF + UG Iteration 7'!A61</f>
        <v>528</v>
      </c>
      <c r="B61" s="25" t="str">
        <f>'GF + UG Iteration 7'!B61</f>
        <v>GF</v>
      </c>
      <c r="C61" s="18">
        <f>'GF + UG Iteration 7'!C61</f>
        <v>17</v>
      </c>
      <c r="D61" s="19">
        <f>'GF + UG Iteration 7'!D61</f>
        <v>5.2657663175025586</v>
      </c>
      <c r="E61" s="30">
        <f>'GF + UG Iteration 7'!E61</f>
        <v>2007</v>
      </c>
      <c r="F61" s="18"/>
      <c r="G61" s="19"/>
      <c r="H61" s="20"/>
      <c r="I61" s="18">
        <f t="shared" si="0"/>
        <v>17</v>
      </c>
      <c r="J61" s="19">
        <f t="shared" si="1"/>
        <v>5.2657663175025586</v>
      </c>
      <c r="K61" s="20">
        <f t="shared" si="2"/>
        <v>2007</v>
      </c>
      <c r="M61" s="21">
        <f t="shared" si="3"/>
        <v>2.8332133440562162</v>
      </c>
      <c r="N61" s="21">
        <f t="shared" si="4"/>
        <v>1.6612266843778571</v>
      </c>
    </row>
    <row r="62" spans="1:14" x14ac:dyDescent="0.2">
      <c r="A62" s="25">
        <f>'GF + UG Iteration 7'!A62</f>
        <v>529</v>
      </c>
      <c r="B62" s="25" t="str">
        <f>'GF + UG Iteration 7'!B62</f>
        <v>GF</v>
      </c>
      <c r="C62" s="18">
        <f>'GF + UG Iteration 7'!C62</f>
        <v>17</v>
      </c>
      <c r="D62" s="19">
        <f>'GF + UG Iteration 7'!D62</f>
        <v>7.7921694439597555</v>
      </c>
      <c r="E62" s="30">
        <f>'GF + UG Iteration 7'!E62</f>
        <v>2007</v>
      </c>
      <c r="F62" s="18"/>
      <c r="G62" s="19"/>
      <c r="H62" s="20"/>
      <c r="I62" s="18">
        <f t="shared" si="0"/>
        <v>17</v>
      </c>
      <c r="J62" s="19">
        <f t="shared" si="1"/>
        <v>7.7921694439597555</v>
      </c>
      <c r="K62" s="20">
        <f t="shared" si="2"/>
        <v>2007</v>
      </c>
      <c r="M62" s="21">
        <f t="shared" si="3"/>
        <v>2.8332133440562162</v>
      </c>
      <c r="N62" s="21">
        <f t="shared" si="4"/>
        <v>2.0531193119918547</v>
      </c>
    </row>
    <row r="63" spans="1:14" x14ac:dyDescent="0.2">
      <c r="A63" s="25">
        <f>'GF + UG Iteration 7'!A63</f>
        <v>1095</v>
      </c>
      <c r="B63" s="25" t="str">
        <f>'GF + UG Iteration 7'!B63</f>
        <v>GF</v>
      </c>
      <c r="C63" s="18">
        <f>'GF + UG Iteration 7'!C63</f>
        <v>18</v>
      </c>
      <c r="D63" s="19">
        <f>'GF + UG Iteration 7'!D63</f>
        <v>11.923356574074873</v>
      </c>
      <c r="E63" s="30">
        <f>'GF + UG Iteration 7'!E63</f>
        <v>2011</v>
      </c>
      <c r="F63" s="18"/>
      <c r="G63" s="19"/>
      <c r="H63" s="20"/>
      <c r="I63" s="18">
        <f t="shared" si="0"/>
        <v>18</v>
      </c>
      <c r="J63" s="19">
        <f t="shared" si="1"/>
        <v>11.923356574074873</v>
      </c>
      <c r="K63" s="20">
        <f t="shared" si="2"/>
        <v>2011</v>
      </c>
      <c r="M63" s="21">
        <f t="shared" si="3"/>
        <v>2.8903717578961645</v>
      </c>
      <c r="N63" s="21">
        <f t="shared" si="4"/>
        <v>2.4784992137824831</v>
      </c>
    </row>
    <row r="64" spans="1:14" x14ac:dyDescent="0.2">
      <c r="A64" s="25">
        <f>'GF + UG Iteration 7'!A64</f>
        <v>561</v>
      </c>
      <c r="B64" s="25" t="str">
        <f>'GF + UG Iteration 7'!B64</f>
        <v>GF</v>
      </c>
      <c r="C64" s="18">
        <f>'GF + UG Iteration 7'!C64</f>
        <v>46</v>
      </c>
      <c r="D64" s="19">
        <f>'GF + UG Iteration 7'!D64</f>
        <v>58.100097147658744</v>
      </c>
      <c r="E64" s="30">
        <f>'GF + UG Iteration 7'!E64</f>
        <v>2011</v>
      </c>
      <c r="F64" s="18"/>
      <c r="G64" s="19"/>
      <c r="H64" s="20"/>
      <c r="I64" s="18">
        <f t="shared" si="0"/>
        <v>46</v>
      </c>
      <c r="J64" s="19">
        <f t="shared" si="1"/>
        <v>58.100097147658744</v>
      </c>
      <c r="K64" s="20">
        <f t="shared" si="2"/>
        <v>2011</v>
      </c>
      <c r="M64" s="21">
        <f t="shared" si="3"/>
        <v>3.8286413964890951</v>
      </c>
      <c r="N64" s="21">
        <f t="shared" si="4"/>
        <v>4.0621673359332098</v>
      </c>
    </row>
    <row r="65" spans="1:14" x14ac:dyDescent="0.2">
      <c r="A65" s="25">
        <f>'GF + UG Iteration 7'!A65</f>
        <v>1018</v>
      </c>
      <c r="B65" s="25" t="str">
        <f>'GF + UG Iteration 7'!B65</f>
        <v>GF</v>
      </c>
      <c r="C65" s="18">
        <f>'GF + UG Iteration 7'!C65</f>
        <v>3</v>
      </c>
      <c r="D65" s="19">
        <f>'GF + UG Iteration 7'!D65</f>
        <v>10.634643135603309</v>
      </c>
      <c r="E65" s="30">
        <f>'GF + UG Iteration 7'!E65</f>
        <v>2011</v>
      </c>
      <c r="F65" s="18"/>
      <c r="G65" s="19"/>
      <c r="H65" s="20"/>
      <c r="I65" s="18">
        <f t="shared" si="0"/>
        <v>3</v>
      </c>
      <c r="J65" s="19">
        <f t="shared" si="1"/>
        <v>10.634643135603309</v>
      </c>
      <c r="K65" s="20">
        <f t="shared" si="2"/>
        <v>2011</v>
      </c>
      <c r="M65" s="21">
        <f t="shared" si="3"/>
        <v>1.0986122886681098</v>
      </c>
      <c r="N65" s="21">
        <f t="shared" si="4"/>
        <v>2.3641168924336546</v>
      </c>
    </row>
    <row r="66" spans="1:14" x14ac:dyDescent="0.2">
      <c r="A66" s="25">
        <f>'GF + UG Iteration 7'!A66</f>
        <v>360</v>
      </c>
      <c r="B66" s="25" t="str">
        <f>'GF + UG Iteration 7'!B66</f>
        <v>GF</v>
      </c>
      <c r="C66" s="18">
        <f>'GF + UG Iteration 7'!C66</f>
        <v>22</v>
      </c>
      <c r="D66" s="19">
        <f>'GF + UG Iteration 7'!D66</f>
        <v>7.1174715515965792</v>
      </c>
      <c r="E66" s="30">
        <f>'GF + UG Iteration 7'!E66</f>
        <v>2003</v>
      </c>
      <c r="F66" s="18"/>
      <c r="G66" s="19"/>
      <c r="H66" s="20"/>
      <c r="I66" s="18">
        <f t="shared" si="0"/>
        <v>22</v>
      </c>
      <c r="J66" s="19">
        <f t="shared" si="1"/>
        <v>7.1174715515965792</v>
      </c>
      <c r="K66" s="20">
        <f t="shared" si="2"/>
        <v>2003</v>
      </c>
      <c r="M66" s="21">
        <f t="shared" si="3"/>
        <v>3.0910424533583161</v>
      </c>
      <c r="N66" s="21">
        <f t="shared" si="4"/>
        <v>1.9625525431963604</v>
      </c>
    </row>
    <row r="67" spans="1:14" x14ac:dyDescent="0.2">
      <c r="A67" s="25">
        <f>'GF + UG Iteration 7'!A67</f>
        <v>1106</v>
      </c>
      <c r="B67" s="25" t="str">
        <f>'GF + UG Iteration 7'!B67</f>
        <v>GF</v>
      </c>
      <c r="C67" s="18">
        <f>'GF + UG Iteration 7'!C67</f>
        <v>12</v>
      </c>
      <c r="D67" s="19">
        <f>'GF + UG Iteration 7'!D67</f>
        <v>20.217898457447252</v>
      </c>
      <c r="E67" s="30">
        <f>'GF + UG Iteration 7'!E67</f>
        <v>2011</v>
      </c>
      <c r="F67" s="18"/>
      <c r="G67" s="19"/>
      <c r="H67" s="20"/>
      <c r="I67" s="18">
        <f t="shared" si="0"/>
        <v>12</v>
      </c>
      <c r="J67" s="19">
        <f t="shared" si="1"/>
        <v>20.217898457447252</v>
      </c>
      <c r="K67" s="20">
        <f t="shared" si="2"/>
        <v>2011</v>
      </c>
      <c r="M67" s="21">
        <f t="shared" si="3"/>
        <v>2.4849066497880004</v>
      </c>
      <c r="N67" s="21">
        <f t="shared" si="4"/>
        <v>3.0065682743355979</v>
      </c>
    </row>
    <row r="68" spans="1:14" x14ac:dyDescent="0.2">
      <c r="A68" s="25">
        <f>'GF + UG Iteration 7'!A68</f>
        <v>899</v>
      </c>
      <c r="B68" s="25" t="str">
        <f>'GF + UG Iteration 7'!B68</f>
        <v>GF</v>
      </c>
      <c r="C68" s="18">
        <f>'GF + UG Iteration 7'!C68</f>
        <v>25</v>
      </c>
      <c r="D68" s="19">
        <f>'GF + UG Iteration 7'!D68</f>
        <v>15.17251837286627</v>
      </c>
      <c r="E68" s="30">
        <f>'GF + UG Iteration 7'!E68</f>
        <v>2010</v>
      </c>
      <c r="F68" s="18"/>
      <c r="G68" s="19"/>
      <c r="H68" s="20"/>
      <c r="I68" s="18">
        <f t="shared" si="0"/>
        <v>25</v>
      </c>
      <c r="J68" s="19">
        <f t="shared" si="1"/>
        <v>15.17251837286627</v>
      </c>
      <c r="K68" s="20">
        <f t="shared" si="2"/>
        <v>2010</v>
      </c>
      <c r="M68" s="21">
        <f t="shared" si="3"/>
        <v>3.2188758248682006</v>
      </c>
      <c r="N68" s="21">
        <f t="shared" si="4"/>
        <v>2.7194857896591729</v>
      </c>
    </row>
    <row r="69" spans="1:14" x14ac:dyDescent="0.2">
      <c r="A69" s="25">
        <f>'GF + UG Iteration 7'!A69</f>
        <v>1191</v>
      </c>
      <c r="B69" s="25" t="str">
        <f>'GF + UG Iteration 7'!B69</f>
        <v>GF</v>
      </c>
      <c r="C69" s="18">
        <f>'GF + UG Iteration 7'!C69</f>
        <v>11</v>
      </c>
      <c r="D69" s="19">
        <f>'GF + UG Iteration 7'!D69</f>
        <v>12.628076471206382</v>
      </c>
      <c r="E69" s="30">
        <f>'GF + UG Iteration 7'!E69</f>
        <v>2011</v>
      </c>
      <c r="F69" s="18"/>
      <c r="G69" s="19"/>
      <c r="H69" s="20"/>
      <c r="I69" s="18">
        <f t="shared" si="0"/>
        <v>11</v>
      </c>
      <c r="J69" s="19">
        <f t="shared" si="1"/>
        <v>12.628076471206382</v>
      </c>
      <c r="K69" s="20">
        <f t="shared" si="2"/>
        <v>2011</v>
      </c>
      <c r="M69" s="21">
        <f t="shared" si="3"/>
        <v>2.3978952727983707</v>
      </c>
      <c r="N69" s="21">
        <f t="shared" si="4"/>
        <v>2.5359226263636927</v>
      </c>
    </row>
    <row r="70" spans="1:14" x14ac:dyDescent="0.2">
      <c r="A70" s="25">
        <f>'GF + UG Iteration 7'!A70</f>
        <v>1115</v>
      </c>
      <c r="B70" s="25" t="str">
        <f>'GF + UG Iteration 7'!B70</f>
        <v>GF</v>
      </c>
      <c r="C70" s="18">
        <f>'GF + UG Iteration 7'!C70</f>
        <v>10</v>
      </c>
      <c r="D70" s="19">
        <f>'GF + UG Iteration 7'!D70</f>
        <v>24.362790290493837</v>
      </c>
      <c r="E70" s="30">
        <f>'GF + UG Iteration 7'!E70</f>
        <v>2011</v>
      </c>
      <c r="F70" s="18"/>
      <c r="G70" s="19"/>
      <c r="H70" s="20"/>
      <c r="I70" s="18">
        <f t="shared" si="0"/>
        <v>10</v>
      </c>
      <c r="J70" s="19">
        <f t="shared" si="1"/>
        <v>24.362790290493837</v>
      </c>
      <c r="K70" s="20">
        <f t="shared" si="2"/>
        <v>2011</v>
      </c>
      <c r="M70" s="21">
        <f t="shared" si="3"/>
        <v>2.3025850929940459</v>
      </c>
      <c r="N70" s="21">
        <f t="shared" si="4"/>
        <v>3.1930569802267783</v>
      </c>
    </row>
    <row r="71" spans="1:14" x14ac:dyDescent="0.2">
      <c r="A71" s="25">
        <f>'GF + UG Iteration 7'!A71</f>
        <v>1053</v>
      </c>
      <c r="B71" s="25" t="str">
        <f>'GF + UG Iteration 7'!B71</f>
        <v>GF</v>
      </c>
      <c r="C71" s="18">
        <f>'GF + UG Iteration 7'!C71</f>
        <v>9</v>
      </c>
      <c r="D71" s="19">
        <f>'GF + UG Iteration 7'!D71</f>
        <v>14.71443826778331</v>
      </c>
      <c r="E71" s="30">
        <f>'GF + UG Iteration 7'!E71</f>
        <v>2011</v>
      </c>
      <c r="F71" s="18"/>
      <c r="G71" s="19"/>
      <c r="H71" s="20"/>
      <c r="I71" s="18">
        <f t="shared" si="0"/>
        <v>9</v>
      </c>
      <c r="J71" s="19">
        <f t="shared" si="1"/>
        <v>14.71443826778331</v>
      </c>
      <c r="K71" s="20">
        <f t="shared" si="2"/>
        <v>2011</v>
      </c>
      <c r="M71" s="21">
        <f t="shared" si="3"/>
        <v>2.1972245773362196</v>
      </c>
      <c r="N71" s="21">
        <f t="shared" si="4"/>
        <v>2.6888292068340069</v>
      </c>
    </row>
    <row r="72" spans="1:14" x14ac:dyDescent="0.2">
      <c r="A72" s="25">
        <f>'GF + UG Iteration 7'!A72</f>
        <v>864</v>
      </c>
      <c r="B72" s="25" t="str">
        <f>'GF + UG Iteration 7'!B72</f>
        <v>GF</v>
      </c>
      <c r="C72" s="18">
        <f>'GF + UG Iteration 7'!C72</f>
        <v>25</v>
      </c>
      <c r="D72" s="19">
        <f>'GF + UG Iteration 7'!D72</f>
        <v>9.825778201045452</v>
      </c>
      <c r="E72" s="30">
        <f>'GF + UG Iteration 7'!E72</f>
        <v>2007</v>
      </c>
      <c r="F72" s="18"/>
      <c r="G72" s="19"/>
      <c r="H72" s="20"/>
      <c r="I72" s="18">
        <f t="shared" ref="I72:I117" si="5">C72+F72</f>
        <v>25</v>
      </c>
      <c r="J72" s="19">
        <f t="shared" ref="J72:J117" si="6">D72+G72</f>
        <v>9.825778201045452</v>
      </c>
      <c r="K72" s="20">
        <f t="shared" ref="K72:K117" si="7">MAX(E72,H72)</f>
        <v>2007</v>
      </c>
      <c r="M72" s="21">
        <f t="shared" ref="M72:M135" si="8">LN(I72)</f>
        <v>3.2188758248682006</v>
      </c>
      <c r="N72" s="21">
        <f t="shared" ref="N72:N135" si="9">LN(J72)</f>
        <v>2.2850093608319559</v>
      </c>
    </row>
    <row r="73" spans="1:14" x14ac:dyDescent="0.2">
      <c r="A73" s="25">
        <f>'GF + UG Iteration 7'!A73</f>
        <v>834</v>
      </c>
      <c r="B73" s="25" t="str">
        <f>'GF + UG Iteration 7'!B73</f>
        <v>GF</v>
      </c>
      <c r="C73" s="18">
        <f>'GF + UG Iteration 7'!C73</f>
        <v>45</v>
      </c>
      <c r="D73" s="19">
        <f>'GF + UG Iteration 7'!D73</f>
        <v>25.798393978216257</v>
      </c>
      <c r="E73" s="30">
        <f>'GF + UG Iteration 7'!E73</f>
        <v>2010</v>
      </c>
      <c r="F73" s="18"/>
      <c r="G73" s="19"/>
      <c r="H73" s="20"/>
      <c r="I73" s="18">
        <f t="shared" si="5"/>
        <v>45</v>
      </c>
      <c r="J73" s="19">
        <f t="shared" si="6"/>
        <v>25.798393978216257</v>
      </c>
      <c r="K73" s="20">
        <f t="shared" si="7"/>
        <v>2010</v>
      </c>
      <c r="M73" s="21">
        <f t="shared" si="8"/>
        <v>3.8066624897703196</v>
      </c>
      <c r="N73" s="21">
        <f t="shared" si="9"/>
        <v>3.2503122410836816</v>
      </c>
    </row>
    <row r="74" spans="1:14" x14ac:dyDescent="0.2">
      <c r="A74" s="25">
        <f>'GF + UG Iteration 7'!A74</f>
        <v>722</v>
      </c>
      <c r="B74" s="25" t="str">
        <f>'GF + UG Iteration 7'!B74</f>
        <v>GF</v>
      </c>
      <c r="C74" s="18">
        <f>'GF + UG Iteration 7'!C74</f>
        <v>10.5</v>
      </c>
      <c r="D74" s="19">
        <f>'GF + UG Iteration 7'!D74</f>
        <v>13.501544643115857</v>
      </c>
      <c r="E74" s="30">
        <f>'GF + UG Iteration 7'!E74</f>
        <v>2010</v>
      </c>
      <c r="F74" s="18"/>
      <c r="G74" s="19"/>
      <c r="H74" s="20"/>
      <c r="I74" s="18">
        <f t="shared" si="5"/>
        <v>10.5</v>
      </c>
      <c r="J74" s="19">
        <f t="shared" si="6"/>
        <v>13.501544643115857</v>
      </c>
      <c r="K74" s="20">
        <f t="shared" si="7"/>
        <v>2010</v>
      </c>
      <c r="M74" s="21">
        <f t="shared" si="8"/>
        <v>2.3513752571634776</v>
      </c>
      <c r="N74" s="21">
        <f t="shared" si="9"/>
        <v>2.6028040969077249</v>
      </c>
    </row>
    <row r="75" spans="1:14" x14ac:dyDescent="0.2">
      <c r="A75" s="25">
        <f>'GF + UG Iteration 7'!A75</f>
        <v>927</v>
      </c>
      <c r="B75" s="25" t="str">
        <f>'GF + UG Iteration 7'!B75</f>
        <v>GF</v>
      </c>
      <c r="C75" s="18">
        <f>'GF + UG Iteration 7'!C75</f>
        <v>60</v>
      </c>
      <c r="D75" s="19">
        <f>'GF + UG Iteration 7'!D75</f>
        <v>25.887106037100622</v>
      </c>
      <c r="E75" s="30">
        <f>'GF + UG Iteration 7'!E75</f>
        <v>2011</v>
      </c>
      <c r="F75" s="18"/>
      <c r="G75" s="19"/>
      <c r="H75" s="20"/>
      <c r="I75" s="18">
        <f t="shared" si="5"/>
        <v>60</v>
      </c>
      <c r="J75" s="19">
        <f t="shared" si="6"/>
        <v>25.887106037100622</v>
      </c>
      <c r="K75" s="20">
        <f t="shared" si="7"/>
        <v>2011</v>
      </c>
      <c r="M75" s="21">
        <f t="shared" si="8"/>
        <v>4.0943445622221004</v>
      </c>
      <c r="N75" s="21">
        <f t="shared" si="9"/>
        <v>3.2537450083384241</v>
      </c>
    </row>
    <row r="76" spans="1:14" x14ac:dyDescent="0.2">
      <c r="A76" s="25">
        <f>'GF + UG Iteration 7'!A76</f>
        <v>1068</v>
      </c>
      <c r="B76" s="25" t="str">
        <f>'GF + UG Iteration 7'!B76</f>
        <v>GF</v>
      </c>
      <c r="C76" s="18">
        <f>'GF + UG Iteration 7'!C76</f>
        <v>11.2</v>
      </c>
      <c r="D76" s="19">
        <f>'GF + UG Iteration 7'!D76</f>
        <v>26.918199168374588</v>
      </c>
      <c r="E76" s="30">
        <f>'GF + UG Iteration 7'!E76</f>
        <v>2011</v>
      </c>
      <c r="F76" s="18"/>
      <c r="G76" s="19"/>
      <c r="H76" s="20"/>
      <c r="I76" s="18">
        <f t="shared" si="5"/>
        <v>11.2</v>
      </c>
      <c r="J76" s="19">
        <f t="shared" si="6"/>
        <v>26.918199168374588</v>
      </c>
      <c r="K76" s="20">
        <f t="shared" si="7"/>
        <v>2011</v>
      </c>
      <c r="M76" s="21">
        <f t="shared" si="8"/>
        <v>2.4159137783010487</v>
      </c>
      <c r="N76" s="21">
        <f t="shared" si="9"/>
        <v>3.2928026068618901</v>
      </c>
    </row>
    <row r="77" spans="1:14" x14ac:dyDescent="0.2">
      <c r="A77" s="25">
        <f>'GF + UG Iteration 7'!A77</f>
        <v>506</v>
      </c>
      <c r="B77" s="25" t="str">
        <f>'GF + UG Iteration 7'!B77</f>
        <v>GF</v>
      </c>
      <c r="C77" s="18">
        <f>'GF + UG Iteration 7'!C77</f>
        <v>20</v>
      </c>
      <c r="D77" s="19">
        <f>'GF + UG Iteration 7'!D77</f>
        <v>13.969254162639503</v>
      </c>
      <c r="E77" s="30">
        <f>'GF + UG Iteration 7'!E77</f>
        <v>2003</v>
      </c>
      <c r="F77" s="18"/>
      <c r="G77" s="19"/>
      <c r="H77" s="20"/>
      <c r="I77" s="18">
        <f t="shared" si="5"/>
        <v>20</v>
      </c>
      <c r="J77" s="19">
        <f t="shared" si="6"/>
        <v>13.969254162639503</v>
      </c>
      <c r="K77" s="20">
        <f t="shared" si="7"/>
        <v>2003</v>
      </c>
      <c r="M77" s="21">
        <f t="shared" si="8"/>
        <v>2.9957322735539909</v>
      </c>
      <c r="N77" s="21">
        <f t="shared" si="9"/>
        <v>2.6368587833425443</v>
      </c>
    </row>
    <row r="78" spans="1:14" x14ac:dyDescent="0.2">
      <c r="A78" s="25">
        <f>'GF + UG Iteration 7'!A78</f>
        <v>456</v>
      </c>
      <c r="B78" s="25" t="str">
        <f>'GF + UG Iteration 7'!B78</f>
        <v>GF</v>
      </c>
      <c r="C78" s="18">
        <f>'GF + UG Iteration 7'!C78</f>
        <v>16</v>
      </c>
      <c r="D78" s="19">
        <f>'GF + UG Iteration 7'!D78</f>
        <v>17.647037003819346</v>
      </c>
      <c r="E78" s="30">
        <f>'GF + UG Iteration 7'!E78</f>
        <v>2007</v>
      </c>
      <c r="F78" s="18"/>
      <c r="G78" s="19"/>
      <c r="H78" s="20"/>
      <c r="I78" s="18">
        <f t="shared" si="5"/>
        <v>16</v>
      </c>
      <c r="J78" s="19">
        <f t="shared" si="6"/>
        <v>17.647037003819346</v>
      </c>
      <c r="K78" s="20">
        <f t="shared" si="7"/>
        <v>2007</v>
      </c>
      <c r="M78" s="21">
        <f t="shared" si="8"/>
        <v>2.7725887222397811</v>
      </c>
      <c r="N78" s="21">
        <f t="shared" si="9"/>
        <v>2.8705678941489836</v>
      </c>
    </row>
    <row r="79" spans="1:14" x14ac:dyDescent="0.2">
      <c r="A79" s="25">
        <f>'GF + UG Iteration 7'!A79</f>
        <v>130</v>
      </c>
      <c r="B79" s="25" t="str">
        <f>'GF + UG Iteration 7'!B79</f>
        <v>GF</v>
      </c>
      <c r="C79" s="18">
        <f>'GF + UG Iteration 7'!C79</f>
        <v>18</v>
      </c>
      <c r="D79" s="19">
        <f>'GF + UG Iteration 7'!D79</f>
        <v>8.4369732753123952</v>
      </c>
      <c r="E79" s="30">
        <f>'GF + UG Iteration 7'!E79</f>
        <v>2001</v>
      </c>
      <c r="F79" s="18"/>
      <c r="G79" s="19"/>
      <c r="H79" s="20"/>
      <c r="I79" s="18">
        <f t="shared" si="5"/>
        <v>18</v>
      </c>
      <c r="J79" s="19">
        <f t="shared" si="6"/>
        <v>8.4369732753123952</v>
      </c>
      <c r="K79" s="20">
        <f t="shared" si="7"/>
        <v>2001</v>
      </c>
      <c r="M79" s="21">
        <f t="shared" si="8"/>
        <v>2.8903717578961645</v>
      </c>
      <c r="N79" s="21">
        <f t="shared" si="9"/>
        <v>2.1326236276203829</v>
      </c>
    </row>
    <row r="80" spans="1:14" x14ac:dyDescent="0.2">
      <c r="A80" s="25">
        <f>'GF + UG Iteration 7'!A80</f>
        <v>308</v>
      </c>
      <c r="B80" s="25" t="str">
        <f>'GF + UG Iteration 7'!B80</f>
        <v>GF</v>
      </c>
      <c r="C80" s="18">
        <f>'GF + UG Iteration 7'!C80</f>
        <v>10</v>
      </c>
      <c r="D80" s="19">
        <f>'GF + UG Iteration 7'!D80</f>
        <v>8.8753762889293544</v>
      </c>
      <c r="E80" s="30">
        <f>'GF + UG Iteration 7'!E80</f>
        <v>2003</v>
      </c>
      <c r="F80" s="18"/>
      <c r="G80" s="19"/>
      <c r="H80" s="20"/>
      <c r="I80" s="18">
        <f t="shared" si="5"/>
        <v>10</v>
      </c>
      <c r="J80" s="19">
        <f t="shared" si="6"/>
        <v>8.8753762889293544</v>
      </c>
      <c r="K80" s="20">
        <f t="shared" si="7"/>
        <v>2003</v>
      </c>
      <c r="M80" s="21">
        <f t="shared" si="8"/>
        <v>2.3025850929940459</v>
      </c>
      <c r="N80" s="21">
        <f t="shared" si="9"/>
        <v>2.1832807332152813</v>
      </c>
    </row>
    <row r="81" spans="1:14" x14ac:dyDescent="0.2">
      <c r="A81" s="25">
        <f>'GF + UG Iteration 7'!A81</f>
        <v>829</v>
      </c>
      <c r="B81" s="25" t="str">
        <f>'GF + UG Iteration 7'!B81</f>
        <v>GF</v>
      </c>
      <c r="C81" s="18">
        <f>'GF + UG Iteration 7'!C81</f>
        <v>20</v>
      </c>
      <c r="D81" s="19">
        <f>'GF + UG Iteration 7'!D81</f>
        <v>27.761077137379147</v>
      </c>
      <c r="E81" s="30">
        <f>'GF + UG Iteration 7'!E81</f>
        <v>2011</v>
      </c>
      <c r="F81" s="18"/>
      <c r="G81" s="19"/>
      <c r="H81" s="20"/>
      <c r="I81" s="18">
        <f t="shared" si="5"/>
        <v>20</v>
      </c>
      <c r="J81" s="19">
        <f t="shared" si="6"/>
        <v>27.761077137379147</v>
      </c>
      <c r="K81" s="20">
        <f t="shared" si="7"/>
        <v>2011</v>
      </c>
      <c r="M81" s="21">
        <f t="shared" si="8"/>
        <v>2.9957322735539909</v>
      </c>
      <c r="N81" s="21">
        <f t="shared" si="9"/>
        <v>3.3236349366646221</v>
      </c>
    </row>
    <row r="82" spans="1:14" x14ac:dyDescent="0.2">
      <c r="A82" s="25">
        <f>'GF + UG Iteration 7'!A82</f>
        <v>425</v>
      </c>
      <c r="B82" s="25" t="str">
        <f>'GF + UG Iteration 7'!B82</f>
        <v>GF</v>
      </c>
      <c r="C82" s="18">
        <f>'GF + UG Iteration 7'!C82</f>
        <v>17</v>
      </c>
      <c r="D82" s="19">
        <f>'GF + UG Iteration 7'!D82</f>
        <v>11.725448588458148</v>
      </c>
      <c r="E82" s="30">
        <f>'GF + UG Iteration 7'!E82</f>
        <v>2006</v>
      </c>
      <c r="F82" s="18"/>
      <c r="G82" s="19"/>
      <c r="H82" s="20"/>
      <c r="I82" s="18">
        <f t="shared" si="5"/>
        <v>17</v>
      </c>
      <c r="J82" s="19">
        <f t="shared" si="6"/>
        <v>11.725448588458148</v>
      </c>
      <c r="K82" s="20">
        <f t="shared" si="7"/>
        <v>2006</v>
      </c>
      <c r="M82" s="21">
        <f t="shared" si="8"/>
        <v>2.8332133440562162</v>
      </c>
      <c r="N82" s="21">
        <f t="shared" si="9"/>
        <v>2.4617615727440327</v>
      </c>
    </row>
    <row r="83" spans="1:14" x14ac:dyDescent="0.2">
      <c r="A83" s="25">
        <f>'GF + UG Iteration 7'!A83</f>
        <v>333</v>
      </c>
      <c r="B83" s="25" t="str">
        <f>'GF + UG Iteration 7'!B83</f>
        <v>GF</v>
      </c>
      <c r="C83" s="18">
        <f>'GF + UG Iteration 7'!C83</f>
        <v>12</v>
      </c>
      <c r="D83" s="19">
        <f>'GF + UG Iteration 7'!D83</f>
        <v>7.5607136656563343</v>
      </c>
      <c r="E83" s="30">
        <f>'GF + UG Iteration 7'!E83</f>
        <v>2003</v>
      </c>
      <c r="F83" s="18"/>
      <c r="G83" s="19"/>
      <c r="H83" s="20"/>
      <c r="I83" s="18">
        <f t="shared" si="5"/>
        <v>12</v>
      </c>
      <c r="J83" s="19">
        <f t="shared" si="6"/>
        <v>7.5607136656563343</v>
      </c>
      <c r="K83" s="20">
        <f t="shared" si="7"/>
        <v>2003</v>
      </c>
      <c r="M83" s="21">
        <f t="shared" si="8"/>
        <v>2.4849066497880004</v>
      </c>
      <c r="N83" s="21">
        <f t="shared" si="9"/>
        <v>2.022965585955113</v>
      </c>
    </row>
    <row r="84" spans="1:14" x14ac:dyDescent="0.2">
      <c r="A84" s="25">
        <f>'GF + UG Iteration 7'!A84</f>
        <v>769</v>
      </c>
      <c r="B84" s="25" t="str">
        <f>'GF + UG Iteration 7'!B84</f>
        <v>GF</v>
      </c>
      <c r="C84" s="18">
        <f>'GF + UG Iteration 7'!C84</f>
        <v>40</v>
      </c>
      <c r="D84" s="19">
        <f>'GF + UG Iteration 7'!D84</f>
        <v>26.381292343151443</v>
      </c>
      <c r="E84" s="30">
        <f>'GF + UG Iteration 7'!E84</f>
        <v>2007</v>
      </c>
      <c r="F84" s="18"/>
      <c r="G84" s="19"/>
      <c r="H84" s="20"/>
      <c r="I84" s="18">
        <f t="shared" si="5"/>
        <v>40</v>
      </c>
      <c r="J84" s="19">
        <f t="shared" si="6"/>
        <v>26.381292343151443</v>
      </c>
      <c r="K84" s="20">
        <f t="shared" si="7"/>
        <v>2007</v>
      </c>
      <c r="M84" s="21">
        <f t="shared" si="8"/>
        <v>3.6888794541139363</v>
      </c>
      <c r="N84" s="21">
        <f t="shared" si="9"/>
        <v>3.2726551355945839</v>
      </c>
    </row>
    <row r="85" spans="1:14" x14ac:dyDescent="0.2">
      <c r="A85" s="25">
        <f>'GF + UG Iteration 7'!A85</f>
        <v>948</v>
      </c>
      <c r="B85" s="25" t="str">
        <f>'GF + UG Iteration 7'!B85</f>
        <v>GF</v>
      </c>
      <c r="C85" s="18">
        <f>'GF + UG Iteration 7'!C85</f>
        <v>57</v>
      </c>
      <c r="D85" s="19">
        <f>'GF + UG Iteration 7'!D85</f>
        <v>12.653662771089085</v>
      </c>
      <c r="E85" s="30">
        <f>'GF + UG Iteration 7'!E85</f>
        <v>2014</v>
      </c>
      <c r="F85" s="18"/>
      <c r="G85" s="19"/>
      <c r="H85" s="20"/>
      <c r="I85" s="18">
        <f t="shared" si="5"/>
        <v>57</v>
      </c>
      <c r="J85" s="19">
        <f t="shared" si="6"/>
        <v>12.653662771089085</v>
      </c>
      <c r="K85" s="20">
        <f t="shared" si="7"/>
        <v>2014</v>
      </c>
      <c r="M85" s="21">
        <f t="shared" si="8"/>
        <v>4.0430512678345503</v>
      </c>
      <c r="N85" s="21">
        <f t="shared" si="9"/>
        <v>2.5379467203845181</v>
      </c>
    </row>
    <row r="86" spans="1:14" x14ac:dyDescent="0.2">
      <c r="A86" s="25">
        <f>'GF + UG Iteration 7'!A86</f>
        <v>1128</v>
      </c>
      <c r="B86" s="25" t="str">
        <f>'GF + UG Iteration 7'!B86</f>
        <v>GF</v>
      </c>
      <c r="C86" s="18">
        <f>'GF + UG Iteration 7'!C86</f>
        <v>45</v>
      </c>
      <c r="D86" s="19">
        <f>'GF + UG Iteration 7'!D86</f>
        <v>63.556235718349399</v>
      </c>
      <c r="E86" s="30">
        <f>'GF + UG Iteration 7'!E86</f>
        <v>2013</v>
      </c>
      <c r="F86" s="18"/>
      <c r="G86" s="19"/>
      <c r="H86" s="20"/>
      <c r="I86" s="18">
        <f t="shared" si="5"/>
        <v>45</v>
      </c>
      <c r="J86" s="19">
        <f t="shared" si="6"/>
        <v>63.556235718349399</v>
      </c>
      <c r="K86" s="20">
        <f t="shared" si="7"/>
        <v>2013</v>
      </c>
      <c r="M86" s="21">
        <f t="shared" si="8"/>
        <v>3.8066624897703196</v>
      </c>
      <c r="N86" s="21">
        <f t="shared" si="9"/>
        <v>4.1519251158484547</v>
      </c>
    </row>
    <row r="87" spans="1:14" x14ac:dyDescent="0.2">
      <c r="A87" s="25">
        <f>'GF + UG Iteration 7'!A87</f>
        <v>1214</v>
      </c>
      <c r="B87" s="25" t="str">
        <f>'GF + UG Iteration 7'!B87</f>
        <v>GF</v>
      </c>
      <c r="C87" s="18">
        <f>'GF + UG Iteration 7'!C87</f>
        <v>52</v>
      </c>
      <c r="D87" s="19">
        <f>'GF + UG Iteration 7'!D87</f>
        <v>22.631695273294461</v>
      </c>
      <c r="E87" s="30">
        <f>'GF + UG Iteration 7'!E87</f>
        <v>2013</v>
      </c>
      <c r="F87" s="18"/>
      <c r="G87" s="19"/>
      <c r="H87" s="20"/>
      <c r="I87" s="18">
        <f t="shared" si="5"/>
        <v>52</v>
      </c>
      <c r="J87" s="19">
        <f t="shared" si="6"/>
        <v>22.631695273294461</v>
      </c>
      <c r="K87" s="20">
        <f t="shared" si="7"/>
        <v>2013</v>
      </c>
      <c r="M87" s="21">
        <f t="shared" si="8"/>
        <v>3.9512437185814275</v>
      </c>
      <c r="N87" s="21">
        <f t="shared" si="9"/>
        <v>3.1193513694907367</v>
      </c>
    </row>
    <row r="88" spans="1:14" x14ac:dyDescent="0.2">
      <c r="A88" s="25">
        <f>'GF + UG Iteration 7'!A88</f>
        <v>1225</v>
      </c>
      <c r="B88" s="25" t="str">
        <f>'GF + UG Iteration 7'!B88</f>
        <v>GF</v>
      </c>
      <c r="C88" s="18">
        <f>'GF + UG Iteration 7'!C88</f>
        <v>20</v>
      </c>
      <c r="D88" s="19">
        <f>'GF + UG Iteration 7'!D88</f>
        <v>18.636695744675041</v>
      </c>
      <c r="E88" s="30">
        <f>'GF + UG Iteration 7'!E88</f>
        <v>2013</v>
      </c>
      <c r="F88" s="18"/>
      <c r="G88" s="19"/>
      <c r="H88" s="20"/>
      <c r="I88" s="18">
        <f t="shared" si="5"/>
        <v>20</v>
      </c>
      <c r="J88" s="19">
        <f t="shared" si="6"/>
        <v>18.636695744675041</v>
      </c>
      <c r="K88" s="20">
        <f t="shared" si="7"/>
        <v>2013</v>
      </c>
      <c r="M88" s="21">
        <f t="shared" si="8"/>
        <v>2.9957322735539909</v>
      </c>
      <c r="N88" s="21">
        <f t="shared" si="9"/>
        <v>2.925132526627233</v>
      </c>
    </row>
    <row r="89" spans="1:14" x14ac:dyDescent="0.2">
      <c r="A89" s="25">
        <f>'GF + UG Iteration 7'!A89</f>
        <v>1263</v>
      </c>
      <c r="B89" s="25" t="str">
        <f>'GF + UG Iteration 7'!B89</f>
        <v>GF</v>
      </c>
      <c r="C89" s="18">
        <f>'GF + UG Iteration 7'!C89</f>
        <v>8</v>
      </c>
      <c r="D89" s="19">
        <f>'GF + UG Iteration 7'!D89</f>
        <v>19.611656992669992</v>
      </c>
      <c r="E89" s="30">
        <f>'GF + UG Iteration 7'!E89</f>
        <v>2013</v>
      </c>
      <c r="F89" s="18"/>
      <c r="G89" s="19"/>
      <c r="H89" s="20"/>
      <c r="I89" s="18">
        <f t="shared" si="5"/>
        <v>8</v>
      </c>
      <c r="J89" s="19">
        <f t="shared" si="6"/>
        <v>19.611656992669992</v>
      </c>
      <c r="K89" s="20">
        <f t="shared" si="7"/>
        <v>2013</v>
      </c>
      <c r="M89" s="21">
        <f t="shared" si="8"/>
        <v>2.0794415416798357</v>
      </c>
      <c r="N89" s="21">
        <f t="shared" si="9"/>
        <v>2.9761241339700195</v>
      </c>
    </row>
    <row r="90" spans="1:14" x14ac:dyDescent="0.2">
      <c r="A90" s="25">
        <f>'GF + UG Iteration 7'!A90</f>
        <v>1309</v>
      </c>
      <c r="B90" s="25" t="str">
        <f>'GF + UG Iteration 7'!B90</f>
        <v>GF</v>
      </c>
      <c r="C90" s="18">
        <f>'GF + UG Iteration 7'!C90</f>
        <v>15</v>
      </c>
      <c r="D90" s="19">
        <f>'GF + UG Iteration 7'!D90</f>
        <v>16.109333942693336</v>
      </c>
      <c r="E90" s="30">
        <f>'GF + UG Iteration 7'!E90</f>
        <v>2013</v>
      </c>
      <c r="F90" s="18"/>
      <c r="G90" s="19"/>
      <c r="H90" s="20"/>
      <c r="I90" s="18">
        <f t="shared" si="5"/>
        <v>15</v>
      </c>
      <c r="J90" s="19">
        <f t="shared" si="6"/>
        <v>16.109333942693336</v>
      </c>
      <c r="K90" s="20">
        <f t="shared" si="7"/>
        <v>2013</v>
      </c>
      <c r="M90" s="21">
        <f t="shared" si="8"/>
        <v>2.7080502011022101</v>
      </c>
      <c r="N90" s="21">
        <f t="shared" si="9"/>
        <v>2.7793988519948485</v>
      </c>
    </row>
    <row r="91" spans="1:14" x14ac:dyDescent="0.2">
      <c r="A91" s="25">
        <f>'GF + UG Iteration 7'!A91</f>
        <v>1349</v>
      </c>
      <c r="B91" s="25" t="str">
        <f>'GF + UG Iteration 7'!B91</f>
        <v>GF</v>
      </c>
      <c r="C91" s="18">
        <f>'GF + UG Iteration 7'!C91</f>
        <v>34</v>
      </c>
      <c r="D91" s="19">
        <f>'GF + UG Iteration 7'!D91</f>
        <v>8.9679522578977586</v>
      </c>
      <c r="E91" s="30">
        <f>'GF + UG Iteration 7'!E91</f>
        <v>2013</v>
      </c>
      <c r="F91" s="18"/>
      <c r="G91" s="19"/>
      <c r="H91" s="20"/>
      <c r="I91" s="18">
        <f t="shared" si="5"/>
        <v>34</v>
      </c>
      <c r="J91" s="19">
        <f t="shared" si="6"/>
        <v>8.9679522578977586</v>
      </c>
      <c r="K91" s="20">
        <f t="shared" si="7"/>
        <v>2013</v>
      </c>
      <c r="M91" s="21">
        <f t="shared" si="8"/>
        <v>3.5263605246161616</v>
      </c>
      <c r="N91" s="21">
        <f t="shared" si="9"/>
        <v>2.193657362149283</v>
      </c>
    </row>
    <row r="92" spans="1:14" x14ac:dyDescent="0.2">
      <c r="A92" s="25">
        <f>'GF + UG Iteration 7'!A92</f>
        <v>1358</v>
      </c>
      <c r="B92" s="25" t="str">
        <f>'GF + UG Iteration 7'!B92</f>
        <v>GF</v>
      </c>
      <c r="C92" s="18">
        <f>'GF + UG Iteration 7'!C92</f>
        <v>27</v>
      </c>
      <c r="D92" s="19">
        <f>'GF + UG Iteration 7'!D92</f>
        <v>13.07265503282744</v>
      </c>
      <c r="E92" s="30">
        <f>'GF + UG Iteration 7'!E92</f>
        <v>2013</v>
      </c>
      <c r="F92" s="18"/>
      <c r="G92" s="19"/>
      <c r="H92" s="20"/>
      <c r="I92" s="18">
        <f t="shared" si="5"/>
        <v>27</v>
      </c>
      <c r="J92" s="19">
        <f t="shared" si="6"/>
        <v>13.07265503282744</v>
      </c>
      <c r="K92" s="20">
        <f t="shared" si="7"/>
        <v>2013</v>
      </c>
      <c r="M92" s="21">
        <f t="shared" si="8"/>
        <v>3.2958368660043291</v>
      </c>
      <c r="N92" s="21">
        <f t="shared" si="9"/>
        <v>2.5705226464726247</v>
      </c>
    </row>
    <row r="93" spans="1:14" x14ac:dyDescent="0.2">
      <c r="A93" s="25">
        <f>'GF + UG Iteration 7'!A93</f>
        <v>1404</v>
      </c>
      <c r="B93" s="25" t="str">
        <f>'GF + UG Iteration 7'!B93</f>
        <v>GF</v>
      </c>
      <c r="C93" s="18">
        <f>'GF + UG Iteration 7'!C93</f>
        <v>35</v>
      </c>
      <c r="D93" s="19">
        <f>'GF + UG Iteration 7'!D93</f>
        <v>35.276341164894447</v>
      </c>
      <c r="E93" s="30">
        <f>'GF + UG Iteration 7'!E93</f>
        <v>2013</v>
      </c>
      <c r="F93" s="18"/>
      <c r="G93" s="19"/>
      <c r="H93" s="20"/>
      <c r="I93" s="18">
        <f t="shared" si="5"/>
        <v>35</v>
      </c>
      <c r="J93" s="19">
        <f t="shared" si="6"/>
        <v>35.276341164894447</v>
      </c>
      <c r="K93" s="20">
        <f t="shared" si="7"/>
        <v>2013</v>
      </c>
      <c r="M93" s="21">
        <f t="shared" si="8"/>
        <v>3.5553480614894135</v>
      </c>
      <c r="N93" s="21">
        <f t="shared" si="9"/>
        <v>3.5632125172824458</v>
      </c>
    </row>
    <row r="94" spans="1:14" x14ac:dyDescent="0.2">
      <c r="A94" s="25">
        <f>'GF + UG Iteration 7'!A94</f>
        <v>1482</v>
      </c>
      <c r="B94" s="25" t="str">
        <f>'GF + UG Iteration 7'!B94</f>
        <v>GF</v>
      </c>
      <c r="C94" s="18">
        <f>'GF + UG Iteration 7'!C94</f>
        <v>18.399999999999999</v>
      </c>
      <c r="D94" s="19">
        <f>'GF + UG Iteration 7'!D94</f>
        <v>18.765793673519447</v>
      </c>
      <c r="E94" s="30">
        <f>'GF + UG Iteration 7'!E94</f>
        <v>2013</v>
      </c>
      <c r="F94" s="18"/>
      <c r="G94" s="19"/>
      <c r="H94" s="20"/>
      <c r="I94" s="18">
        <f t="shared" si="5"/>
        <v>18.399999999999999</v>
      </c>
      <c r="J94" s="19">
        <f t="shared" si="6"/>
        <v>18.765793673519447</v>
      </c>
      <c r="K94" s="20">
        <f t="shared" si="7"/>
        <v>2013</v>
      </c>
      <c r="M94" s="21">
        <f t="shared" si="8"/>
        <v>2.91235066461494</v>
      </c>
      <c r="N94" s="21">
        <f t="shared" si="9"/>
        <v>2.9320357271105943</v>
      </c>
    </row>
    <row r="95" spans="1:14" x14ac:dyDescent="0.2">
      <c r="A95" s="25">
        <f>'GF + UG Iteration 7'!A95</f>
        <v>1515</v>
      </c>
      <c r="B95" s="25" t="str">
        <f>'GF + UG Iteration 7'!B95</f>
        <v>GF</v>
      </c>
      <c r="C95" s="18">
        <f>'GF + UG Iteration 7'!C95</f>
        <v>7.2</v>
      </c>
      <c r="D95" s="19">
        <f>'GF + UG Iteration 7'!D95</f>
        <v>12.99271394051414</v>
      </c>
      <c r="E95" s="30">
        <f>'GF + UG Iteration 7'!E95</f>
        <v>2013</v>
      </c>
      <c r="F95" s="18"/>
      <c r="G95" s="19"/>
      <c r="H95" s="20"/>
      <c r="I95" s="18">
        <f t="shared" si="5"/>
        <v>7.2</v>
      </c>
      <c r="J95" s="19">
        <f t="shared" si="6"/>
        <v>12.99271394051414</v>
      </c>
      <c r="K95" s="20">
        <f t="shared" si="7"/>
        <v>2013</v>
      </c>
      <c r="M95" s="21">
        <f t="shared" si="8"/>
        <v>1.9740810260220096</v>
      </c>
      <c r="N95" s="21">
        <f t="shared" si="9"/>
        <v>2.5643887342273977</v>
      </c>
    </row>
    <row r="96" spans="1:14" x14ac:dyDescent="0.2">
      <c r="A96" s="25">
        <f>'GF + UG Iteration 7'!A96</f>
        <v>1618</v>
      </c>
      <c r="B96" s="25" t="str">
        <f>'GF + UG Iteration 7'!B96</f>
        <v>GF</v>
      </c>
      <c r="C96" s="18">
        <f>'GF + UG Iteration 7'!C96</f>
        <v>21</v>
      </c>
      <c r="D96" s="19">
        <f>'GF + UG Iteration 7'!D96</f>
        <v>15.965955598995766</v>
      </c>
      <c r="E96" s="30">
        <f>'GF + UG Iteration 7'!E96</f>
        <v>2016</v>
      </c>
      <c r="F96" s="18"/>
      <c r="G96" s="19"/>
      <c r="H96" s="20"/>
      <c r="I96" s="18">
        <f t="shared" si="5"/>
        <v>21</v>
      </c>
      <c r="J96" s="19">
        <f t="shared" si="6"/>
        <v>15.965955598995766</v>
      </c>
      <c r="K96" s="20">
        <f t="shared" si="7"/>
        <v>2016</v>
      </c>
      <c r="M96" s="21">
        <f t="shared" si="8"/>
        <v>3.044522437723423</v>
      </c>
      <c r="N96" s="21">
        <f t="shared" si="9"/>
        <v>2.7704586802474096</v>
      </c>
    </row>
    <row r="97" spans="1:14" x14ac:dyDescent="0.2">
      <c r="A97" s="25">
        <f>'GF + UG Iteration 7'!A97</f>
        <v>1634</v>
      </c>
      <c r="B97" s="25" t="str">
        <f>'GF + UG Iteration 7'!B97</f>
        <v>GF</v>
      </c>
      <c r="C97" s="18">
        <f>'GF + UG Iteration 7'!C97</f>
        <v>17.899999999999999</v>
      </c>
      <c r="D97" s="19">
        <f>'GF + UG Iteration 7'!D97</f>
        <v>17.172783979023848</v>
      </c>
      <c r="E97" s="30">
        <f>'GF + UG Iteration 7'!E97</f>
        <v>2015</v>
      </c>
      <c r="F97" s="18"/>
      <c r="G97" s="19"/>
      <c r="H97" s="20"/>
      <c r="I97" s="18">
        <f t="shared" si="5"/>
        <v>17.899999999999999</v>
      </c>
      <c r="J97" s="19">
        <f t="shared" si="6"/>
        <v>17.172783979023848</v>
      </c>
      <c r="K97" s="20">
        <f t="shared" si="7"/>
        <v>2015</v>
      </c>
      <c r="M97" s="21">
        <f t="shared" si="8"/>
        <v>2.884800712846709</v>
      </c>
      <c r="N97" s="21">
        <f t="shared" si="9"/>
        <v>2.8433258038172586</v>
      </c>
    </row>
    <row r="98" spans="1:14" x14ac:dyDescent="0.2">
      <c r="A98" s="25">
        <f>'GF + UG Iteration 7'!A98</f>
        <v>1258</v>
      </c>
      <c r="B98" s="25" t="str">
        <f>'GF + UG Iteration 7'!B98</f>
        <v>GF</v>
      </c>
      <c r="C98" s="18">
        <f>'GF + UG Iteration 7'!C98</f>
        <v>46</v>
      </c>
      <c r="D98" s="19">
        <f>'GF + UG Iteration 7'!D98</f>
        <v>53.518330212347877</v>
      </c>
      <c r="E98" s="30">
        <f>'GF + UG Iteration 7'!E98</f>
        <v>2017</v>
      </c>
      <c r="F98" s="18"/>
      <c r="G98" s="19"/>
      <c r="H98" s="20"/>
      <c r="I98" s="18">
        <f t="shared" si="5"/>
        <v>46</v>
      </c>
      <c r="J98" s="19">
        <f t="shared" si="6"/>
        <v>53.518330212347877</v>
      </c>
      <c r="K98" s="20">
        <f t="shared" si="7"/>
        <v>2017</v>
      </c>
      <c r="M98" s="21">
        <f t="shared" si="8"/>
        <v>3.8286413964890951</v>
      </c>
      <c r="N98" s="21">
        <f t="shared" si="9"/>
        <v>3.98002421601241</v>
      </c>
    </row>
    <row r="99" spans="1:14" x14ac:dyDescent="0.2">
      <c r="A99" s="25">
        <f>'GF + UG Iteration 7'!A99</f>
        <v>1284</v>
      </c>
      <c r="B99" s="25" t="str">
        <f>'GF + UG Iteration 7'!B99</f>
        <v>GF</v>
      </c>
      <c r="C99" s="18">
        <f>'GF + UG Iteration 7'!C99</f>
        <v>24.1</v>
      </c>
      <c r="D99" s="19">
        <f>'GF + UG Iteration 7'!D99</f>
        <v>7.0843108002972475</v>
      </c>
      <c r="E99" s="30">
        <f>'GF + UG Iteration 7'!E99</f>
        <v>2013</v>
      </c>
      <c r="F99" s="18"/>
      <c r="G99" s="19"/>
      <c r="H99" s="20"/>
      <c r="I99" s="18">
        <f t="shared" si="5"/>
        <v>24.1</v>
      </c>
      <c r="J99" s="19">
        <f t="shared" si="6"/>
        <v>7.0843108002972475</v>
      </c>
      <c r="K99" s="20">
        <f t="shared" si="7"/>
        <v>2013</v>
      </c>
      <c r="M99" s="21">
        <f t="shared" si="8"/>
        <v>3.1822118404966093</v>
      </c>
      <c r="N99" s="21">
        <f t="shared" si="9"/>
        <v>1.9578825925179175</v>
      </c>
    </row>
    <row r="100" spans="1:14" x14ac:dyDescent="0.2">
      <c r="A100" s="25" t="str">
        <f>'GF + UG Iteration 7'!A100</f>
        <v>Pre-01</v>
      </c>
      <c r="B100" s="25" t="str">
        <f>'GF + UG Iteration 7'!B100</f>
        <v>GF</v>
      </c>
      <c r="C100" s="18">
        <f>'GF + UG Iteration 7'!C100</f>
        <v>2.2000000000000002</v>
      </c>
      <c r="D100" s="19">
        <f>'GF + UG Iteration 7'!D100</f>
        <v>2.4933711786255444</v>
      </c>
      <c r="E100" s="30">
        <f>'GF + UG Iteration 7'!E100</f>
        <v>1990</v>
      </c>
      <c r="F100" s="18"/>
      <c r="G100" s="19"/>
      <c r="H100" s="20"/>
      <c r="I100" s="18">
        <f t="shared" si="5"/>
        <v>2.2000000000000002</v>
      </c>
      <c r="J100" s="19">
        <f t="shared" si="6"/>
        <v>2.4933711786255444</v>
      </c>
      <c r="K100" s="20">
        <f t="shared" si="7"/>
        <v>1990</v>
      </c>
      <c r="M100" s="21">
        <f t="shared" si="8"/>
        <v>0.78845736036427028</v>
      </c>
      <c r="N100" s="21">
        <f t="shared" si="9"/>
        <v>0.91363568179621524</v>
      </c>
    </row>
    <row r="101" spans="1:14" x14ac:dyDescent="0.2">
      <c r="A101" s="25" t="str">
        <f>'GF + UG Iteration 7'!A101</f>
        <v>Pre-02</v>
      </c>
      <c r="B101" s="25" t="str">
        <f>'GF + UG Iteration 7'!B101</f>
        <v>GF</v>
      </c>
      <c r="C101" s="18">
        <f>'GF + UG Iteration 7'!C101</f>
        <v>1.464</v>
      </c>
      <c r="D101" s="19">
        <f>'GF + UG Iteration 7'!D101</f>
        <v>1.4940223849019025</v>
      </c>
      <c r="E101" s="30">
        <f>'GF + UG Iteration 7'!E101</f>
        <v>1987</v>
      </c>
      <c r="F101" s="18"/>
      <c r="G101" s="19"/>
      <c r="H101" s="20"/>
      <c r="I101" s="18">
        <f t="shared" si="5"/>
        <v>1.464</v>
      </c>
      <c r="J101" s="19">
        <f t="shared" si="6"/>
        <v>1.4940223849019025</v>
      </c>
      <c r="K101" s="20">
        <f t="shared" si="7"/>
        <v>1987</v>
      </c>
      <c r="M101" s="21">
        <f t="shared" si="8"/>
        <v>0.38117241553911979</v>
      </c>
      <c r="N101" s="21">
        <f t="shared" si="9"/>
        <v>0.40147206979911648</v>
      </c>
    </row>
    <row r="102" spans="1:14" x14ac:dyDescent="0.2">
      <c r="A102" s="25" t="str">
        <f>'GF + UG Iteration 7'!A102</f>
        <v>Pre-03</v>
      </c>
      <c r="B102" s="25" t="str">
        <f>'GF + UG Iteration 7'!B102</f>
        <v>GF</v>
      </c>
      <c r="C102" s="18">
        <f>'GF + UG Iteration 7'!C102</f>
        <v>4.0750000000000002</v>
      </c>
      <c r="D102" s="19">
        <f>'GF + UG Iteration 7'!D102</f>
        <v>1.9369408873503524</v>
      </c>
      <c r="E102" s="30">
        <f>'GF + UG Iteration 7'!E102</f>
        <v>1990</v>
      </c>
      <c r="F102" s="18"/>
      <c r="G102" s="19"/>
      <c r="H102" s="20"/>
      <c r="I102" s="18">
        <f t="shared" si="5"/>
        <v>4.0750000000000002</v>
      </c>
      <c r="J102" s="19">
        <f t="shared" si="6"/>
        <v>1.9369408873503524</v>
      </c>
      <c r="K102" s="20">
        <f t="shared" si="7"/>
        <v>1990</v>
      </c>
      <c r="M102" s="21">
        <f t="shared" si="8"/>
        <v>1.4048707466928261</v>
      </c>
      <c r="N102" s="21">
        <f t="shared" si="9"/>
        <v>0.66110986632901214</v>
      </c>
    </row>
    <row r="103" spans="1:14" x14ac:dyDescent="0.2">
      <c r="A103" s="25" t="str">
        <f>'GF + UG Iteration 7'!A103</f>
        <v>Pre-04</v>
      </c>
      <c r="B103" s="25" t="str">
        <f>'GF + UG Iteration 7'!B103</f>
        <v>GF</v>
      </c>
      <c r="C103" s="18">
        <f>'GF + UG Iteration 7'!C103</f>
        <v>10</v>
      </c>
      <c r="D103" s="19">
        <f>'GF + UG Iteration 7'!D103</f>
        <v>8.526519330793306</v>
      </c>
      <c r="E103" s="30">
        <f>'GF + UG Iteration 7'!E103</f>
        <v>1991</v>
      </c>
      <c r="F103" s="18"/>
      <c r="G103" s="19"/>
      <c r="H103" s="20"/>
      <c r="I103" s="18">
        <f t="shared" si="5"/>
        <v>10</v>
      </c>
      <c r="J103" s="19">
        <f t="shared" si="6"/>
        <v>8.526519330793306</v>
      </c>
      <c r="K103" s="20">
        <f t="shared" si="7"/>
        <v>1991</v>
      </c>
      <c r="M103" s="21">
        <f t="shared" si="8"/>
        <v>2.3025850929940459</v>
      </c>
      <c r="N103" s="21">
        <f t="shared" si="9"/>
        <v>2.143181227911088</v>
      </c>
    </row>
    <row r="104" spans="1:14" x14ac:dyDescent="0.2">
      <c r="A104" s="25" t="str">
        <f>'GF + UG Iteration 7'!A104</f>
        <v>Pre-05</v>
      </c>
      <c r="B104" s="25" t="str">
        <f>'GF + UG Iteration 7'!B104</f>
        <v>GF</v>
      </c>
      <c r="C104" s="18">
        <f>'GF + UG Iteration 7'!C104</f>
        <v>4.8</v>
      </c>
      <c r="D104" s="19">
        <f>'GF + UG Iteration 7'!D104</f>
        <v>4.0521826998299986</v>
      </c>
      <c r="E104" s="30">
        <f>'GF + UG Iteration 7'!E104</f>
        <v>1988</v>
      </c>
      <c r="F104" s="18"/>
      <c r="G104" s="19"/>
      <c r="H104" s="20"/>
      <c r="I104" s="18">
        <f t="shared" si="5"/>
        <v>4.8</v>
      </c>
      <c r="J104" s="19">
        <f t="shared" si="6"/>
        <v>4.0521826998299986</v>
      </c>
      <c r="K104" s="20">
        <f t="shared" si="7"/>
        <v>1988</v>
      </c>
      <c r="M104" s="21">
        <f t="shared" si="8"/>
        <v>1.5686159179138452</v>
      </c>
      <c r="N104" s="21">
        <f t="shared" si="9"/>
        <v>1.3992556741730273</v>
      </c>
    </row>
    <row r="105" spans="1:14" x14ac:dyDescent="0.2">
      <c r="A105" s="25" t="str">
        <f>'GF + UG Iteration 7'!A105</f>
        <v>Pre-06</v>
      </c>
      <c r="B105" s="25" t="str">
        <f>'GF + UG Iteration 7'!B105</f>
        <v>GF</v>
      </c>
      <c r="C105" s="18">
        <f>'GF + UG Iteration 7'!C105</f>
        <v>5.0999999999999996</v>
      </c>
      <c r="D105" s="19">
        <f>'GF + UG Iteration 7'!D105</f>
        <v>9.6482174286466869</v>
      </c>
      <c r="E105" s="30">
        <f>'GF + UG Iteration 7'!E105</f>
        <v>1989</v>
      </c>
      <c r="F105" s="18"/>
      <c r="G105" s="19"/>
      <c r="H105" s="20"/>
      <c r="I105" s="18">
        <f t="shared" si="5"/>
        <v>5.0999999999999996</v>
      </c>
      <c r="J105" s="19">
        <f t="shared" si="6"/>
        <v>9.6482174286466869</v>
      </c>
      <c r="K105" s="20">
        <f t="shared" si="7"/>
        <v>1989</v>
      </c>
      <c r="M105" s="21">
        <f t="shared" si="8"/>
        <v>1.62924053973028</v>
      </c>
      <c r="N105" s="21">
        <f t="shared" si="9"/>
        <v>2.2667731758675744</v>
      </c>
    </row>
    <row r="106" spans="1:14" x14ac:dyDescent="0.2">
      <c r="A106" s="25" t="str">
        <f>'GF + UG Iteration 7'!A106</f>
        <v>Pre-07</v>
      </c>
      <c r="B106" s="25" t="str">
        <f>'GF + UG Iteration 7'!B106</f>
        <v>GF</v>
      </c>
      <c r="C106" s="18">
        <f>'GF + UG Iteration 7'!C106</f>
        <v>6.9</v>
      </c>
      <c r="D106" s="19">
        <f>'GF + UG Iteration 7'!D106</f>
        <v>5.029432718717521</v>
      </c>
      <c r="E106" s="30">
        <f>'GF + UG Iteration 7'!E106</f>
        <v>1997</v>
      </c>
      <c r="F106" s="18"/>
      <c r="G106" s="19"/>
      <c r="H106" s="20"/>
      <c r="I106" s="18">
        <f t="shared" si="5"/>
        <v>6.9</v>
      </c>
      <c r="J106" s="19">
        <f t="shared" si="6"/>
        <v>5.029432718717521</v>
      </c>
      <c r="K106" s="20">
        <f t="shared" si="7"/>
        <v>1997</v>
      </c>
      <c r="M106" s="21">
        <f t="shared" si="8"/>
        <v>1.9315214116032138</v>
      </c>
      <c r="N106" s="21">
        <f t="shared" si="9"/>
        <v>1.6153071981725313</v>
      </c>
    </row>
    <row r="107" spans="1:14" x14ac:dyDescent="0.2">
      <c r="A107" s="25" t="str">
        <f>'GF + UG Iteration 7'!A107</f>
        <v>Pre-08</v>
      </c>
      <c r="B107" s="25" t="str">
        <f>'GF + UG Iteration 7'!B107</f>
        <v>GF</v>
      </c>
      <c r="C107" s="18">
        <f>'GF + UG Iteration 7'!C107</f>
        <v>11.8</v>
      </c>
      <c r="D107" s="19">
        <f>'GF + UG Iteration 7'!D107</f>
        <v>6.372939235597177</v>
      </c>
      <c r="E107" s="30">
        <f>'GF + UG Iteration 7'!E107</f>
        <v>1987</v>
      </c>
      <c r="F107" s="18"/>
      <c r="G107" s="19"/>
      <c r="H107" s="20"/>
      <c r="I107" s="18">
        <f t="shared" si="5"/>
        <v>11.8</v>
      </c>
      <c r="J107" s="19">
        <f t="shared" si="6"/>
        <v>6.372939235597177</v>
      </c>
      <c r="K107" s="20">
        <f t="shared" si="7"/>
        <v>1987</v>
      </c>
      <c r="M107" s="21">
        <f t="shared" si="8"/>
        <v>2.4680995314716192</v>
      </c>
      <c r="N107" s="21">
        <f t="shared" si="9"/>
        <v>1.8520607816244041</v>
      </c>
    </row>
    <row r="108" spans="1:14" x14ac:dyDescent="0.2">
      <c r="A108" s="25" t="str">
        <f>'GF + UG Iteration 7'!A108</f>
        <v>Pre-09</v>
      </c>
      <c r="B108" s="25" t="str">
        <f>'GF + UG Iteration 7'!B108</f>
        <v>GF</v>
      </c>
      <c r="C108" s="18">
        <f>'GF + UG Iteration 7'!C108</f>
        <v>9.6999999999999993</v>
      </c>
      <c r="D108" s="19">
        <f>'GF + UG Iteration 7'!D108</f>
        <v>2.9443376052628771</v>
      </c>
      <c r="E108" s="30">
        <f>'GF + UG Iteration 7'!E108</f>
        <v>1997</v>
      </c>
      <c r="F108" s="18"/>
      <c r="G108" s="19"/>
      <c r="H108" s="20"/>
      <c r="I108" s="18">
        <f t="shared" si="5"/>
        <v>9.6999999999999993</v>
      </c>
      <c r="J108" s="19">
        <f t="shared" si="6"/>
        <v>2.9443376052628771</v>
      </c>
      <c r="K108" s="20">
        <f t="shared" si="7"/>
        <v>1997</v>
      </c>
      <c r="M108" s="21">
        <f t="shared" si="8"/>
        <v>2.2721258855093369</v>
      </c>
      <c r="N108" s="21">
        <f t="shared" si="9"/>
        <v>1.0798838699925799</v>
      </c>
    </row>
    <row r="109" spans="1:14" x14ac:dyDescent="0.2">
      <c r="A109" s="25" t="str">
        <f>'GF + UG Iteration 7'!A109</f>
        <v>Pre-10</v>
      </c>
      <c r="B109" s="25" t="str">
        <f>'GF + UG Iteration 7'!B109</f>
        <v>GF</v>
      </c>
      <c r="C109" s="18">
        <f>'GF + UG Iteration 7'!C109</f>
        <v>6.12</v>
      </c>
      <c r="D109" s="19">
        <f>'GF + UG Iteration 7'!D109</f>
        <v>13.481108575958453</v>
      </c>
      <c r="E109" s="30">
        <f>'GF + UG Iteration 7'!E109</f>
        <v>1990</v>
      </c>
      <c r="F109" s="18"/>
      <c r="G109" s="19"/>
      <c r="H109" s="20"/>
      <c r="I109" s="18">
        <f t="shared" si="5"/>
        <v>6.12</v>
      </c>
      <c r="J109" s="19">
        <f t="shared" si="6"/>
        <v>13.481108575958453</v>
      </c>
      <c r="K109" s="20">
        <f t="shared" si="7"/>
        <v>1990</v>
      </c>
      <c r="M109" s="21">
        <f t="shared" si="8"/>
        <v>1.8115620965242347</v>
      </c>
      <c r="N109" s="21">
        <f t="shared" si="9"/>
        <v>2.6012893406753403</v>
      </c>
    </row>
    <row r="110" spans="1:14" x14ac:dyDescent="0.2">
      <c r="A110" s="25" t="str">
        <f>'GF + UG Iteration 7'!A110</f>
        <v>Pre-11</v>
      </c>
      <c r="B110" s="25" t="str">
        <f>'GF + UG Iteration 7'!B110</f>
        <v>GF</v>
      </c>
      <c r="C110" s="18">
        <f>'GF + UG Iteration 7'!C110</f>
        <v>6.2671999999999999</v>
      </c>
      <c r="D110" s="19">
        <f>'GF + UG Iteration 7'!D110</f>
        <v>2.9102311039234974</v>
      </c>
      <c r="E110" s="30">
        <f>'GF + UG Iteration 7'!E110</f>
        <v>1987</v>
      </c>
      <c r="F110" s="18"/>
      <c r="G110" s="19"/>
      <c r="H110" s="20"/>
      <c r="I110" s="18">
        <f t="shared" si="5"/>
        <v>6.2671999999999999</v>
      </c>
      <c r="J110" s="19">
        <f t="shared" si="6"/>
        <v>2.9102311039234974</v>
      </c>
      <c r="K110" s="20">
        <f t="shared" si="7"/>
        <v>1987</v>
      </c>
      <c r="M110" s="21">
        <f t="shared" si="8"/>
        <v>1.8353296839294297</v>
      </c>
      <c r="N110" s="21">
        <f t="shared" si="9"/>
        <v>1.0682324951858668</v>
      </c>
    </row>
    <row r="111" spans="1:14" x14ac:dyDescent="0.2">
      <c r="A111" s="25" t="str">
        <f>'GF + UG Iteration 7'!A111</f>
        <v>Pre-12</v>
      </c>
      <c r="B111" s="25" t="str">
        <f>'GF + UG Iteration 7'!B111</f>
        <v>GF</v>
      </c>
      <c r="C111" s="18">
        <f>'GF + UG Iteration 7'!C111</f>
        <v>6.3659999999999997</v>
      </c>
      <c r="D111" s="19">
        <f>'GF + UG Iteration 7'!D111</f>
        <v>9.8906921245327926</v>
      </c>
      <c r="E111" s="30">
        <f>'GF + UG Iteration 7'!E111</f>
        <v>1993</v>
      </c>
      <c r="F111" s="18"/>
      <c r="G111" s="19"/>
      <c r="H111" s="20"/>
      <c r="I111" s="18">
        <f t="shared" si="5"/>
        <v>6.3659999999999997</v>
      </c>
      <c r="J111" s="19">
        <f t="shared" si="6"/>
        <v>9.8906921245327926</v>
      </c>
      <c r="K111" s="20">
        <f t="shared" si="7"/>
        <v>1993</v>
      </c>
      <c r="M111" s="21">
        <f t="shared" si="8"/>
        <v>1.850971328859901</v>
      </c>
      <c r="N111" s="21">
        <f t="shared" si="9"/>
        <v>2.2915941254440955</v>
      </c>
    </row>
    <row r="112" spans="1:14" x14ac:dyDescent="0.2">
      <c r="A112" s="25" t="str">
        <f>'GF + UG Iteration 7'!A112</f>
        <v>Pre-13</v>
      </c>
      <c r="B112" s="25" t="str">
        <f>'GF + UG Iteration 7'!B112</f>
        <v>GF</v>
      </c>
      <c r="C112" s="18">
        <f>'GF + UG Iteration 7'!C112</f>
        <v>8.5</v>
      </c>
      <c r="D112" s="19">
        <f>'GF + UG Iteration 7'!D112</f>
        <v>5.9446476688134462</v>
      </c>
      <c r="E112" s="30">
        <f>'GF + UG Iteration 7'!E112</f>
        <v>1990</v>
      </c>
      <c r="F112" s="18"/>
      <c r="G112" s="19"/>
      <c r="H112" s="20"/>
      <c r="I112" s="18">
        <f t="shared" si="5"/>
        <v>8.5</v>
      </c>
      <c r="J112" s="19">
        <f t="shared" si="6"/>
        <v>5.9446476688134462</v>
      </c>
      <c r="K112" s="20">
        <f t="shared" si="7"/>
        <v>1990</v>
      </c>
      <c r="M112" s="21">
        <f t="shared" si="8"/>
        <v>2.1400661634962708</v>
      </c>
      <c r="N112" s="21">
        <f t="shared" si="9"/>
        <v>1.7824912632583982</v>
      </c>
    </row>
    <row r="113" spans="1:14" x14ac:dyDescent="0.2">
      <c r="A113" s="25" t="str">
        <f>'GF + UG Iteration 7'!A113</f>
        <v>Pre-14</v>
      </c>
      <c r="B113" s="25" t="str">
        <f>'GF + UG Iteration 7'!B113</f>
        <v>GF</v>
      </c>
      <c r="C113" s="18">
        <f>'GF + UG Iteration 7'!C113</f>
        <v>46.55</v>
      </c>
      <c r="D113" s="19">
        <f>'GF + UG Iteration 7'!D113</f>
        <v>7.1936227504100643</v>
      </c>
      <c r="E113" s="30">
        <f>'GF + UG Iteration 7'!E113</f>
        <v>1991</v>
      </c>
      <c r="F113" s="18"/>
      <c r="G113" s="19"/>
      <c r="H113" s="20"/>
      <c r="I113" s="18">
        <f t="shared" si="5"/>
        <v>46.55</v>
      </c>
      <c r="J113" s="19">
        <f t="shared" si="6"/>
        <v>7.1936227504100643</v>
      </c>
      <c r="K113" s="20">
        <f t="shared" si="7"/>
        <v>1991</v>
      </c>
      <c r="M113" s="21">
        <f t="shared" si="8"/>
        <v>3.8405270037230759</v>
      </c>
      <c r="N113" s="21">
        <f t="shared" si="9"/>
        <v>1.9731949044224915</v>
      </c>
    </row>
    <row r="114" spans="1:14" x14ac:dyDescent="0.2">
      <c r="A114" s="25" t="str">
        <f>'GF + UG Iteration 7'!A114</f>
        <v>Pre-15</v>
      </c>
      <c r="B114" s="25" t="str">
        <f>'GF + UG Iteration 7'!B114</f>
        <v>GF</v>
      </c>
      <c r="C114" s="18">
        <f>'GF + UG Iteration 7'!C114</f>
        <v>56.8</v>
      </c>
      <c r="D114" s="19">
        <f>'GF + UG Iteration 7'!D114</f>
        <v>17.594466678549747</v>
      </c>
      <c r="E114" s="30">
        <f>'GF + UG Iteration 7'!E114</f>
        <v>1990</v>
      </c>
      <c r="F114" s="18"/>
      <c r="G114" s="19"/>
      <c r="H114" s="20"/>
      <c r="I114" s="18">
        <f t="shared" si="5"/>
        <v>56.8</v>
      </c>
      <c r="J114" s="19">
        <f t="shared" si="6"/>
        <v>17.594466678549747</v>
      </c>
      <c r="K114" s="20">
        <f t="shared" si="7"/>
        <v>1990</v>
      </c>
      <c r="M114" s="21">
        <f t="shared" si="8"/>
        <v>4.0395363257271057</v>
      </c>
      <c r="N114" s="21">
        <f t="shared" si="9"/>
        <v>2.867584459347964</v>
      </c>
    </row>
    <row r="115" spans="1:14" x14ac:dyDescent="0.2">
      <c r="A115" s="25" t="str">
        <f>'GF + UG Iteration 7'!A115</f>
        <v>Pre-16</v>
      </c>
      <c r="B115" s="25" t="str">
        <f>'GF + UG Iteration 7'!B115</f>
        <v>GF</v>
      </c>
      <c r="C115" s="18">
        <f>'GF + UG Iteration 7'!C115</f>
        <v>81.575999999999993</v>
      </c>
      <c r="D115" s="19">
        <f>'GF + UG Iteration 7'!D115</f>
        <v>14.026199251012313</v>
      </c>
      <c r="E115" s="30">
        <f>'GF + UG Iteration 7'!E115</f>
        <v>1988</v>
      </c>
      <c r="F115" s="18"/>
      <c r="G115" s="19"/>
      <c r="H115" s="20"/>
      <c r="I115" s="18">
        <f t="shared" si="5"/>
        <v>81.575999999999993</v>
      </c>
      <c r="J115" s="19">
        <f t="shared" si="6"/>
        <v>14.026199251012313</v>
      </c>
      <c r="K115" s="20">
        <f t="shared" si="7"/>
        <v>1988</v>
      </c>
      <c r="M115" s="21">
        <f t="shared" si="8"/>
        <v>4.4015351010619241</v>
      </c>
      <c r="N115" s="21">
        <f t="shared" si="9"/>
        <v>2.6409269558467208</v>
      </c>
    </row>
    <row r="116" spans="1:14" x14ac:dyDescent="0.2">
      <c r="A116" s="25" t="str">
        <f>'GF + UG Iteration 7'!A116</f>
        <v>Pre-17</v>
      </c>
      <c r="B116" s="25" t="str">
        <f>'GF + UG Iteration 7'!B116</f>
        <v>GF</v>
      </c>
      <c r="C116" s="18">
        <f>'GF + UG Iteration 7'!C116</f>
        <v>95.2</v>
      </c>
      <c r="D116" s="19">
        <f>'GF + UG Iteration 7'!D116</f>
        <v>14.219904176944949</v>
      </c>
      <c r="E116" s="30">
        <f>'GF + UG Iteration 7'!E116</f>
        <v>1999</v>
      </c>
      <c r="F116" s="18"/>
      <c r="G116" s="19"/>
      <c r="H116" s="20"/>
      <c r="I116" s="18">
        <f t="shared" si="5"/>
        <v>95.2</v>
      </c>
      <c r="J116" s="19">
        <f t="shared" si="6"/>
        <v>14.219904176944949</v>
      </c>
      <c r="K116" s="20">
        <f t="shared" si="7"/>
        <v>1999</v>
      </c>
      <c r="M116" s="21">
        <f t="shared" si="8"/>
        <v>4.5559799417973199</v>
      </c>
      <c r="N116" s="21">
        <f t="shared" si="9"/>
        <v>2.654642685740924</v>
      </c>
    </row>
    <row r="117" spans="1:14" x14ac:dyDescent="0.2">
      <c r="A117" s="25" t="str">
        <f>'GF + UG Iteration 7'!A117</f>
        <v>Pre-18</v>
      </c>
      <c r="B117" s="25" t="str">
        <f>'GF + UG Iteration 7'!B117</f>
        <v>GF</v>
      </c>
      <c r="C117" s="18">
        <f>'GF + UG Iteration 7'!C117</f>
        <v>122.77200000000001</v>
      </c>
      <c r="D117" s="19">
        <f>'GF + UG Iteration 7'!D117</f>
        <v>23.447549869052086</v>
      </c>
      <c r="E117" s="30">
        <f>'GF + UG Iteration 7'!E117</f>
        <v>1990</v>
      </c>
      <c r="F117" s="18"/>
      <c r="G117" s="19"/>
      <c r="H117" s="20"/>
      <c r="I117" s="18">
        <f t="shared" si="5"/>
        <v>122.77200000000001</v>
      </c>
      <c r="J117" s="19">
        <f t="shared" si="6"/>
        <v>23.447549869052086</v>
      </c>
      <c r="K117" s="20">
        <f t="shared" si="7"/>
        <v>1990</v>
      </c>
      <c r="M117" s="21">
        <f t="shared" si="8"/>
        <v>4.8103289766848034</v>
      </c>
      <c r="N117" s="21">
        <f t="shared" si="9"/>
        <v>3.1547660062374661</v>
      </c>
    </row>
    <row r="118" spans="1:14" x14ac:dyDescent="0.2">
      <c r="A118" s="33">
        <f>'GF + UG Iteration 7'!A118</f>
        <v>1184</v>
      </c>
      <c r="B118" s="34" t="str">
        <f>'GF + UG Iteration 7'!B118</f>
        <v>UG</v>
      </c>
      <c r="C118" s="35">
        <f>'GF + UG Iteration 7'!C118</f>
        <v>30</v>
      </c>
      <c r="D118" s="36">
        <f>'GF + UG Iteration 7'!P$16*(C118^'GF + UG Iteration 7'!P$15)</f>
        <v>17.905871746512556</v>
      </c>
      <c r="E118" s="37">
        <f>'GF + UG Iteration 7'!E118</f>
        <v>2013</v>
      </c>
      <c r="F118" s="35">
        <f>'GF + UG Iteration 7'!F118</f>
        <v>18.200000000000003</v>
      </c>
      <c r="G118" s="36">
        <f>'GF + UG Iteration 7'!G118</f>
        <v>18.869341885211266</v>
      </c>
      <c r="H118" s="38">
        <f>'GF + UG Iteration 7'!H118</f>
        <v>2012</v>
      </c>
      <c r="I118" s="35">
        <f>C118+F118</f>
        <v>48.2</v>
      </c>
      <c r="J118" s="36">
        <f>D118+G118</f>
        <v>36.775213631723823</v>
      </c>
      <c r="K118" s="38">
        <f>MAX(E118,H118)</f>
        <v>2013</v>
      </c>
      <c r="M118" s="21">
        <f t="shared" si="8"/>
        <v>3.8753590210565547</v>
      </c>
      <c r="N118" s="21">
        <f t="shared" si="9"/>
        <v>3.6048240756269525</v>
      </c>
    </row>
    <row r="119" spans="1:14" x14ac:dyDescent="0.2">
      <c r="A119" s="33">
        <f>'GF + UG Iteration 7'!A119</f>
        <v>1481</v>
      </c>
      <c r="B119" s="34" t="str">
        <f>'GF + UG Iteration 7'!B119</f>
        <v>UG</v>
      </c>
      <c r="C119" s="35">
        <f>'GF + UG Iteration 7'!C119</f>
        <v>48.2</v>
      </c>
      <c r="D119" s="36">
        <f>'GF + UG Iteration 7'!P$16*(C119^'GF + UG Iteration 7'!P$15)</f>
        <v>23.486790294915711</v>
      </c>
      <c r="E119" s="37">
        <f>'GF + UG Iteration 7'!E119</f>
        <v>2013</v>
      </c>
      <c r="F119" s="35">
        <f>'GF + UG Iteration 7'!F119</f>
        <v>0</v>
      </c>
      <c r="G119" s="36">
        <f>'GF + UG Iteration 7'!G119</f>
        <v>1.1114331301697908</v>
      </c>
      <c r="H119" s="38">
        <f>'GF + UG Iteration 7'!H119</f>
        <v>2014</v>
      </c>
      <c r="I119" s="35">
        <f t="shared" ref="I119:I183" si="10">C119+F119</f>
        <v>48.2</v>
      </c>
      <c r="J119" s="36">
        <f t="shared" ref="J119:J183" si="11">D119+G119</f>
        <v>24.5982234250855</v>
      </c>
      <c r="K119" s="38">
        <f t="shared" ref="K119:K183" si="12">MAX(E119,H119)</f>
        <v>2014</v>
      </c>
      <c r="M119" s="21">
        <f t="shared" si="8"/>
        <v>3.8753590210565547</v>
      </c>
      <c r="N119" s="21">
        <f t="shared" si="9"/>
        <v>3.2026742218379769</v>
      </c>
    </row>
    <row r="120" spans="1:14" x14ac:dyDescent="0.2">
      <c r="A120" s="33">
        <f>'GF + UG Iteration 7'!A120</f>
        <v>457</v>
      </c>
      <c r="B120" s="34" t="str">
        <f>'GF + UG Iteration 7'!B120</f>
        <v>UG</v>
      </c>
      <c r="C120" s="35">
        <f>'GF + UG Iteration 7'!C120</f>
        <v>10.77</v>
      </c>
      <c r="D120" s="36">
        <f>'GF + UG Iteration 7'!P$16*(C120^'GF + UG Iteration 7'!P$15)</f>
        <v>9.9638225588848588</v>
      </c>
      <c r="E120" s="37">
        <f>'GF + UG Iteration 7'!E120</f>
        <v>1990</v>
      </c>
      <c r="F120" s="35">
        <f>'GF + UG Iteration 7'!F120</f>
        <v>10</v>
      </c>
      <c r="G120" s="36">
        <f>'GF + UG Iteration 7'!G120</f>
        <v>3.289132084924363</v>
      </c>
      <c r="H120" s="38">
        <f>'GF + UG Iteration 7'!H120</f>
        <v>2006</v>
      </c>
      <c r="I120" s="35">
        <f t="shared" si="10"/>
        <v>20.77</v>
      </c>
      <c r="J120" s="36">
        <f t="shared" si="11"/>
        <v>13.252954643809222</v>
      </c>
      <c r="K120" s="38">
        <f t="shared" si="12"/>
        <v>2006</v>
      </c>
      <c r="M120" s="21">
        <f t="shared" si="8"/>
        <v>3.0335096378880211</v>
      </c>
      <c r="N120" s="21">
        <f t="shared" si="9"/>
        <v>2.5842205195588157</v>
      </c>
    </row>
    <row r="121" spans="1:14" x14ac:dyDescent="0.2">
      <c r="A121" s="33">
        <f>'GF + UG Iteration 7'!A121</f>
        <v>407</v>
      </c>
      <c r="B121" s="34" t="str">
        <f>'GF + UG Iteration 7'!B121</f>
        <v>UG</v>
      </c>
      <c r="C121" s="35">
        <f>'GF + UG Iteration 7'!C121</f>
        <v>25.4</v>
      </c>
      <c r="D121" s="36">
        <f>'GF + UG Iteration 7'!P$16*(C121^'GF + UG Iteration 7'!P$15)</f>
        <v>16.279213885929352</v>
      </c>
      <c r="E121" s="37">
        <f>'GF + UG Iteration 7'!E121</f>
        <v>1982</v>
      </c>
      <c r="F121" s="35">
        <f>'GF + UG Iteration 7'!F121</f>
        <v>2</v>
      </c>
      <c r="G121" s="36">
        <f>'GF + UG Iteration 7'!G121</f>
        <v>0.60106525862386018</v>
      </c>
      <c r="H121" s="38">
        <f>'GF + UG Iteration 7'!H121</f>
        <v>2004</v>
      </c>
      <c r="I121" s="35">
        <f t="shared" si="10"/>
        <v>27.4</v>
      </c>
      <c r="J121" s="36">
        <f t="shared" si="11"/>
        <v>16.88027914455321</v>
      </c>
      <c r="K121" s="38">
        <f t="shared" si="12"/>
        <v>2004</v>
      </c>
      <c r="M121" s="21">
        <f t="shared" si="8"/>
        <v>3.3105430133940246</v>
      </c>
      <c r="N121" s="21">
        <f t="shared" si="9"/>
        <v>2.8261460260306741</v>
      </c>
    </row>
    <row r="122" spans="1:14" x14ac:dyDescent="0.2">
      <c r="A122" s="33">
        <f>'GF + UG Iteration 7'!A122</f>
        <v>706</v>
      </c>
      <c r="B122" s="34" t="str">
        <f>'GF + UG Iteration 7'!B122</f>
        <v>UG</v>
      </c>
      <c r="C122" s="35">
        <f>'GF + UG Iteration 7'!C122</f>
        <v>14.85</v>
      </c>
      <c r="D122" s="36">
        <f>'GF + UG Iteration 7'!P$16*(C122^'GF + UG Iteration 7'!P$15)</f>
        <v>11.974360263947519</v>
      </c>
      <c r="E122" s="37">
        <f>'GF + UG Iteration 7'!E122</f>
        <v>1984</v>
      </c>
      <c r="F122" s="35">
        <f>'GF + UG Iteration 7'!F122</f>
        <v>14.250000000000002</v>
      </c>
      <c r="G122" s="36">
        <f>'GF + UG Iteration 7'!G122</f>
        <v>5.8346214151737739</v>
      </c>
      <c r="H122" s="38">
        <f>'GF + UG Iteration 7'!H122</f>
        <v>2008</v>
      </c>
      <c r="I122" s="35">
        <f t="shared" si="10"/>
        <v>29.1</v>
      </c>
      <c r="J122" s="36">
        <f t="shared" si="11"/>
        <v>17.808981679121292</v>
      </c>
      <c r="K122" s="38">
        <f t="shared" si="12"/>
        <v>2008</v>
      </c>
      <c r="M122" s="21">
        <f t="shared" si="8"/>
        <v>3.3707381741774469</v>
      </c>
      <c r="N122" s="21">
        <f t="shared" si="9"/>
        <v>2.8797029187506413</v>
      </c>
    </row>
    <row r="123" spans="1:14" x14ac:dyDescent="0.2">
      <c r="A123" s="33">
        <f>'GF + UG Iteration 7'!A123</f>
        <v>1070</v>
      </c>
      <c r="B123" s="34" t="str">
        <f>'GF + UG Iteration 7'!B123</f>
        <v>UG</v>
      </c>
      <c r="C123" s="35">
        <f>'GF + UG Iteration 7'!C123</f>
        <v>34</v>
      </c>
      <c r="D123" s="36">
        <f>'GF + UG Iteration 7'!P$16*(C123^'GF + UG Iteration 7'!P$15)</f>
        <v>19.23526860741628</v>
      </c>
      <c r="E123" s="37">
        <f>'GF + UG Iteration 7'!E123</f>
        <v>1984</v>
      </c>
      <c r="F123" s="35">
        <f>'GF + UG Iteration 7'!F123</f>
        <v>4.8999999999999986</v>
      </c>
      <c r="G123" s="36">
        <f>'GF + UG Iteration 7'!G123</f>
        <v>0.83607952853202894</v>
      </c>
      <c r="H123" s="38">
        <f>'GF + UG Iteration 7'!H123</f>
        <v>2011</v>
      </c>
      <c r="I123" s="35">
        <f t="shared" si="10"/>
        <v>38.9</v>
      </c>
      <c r="J123" s="36">
        <f t="shared" si="11"/>
        <v>20.071348135948309</v>
      </c>
      <c r="K123" s="38">
        <f t="shared" si="12"/>
        <v>2011</v>
      </c>
      <c r="M123" s="21">
        <f t="shared" si="8"/>
        <v>3.6609942506244004</v>
      </c>
      <c r="N123" s="21">
        <f t="shared" si="9"/>
        <v>2.9992933322488073</v>
      </c>
    </row>
    <row r="124" spans="1:14" x14ac:dyDescent="0.2">
      <c r="A124" s="33">
        <f>'GF + UG Iteration 7'!A124</f>
        <v>1264</v>
      </c>
      <c r="B124" s="34" t="str">
        <f>'GF + UG Iteration 7'!B124</f>
        <v>UG</v>
      </c>
      <c r="C124" s="35">
        <f>'GF + UG Iteration 7'!C124</f>
        <v>38.9</v>
      </c>
      <c r="D124" s="36">
        <f>'GF + UG Iteration 7'!P$16*(C124^'GF + UG Iteration 7'!P$15)</f>
        <v>20.775642415669175</v>
      </c>
      <c r="E124" s="37">
        <f>'GF + UG Iteration 7'!E124</f>
        <v>1984</v>
      </c>
      <c r="F124" s="35">
        <f>'GF + UG Iteration 7'!F124</f>
        <v>7.2000000000000028</v>
      </c>
      <c r="G124" s="36">
        <f>'GF + UG Iteration 7'!G124</f>
        <v>8.0578720930203094</v>
      </c>
      <c r="H124" s="38">
        <f>'GF + UG Iteration 7'!H124</f>
        <v>2013</v>
      </c>
      <c r="I124" s="35">
        <f t="shared" si="10"/>
        <v>46.1</v>
      </c>
      <c r="J124" s="36">
        <f t="shared" si="11"/>
        <v>28.833514508689483</v>
      </c>
      <c r="K124" s="38">
        <f t="shared" si="12"/>
        <v>2013</v>
      </c>
      <c r="M124" s="21">
        <f t="shared" si="8"/>
        <v>3.8308129500026027</v>
      </c>
      <c r="N124" s="21">
        <f t="shared" si="9"/>
        <v>3.3615384087883462</v>
      </c>
    </row>
    <row r="125" spans="1:14" x14ac:dyDescent="0.2">
      <c r="A125" s="33">
        <f>'GF + UG Iteration 7'!A125</f>
        <v>1208</v>
      </c>
      <c r="B125" s="34" t="str">
        <f>'GF + UG Iteration 7'!B125</f>
        <v>UG</v>
      </c>
      <c r="C125" s="35">
        <f>'GF + UG Iteration 7'!C125</f>
        <v>14.1</v>
      </c>
      <c r="D125" s="36">
        <f>'GF + UG Iteration 7'!P$16*(C125^'GF + UG Iteration 7'!P$15)</f>
        <v>11.624489689041617</v>
      </c>
      <c r="E125" s="37">
        <f>'GF + UG Iteration 7'!E125</f>
        <v>1961</v>
      </c>
      <c r="F125" s="35">
        <f>'GF + UG Iteration 7'!F125</f>
        <v>11.500000000000002</v>
      </c>
      <c r="G125" s="36">
        <f>'GF + UG Iteration 7'!G125</f>
        <v>2.7992110812000917</v>
      </c>
      <c r="H125" s="38">
        <f>'GF + UG Iteration 7'!H125</f>
        <v>2012</v>
      </c>
      <c r="I125" s="35">
        <f t="shared" si="10"/>
        <v>25.6</v>
      </c>
      <c r="J125" s="36">
        <f t="shared" si="11"/>
        <v>14.423700770241709</v>
      </c>
      <c r="K125" s="38">
        <f t="shared" si="12"/>
        <v>2012</v>
      </c>
      <c r="M125" s="21">
        <f t="shared" si="8"/>
        <v>3.2425923514855168</v>
      </c>
      <c r="N125" s="21">
        <f t="shared" si="9"/>
        <v>2.6688727404169525</v>
      </c>
    </row>
    <row r="126" spans="1:14" x14ac:dyDescent="0.2">
      <c r="A126" s="33">
        <f>'GF + UG Iteration 7'!A126</f>
        <v>655</v>
      </c>
      <c r="B126" s="34" t="str">
        <f>'GF + UG Iteration 7'!B126</f>
        <v>UG</v>
      </c>
      <c r="C126" s="35">
        <f>'GF + UG Iteration 7'!C126</f>
        <v>12.052999999999999</v>
      </c>
      <c r="D126" s="36">
        <f>'GF + UG Iteration 7'!P$16*(C126^'GF + UG Iteration 7'!P$15)</f>
        <v>10.626596900804708</v>
      </c>
      <c r="E126" s="37">
        <f>'GF + UG Iteration 7'!E126</f>
        <v>1974</v>
      </c>
      <c r="F126" s="35">
        <f>'GF + UG Iteration 7'!F126</f>
        <v>2.3390000000000004</v>
      </c>
      <c r="G126" s="36">
        <f>'GF + UG Iteration 7'!G126</f>
        <v>0.59464786373478107</v>
      </c>
      <c r="H126" s="38">
        <f>'GF + UG Iteration 7'!H126</f>
        <v>2007</v>
      </c>
      <c r="I126" s="35">
        <f t="shared" si="10"/>
        <v>14.391999999999999</v>
      </c>
      <c r="J126" s="36">
        <f t="shared" si="11"/>
        <v>11.22124476453949</v>
      </c>
      <c r="K126" s="38">
        <f t="shared" si="12"/>
        <v>2007</v>
      </c>
      <c r="M126" s="21">
        <f t="shared" si="8"/>
        <v>2.666672496648232</v>
      </c>
      <c r="N126" s="21">
        <f t="shared" si="9"/>
        <v>2.4178088355220479</v>
      </c>
    </row>
    <row r="127" spans="1:14" x14ac:dyDescent="0.2">
      <c r="A127" s="33">
        <f>'GF + UG Iteration 7'!A127</f>
        <v>733</v>
      </c>
      <c r="B127" s="34" t="str">
        <f>'GF + UG Iteration 7'!B127</f>
        <v>UG</v>
      </c>
      <c r="C127" s="35">
        <f>'GF + UG Iteration 7'!C127</f>
        <v>24.3</v>
      </c>
      <c r="D127" s="36">
        <f>'GF + UG Iteration 7'!P$16*(C127^'GF + UG Iteration 7'!P$15)</f>
        <v>15.872002484894463</v>
      </c>
      <c r="E127" s="37">
        <f>'GF + UG Iteration 7'!E127</f>
        <v>2007</v>
      </c>
      <c r="F127" s="35">
        <f>'GF + UG Iteration 7'!F127</f>
        <v>17.099999999999998</v>
      </c>
      <c r="G127" s="36">
        <f>'GF + UG Iteration 7'!G127</f>
        <v>6.7726080218724345</v>
      </c>
      <c r="H127" s="38">
        <f>'GF + UG Iteration 7'!H127</f>
        <v>2009</v>
      </c>
      <c r="I127" s="35">
        <f t="shared" si="10"/>
        <v>41.4</v>
      </c>
      <c r="J127" s="36">
        <f t="shared" si="11"/>
        <v>22.644610506766895</v>
      </c>
      <c r="K127" s="38">
        <f t="shared" si="12"/>
        <v>2009</v>
      </c>
      <c r="M127" s="21">
        <f t="shared" si="8"/>
        <v>3.7232808808312687</v>
      </c>
      <c r="N127" s="21">
        <f t="shared" si="9"/>
        <v>3.1199218768941219</v>
      </c>
    </row>
    <row r="128" spans="1:14" x14ac:dyDescent="0.2">
      <c r="A128" s="33">
        <f>'GF + UG Iteration 7'!A128</f>
        <v>1700</v>
      </c>
      <c r="B128" s="34" t="str">
        <f>'GF + UG Iteration 7'!B128</f>
        <v>UG</v>
      </c>
      <c r="C128" s="35">
        <f>'GF + UG Iteration 7'!C128</f>
        <v>13.4</v>
      </c>
      <c r="D128" s="36">
        <f>'GF + UG Iteration 7'!P$16*(C128^'GF + UG Iteration 7'!P$15)</f>
        <v>11.290686736815866</v>
      </c>
      <c r="E128" s="37">
        <f>'GF + UG Iteration 7'!E128</f>
        <v>0</v>
      </c>
      <c r="F128" s="35">
        <f>'GF + UG Iteration 7'!F128</f>
        <v>0</v>
      </c>
      <c r="G128" s="36">
        <f>'GF + UG Iteration 7'!G128</f>
        <v>4.0238803148956235</v>
      </c>
      <c r="H128" s="38">
        <f>'GF + UG Iteration 7'!H128</f>
        <v>2016</v>
      </c>
      <c r="I128" s="35">
        <f t="shared" ref="I128" si="13">C128+F128</f>
        <v>13.4</v>
      </c>
      <c r="J128" s="36">
        <f t="shared" ref="J128" si="14">D128+G128</f>
        <v>15.314567051711489</v>
      </c>
      <c r="K128" s="38">
        <f t="shared" ref="K128" si="15">MAX(E128,H128)</f>
        <v>2016</v>
      </c>
      <c r="M128" s="21">
        <f t="shared" ref="M128" si="16">LN(I128)</f>
        <v>2.5952547069568657</v>
      </c>
      <c r="N128" s="21">
        <f t="shared" ref="N128" si="17">LN(J128)</f>
        <v>2.7288044703266414</v>
      </c>
    </row>
    <row r="129" spans="1:14" x14ac:dyDescent="0.2">
      <c r="A129" s="33">
        <f>'GF + UG Iteration 7'!A129</f>
        <v>1569</v>
      </c>
      <c r="B129" s="34" t="str">
        <f>'GF + UG Iteration 7'!B129</f>
        <v>UG</v>
      </c>
      <c r="C129" s="35">
        <f>'GF + UG Iteration 7'!C129</f>
        <v>17.7</v>
      </c>
      <c r="D129" s="36">
        <f>'GF + UG Iteration 7'!P$16*(C129^'GF + UG Iteration 7'!P$15)</f>
        <v>13.239750737488334</v>
      </c>
      <c r="E129" s="37">
        <f>'GF + UG Iteration 7'!E129</f>
        <v>1997</v>
      </c>
      <c r="F129" s="35">
        <f>'GF + UG Iteration 7'!F129</f>
        <v>0</v>
      </c>
      <c r="G129" s="36">
        <f>'GF + UG Iteration 7'!G129</f>
        <v>3.7372730134616279</v>
      </c>
      <c r="H129" s="38">
        <f>'GF + UG Iteration 7'!H129</f>
        <v>2015</v>
      </c>
      <c r="I129" s="35">
        <f t="shared" si="10"/>
        <v>17.7</v>
      </c>
      <c r="J129" s="36">
        <f t="shared" si="11"/>
        <v>16.977023750949961</v>
      </c>
      <c r="K129" s="38">
        <f t="shared" si="12"/>
        <v>2015</v>
      </c>
      <c r="M129" s="21">
        <f t="shared" si="8"/>
        <v>2.8735646395797834</v>
      </c>
      <c r="N129" s="21">
        <f t="shared" si="9"/>
        <v>2.8318608858349963</v>
      </c>
    </row>
    <row r="130" spans="1:14" x14ac:dyDescent="0.2">
      <c r="A130" s="33">
        <f>'GF + UG Iteration 7'!A130</f>
        <v>401</v>
      </c>
      <c r="B130" s="34" t="str">
        <f>'GF + UG Iteration 7'!B130</f>
        <v>UG</v>
      </c>
      <c r="C130" s="35">
        <f>'GF + UG Iteration 7'!C130</f>
        <v>2</v>
      </c>
      <c r="D130" s="36">
        <f>'GF + UG Iteration 7'!P$16*(C130^'GF + UG Iteration 7'!P$15)</f>
        <v>3.8023362121297315</v>
      </c>
      <c r="E130" s="37">
        <f>'GF + UG Iteration 7'!E130</f>
        <v>1986</v>
      </c>
      <c r="F130" s="35">
        <f>'GF + UG Iteration 7'!F130</f>
        <v>1.5</v>
      </c>
      <c r="G130" s="36">
        <f>'GF + UG Iteration 7'!G130</f>
        <v>0.36204281296556784</v>
      </c>
      <c r="H130" s="38">
        <f>'GF + UG Iteration 7'!H130</f>
        <v>2004</v>
      </c>
      <c r="I130" s="35">
        <f t="shared" si="10"/>
        <v>3.5</v>
      </c>
      <c r="J130" s="36">
        <f t="shared" si="11"/>
        <v>4.1643790250952994</v>
      </c>
      <c r="K130" s="38">
        <f t="shared" si="12"/>
        <v>2004</v>
      </c>
      <c r="M130" s="21">
        <f t="shared" si="8"/>
        <v>1.2527629684953681</v>
      </c>
      <c r="N130" s="21">
        <f t="shared" si="9"/>
        <v>1.4265671708886742</v>
      </c>
    </row>
    <row r="131" spans="1:14" x14ac:dyDescent="0.2">
      <c r="A131" s="33">
        <f>'GF + UG Iteration 7'!A131</f>
        <v>1412</v>
      </c>
      <c r="B131" s="34" t="str">
        <f>'GF + UG Iteration 7'!B131</f>
        <v>UG</v>
      </c>
      <c r="C131" s="35">
        <f>'GF + UG Iteration 7'!C131</f>
        <v>3.5</v>
      </c>
      <c r="D131" s="36">
        <f>'GF + UG Iteration 7'!P$16*(C131^'GF + UG Iteration 7'!P$15)</f>
        <v>5.2373777396035317</v>
      </c>
      <c r="E131" s="37">
        <f>'GF + UG Iteration 7'!E131</f>
        <v>1986</v>
      </c>
      <c r="F131" s="35">
        <f>'GF + UG Iteration 7'!F131</f>
        <v>11</v>
      </c>
      <c r="G131" s="36">
        <f>'GF + UG Iteration 7'!G131</f>
        <v>4.3574845496482366</v>
      </c>
      <c r="H131" s="38">
        <f>'GF + UG Iteration 7'!H131</f>
        <v>2015</v>
      </c>
      <c r="I131" s="35">
        <f t="shared" si="10"/>
        <v>14.5</v>
      </c>
      <c r="J131" s="36">
        <f t="shared" si="11"/>
        <v>9.5948622892517683</v>
      </c>
      <c r="K131" s="38">
        <f t="shared" si="12"/>
        <v>2015</v>
      </c>
      <c r="M131" s="21">
        <f t="shared" si="8"/>
        <v>2.6741486494265287</v>
      </c>
      <c r="N131" s="21">
        <f t="shared" si="9"/>
        <v>2.2612277770118805</v>
      </c>
    </row>
    <row r="132" spans="1:14" x14ac:dyDescent="0.2">
      <c r="A132" s="33">
        <f>'GF + UG Iteration 7'!A132</f>
        <v>1318</v>
      </c>
      <c r="B132" s="34" t="str">
        <f>'GF + UG Iteration 7'!B132</f>
        <v>UG</v>
      </c>
      <c r="C132" s="35">
        <f>'GF + UG Iteration 7'!C132</f>
        <v>22.3</v>
      </c>
      <c r="D132" s="36">
        <f>'GF + UG Iteration 7'!P$16*(C132^'GF + UG Iteration 7'!P$15)</f>
        <v>15.110829817335564</v>
      </c>
      <c r="E132" s="37">
        <f>'GF + UG Iteration 7'!E132</f>
        <v>1997</v>
      </c>
      <c r="F132" s="35">
        <f>'GF + UG Iteration 7'!F132</f>
        <v>28.900000000000002</v>
      </c>
      <c r="G132" s="36">
        <f>'GF + UG Iteration 7'!G132</f>
        <v>1.6878206182928517</v>
      </c>
      <c r="H132" s="38">
        <f>'GF + UG Iteration 7'!H132</f>
        <v>2013</v>
      </c>
      <c r="I132" s="35">
        <f t="shared" si="10"/>
        <v>51.2</v>
      </c>
      <c r="J132" s="36">
        <f t="shared" si="11"/>
        <v>16.798650435628414</v>
      </c>
      <c r="K132" s="38">
        <f t="shared" si="12"/>
        <v>2013</v>
      </c>
      <c r="M132" s="21">
        <f t="shared" si="8"/>
        <v>3.9357395320454622</v>
      </c>
      <c r="N132" s="21">
        <f t="shared" si="9"/>
        <v>2.8212985519698943</v>
      </c>
    </row>
    <row r="133" spans="1:14" x14ac:dyDescent="0.2">
      <c r="A133" s="33">
        <f>'GF + UG Iteration 7'!A133</f>
        <v>1194</v>
      </c>
      <c r="B133" s="34" t="str">
        <f>'GF + UG Iteration 7'!B133</f>
        <v>UG</v>
      </c>
      <c r="C133" s="35">
        <f>'GF + UG Iteration 7'!C133</f>
        <v>5.8</v>
      </c>
      <c r="D133" s="36">
        <f>'GF + UG Iteration 7'!P$16*(C133^'GF + UG Iteration 7'!P$15)</f>
        <v>6.99244345438703</v>
      </c>
      <c r="E133" s="37">
        <f>'GF + UG Iteration 7'!E133</f>
        <v>1980</v>
      </c>
      <c r="F133" s="35">
        <f>'GF + UG Iteration 7'!F133</f>
        <v>9.6000000000000014</v>
      </c>
      <c r="G133" s="36">
        <f>'GF + UG Iteration 7'!G133</f>
        <v>1.6086060831571487</v>
      </c>
      <c r="H133" s="38">
        <f>'GF + UG Iteration 7'!H133</f>
        <v>2011</v>
      </c>
      <c r="I133" s="35">
        <f t="shared" si="10"/>
        <v>15.400000000000002</v>
      </c>
      <c r="J133" s="36">
        <f t="shared" si="11"/>
        <v>8.6010495375441778</v>
      </c>
      <c r="K133" s="38">
        <f t="shared" si="12"/>
        <v>2011</v>
      </c>
      <c r="M133" s="21">
        <f t="shared" si="8"/>
        <v>2.7343675094195836</v>
      </c>
      <c r="N133" s="21">
        <f t="shared" si="9"/>
        <v>2.1518842350626017</v>
      </c>
    </row>
    <row r="134" spans="1:14" x14ac:dyDescent="0.2">
      <c r="A134" s="33">
        <f>'GF + UG Iteration 7'!A134</f>
        <v>801</v>
      </c>
      <c r="B134" s="34" t="str">
        <f>'GF + UG Iteration 7'!B134</f>
        <v>UG</v>
      </c>
      <c r="C134" s="35">
        <f>'GF + UG Iteration 7'!C134</f>
        <v>10</v>
      </c>
      <c r="D134" s="36">
        <f>'GF + UG Iteration 7'!P$16*(C134^'GF + UG Iteration 7'!P$15)</f>
        <v>9.5497621622698787</v>
      </c>
      <c r="E134" s="37">
        <f>'GF + UG Iteration 7'!E134</f>
        <v>2008</v>
      </c>
      <c r="F134" s="35">
        <f>'GF + UG Iteration 7'!F134</f>
        <v>0</v>
      </c>
      <c r="G134" s="36">
        <f>'GF + UG Iteration 7'!G134</f>
        <v>6.3106495854024782</v>
      </c>
      <c r="H134" s="38">
        <f>'GF + UG Iteration 7'!H134</f>
        <v>2009</v>
      </c>
      <c r="I134" s="35">
        <f t="shared" si="10"/>
        <v>10</v>
      </c>
      <c r="J134" s="36">
        <f t="shared" si="11"/>
        <v>15.860411747672357</v>
      </c>
      <c r="K134" s="38">
        <f t="shared" si="12"/>
        <v>2009</v>
      </c>
      <c r="M134" s="21">
        <f t="shared" si="8"/>
        <v>2.3025850929940459</v>
      </c>
      <c r="N134" s="21">
        <f t="shared" si="9"/>
        <v>2.7638261772614103</v>
      </c>
    </row>
    <row r="135" spans="1:14" x14ac:dyDescent="0.2">
      <c r="A135" s="33">
        <f>'GF + UG Iteration 7'!A135</f>
        <v>804</v>
      </c>
      <c r="B135" s="34" t="str">
        <f>'GF + UG Iteration 7'!B135</f>
        <v>UG</v>
      </c>
      <c r="C135" s="35">
        <f>'GF + UG Iteration 7'!C135</f>
        <v>14.429</v>
      </c>
      <c r="D135" s="36">
        <f>'GF + UG Iteration 7'!P$16*(C135^'GF + UG Iteration 7'!P$15)</f>
        <v>11.778922651219247</v>
      </c>
      <c r="E135" s="37">
        <f>'GF + UG Iteration 7'!E135</f>
        <v>1982</v>
      </c>
      <c r="F135" s="35">
        <f>'GF + UG Iteration 7'!F135</f>
        <v>9.8710000000000004</v>
      </c>
      <c r="G135" s="36">
        <f>'GF + UG Iteration 7'!G135</f>
        <v>9.1566982400815444</v>
      </c>
      <c r="H135" s="38">
        <f>'GF + UG Iteration 7'!H135</f>
        <v>2009</v>
      </c>
      <c r="I135" s="35">
        <f t="shared" si="10"/>
        <v>24.3</v>
      </c>
      <c r="J135" s="36">
        <f t="shared" si="11"/>
        <v>20.935620891300793</v>
      </c>
      <c r="K135" s="38">
        <f t="shared" si="12"/>
        <v>2009</v>
      </c>
      <c r="M135" s="21">
        <f t="shared" si="8"/>
        <v>3.1904763503465028</v>
      </c>
      <c r="N135" s="21">
        <f t="shared" si="9"/>
        <v>3.0414520570824637</v>
      </c>
    </row>
    <row r="136" spans="1:14" x14ac:dyDescent="0.2">
      <c r="A136" s="33">
        <f>'GF + UG Iteration 7'!A136</f>
        <v>365</v>
      </c>
      <c r="B136" s="34" t="str">
        <f>'GF + UG Iteration 7'!B136</f>
        <v>UG</v>
      </c>
      <c r="C136" s="35">
        <f>'GF + UG Iteration 7'!C136</f>
        <v>15.9</v>
      </c>
      <c r="D136" s="36">
        <f>'GF + UG Iteration 7'!P$16*(C136^'GF + UG Iteration 7'!P$15)</f>
        <v>12.451724786568132</v>
      </c>
      <c r="E136" s="37">
        <f>'GF + UG Iteration 7'!E136</f>
        <v>1982</v>
      </c>
      <c r="F136" s="35">
        <f>'GF + UG Iteration 7'!F136</f>
        <v>0.26900000000000013</v>
      </c>
      <c r="G136" s="36">
        <f>'GF + UG Iteration 7'!G136</f>
        <v>0.59607313292480213</v>
      </c>
      <c r="H136" s="38">
        <f>'GF + UG Iteration 7'!H136</f>
        <v>2003</v>
      </c>
      <c r="I136" s="35">
        <f t="shared" si="10"/>
        <v>16.169</v>
      </c>
      <c r="J136" s="36">
        <f t="shared" si="11"/>
        <v>13.047797919492934</v>
      </c>
      <c r="K136" s="38">
        <f t="shared" si="12"/>
        <v>2003</v>
      </c>
      <c r="M136" s="21">
        <f t="shared" ref="M136:M183" si="18">LN(I136)</f>
        <v>2.7830958287576775</v>
      </c>
      <c r="N136" s="21">
        <f t="shared" ref="N136:N183" si="19">LN(J136)</f>
        <v>2.5686193777288953</v>
      </c>
    </row>
    <row r="137" spans="1:14" x14ac:dyDescent="0.2">
      <c r="A137" s="33">
        <f>'GF + UG Iteration 7'!A137</f>
        <v>708</v>
      </c>
      <c r="B137" s="34" t="str">
        <f>'GF + UG Iteration 7'!B137</f>
        <v>UG</v>
      </c>
      <c r="C137" s="35">
        <f>'GF + UG Iteration 7'!C137</f>
        <v>16.2</v>
      </c>
      <c r="D137" s="36">
        <f>'GF + UG Iteration 7'!P$16*(C137^'GF + UG Iteration 7'!P$15)</f>
        <v>12.585615804390518</v>
      </c>
      <c r="E137" s="37">
        <f>'GF + UG Iteration 7'!E137</f>
        <v>1982</v>
      </c>
      <c r="F137" s="35">
        <f>'GF + UG Iteration 7'!F137</f>
        <v>11.5</v>
      </c>
      <c r="G137" s="36">
        <f>'GF + UG Iteration 7'!G137</f>
        <v>6.8374623210633541</v>
      </c>
      <c r="H137" s="38">
        <f>'GF + UG Iteration 7'!H137</f>
        <v>2007</v>
      </c>
      <c r="I137" s="35">
        <f t="shared" si="10"/>
        <v>27.7</v>
      </c>
      <c r="J137" s="36">
        <f t="shared" si="11"/>
        <v>19.42307812545387</v>
      </c>
      <c r="K137" s="38">
        <f t="shared" si="12"/>
        <v>2007</v>
      </c>
      <c r="M137" s="21">
        <f t="shared" si="18"/>
        <v>3.3214324131932926</v>
      </c>
      <c r="N137" s="21">
        <f t="shared" si="19"/>
        <v>2.9664619531584315</v>
      </c>
    </row>
    <row r="138" spans="1:14" x14ac:dyDescent="0.2">
      <c r="A138" s="33">
        <f>'GF + UG Iteration 7'!A138</f>
        <v>1568</v>
      </c>
      <c r="B138" s="34" t="str">
        <f>'GF + UG Iteration 7'!B138</f>
        <v>UG</v>
      </c>
      <c r="C138" s="35">
        <f>'GF + UG Iteration 7'!C138</f>
        <v>27.7</v>
      </c>
      <c r="D138" s="36">
        <f>'GF + UG Iteration 7'!P$16*(C138^'GF + UG Iteration 7'!P$15)</f>
        <v>17.107007170901664</v>
      </c>
      <c r="E138" s="37">
        <f>'GF + UG Iteration 7'!E138</f>
        <v>1997</v>
      </c>
      <c r="F138" s="35">
        <f>'GF + UG Iteration 7'!F138</f>
        <v>8.0999999999999979</v>
      </c>
      <c r="G138" s="36">
        <f>'GF + UG Iteration 7'!G138</f>
        <v>3.5848996641236104</v>
      </c>
      <c r="H138" s="38">
        <f>'GF + UG Iteration 7'!H138</f>
        <v>2015</v>
      </c>
      <c r="I138" s="35">
        <f t="shared" si="10"/>
        <v>35.799999999999997</v>
      </c>
      <c r="J138" s="36">
        <f t="shared" si="11"/>
        <v>20.691906835025275</v>
      </c>
      <c r="K138" s="38">
        <f t="shared" si="12"/>
        <v>2015</v>
      </c>
      <c r="M138" s="21">
        <f t="shared" si="18"/>
        <v>3.5779478934066544</v>
      </c>
      <c r="N138" s="21">
        <f t="shared" si="19"/>
        <v>3.0297426496676332</v>
      </c>
    </row>
    <row r="139" spans="1:14" x14ac:dyDescent="0.2">
      <c r="A139" s="33">
        <f>'GF + UG Iteration 7'!A139</f>
        <v>398</v>
      </c>
      <c r="B139" s="34" t="str">
        <f>'GF + UG Iteration 7'!B139</f>
        <v>UG</v>
      </c>
      <c r="C139" s="35">
        <f>'GF + UG Iteration 7'!C139</f>
        <v>27.329000000000001</v>
      </c>
      <c r="D139" s="36">
        <f>'GF + UG Iteration 7'!P$16*(C139^'GF + UG Iteration 7'!P$15)</f>
        <v>16.975527949324423</v>
      </c>
      <c r="E139" s="37">
        <f>'GF + UG Iteration 7'!E139</f>
        <v>1981</v>
      </c>
      <c r="F139" s="35">
        <f>'GF + UG Iteration 7'!F139</f>
        <v>2</v>
      </c>
      <c r="G139" s="36">
        <f>'GF + UG Iteration 7'!G139</f>
        <v>1.454685054931611</v>
      </c>
      <c r="H139" s="38">
        <f>'GF + UG Iteration 7'!H139</f>
        <v>2004</v>
      </c>
      <c r="I139" s="35">
        <f t="shared" si="10"/>
        <v>29.329000000000001</v>
      </c>
      <c r="J139" s="36">
        <f t="shared" si="11"/>
        <v>18.430213004256036</v>
      </c>
      <c r="K139" s="38">
        <f t="shared" si="12"/>
        <v>2004</v>
      </c>
      <c r="M139" s="21">
        <f t="shared" si="18"/>
        <v>3.3785767876246213</v>
      </c>
      <c r="N139" s="21">
        <f t="shared" si="19"/>
        <v>2.913991329089499</v>
      </c>
    </row>
    <row r="140" spans="1:14" x14ac:dyDescent="0.2">
      <c r="A140" s="33">
        <f>'GF + UG Iteration 7'!A140</f>
        <v>1642</v>
      </c>
      <c r="B140" s="34" t="str">
        <f>'GF + UG Iteration 7'!B140</f>
        <v>UG</v>
      </c>
      <c r="C140" s="35">
        <f>'GF + UG Iteration 7'!C140</f>
        <v>16.12</v>
      </c>
      <c r="D140" s="36">
        <f>'GF + UG Iteration 7'!P$16*(C140^'GF + UG Iteration 7'!P$15)</f>
        <v>12.55001600454584</v>
      </c>
      <c r="E140" s="37" t="str">
        <f>'GF + UG Iteration 7'!E140</f>
        <v>unknown</v>
      </c>
      <c r="F140" s="35">
        <f>'GF + UG Iteration 7'!F140</f>
        <v>2.7799999999999976</v>
      </c>
      <c r="G140" s="36">
        <f>'GF + UG Iteration 7'!G140</f>
        <v>10.134123990225088</v>
      </c>
      <c r="H140" s="38">
        <f>'GF + UG Iteration 7'!H140</f>
        <v>2015</v>
      </c>
      <c r="I140" s="35">
        <f t="shared" si="10"/>
        <v>18.899999999999999</v>
      </c>
      <c r="J140" s="36">
        <f t="shared" si="11"/>
        <v>22.684139994770931</v>
      </c>
      <c r="K140" s="38">
        <f t="shared" si="12"/>
        <v>2015</v>
      </c>
      <c r="M140" s="21">
        <f t="shared" si="18"/>
        <v>2.9391619220655967</v>
      </c>
      <c r="N140" s="21">
        <f t="shared" si="19"/>
        <v>3.1216660016532338</v>
      </c>
    </row>
    <row r="141" spans="1:14" x14ac:dyDescent="0.2">
      <c r="A141" s="33">
        <f>'GF + UG Iteration 7'!A141</f>
        <v>522</v>
      </c>
      <c r="B141" s="34" t="str">
        <f>'GF + UG Iteration 7'!B141</f>
        <v>UG</v>
      </c>
      <c r="C141" s="35">
        <f>'GF + UG Iteration 7'!C141</f>
        <v>38.700000000000003</v>
      </c>
      <c r="D141" s="36">
        <f>'GF + UG Iteration 7'!P$16*(C141^'GF + UG Iteration 7'!P$15)</f>
        <v>20.714456437221823</v>
      </c>
      <c r="E141" s="37">
        <f>'GF + UG Iteration 7'!E141</f>
        <v>1981</v>
      </c>
      <c r="F141" s="35">
        <f>'GF + UG Iteration 7'!F141</f>
        <v>2.2999999999999972</v>
      </c>
      <c r="G141" s="36">
        <f>'GF + UG Iteration 7'!G141</f>
        <v>0.49326793696611254</v>
      </c>
      <c r="H141" s="38">
        <f>'GF + UG Iteration 7'!H141</f>
        <v>2006</v>
      </c>
      <c r="I141" s="35">
        <f t="shared" si="10"/>
        <v>41</v>
      </c>
      <c r="J141" s="36">
        <f t="shared" si="11"/>
        <v>21.207724374187936</v>
      </c>
      <c r="K141" s="38">
        <f t="shared" si="12"/>
        <v>2006</v>
      </c>
      <c r="M141" s="21">
        <f t="shared" si="18"/>
        <v>3.713572066704308</v>
      </c>
      <c r="N141" s="21">
        <f t="shared" si="19"/>
        <v>3.0543654725889904</v>
      </c>
    </row>
    <row r="142" spans="1:14" x14ac:dyDescent="0.2">
      <c r="A142" s="33">
        <f>'GF + UG Iteration 7'!A142</f>
        <v>170</v>
      </c>
      <c r="B142" s="34" t="str">
        <f>'GF + UG Iteration 7'!B142</f>
        <v>UG</v>
      </c>
      <c r="C142" s="35">
        <f>'GF + UG Iteration 7'!C142</f>
        <v>20.399999999999999</v>
      </c>
      <c r="D142" s="36">
        <f>'GF + UG Iteration 7'!P$16*(C142^'GF + UG Iteration 7'!P$15)</f>
        <v>14.360155055265849</v>
      </c>
      <c r="E142" s="37" t="str">
        <f>'GF + UG Iteration 7'!E142</f>
        <v>unknown</v>
      </c>
      <c r="F142" s="35">
        <f>'GF + UG Iteration 7'!F142</f>
        <v>5.6000000000000014</v>
      </c>
      <c r="G142" s="36">
        <f>'GF + UG Iteration 7'!G142</f>
        <v>4.433742547698083</v>
      </c>
      <c r="H142" s="38">
        <f>'GF + UG Iteration 7'!H142</f>
        <v>2001</v>
      </c>
      <c r="I142" s="35">
        <f t="shared" si="10"/>
        <v>26</v>
      </c>
      <c r="J142" s="36">
        <f t="shared" si="11"/>
        <v>18.793897602963931</v>
      </c>
      <c r="K142" s="38">
        <f t="shared" si="12"/>
        <v>2001</v>
      </c>
      <c r="M142" s="21">
        <f t="shared" si="18"/>
        <v>3.2580965380214821</v>
      </c>
      <c r="N142" s="21">
        <f t="shared" si="19"/>
        <v>2.933532221556328</v>
      </c>
    </row>
    <row r="143" spans="1:14" x14ac:dyDescent="0.2">
      <c r="A143" s="33">
        <f>'GF + UG Iteration 7'!A143</f>
        <v>1312</v>
      </c>
      <c r="B143" s="34" t="str">
        <f>'GF + UG Iteration 7'!B143</f>
        <v>UG</v>
      </c>
      <c r="C143" s="35">
        <f>'GF + UG Iteration 7'!C143</f>
        <v>23.63</v>
      </c>
      <c r="D143" s="36">
        <f>'GF + UG Iteration 7'!P$16*(C143^'GF + UG Iteration 7'!P$15)</f>
        <v>15.620103380882362</v>
      </c>
      <c r="E143" s="37" t="str">
        <f>'GF + UG Iteration 7'!E143</f>
        <v>unknown</v>
      </c>
      <c r="F143" s="35">
        <f>'GF + UG Iteration 7'!F143</f>
        <v>0</v>
      </c>
      <c r="G143" s="36">
        <f>'GF + UG Iteration 7'!G143</f>
        <v>6.0245111186360631</v>
      </c>
      <c r="H143" s="38">
        <f>'GF + UG Iteration 7'!H143</f>
        <v>2013</v>
      </c>
      <c r="I143" s="35">
        <f t="shared" si="10"/>
        <v>23.63</v>
      </c>
      <c r="J143" s="36">
        <f t="shared" si="11"/>
        <v>21.644614499518426</v>
      </c>
      <c r="K143" s="38">
        <f t="shared" si="12"/>
        <v>2013</v>
      </c>
      <c r="M143" s="21">
        <f t="shared" si="18"/>
        <v>3.1625170911988163</v>
      </c>
      <c r="N143" s="21">
        <f t="shared" si="19"/>
        <v>3.0747566705952827</v>
      </c>
    </row>
    <row r="144" spans="1:14" x14ac:dyDescent="0.2">
      <c r="A144" s="33">
        <f>'GF + UG Iteration 7'!A144</f>
        <v>170</v>
      </c>
      <c r="B144" s="34" t="str">
        <f>'GF + UG Iteration 7'!B144</f>
        <v>UG</v>
      </c>
      <c r="C144" s="35">
        <f>'GF + UG Iteration 7'!C144</f>
        <v>21.6</v>
      </c>
      <c r="D144" s="36">
        <f>'GF + UG Iteration 7'!P$16*(C144^'GF + UG Iteration 7'!P$15)</f>
        <v>14.837573338404139</v>
      </c>
      <c r="E144" s="37" t="str">
        <f>'GF + UG Iteration 7'!E144</f>
        <v>unknown</v>
      </c>
      <c r="F144" s="35">
        <f>'GF + UG Iteration 7'!F144</f>
        <v>1</v>
      </c>
      <c r="G144" s="36">
        <f>'GF + UG Iteration 7'!G144</f>
        <v>4.8829870198591019</v>
      </c>
      <c r="H144" s="38">
        <f>'GF + UG Iteration 7'!H144</f>
        <v>2001</v>
      </c>
      <c r="I144" s="35">
        <f t="shared" si="10"/>
        <v>22.6</v>
      </c>
      <c r="J144" s="36">
        <f t="shared" si="11"/>
        <v>19.720560358263242</v>
      </c>
      <c r="K144" s="38">
        <f t="shared" si="12"/>
        <v>2001</v>
      </c>
      <c r="M144" s="21">
        <f t="shared" si="18"/>
        <v>3.1179499062782403</v>
      </c>
      <c r="N144" s="21">
        <f t="shared" si="19"/>
        <v>2.9816617645042003</v>
      </c>
    </row>
    <row r="145" spans="1:14" x14ac:dyDescent="0.2">
      <c r="A145" s="33">
        <f>'GF + UG Iteration 7'!A145</f>
        <v>1366</v>
      </c>
      <c r="B145" s="34" t="str">
        <f>'GF + UG Iteration 7'!B145</f>
        <v>UG</v>
      </c>
      <c r="C145" s="35">
        <f>'GF + UG Iteration 7'!C145</f>
        <v>25.5</v>
      </c>
      <c r="D145" s="36">
        <f>'GF + UG Iteration 7'!P$16*(C145^'GF + UG Iteration 7'!P$15)</f>
        <v>16.315855367036246</v>
      </c>
      <c r="E145" s="37">
        <f>'GF + UG Iteration 7'!E145</f>
        <v>0</v>
      </c>
      <c r="F145" s="35">
        <f>'GF + UG Iteration 7'!F145</f>
        <v>14</v>
      </c>
      <c r="G145" s="36">
        <f>'GF + UG Iteration 7'!G145</f>
        <v>5.5737060104438019</v>
      </c>
      <c r="H145" s="38">
        <f>'GF + UG Iteration 7'!H145</f>
        <v>2013</v>
      </c>
      <c r="I145" s="35">
        <f t="shared" si="10"/>
        <v>39.5</v>
      </c>
      <c r="J145" s="36">
        <f t="shared" si="11"/>
        <v>21.889561377480049</v>
      </c>
      <c r="K145" s="38">
        <f t="shared" si="12"/>
        <v>2013</v>
      </c>
      <c r="M145" s="21">
        <f t="shared" si="18"/>
        <v>3.6763006719070761</v>
      </c>
      <c r="N145" s="21">
        <f t="shared" si="19"/>
        <v>3.0860098737588704</v>
      </c>
    </row>
    <row r="146" spans="1:14" x14ac:dyDescent="0.2">
      <c r="A146" s="33">
        <f>'GF + UG Iteration 7'!A146</f>
        <v>170</v>
      </c>
      <c r="B146" s="34" t="str">
        <f>'GF + UG Iteration 7'!B146</f>
        <v>UG</v>
      </c>
      <c r="C146" s="35">
        <f>'GF + UG Iteration 7'!C146</f>
        <v>5.4</v>
      </c>
      <c r="D146" s="36">
        <f>'GF + UG Iteration 7'!P$16*(C146^'GF + UG Iteration 7'!P$15)</f>
        <v>6.7123030533848844</v>
      </c>
      <c r="E146" s="37" t="str">
        <f>'GF + UG Iteration 7'!E146</f>
        <v>unknown</v>
      </c>
      <c r="F146" s="35">
        <f>'GF + UG Iteration 7'!F146</f>
        <v>10.6</v>
      </c>
      <c r="G146" s="36">
        <f>'GF + UG Iteration 7'!G146</f>
        <v>5.2097107088088661</v>
      </c>
      <c r="H146" s="38">
        <f>'GF + UG Iteration 7'!H146</f>
        <v>2001</v>
      </c>
      <c r="I146" s="35">
        <f t="shared" si="10"/>
        <v>16</v>
      </c>
      <c r="J146" s="36">
        <f t="shared" si="11"/>
        <v>11.92201376219375</v>
      </c>
      <c r="K146" s="38">
        <f t="shared" si="12"/>
        <v>2001</v>
      </c>
      <c r="M146" s="21">
        <f t="shared" si="18"/>
        <v>2.7725887222397811</v>
      </c>
      <c r="N146" s="21">
        <f t="shared" si="19"/>
        <v>2.4783865871498407</v>
      </c>
    </row>
    <row r="147" spans="1:14" x14ac:dyDescent="0.2">
      <c r="A147" s="33">
        <f>'GF + UG Iteration 7'!A147</f>
        <v>1350</v>
      </c>
      <c r="B147" s="34" t="str">
        <f>'GF + UG Iteration 7'!B147</f>
        <v>UG</v>
      </c>
      <c r="C147" s="35">
        <f>'GF + UG Iteration 7'!C147</f>
        <v>16</v>
      </c>
      <c r="D147" s="36">
        <f>'GF + UG Iteration 7'!P$16*(C147^'GF + UG Iteration 7'!P$15)</f>
        <v>12.496474266550615</v>
      </c>
      <c r="E147" s="37">
        <f>'GF + UG Iteration 7'!E147</f>
        <v>0</v>
      </c>
      <c r="F147" s="35">
        <f>'GF + UG Iteration 7'!F147</f>
        <v>20</v>
      </c>
      <c r="G147" s="36">
        <f>'GF + UG Iteration 7'!G147</f>
        <v>6.5300342953877131</v>
      </c>
      <c r="H147" s="38">
        <f>'GF + UG Iteration 7'!H147</f>
        <v>2013</v>
      </c>
      <c r="I147" s="35">
        <f t="shared" si="10"/>
        <v>36</v>
      </c>
      <c r="J147" s="36">
        <f t="shared" si="11"/>
        <v>19.026508561938329</v>
      </c>
      <c r="K147" s="38">
        <f t="shared" si="12"/>
        <v>2013</v>
      </c>
      <c r="M147" s="21">
        <f t="shared" si="18"/>
        <v>3.5835189384561099</v>
      </c>
      <c r="N147" s="21">
        <f t="shared" si="19"/>
        <v>2.9458331942671601</v>
      </c>
    </row>
    <row r="148" spans="1:14" x14ac:dyDescent="0.2">
      <c r="A148" s="33">
        <f>'GF + UG Iteration 7'!A148</f>
        <v>658</v>
      </c>
      <c r="B148" s="34" t="str">
        <f>'GF + UG Iteration 7'!B148</f>
        <v>UG</v>
      </c>
      <c r="C148" s="35">
        <f>'GF + UG Iteration 7'!C148</f>
        <v>1.6</v>
      </c>
      <c r="D148" s="36">
        <f>'GF + UG Iteration 7'!P$16*(C148^'GF + UG Iteration 7'!P$15)</f>
        <v>3.3465691102380473</v>
      </c>
      <c r="E148" s="37">
        <f>'GF + UG Iteration 7'!E148</f>
        <v>1996</v>
      </c>
      <c r="F148" s="35">
        <f>'GF + UG Iteration 7'!F148</f>
        <v>13.200000000000001</v>
      </c>
      <c r="G148" s="36">
        <f>'GF + UG Iteration 7'!G148</f>
        <v>7.1146692323992218</v>
      </c>
      <c r="H148" s="38">
        <f>'GF + UG Iteration 7'!H148</f>
        <v>2008</v>
      </c>
      <c r="I148" s="35">
        <f t="shared" si="10"/>
        <v>14.8</v>
      </c>
      <c r="J148" s="36">
        <f t="shared" si="11"/>
        <v>10.461238342637269</v>
      </c>
      <c r="K148" s="38">
        <f t="shared" si="12"/>
        <v>2008</v>
      </c>
      <c r="M148" s="21">
        <f t="shared" si="18"/>
        <v>2.6946271807700692</v>
      </c>
      <c r="N148" s="21">
        <f t="shared" si="19"/>
        <v>2.3476768400268679</v>
      </c>
    </row>
    <row r="149" spans="1:14" x14ac:dyDescent="0.2">
      <c r="A149" s="33">
        <f>'GF + UG Iteration 7'!A149</f>
        <v>897</v>
      </c>
      <c r="B149" s="34" t="str">
        <f>'GF + UG Iteration 7'!B149</f>
        <v>UG</v>
      </c>
      <c r="C149" s="35">
        <f>'GF + UG Iteration 7'!C149</f>
        <v>14.8</v>
      </c>
      <c r="D149" s="36">
        <f>'GF + UG Iteration 7'!P$16*(C149^'GF + UG Iteration 7'!P$15)</f>
        <v>11.951274323676142</v>
      </c>
      <c r="E149" s="37">
        <f>'GF + UG Iteration 7'!E149</f>
        <v>1996</v>
      </c>
      <c r="F149" s="35">
        <f>'GF + UG Iteration 7'!F149</f>
        <v>3</v>
      </c>
      <c r="G149" s="36">
        <f>'GF + UG Iteration 7'!G149</f>
        <v>6.2372112776035529</v>
      </c>
      <c r="H149" s="38">
        <f>'GF + UG Iteration 7'!H149</f>
        <v>2010</v>
      </c>
      <c r="I149" s="35">
        <f t="shared" si="10"/>
        <v>17.8</v>
      </c>
      <c r="J149" s="36">
        <f t="shared" si="11"/>
        <v>18.188485601279694</v>
      </c>
      <c r="K149" s="38">
        <f t="shared" si="12"/>
        <v>2010</v>
      </c>
      <c r="M149" s="21">
        <f t="shared" si="18"/>
        <v>2.8791984572980396</v>
      </c>
      <c r="N149" s="21">
        <f t="shared" si="19"/>
        <v>2.9007887345990779</v>
      </c>
    </row>
    <row r="150" spans="1:14" x14ac:dyDescent="0.2">
      <c r="A150" s="33">
        <f>'GF + UG Iteration 7'!A150</f>
        <v>483</v>
      </c>
      <c r="B150" s="34" t="str">
        <f>'GF + UG Iteration 7'!B150</f>
        <v>UG</v>
      </c>
      <c r="C150" s="35">
        <f>'GF + UG Iteration 7'!C150</f>
        <v>20.7</v>
      </c>
      <c r="D150" s="36">
        <f>'GF + UG Iteration 7'!P$16*(C150^'GF + UG Iteration 7'!P$15)</f>
        <v>14.480611471521611</v>
      </c>
      <c r="E150" s="37">
        <f>'GF + UG Iteration 7'!E150</f>
        <v>1986</v>
      </c>
      <c r="F150" s="35">
        <f>'GF + UG Iteration 7'!F150</f>
        <v>18.099999999999998</v>
      </c>
      <c r="G150" s="36">
        <f>'GF + UG Iteration 7'!G150</f>
        <v>3.6200694377675466</v>
      </c>
      <c r="H150" s="38">
        <f>'GF + UG Iteration 7'!H150</f>
        <v>2005</v>
      </c>
      <c r="I150" s="35">
        <f t="shared" si="10"/>
        <v>38.799999999999997</v>
      </c>
      <c r="J150" s="36">
        <f t="shared" si="11"/>
        <v>18.100680909289157</v>
      </c>
      <c r="K150" s="38">
        <f t="shared" si="12"/>
        <v>2005</v>
      </c>
      <c r="M150" s="21">
        <f t="shared" si="18"/>
        <v>3.6584202466292277</v>
      </c>
      <c r="N150" s="21">
        <f t="shared" si="19"/>
        <v>2.8959495568619356</v>
      </c>
    </row>
    <row r="151" spans="1:14" x14ac:dyDescent="0.2">
      <c r="A151" s="33">
        <f>'GF + UG Iteration 7'!A151</f>
        <v>1494</v>
      </c>
      <c r="B151" s="34" t="str">
        <f>'GF + UG Iteration 7'!B151</f>
        <v>UG</v>
      </c>
      <c r="C151" s="35">
        <f>'GF + UG Iteration 7'!C151</f>
        <v>13.3</v>
      </c>
      <c r="D151" s="36">
        <f>'GF + UG Iteration 7'!P$16*(C151^'GF + UG Iteration 7'!P$15)</f>
        <v>11.242397619640734</v>
      </c>
      <c r="E151" s="37">
        <f>'GF + UG Iteration 7'!E151</f>
        <v>0</v>
      </c>
      <c r="F151" s="35">
        <f>'GF + UG Iteration 7'!F151</f>
        <v>6</v>
      </c>
      <c r="G151" s="36">
        <f>'GF + UG Iteration 7'!G151</f>
        <v>6.4297485673579153</v>
      </c>
      <c r="H151" s="38">
        <f>'GF + UG Iteration 7'!H151</f>
        <v>2014</v>
      </c>
      <c r="I151" s="35">
        <f t="shared" si="10"/>
        <v>19.3</v>
      </c>
      <c r="J151" s="36">
        <f t="shared" si="11"/>
        <v>17.672146186998649</v>
      </c>
      <c r="K151" s="38">
        <f t="shared" si="12"/>
        <v>2014</v>
      </c>
      <c r="M151" s="21">
        <f t="shared" si="18"/>
        <v>2.9601050959108397</v>
      </c>
      <c r="N151" s="21">
        <f t="shared" si="19"/>
        <v>2.8719897383220943</v>
      </c>
    </row>
    <row r="152" spans="1:14" x14ac:dyDescent="0.2">
      <c r="A152" s="33">
        <f>'GF + UG Iteration 7'!A152</f>
        <v>488</v>
      </c>
      <c r="B152" s="34" t="str">
        <f>'GF + UG Iteration 7'!B152</f>
        <v>UG</v>
      </c>
      <c r="C152" s="35">
        <f>'GF + UG Iteration 7'!C152</f>
        <v>41.3</v>
      </c>
      <c r="D152" s="36">
        <f>'GF + UG Iteration 7'!P$16*(C152^'GF + UG Iteration 7'!P$15)</f>
        <v>21.499660380656067</v>
      </c>
      <c r="E152" s="37">
        <f>'GF + UG Iteration 7'!E152</f>
        <v>1982</v>
      </c>
      <c r="F152" s="35">
        <f>'GF + UG Iteration 7'!F152</f>
        <v>24.200000000000003</v>
      </c>
      <c r="G152" s="36">
        <f>'GF + UG Iteration 7'!G152</f>
        <v>0.40462675342078769</v>
      </c>
      <c r="H152" s="38">
        <f>'GF + UG Iteration 7'!H152</f>
        <v>2006</v>
      </c>
      <c r="I152" s="35">
        <f t="shared" si="10"/>
        <v>65.5</v>
      </c>
      <c r="J152" s="36">
        <f t="shared" si="11"/>
        <v>21.904287134076856</v>
      </c>
      <c r="K152" s="38">
        <f t="shared" si="12"/>
        <v>2006</v>
      </c>
      <c r="M152" s="21">
        <f t="shared" si="18"/>
        <v>4.1820501426412067</v>
      </c>
      <c r="N152" s="21">
        <f t="shared" si="19"/>
        <v>3.0866823772109435</v>
      </c>
    </row>
    <row r="153" spans="1:14" x14ac:dyDescent="0.2">
      <c r="A153" s="33">
        <f>'GF + UG Iteration 7'!A153</f>
        <v>1692</v>
      </c>
      <c r="B153" s="34" t="str">
        <f>'GF + UG Iteration 7'!B153</f>
        <v>UG</v>
      </c>
      <c r="C153" s="35">
        <f>'GF + UG Iteration 7'!C153</f>
        <v>65.5</v>
      </c>
      <c r="D153" s="36">
        <f>'GF + UG Iteration 7'!P$16*(C153^'GF + UG Iteration 7'!P$15)</f>
        <v>27.99211982682943</v>
      </c>
      <c r="E153" s="37">
        <f>'GF + UG Iteration 7'!E153</f>
        <v>0</v>
      </c>
      <c r="F153" s="35">
        <f>'GF + UG Iteration 7'!F153</f>
        <v>0</v>
      </c>
      <c r="G153" s="36">
        <f>'GF + UG Iteration 7'!G153</f>
        <v>2.2188176481219593</v>
      </c>
      <c r="H153" s="38">
        <f>'GF + UG Iteration 7'!H153</f>
        <v>2016</v>
      </c>
      <c r="I153" s="35">
        <f t="shared" si="10"/>
        <v>65.5</v>
      </c>
      <c r="J153" s="36">
        <f t="shared" si="11"/>
        <v>30.21093747495139</v>
      </c>
      <c r="K153" s="38">
        <f t="shared" si="12"/>
        <v>2016</v>
      </c>
      <c r="M153" s="21">
        <f t="shared" si="18"/>
        <v>4.1820501426412067</v>
      </c>
      <c r="N153" s="21">
        <f t="shared" si="19"/>
        <v>3.4082040268585558</v>
      </c>
    </row>
    <row r="154" spans="1:14" x14ac:dyDescent="0.2">
      <c r="A154" s="33">
        <f>'GF + UG Iteration 7'!A154</f>
        <v>318</v>
      </c>
      <c r="B154" s="34" t="str">
        <f>'GF + UG Iteration 7'!B154</f>
        <v>UG</v>
      </c>
      <c r="C154" s="35">
        <f>'GF + UG Iteration 7'!C154</f>
        <v>22.87</v>
      </c>
      <c r="D154" s="36">
        <f>'GF + UG Iteration 7'!P$16*(C154^'GF + UG Iteration 7'!P$15)</f>
        <v>15.330638266758802</v>
      </c>
      <c r="E154" s="37">
        <f>'GF + UG Iteration 7'!E154</f>
        <v>1996</v>
      </c>
      <c r="F154" s="35">
        <f>'GF + UG Iteration 7'!F154</f>
        <v>1</v>
      </c>
      <c r="G154" s="36">
        <f>'GF + UG Iteration 7'!G154</f>
        <v>0.76702040063252341</v>
      </c>
      <c r="H154" s="38">
        <f>'GF + UG Iteration 7'!H154</f>
        <v>2001</v>
      </c>
      <c r="I154" s="35">
        <f t="shared" si="10"/>
        <v>23.87</v>
      </c>
      <c r="J154" s="36">
        <f t="shared" si="11"/>
        <v>16.097658667391325</v>
      </c>
      <c r="K154" s="38">
        <f t="shared" si="12"/>
        <v>2001</v>
      </c>
      <c r="M154" s="21">
        <f t="shared" si="18"/>
        <v>3.1726224403507386</v>
      </c>
      <c r="N154" s="21">
        <f t="shared" si="19"/>
        <v>2.778673837029634</v>
      </c>
    </row>
    <row r="155" spans="1:14" x14ac:dyDescent="0.2">
      <c r="A155" s="33">
        <f>'GF + UG Iteration 7'!A155</f>
        <v>806</v>
      </c>
      <c r="B155" s="34" t="str">
        <f>'GF + UG Iteration 7'!B155</f>
        <v>UG</v>
      </c>
      <c r="C155" s="35">
        <f>'GF + UG Iteration 7'!C155</f>
        <v>23.867000000000001</v>
      </c>
      <c r="D155" s="36">
        <f>'GF + UG Iteration 7'!P$16*(C155^'GF + UG Iteration 7'!P$15)</f>
        <v>15.709553050668706</v>
      </c>
      <c r="E155" s="37">
        <f>'GF + UG Iteration 7'!E155</f>
        <v>1996</v>
      </c>
      <c r="F155" s="35">
        <f>'GF + UG Iteration 7'!F155</f>
        <v>5.4329999999999998</v>
      </c>
      <c r="G155" s="36">
        <f>'GF + UG Iteration 7'!G155</f>
        <v>0.68947713107767894</v>
      </c>
      <c r="H155" s="38">
        <f>'GF + UG Iteration 7'!H155</f>
        <v>2008</v>
      </c>
      <c r="I155" s="35">
        <f t="shared" si="10"/>
        <v>29.3</v>
      </c>
      <c r="J155" s="36">
        <f t="shared" si="11"/>
        <v>16.399030181746387</v>
      </c>
      <c r="K155" s="38">
        <f t="shared" si="12"/>
        <v>2008</v>
      </c>
      <c r="M155" s="21">
        <f t="shared" si="18"/>
        <v>3.3775875160230218</v>
      </c>
      <c r="N155" s="21">
        <f t="shared" si="19"/>
        <v>2.7972221978222276</v>
      </c>
    </row>
    <row r="156" spans="1:14" x14ac:dyDescent="0.2">
      <c r="A156" s="33">
        <f>'GF + UG Iteration 7'!A156</f>
        <v>1495</v>
      </c>
      <c r="B156" s="34" t="str">
        <f>'GF + UG Iteration 7'!B156</f>
        <v>UG</v>
      </c>
      <c r="C156" s="35">
        <f>'GF + UG Iteration 7'!C156</f>
        <v>29.3</v>
      </c>
      <c r="D156" s="36">
        <f>'GF + UG Iteration 7'!P$16*(C156^'GF + UG Iteration 7'!P$15)</f>
        <v>17.665602987981813</v>
      </c>
      <c r="E156" s="37">
        <f>'GF + UG Iteration 7'!E156</f>
        <v>1996</v>
      </c>
      <c r="F156" s="35">
        <f>'GF + UG Iteration 7'!F156</f>
        <v>0</v>
      </c>
      <c r="G156" s="36">
        <f>'GF + UG Iteration 7'!G156</f>
        <v>5.142810508174632</v>
      </c>
      <c r="H156" s="38">
        <f>'GF + UG Iteration 7'!H156</f>
        <v>2014</v>
      </c>
      <c r="I156" s="35">
        <f t="shared" si="10"/>
        <v>29.3</v>
      </c>
      <c r="J156" s="36">
        <f t="shared" si="11"/>
        <v>22.808413496156447</v>
      </c>
      <c r="K156" s="38">
        <f t="shared" si="12"/>
        <v>2014</v>
      </c>
      <c r="M156" s="21">
        <f t="shared" si="18"/>
        <v>3.3775875160230218</v>
      </c>
      <c r="N156" s="21">
        <f t="shared" si="19"/>
        <v>3.1271294808811647</v>
      </c>
    </row>
    <row r="157" spans="1:14" x14ac:dyDescent="0.2">
      <c r="A157" s="33">
        <f>'GF + UG Iteration 7'!A157</f>
        <v>1386</v>
      </c>
      <c r="B157" s="34" t="str">
        <f>'GF + UG Iteration 7'!B157</f>
        <v>UG</v>
      </c>
      <c r="C157" s="35">
        <f>'GF + UG Iteration 7'!C157</f>
        <v>32.700000000000003</v>
      </c>
      <c r="D157" s="36">
        <f>'GF + UG Iteration 7'!P$16*(C157^'GF + UG Iteration 7'!P$15)</f>
        <v>18.810937968522481</v>
      </c>
      <c r="E157" s="37">
        <f>'GF + UG Iteration 7'!E157</f>
        <v>0</v>
      </c>
      <c r="F157" s="35">
        <f>'GF + UG Iteration 7'!F157</f>
        <v>13.5</v>
      </c>
      <c r="G157" s="36">
        <f>'GF + UG Iteration 7'!G157</f>
        <v>0.85934464632152285</v>
      </c>
      <c r="H157" s="38">
        <f>'GF + UG Iteration 7'!H157</f>
        <v>2013</v>
      </c>
      <c r="I157" s="35">
        <f t="shared" si="10"/>
        <v>46.2</v>
      </c>
      <c r="J157" s="36">
        <f t="shared" si="11"/>
        <v>19.670282614844005</v>
      </c>
      <c r="K157" s="38">
        <f t="shared" si="12"/>
        <v>2013</v>
      </c>
      <c r="M157" s="21">
        <f t="shared" si="18"/>
        <v>3.8329797980876932</v>
      </c>
      <c r="N157" s="21">
        <f t="shared" si="19"/>
        <v>2.9791090001088349</v>
      </c>
    </row>
    <row r="158" spans="1:14" x14ac:dyDescent="0.2">
      <c r="A158" s="33">
        <f>'GF + UG Iteration 7'!A158</f>
        <v>928</v>
      </c>
      <c r="B158" s="34" t="str">
        <f>'GF + UG Iteration 7'!B158</f>
        <v>UG</v>
      </c>
      <c r="C158" s="35">
        <f>'GF + UG Iteration 7'!C158</f>
        <v>18.02</v>
      </c>
      <c r="D158" s="36">
        <f>'GF + UG Iteration 7'!P$16*(C158^'GF + UG Iteration 7'!P$15)</f>
        <v>13.376185995630721</v>
      </c>
      <c r="E158" s="37">
        <f>'GF + UG Iteration 7'!E158</f>
        <v>1992</v>
      </c>
      <c r="F158" s="35">
        <f>'GF + UG Iteration 7'!F158</f>
        <v>3.4800000000000004</v>
      </c>
      <c r="G158" s="36">
        <f>'GF + UG Iteration 7'!G158</f>
        <v>10.364367944955573</v>
      </c>
      <c r="H158" s="38">
        <f>'GF + UG Iteration 7'!H158</f>
        <v>2010</v>
      </c>
      <c r="I158" s="35">
        <f t="shared" si="10"/>
        <v>21.5</v>
      </c>
      <c r="J158" s="36">
        <f t="shared" si="11"/>
        <v>23.740553940586295</v>
      </c>
      <c r="K158" s="38">
        <f t="shared" si="12"/>
        <v>2010</v>
      </c>
      <c r="M158" s="21">
        <f t="shared" si="18"/>
        <v>3.068052935133617</v>
      </c>
      <c r="N158" s="21">
        <f t="shared" si="19"/>
        <v>3.1671847225481469</v>
      </c>
    </row>
    <row r="159" spans="1:14" x14ac:dyDescent="0.2">
      <c r="A159" s="33">
        <f>'GF + UG Iteration 7'!A159</f>
        <v>1450</v>
      </c>
      <c r="B159" s="34" t="str">
        <f>'GF + UG Iteration 7'!B159</f>
        <v>UG</v>
      </c>
      <c r="C159" s="35">
        <f>'GF + UG Iteration 7'!C159</f>
        <v>21.5</v>
      </c>
      <c r="D159" s="36">
        <f>'GF + UG Iteration 7'!P$16*(C159^'GF + UG Iteration 7'!P$15)</f>
        <v>14.798229342410751</v>
      </c>
      <c r="E159" s="37">
        <f>'GF + UG Iteration 7'!E159</f>
        <v>1992</v>
      </c>
      <c r="F159" s="35">
        <f>'GF + UG Iteration 7'!F159</f>
        <v>16.299999999999997</v>
      </c>
      <c r="G159" s="36">
        <f>'GF + UG Iteration 7'!G159</f>
        <v>5.1529943993409928</v>
      </c>
      <c r="H159" s="38">
        <f>'GF + UG Iteration 7'!H159</f>
        <v>2014</v>
      </c>
      <c r="I159" s="35">
        <f t="shared" si="10"/>
        <v>37.799999999999997</v>
      </c>
      <c r="J159" s="36">
        <f t="shared" si="11"/>
        <v>19.951223741751743</v>
      </c>
      <c r="K159" s="38">
        <f t="shared" si="12"/>
        <v>2014</v>
      </c>
      <c r="M159" s="21">
        <f t="shared" si="18"/>
        <v>3.6323091026255421</v>
      </c>
      <c r="N159" s="21">
        <f t="shared" si="19"/>
        <v>2.9932904818933084</v>
      </c>
    </row>
    <row r="160" spans="1:14" x14ac:dyDescent="0.2">
      <c r="A160" s="33">
        <f>'GF + UG Iteration 7'!A160</f>
        <v>170</v>
      </c>
      <c r="B160" s="34" t="str">
        <f>'GF + UG Iteration 7'!B160</f>
        <v>UG</v>
      </c>
      <c r="C160" s="35">
        <f>'GF + UG Iteration 7'!C160</f>
        <v>17.7</v>
      </c>
      <c r="D160" s="36">
        <f>'GF + UG Iteration 7'!P$16*(C160^'GF + UG Iteration 7'!P$15)</f>
        <v>13.239750737488334</v>
      </c>
      <c r="E160" s="37" t="str">
        <f>'GF + UG Iteration 7'!E160</f>
        <v>unknown</v>
      </c>
      <c r="F160" s="35">
        <f>'GF + UG Iteration 7'!F160</f>
        <v>8.8000000000000007</v>
      </c>
      <c r="G160" s="36">
        <f>'GF + UG Iteration 7'!G160</f>
        <v>1.1342290648673055</v>
      </c>
      <c r="H160" s="38">
        <f>'GF + UG Iteration 7'!H160</f>
        <v>2001</v>
      </c>
      <c r="I160" s="35">
        <f t="shared" si="10"/>
        <v>26.5</v>
      </c>
      <c r="J160" s="36">
        <f t="shared" si="11"/>
        <v>14.37397980235564</v>
      </c>
      <c r="K160" s="38">
        <f t="shared" si="12"/>
        <v>2001</v>
      </c>
      <c r="M160" s="21">
        <f t="shared" si="18"/>
        <v>3.2771447329921766</v>
      </c>
      <c r="N160" s="21">
        <f t="shared" si="19"/>
        <v>2.6654196138939934</v>
      </c>
    </row>
    <row r="161" spans="1:14" x14ac:dyDescent="0.2">
      <c r="A161" s="33">
        <f>'GF + UG Iteration 7'!A161</f>
        <v>649</v>
      </c>
      <c r="B161" s="34" t="str">
        <f>'GF + UG Iteration 7'!B161</f>
        <v>UG</v>
      </c>
      <c r="C161" s="35">
        <f>'GF + UG Iteration 7'!C161</f>
        <v>26.5</v>
      </c>
      <c r="D161" s="36">
        <f>'GF + UG Iteration 7'!P$16*(C161^'GF + UG Iteration 7'!P$15)</f>
        <v>16.678947405058292</v>
      </c>
      <c r="E161" s="37">
        <f>'GF + UG Iteration 7'!E161</f>
        <v>1997</v>
      </c>
      <c r="F161" s="35">
        <f>'GF + UG Iteration 7'!F161</f>
        <v>33.799999999999997</v>
      </c>
      <c r="G161" s="36">
        <f>'GF + UG Iteration 7'!G161</f>
        <v>5.0180795362586865</v>
      </c>
      <c r="H161" s="38">
        <f>'GF + UG Iteration 7'!H161</f>
        <v>2007</v>
      </c>
      <c r="I161" s="35">
        <f t="shared" si="10"/>
        <v>60.3</v>
      </c>
      <c r="J161" s="36">
        <f t="shared" si="11"/>
        <v>21.697026941316977</v>
      </c>
      <c r="K161" s="38">
        <f t="shared" si="12"/>
        <v>2007</v>
      </c>
      <c r="M161" s="21">
        <f t="shared" si="18"/>
        <v>4.0993321037331398</v>
      </c>
      <c r="N161" s="21">
        <f t="shared" si="19"/>
        <v>3.0771752438474729</v>
      </c>
    </row>
    <row r="162" spans="1:14" x14ac:dyDescent="0.2">
      <c r="A162" s="33">
        <f>'GF + UG Iteration 7'!A162</f>
        <v>1203</v>
      </c>
      <c r="B162" s="34" t="str">
        <f>'GF + UG Iteration 7'!B162</f>
        <v>UG</v>
      </c>
      <c r="C162" s="35">
        <f>'GF + UG Iteration 7'!C162</f>
        <v>20.5</v>
      </c>
      <c r="D162" s="36">
        <f>'GF + UG Iteration 7'!P$16*(C162^'GF + UG Iteration 7'!P$15)</f>
        <v>14.400390880983043</v>
      </c>
      <c r="E162" s="37">
        <f>'GF + UG Iteration 7'!E162</f>
        <v>1977</v>
      </c>
      <c r="F162" s="35">
        <f>'GF + UG Iteration 7'!F162</f>
        <v>4.1000000000000014</v>
      </c>
      <c r="G162" s="36">
        <f>'GF + UG Iteration 7'!G162</f>
        <v>12.443615523285567</v>
      </c>
      <c r="H162" s="38">
        <f>'GF + UG Iteration 7'!H162</f>
        <v>2012</v>
      </c>
      <c r="I162" s="35">
        <f t="shared" si="10"/>
        <v>24.6</v>
      </c>
      <c r="J162" s="36">
        <f t="shared" si="11"/>
        <v>26.844006404268612</v>
      </c>
      <c r="K162" s="38">
        <f t="shared" si="12"/>
        <v>2012</v>
      </c>
      <c r="M162" s="21">
        <f t="shared" si="18"/>
        <v>3.202746442938317</v>
      </c>
      <c r="N162" s="21">
        <f t="shared" si="19"/>
        <v>3.2900425708695233</v>
      </c>
    </row>
    <row r="163" spans="1:14" x14ac:dyDescent="0.2">
      <c r="A163" s="33">
        <f>'GF + UG Iteration 7'!A163</f>
        <v>170</v>
      </c>
      <c r="B163" s="34" t="str">
        <f>'GF + UG Iteration 7'!B163</f>
        <v>UG</v>
      </c>
      <c r="C163" s="35">
        <f>'GF + UG Iteration 7'!C163</f>
        <v>7.9</v>
      </c>
      <c r="D163" s="36">
        <f>'GF + UG Iteration 7'!P$16*(C163^'GF + UG Iteration 7'!P$15)</f>
        <v>8.344801996138969</v>
      </c>
      <c r="E163" s="37">
        <f>'GF + UG Iteration 7'!E163</f>
        <v>1972</v>
      </c>
      <c r="F163" s="35">
        <f>'GF + UG Iteration 7'!F163</f>
        <v>6.1</v>
      </c>
      <c r="G163" s="36">
        <f>'GF + UG Iteration 7'!G163</f>
        <v>2.9004939377112939</v>
      </c>
      <c r="H163" s="38">
        <f>'GF + UG Iteration 7'!H163</f>
        <v>2001</v>
      </c>
      <c r="I163" s="35">
        <f t="shared" si="10"/>
        <v>14</v>
      </c>
      <c r="J163" s="36">
        <f t="shared" si="11"/>
        <v>11.245295933850263</v>
      </c>
      <c r="K163" s="38">
        <f t="shared" si="12"/>
        <v>2001</v>
      </c>
      <c r="M163" s="21">
        <f t="shared" si="18"/>
        <v>2.6390573296152584</v>
      </c>
      <c r="N163" s="21">
        <f t="shared" si="19"/>
        <v>2.4199499019925415</v>
      </c>
    </row>
    <row r="164" spans="1:14" x14ac:dyDescent="0.2">
      <c r="A164" s="33">
        <f>'GF + UG Iteration 7'!A164</f>
        <v>363</v>
      </c>
      <c r="B164" s="34" t="str">
        <f>'GF + UG Iteration 7'!B164</f>
        <v>UG</v>
      </c>
      <c r="C164" s="35">
        <f>'GF + UG Iteration 7'!C164</f>
        <v>21.225999999999999</v>
      </c>
      <c r="D164" s="36">
        <f>'GF + UG Iteration 7'!P$16*(C164^'GF + UG Iteration 7'!P$15)</f>
        <v>14.690023703318809</v>
      </c>
      <c r="E164" s="37">
        <f>'GF + UG Iteration 7'!E164</f>
        <v>1975</v>
      </c>
      <c r="F164" s="35">
        <f>'GF + UG Iteration 7'!F164</f>
        <v>4.1999999999999993</v>
      </c>
      <c r="G164" s="36">
        <f>'GF + UG Iteration 7'!G164</f>
        <v>0.82194253395528394</v>
      </c>
      <c r="H164" s="38">
        <f>'GF + UG Iteration 7'!H164</f>
        <v>2004</v>
      </c>
      <c r="I164" s="35">
        <f t="shared" si="10"/>
        <v>25.425999999999998</v>
      </c>
      <c r="J164" s="36">
        <f t="shared" si="11"/>
        <v>15.511966237274093</v>
      </c>
      <c r="K164" s="38">
        <f t="shared" si="12"/>
        <v>2004</v>
      </c>
      <c r="M164" s="21">
        <f t="shared" si="18"/>
        <v>3.2357722725279308</v>
      </c>
      <c r="N164" s="21">
        <f t="shared" si="19"/>
        <v>2.7416117413826759</v>
      </c>
    </row>
    <row r="165" spans="1:14" x14ac:dyDescent="0.2">
      <c r="A165" s="33">
        <f>'GF + UG Iteration 7'!A165</f>
        <v>493</v>
      </c>
      <c r="B165" s="34" t="str">
        <f>'GF + UG Iteration 7'!B165</f>
        <v>UG</v>
      </c>
      <c r="C165" s="35">
        <f>'GF + UG Iteration 7'!C165</f>
        <v>25.4</v>
      </c>
      <c r="D165" s="36">
        <f>'GF + UG Iteration 7'!P$16*(C165^'GF + UG Iteration 7'!P$15)</f>
        <v>16.279213885929352</v>
      </c>
      <c r="E165" s="37">
        <f>'GF + UG Iteration 7'!E165</f>
        <v>1975</v>
      </c>
      <c r="F165" s="35">
        <f>'GF + UG Iteration 7'!F165</f>
        <v>3.3000000000000007</v>
      </c>
      <c r="G165" s="36">
        <f>'GF + UG Iteration 7'!G165</f>
        <v>3.4002692913337142</v>
      </c>
      <c r="H165" s="38">
        <f>'GF + UG Iteration 7'!H165</f>
        <v>2006</v>
      </c>
      <c r="I165" s="35">
        <f t="shared" si="10"/>
        <v>28.7</v>
      </c>
      <c r="J165" s="36">
        <f t="shared" si="11"/>
        <v>19.679483177263066</v>
      </c>
      <c r="K165" s="38">
        <f t="shared" si="12"/>
        <v>2006</v>
      </c>
      <c r="M165" s="21">
        <f t="shared" si="18"/>
        <v>3.3568971227655755</v>
      </c>
      <c r="N165" s="21">
        <f t="shared" si="19"/>
        <v>2.9795766299613393</v>
      </c>
    </row>
    <row r="166" spans="1:14" x14ac:dyDescent="0.2">
      <c r="A166" s="33">
        <f>'GF + UG Iteration 7'!A166</f>
        <v>685</v>
      </c>
      <c r="B166" s="34" t="str">
        <f>'GF + UG Iteration 7'!B166</f>
        <v>UG</v>
      </c>
      <c r="C166" s="35">
        <f>'GF + UG Iteration 7'!C166</f>
        <v>28.7</v>
      </c>
      <c r="D166" s="36">
        <f>'GF + UG Iteration 7'!P$16*(C166^'GF + UG Iteration 7'!P$15)</f>
        <v>17.457696756780685</v>
      </c>
      <c r="E166" s="37">
        <f>'GF + UG Iteration 7'!E166</f>
        <v>1975</v>
      </c>
      <c r="F166" s="35">
        <f>'GF + UG Iteration 7'!F166</f>
        <v>4.1999999999999993</v>
      </c>
      <c r="G166" s="36">
        <f>'GF + UG Iteration 7'!G166</f>
        <v>0.94606982488538283</v>
      </c>
      <c r="H166" s="38">
        <f>'GF + UG Iteration 7'!H166</f>
        <v>2007</v>
      </c>
      <c r="I166" s="35">
        <f t="shared" si="10"/>
        <v>32.9</v>
      </c>
      <c r="J166" s="36">
        <f t="shared" si="11"/>
        <v>18.403766581666069</v>
      </c>
      <c r="K166" s="38">
        <f t="shared" si="12"/>
        <v>2007</v>
      </c>
      <c r="M166" s="21">
        <f t="shared" si="18"/>
        <v>3.493472657771326</v>
      </c>
      <c r="N166" s="21">
        <f t="shared" si="19"/>
        <v>2.9125553491909528</v>
      </c>
    </row>
    <row r="167" spans="1:14" x14ac:dyDescent="0.2">
      <c r="A167" s="33">
        <f>'GF + UG Iteration 7'!A167</f>
        <v>1574</v>
      </c>
      <c r="B167" s="34" t="str">
        <f>'GF + UG Iteration 7'!B167</f>
        <v>UG</v>
      </c>
      <c r="C167" s="35">
        <f>'GF + UG Iteration 7'!C167</f>
        <v>28</v>
      </c>
      <c r="D167" s="36">
        <f>'GF + UG Iteration 7'!P$16*(C167^'GF + UG Iteration 7'!P$15)</f>
        <v>17.212774593255119</v>
      </c>
      <c r="E167" s="37">
        <f>'GF + UG Iteration 7'!E167</f>
        <v>2013</v>
      </c>
      <c r="F167" s="35">
        <f>'GF + UG Iteration 7'!F167</f>
        <v>0</v>
      </c>
      <c r="G167" s="36">
        <f>'GF + UG Iteration 7'!G167</f>
        <v>6.2662260340537754</v>
      </c>
      <c r="H167" s="38">
        <f>'GF + UG Iteration 7'!H167</f>
        <v>2015</v>
      </c>
      <c r="I167" s="35">
        <f t="shared" si="10"/>
        <v>28</v>
      </c>
      <c r="J167" s="36">
        <f t="shared" si="11"/>
        <v>23.479000627308896</v>
      </c>
      <c r="K167" s="38">
        <f t="shared" si="12"/>
        <v>2015</v>
      </c>
      <c r="M167" s="21">
        <f t="shared" si="18"/>
        <v>3.3322045101752038</v>
      </c>
      <c r="N167" s="21">
        <f t="shared" si="19"/>
        <v>3.156106431332991</v>
      </c>
    </row>
    <row r="168" spans="1:14" x14ac:dyDescent="0.2">
      <c r="A168" s="33">
        <f>'GF + UG Iteration 7'!A168</f>
        <v>435</v>
      </c>
      <c r="B168" s="34" t="str">
        <f>'GF + UG Iteration 7'!B168</f>
        <v>UG</v>
      </c>
      <c r="C168" s="35">
        <f>'GF + UG Iteration 7'!C168</f>
        <v>10.6</v>
      </c>
      <c r="D168" s="36">
        <f>'GF + UG Iteration 7'!P$16*(C168^'GF + UG Iteration 7'!P$15)</f>
        <v>9.873525688702351</v>
      </c>
      <c r="E168" s="37">
        <f>'GF + UG Iteration 7'!E168</f>
        <v>1990</v>
      </c>
      <c r="F168" s="35">
        <f>'GF + UG Iteration 7'!F168</f>
        <v>8.4</v>
      </c>
      <c r="G168" s="36">
        <f>'GF + UG Iteration 7'!G168</f>
        <v>3.0773639102073269</v>
      </c>
      <c r="H168" s="38">
        <f>'GF + UG Iteration 7'!H168</f>
        <v>2004</v>
      </c>
      <c r="I168" s="35">
        <f t="shared" si="10"/>
        <v>19</v>
      </c>
      <c r="J168" s="36">
        <f t="shared" si="11"/>
        <v>12.950889598909678</v>
      </c>
      <c r="K168" s="38">
        <f t="shared" si="12"/>
        <v>2004</v>
      </c>
      <c r="M168" s="21">
        <f t="shared" si="18"/>
        <v>2.9444389791664403</v>
      </c>
      <c r="N168" s="21">
        <f t="shared" si="19"/>
        <v>2.5611644806826606</v>
      </c>
    </row>
    <row r="169" spans="1:14" x14ac:dyDescent="0.2">
      <c r="A169" s="33">
        <f>'GF + UG Iteration 7'!A169</f>
        <v>652</v>
      </c>
      <c r="B169" s="34" t="str">
        <f>'GF + UG Iteration 7'!B169</f>
        <v>UG</v>
      </c>
      <c r="C169" s="35">
        <f>'GF + UG Iteration 7'!C169</f>
        <v>10.195</v>
      </c>
      <c r="D169" s="36">
        <f>'GF + UG Iteration 7'!P$16*(C169^'GF + UG Iteration 7'!P$15)</f>
        <v>9.6558747891997001</v>
      </c>
      <c r="E169" s="37">
        <f>'GF + UG Iteration 7'!E169</f>
        <v>1986</v>
      </c>
      <c r="F169" s="35">
        <f>'GF + UG Iteration 7'!F169</f>
        <v>3.4049999999999994</v>
      </c>
      <c r="G169" s="36">
        <f>'GF + UG Iteration 7'!G169</f>
        <v>4.380227937072533</v>
      </c>
      <c r="H169" s="38">
        <f>'GF + UG Iteration 7'!H169</f>
        <v>2007</v>
      </c>
      <c r="I169" s="35">
        <f t="shared" si="10"/>
        <v>13.6</v>
      </c>
      <c r="J169" s="36">
        <f t="shared" si="11"/>
        <v>14.036102726272233</v>
      </c>
      <c r="K169" s="38">
        <f t="shared" si="12"/>
        <v>2007</v>
      </c>
      <c r="M169" s="21">
        <f t="shared" si="18"/>
        <v>2.6100697927420065</v>
      </c>
      <c r="N169" s="21">
        <f t="shared" si="19"/>
        <v>2.6416327764653631</v>
      </c>
    </row>
    <row r="170" spans="1:14" x14ac:dyDescent="0.2">
      <c r="A170" s="33">
        <f>'GF + UG Iteration 7'!A170</f>
        <v>366</v>
      </c>
      <c r="B170" s="34" t="str">
        <f>'GF + UG Iteration 7'!B170</f>
        <v>UG</v>
      </c>
      <c r="C170" s="35">
        <f>'GF + UG Iteration 7'!C170</f>
        <v>11.1</v>
      </c>
      <c r="D170" s="36">
        <f>'GF + UG Iteration 7'!P$16*(C170^'GF + UG Iteration 7'!P$15)</f>
        <v>10.137381873715674</v>
      </c>
      <c r="E170" s="37">
        <f>'GF + UG Iteration 7'!E170</f>
        <v>1981</v>
      </c>
      <c r="F170" s="35">
        <f>'GF + UG Iteration 7'!F170</f>
        <v>4.8000000000000007</v>
      </c>
      <c r="G170" s="36">
        <f>'GF + UG Iteration 7'!G170</f>
        <v>0.60207988766843201</v>
      </c>
      <c r="H170" s="38">
        <f>'GF + UG Iteration 7'!H170</f>
        <v>2003</v>
      </c>
      <c r="I170" s="35">
        <f t="shared" si="10"/>
        <v>15.9</v>
      </c>
      <c r="J170" s="36">
        <f t="shared" si="11"/>
        <v>10.739461761384106</v>
      </c>
      <c r="K170" s="38">
        <f t="shared" si="12"/>
        <v>2003</v>
      </c>
      <c r="M170" s="21">
        <f t="shared" si="18"/>
        <v>2.7663191092261861</v>
      </c>
      <c r="N170" s="21">
        <f t="shared" si="19"/>
        <v>2.3739249724975391</v>
      </c>
    </row>
    <row r="171" spans="1:14" x14ac:dyDescent="0.2">
      <c r="A171" s="33">
        <f>'GF + UG Iteration 7'!A171</f>
        <v>1640</v>
      </c>
      <c r="B171" s="34" t="str">
        <f>'GF + UG Iteration 7'!B171</f>
        <v>UG</v>
      </c>
      <c r="C171" s="35">
        <f>'GF + UG Iteration 7'!C171</f>
        <v>15.9</v>
      </c>
      <c r="D171" s="36">
        <f>'GF + UG Iteration 7'!P$16*(C171^'GF + UG Iteration 7'!P$15)</f>
        <v>12.451724786568132</v>
      </c>
      <c r="E171" s="37">
        <f>'GF + UG Iteration 7'!E171</f>
        <v>1981</v>
      </c>
      <c r="F171" s="35">
        <f>'GF + UG Iteration 7'!F171</f>
        <v>2.4999999999999982</v>
      </c>
      <c r="G171" s="36">
        <f>'GF + UG Iteration 7'!G171</f>
        <v>8.3244002844443177</v>
      </c>
      <c r="H171" s="38">
        <f>'GF + UG Iteration 7'!H171</f>
        <v>2015</v>
      </c>
      <c r="I171" s="35">
        <f t="shared" si="10"/>
        <v>18.399999999999999</v>
      </c>
      <c r="J171" s="36">
        <f t="shared" si="11"/>
        <v>20.776125071012451</v>
      </c>
      <c r="K171" s="38">
        <f t="shared" si="12"/>
        <v>2015</v>
      </c>
      <c r="M171" s="21">
        <f t="shared" si="18"/>
        <v>2.91235066461494</v>
      </c>
      <c r="N171" s="21">
        <f t="shared" si="19"/>
        <v>3.0338044943178977</v>
      </c>
    </row>
    <row r="172" spans="1:14" x14ac:dyDescent="0.2">
      <c r="A172" s="33">
        <f>'GF + UG Iteration 7'!A172</f>
        <v>367</v>
      </c>
      <c r="B172" s="34" t="str">
        <f>'GF + UG Iteration 7'!B172</f>
        <v>UG</v>
      </c>
      <c r="C172" s="35">
        <f>'GF + UG Iteration 7'!C172</f>
        <v>11.211</v>
      </c>
      <c r="D172" s="36">
        <f>'GF + UG Iteration 7'!P$16*(C172^'GF + UG Iteration 7'!P$15)</f>
        <v>10.195263237031089</v>
      </c>
      <c r="E172" s="37">
        <f>'GF + UG Iteration 7'!E172</f>
        <v>1988</v>
      </c>
      <c r="F172" s="35">
        <f>'GF + UG Iteration 7'!F172</f>
        <v>1</v>
      </c>
      <c r="G172" s="36">
        <f>'GF + UG Iteration 7'!G172</f>
        <v>0.55588557988620213</v>
      </c>
      <c r="H172" s="38">
        <f>'GF + UG Iteration 7'!H172</f>
        <v>2004</v>
      </c>
      <c r="I172" s="35">
        <f t="shared" si="10"/>
        <v>12.211</v>
      </c>
      <c r="J172" s="36">
        <f t="shared" si="11"/>
        <v>10.75114881691729</v>
      </c>
      <c r="K172" s="38">
        <f t="shared" si="12"/>
        <v>2004</v>
      </c>
      <c r="M172" s="21">
        <f t="shared" si="18"/>
        <v>2.5023371848508846</v>
      </c>
      <c r="N172" s="21">
        <f t="shared" si="19"/>
        <v>2.3750126155538145</v>
      </c>
    </row>
    <row r="173" spans="1:14" x14ac:dyDescent="0.2">
      <c r="A173" s="33">
        <f>'GF + UG Iteration 7'!A173</f>
        <v>650</v>
      </c>
      <c r="B173" s="34" t="str">
        <f>'GF + UG Iteration 7'!B173</f>
        <v>UG</v>
      </c>
      <c r="C173" s="35">
        <f>'GF + UG Iteration 7'!C173</f>
        <v>23</v>
      </c>
      <c r="D173" s="36">
        <f>'GF + UG Iteration 7'!P$16*(C173^'GF + UG Iteration 7'!P$15)</f>
        <v>15.380440519164569</v>
      </c>
      <c r="E173" s="37">
        <f>'GF + UG Iteration 7'!E173</f>
        <v>1981</v>
      </c>
      <c r="F173" s="35">
        <f>'GF + UG Iteration 7'!F173</f>
        <v>0</v>
      </c>
      <c r="G173" s="36">
        <f>'GF + UG Iteration 7'!G173</f>
        <v>5.9476879309059552</v>
      </c>
      <c r="H173" s="38">
        <f>'GF + UG Iteration 7'!H173</f>
        <v>2007</v>
      </c>
      <c r="I173" s="35">
        <f t="shared" si="10"/>
        <v>23</v>
      </c>
      <c r="J173" s="36">
        <f t="shared" si="11"/>
        <v>21.328128450070523</v>
      </c>
      <c r="K173" s="38">
        <f t="shared" si="12"/>
        <v>2007</v>
      </c>
      <c r="M173" s="21">
        <f t="shared" si="18"/>
        <v>3.1354942159291497</v>
      </c>
      <c r="N173" s="21">
        <f t="shared" si="19"/>
        <v>3.0600267860209236</v>
      </c>
    </row>
    <row r="174" spans="1:14" x14ac:dyDescent="0.2">
      <c r="A174" s="33">
        <f>'GF + UG Iteration 7'!A174</f>
        <v>902</v>
      </c>
      <c r="B174" s="34" t="str">
        <f>'GF + UG Iteration 7'!B174</f>
        <v>UG</v>
      </c>
      <c r="C174" s="35">
        <f>'GF + UG Iteration 7'!C174</f>
        <v>19.2</v>
      </c>
      <c r="D174" s="36">
        <f>'GF + UG Iteration 7'!P$16*(C174^'GF + UG Iteration 7'!P$15)</f>
        <v>13.87056124657513</v>
      </c>
      <c r="E174" s="37">
        <f>'GF + UG Iteration 7'!E174</f>
        <v>2002</v>
      </c>
      <c r="F174" s="35">
        <f>'GF + UG Iteration 7'!F174</f>
        <v>13.500000000000004</v>
      </c>
      <c r="G174" s="36">
        <f>'GF + UG Iteration 7'!G174</f>
        <v>0.54699963688402187</v>
      </c>
      <c r="H174" s="38">
        <f>'GF + UG Iteration 7'!H174</f>
        <v>2009</v>
      </c>
      <c r="I174" s="35">
        <f t="shared" si="10"/>
        <v>32.700000000000003</v>
      </c>
      <c r="J174" s="36">
        <f t="shared" si="11"/>
        <v>14.417560883459153</v>
      </c>
      <c r="K174" s="38">
        <f t="shared" si="12"/>
        <v>2009</v>
      </c>
      <c r="M174" s="21">
        <f t="shared" si="18"/>
        <v>3.487375077903208</v>
      </c>
      <c r="N174" s="21">
        <f t="shared" si="19"/>
        <v>2.6684469693845316</v>
      </c>
    </row>
    <row r="175" spans="1:14" x14ac:dyDescent="0.2">
      <c r="A175" s="33">
        <f>'GF + UG Iteration 7'!A175</f>
        <v>1202</v>
      </c>
      <c r="B175" s="34" t="str">
        <f>'GF + UG Iteration 7'!B175</f>
        <v>UG</v>
      </c>
      <c r="C175" s="35">
        <f>'GF + UG Iteration 7'!C175</f>
        <v>19.399999999999999</v>
      </c>
      <c r="D175" s="36">
        <f>'GF + UG Iteration 7'!P$16*(C175^'GF + UG Iteration 7'!P$15)</f>
        <v>13.953050491458317</v>
      </c>
      <c r="E175" s="37">
        <f>'GF + UG Iteration 7'!E175</f>
        <v>1989</v>
      </c>
      <c r="F175" s="35">
        <f>'GF + UG Iteration 7'!F175</f>
        <v>1.6000000000000014</v>
      </c>
      <c r="G175" s="36">
        <f>'GF + UG Iteration 7'!G175</f>
        <v>10.745042225505973</v>
      </c>
      <c r="H175" s="38">
        <f>'GF + UG Iteration 7'!H175</f>
        <v>2012</v>
      </c>
      <c r="I175" s="35">
        <f t="shared" si="10"/>
        <v>21</v>
      </c>
      <c r="J175" s="36">
        <f t="shared" si="11"/>
        <v>24.69809271696429</v>
      </c>
      <c r="K175" s="38">
        <f t="shared" si="12"/>
        <v>2012</v>
      </c>
      <c r="M175" s="21">
        <f t="shared" si="18"/>
        <v>3.044522437723423</v>
      </c>
      <c r="N175" s="21">
        <f t="shared" si="19"/>
        <v>3.2067260227158045</v>
      </c>
    </row>
    <row r="176" spans="1:14" x14ac:dyDescent="0.2">
      <c r="A176" s="33">
        <f>'GF + UG Iteration 7'!A176</f>
        <v>1338</v>
      </c>
      <c r="B176" s="34" t="str">
        <f>'GF + UG Iteration 7'!B176</f>
        <v>UG</v>
      </c>
      <c r="C176" s="35">
        <f>'GF + UG Iteration 7'!C176</f>
        <v>7.5</v>
      </c>
      <c r="D176" s="36">
        <f>'GF + UG Iteration 7'!P$16*(C176^'GF + UG Iteration 7'!P$15)</f>
        <v>8.1003567670022658</v>
      </c>
      <c r="E176" s="37" t="str">
        <f>'GF + UG Iteration 7'!E176</f>
        <v>unknown</v>
      </c>
      <c r="F176" s="35">
        <f>'GF + UG Iteration 7'!F176</f>
        <v>2</v>
      </c>
      <c r="G176" s="36">
        <f>'GF + UG Iteration 7'!G176</f>
        <v>6.6635813355623759</v>
      </c>
      <c r="H176" s="38">
        <f>'GF + UG Iteration 7'!H176</f>
        <v>2013</v>
      </c>
      <c r="I176" s="35">
        <f t="shared" si="10"/>
        <v>9.5</v>
      </c>
      <c r="J176" s="36">
        <f t="shared" si="11"/>
        <v>14.763938102564641</v>
      </c>
      <c r="K176" s="38">
        <f t="shared" si="12"/>
        <v>2013</v>
      </c>
      <c r="M176" s="21">
        <f t="shared" si="18"/>
        <v>2.2512917986064953</v>
      </c>
      <c r="N176" s="21">
        <f t="shared" si="19"/>
        <v>2.6921875927019494</v>
      </c>
    </row>
    <row r="177" spans="1:14" x14ac:dyDescent="0.2">
      <c r="A177" s="33">
        <f>'GF + UG Iteration 7'!A177</f>
        <v>212</v>
      </c>
      <c r="B177" s="34" t="str">
        <f>'GF + UG Iteration 7'!B177</f>
        <v>UG</v>
      </c>
      <c r="C177" s="35">
        <f>'GF + UG Iteration 7'!C177</f>
        <v>36.549999999999997</v>
      </c>
      <c r="D177" s="36">
        <f>'GF + UG Iteration 7'!P$16*(C177^'GF + UG Iteration 7'!P$15)</f>
        <v>20.047941771861794</v>
      </c>
      <c r="E177" s="37">
        <f>'GF + UG Iteration 7'!E177</f>
        <v>1978</v>
      </c>
      <c r="F177" s="35">
        <f>'GF + UG Iteration 7'!F177</f>
        <v>28</v>
      </c>
      <c r="G177" s="36">
        <f>'GF + UG Iteration 7'!G177</f>
        <v>4.6264535731184777</v>
      </c>
      <c r="H177" s="38">
        <f>'GF + UG Iteration 7'!H177</f>
        <v>2003</v>
      </c>
      <c r="I177" s="35">
        <f t="shared" si="10"/>
        <v>64.55</v>
      </c>
      <c r="J177" s="36">
        <f t="shared" si="11"/>
        <v>24.674395344980272</v>
      </c>
      <c r="K177" s="38">
        <f t="shared" si="12"/>
        <v>2003</v>
      </c>
      <c r="M177" s="21">
        <f t="shared" si="18"/>
        <v>4.1674401172926512</v>
      </c>
      <c r="N177" s="21">
        <f t="shared" si="19"/>
        <v>3.2057660802565944</v>
      </c>
    </row>
    <row r="178" spans="1:14" x14ac:dyDescent="0.2">
      <c r="A178" s="33">
        <f>'GF + UG Iteration 7'!A178</f>
        <v>653</v>
      </c>
      <c r="B178" s="34" t="str">
        <f>'GF + UG Iteration 7'!B178</f>
        <v>UG</v>
      </c>
      <c r="C178" s="35">
        <f>'GF + UG Iteration 7'!C178</f>
        <v>64.55</v>
      </c>
      <c r="D178" s="36">
        <f>'GF + UG Iteration 7'!P$16*(C178^'GF + UG Iteration 7'!P$15)</f>
        <v>27.759090135183861</v>
      </c>
      <c r="E178" s="37">
        <f>'GF + UG Iteration 7'!E178</f>
        <v>1977</v>
      </c>
      <c r="F178" s="35">
        <f>'GF + UG Iteration 7'!F178</f>
        <v>1.3200000000000074</v>
      </c>
      <c r="G178" s="36">
        <f>'GF + UG Iteration 7'!G178</f>
        <v>0.56894692945086811</v>
      </c>
      <c r="H178" s="38">
        <f>'GF + UG Iteration 7'!H178</f>
        <v>2007</v>
      </c>
      <c r="I178" s="35">
        <f t="shared" si="10"/>
        <v>65.87</v>
      </c>
      <c r="J178" s="36">
        <f t="shared" si="11"/>
        <v>28.328037064634728</v>
      </c>
      <c r="K178" s="38">
        <f t="shared" si="12"/>
        <v>2007</v>
      </c>
      <c r="M178" s="21">
        <f t="shared" si="18"/>
        <v>4.1876831026526018</v>
      </c>
      <c r="N178" s="21">
        <f t="shared" si="19"/>
        <v>3.3438520232186142</v>
      </c>
    </row>
    <row r="179" spans="1:14" x14ac:dyDescent="0.2">
      <c r="A179" s="33">
        <f>'GF + UG Iteration 7'!A179</f>
        <v>1679</v>
      </c>
      <c r="B179" s="34" t="str">
        <f>'GF + UG Iteration 7'!B179</f>
        <v>UG</v>
      </c>
      <c r="C179" s="35">
        <f>'GF + UG Iteration 7'!C179</f>
        <v>65.87</v>
      </c>
      <c r="D179" s="36">
        <f>'GF + UG Iteration 7'!P$16*(C179^'GF + UG Iteration 7'!P$15)</f>
        <v>28.082487074043183</v>
      </c>
      <c r="E179" s="37">
        <f>'GF + UG Iteration 7'!E179</f>
        <v>1977</v>
      </c>
      <c r="F179" s="35">
        <f>'GF + UG Iteration 7'!F179</f>
        <v>0</v>
      </c>
      <c r="G179" s="36">
        <f>'GF + UG Iteration 7'!G179</f>
        <v>3.0359489017822221</v>
      </c>
      <c r="H179" s="38">
        <f>'GF + UG Iteration 7'!H179</f>
        <v>2016</v>
      </c>
      <c r="I179" s="35">
        <f t="shared" si="10"/>
        <v>65.87</v>
      </c>
      <c r="J179" s="36">
        <f t="shared" si="11"/>
        <v>31.118435975825406</v>
      </c>
      <c r="K179" s="38">
        <f t="shared" si="12"/>
        <v>2016</v>
      </c>
      <c r="M179" s="21">
        <f t="shared" si="18"/>
        <v>4.1876831026526018</v>
      </c>
      <c r="N179" s="21">
        <f t="shared" si="19"/>
        <v>3.4378004402009958</v>
      </c>
    </row>
    <row r="180" spans="1:14" x14ac:dyDescent="0.2">
      <c r="A180" s="33">
        <f>'GF + UG Iteration 7'!A180</f>
        <v>1382</v>
      </c>
      <c r="B180" s="34" t="str">
        <f>'GF + UG Iteration 7'!B180</f>
        <v>UG</v>
      </c>
      <c r="C180" s="35">
        <f>'GF + UG Iteration 7'!C180</f>
        <v>24.2</v>
      </c>
      <c r="D180" s="36">
        <f>'GF + UG Iteration 7'!P$16*(C180^'GF + UG Iteration 7'!P$15)</f>
        <v>15.834596004498628</v>
      </c>
      <c r="E180" s="37" t="str">
        <f>'GF + UG Iteration 7'!E180</f>
        <v>unknown</v>
      </c>
      <c r="F180" s="35">
        <f>'GF + UG Iteration 7'!F180</f>
        <v>11.900000000000002</v>
      </c>
      <c r="G180" s="36">
        <f>'GF + UG Iteration 7'!G180</f>
        <v>2.4484361075925429</v>
      </c>
      <c r="H180" s="38">
        <f>'GF + UG Iteration 7'!H180</f>
        <v>2013</v>
      </c>
      <c r="I180" s="35">
        <f t="shared" si="10"/>
        <v>36.1</v>
      </c>
      <c r="J180" s="36">
        <f t="shared" si="11"/>
        <v>18.283032112091171</v>
      </c>
      <c r="K180" s="38">
        <f t="shared" si="12"/>
        <v>2013</v>
      </c>
      <c r="M180" s="21">
        <f t="shared" si="18"/>
        <v>3.5862928653388351</v>
      </c>
      <c r="N180" s="21">
        <f t="shared" si="19"/>
        <v>2.9059734227355256</v>
      </c>
    </row>
    <row r="181" spans="1:14" x14ac:dyDescent="0.2">
      <c r="A181" s="33">
        <f>'GF + UG Iteration 7'!A181</f>
        <v>1638</v>
      </c>
      <c r="B181" s="34" t="str">
        <f>'GF + UG Iteration 7'!B181</f>
        <v>UG</v>
      </c>
      <c r="C181" s="35">
        <f>'GF + UG Iteration 7'!C181</f>
        <v>36.1</v>
      </c>
      <c r="D181" s="36">
        <f>'GF + UG Iteration 7'!P$16*(C181^'GF + UG Iteration 7'!P$15)</f>
        <v>19.90633551960083</v>
      </c>
      <c r="E181" s="37" t="str">
        <f>'GF + UG Iteration 7'!E181</f>
        <v>unknown</v>
      </c>
      <c r="F181" s="35">
        <f>'GF + UG Iteration 7'!F181</f>
        <v>0</v>
      </c>
      <c r="G181" s="36">
        <f>'GF + UG Iteration 7'!G181</f>
        <v>1.4307693737810239</v>
      </c>
      <c r="H181" s="38">
        <f>'GF + UG Iteration 7'!H181</f>
        <v>2015</v>
      </c>
      <c r="I181" s="35">
        <f t="shared" si="10"/>
        <v>36.1</v>
      </c>
      <c r="J181" s="36">
        <f t="shared" si="11"/>
        <v>21.337104893381856</v>
      </c>
      <c r="K181" s="38">
        <f t="shared" si="12"/>
        <v>2015</v>
      </c>
      <c r="M181" s="21">
        <f t="shared" si="18"/>
        <v>3.5862928653388351</v>
      </c>
      <c r="N181" s="21">
        <f t="shared" si="19"/>
        <v>3.0604475709429946</v>
      </c>
    </row>
    <row r="182" spans="1:14" x14ac:dyDescent="0.2">
      <c r="A182" s="33">
        <f>'GF + UG Iteration 7'!A182</f>
        <v>874</v>
      </c>
      <c r="B182" s="34" t="str">
        <f>'GF + UG Iteration 7'!B182</f>
        <v>UG</v>
      </c>
      <c r="C182" s="35">
        <f>'GF + UG Iteration 7'!C182</f>
        <v>6.4</v>
      </c>
      <c r="D182" s="36">
        <f>'GF + UG Iteration 7'!P$16*(C182^'GF + UG Iteration 7'!P$15)</f>
        <v>7.3976046984581361</v>
      </c>
      <c r="E182" s="37">
        <f>'GF + UG Iteration 7'!E182</f>
        <v>1997</v>
      </c>
      <c r="F182" s="35">
        <f>'GF + UG Iteration 7'!F182</f>
        <v>0.5</v>
      </c>
      <c r="G182" s="36">
        <f>'GF + UG Iteration 7'!G182</f>
        <v>3.6333602061432981</v>
      </c>
      <c r="H182" s="38">
        <f>'GF + UG Iteration 7'!H182</f>
        <v>2009</v>
      </c>
      <c r="I182" s="35">
        <f t="shared" si="10"/>
        <v>6.9</v>
      </c>
      <c r="J182" s="36">
        <f t="shared" si="11"/>
        <v>11.030964904601435</v>
      </c>
      <c r="K182" s="38">
        <f t="shared" si="12"/>
        <v>2009</v>
      </c>
      <c r="M182" s="21">
        <f t="shared" si="18"/>
        <v>1.9315214116032138</v>
      </c>
      <c r="N182" s="21">
        <f t="shared" si="19"/>
        <v>2.4007063094575201</v>
      </c>
    </row>
    <row r="183" spans="1:14" x14ac:dyDescent="0.2">
      <c r="A183" s="33">
        <f>'GF + UG Iteration 7'!A183</f>
        <v>491</v>
      </c>
      <c r="B183" s="34" t="str">
        <f>'GF + UG Iteration 7'!B183</f>
        <v>UG</v>
      </c>
      <c r="C183" s="35">
        <f>'GF + UG Iteration 7'!C183</f>
        <v>27.9</v>
      </c>
      <c r="D183" s="36">
        <f>'GF + UG Iteration 7'!P$16*(C183^'GF + UG Iteration 7'!P$15)</f>
        <v>17.177572897387446</v>
      </c>
      <c r="E183" s="37">
        <f>'GF + UG Iteration 7'!E183</f>
        <v>1984</v>
      </c>
      <c r="F183" s="35">
        <f>'GF + UG Iteration 7'!F183</f>
        <v>1</v>
      </c>
      <c r="G183" s="36">
        <f>'GF + UG Iteration 7'!G183</f>
        <v>0.19252271805052243</v>
      </c>
      <c r="H183" s="38">
        <f>'GF + UG Iteration 7'!H183</f>
        <v>2006</v>
      </c>
      <c r="I183" s="35">
        <f t="shared" si="10"/>
        <v>28.9</v>
      </c>
      <c r="J183" s="36">
        <f t="shared" si="11"/>
        <v>17.370095615437968</v>
      </c>
      <c r="K183" s="38">
        <f t="shared" si="12"/>
        <v>2006</v>
      </c>
      <c r="M183" s="21">
        <f t="shared" si="18"/>
        <v>3.3638415951183864</v>
      </c>
      <c r="N183" s="21">
        <f t="shared" si="19"/>
        <v>2.8547500848687193</v>
      </c>
    </row>
    <row r="184" spans="1:14" x14ac:dyDescent="0.2">
      <c r="A184" s="33">
        <f>'GF + UG Iteration 7'!A184</f>
        <v>1396</v>
      </c>
      <c r="B184" s="34" t="str">
        <f>'GF + UG Iteration 7'!B184</f>
        <v>UG</v>
      </c>
      <c r="C184" s="35">
        <f>'GF + UG Iteration 7'!C184</f>
        <v>20.6</v>
      </c>
      <c r="D184" s="36">
        <f>'GF + UG Iteration 7'!P$16*(C184^'GF + UG Iteration 7'!P$15)</f>
        <v>14.440542826138909</v>
      </c>
      <c r="E184" s="37">
        <f>'GF + UG Iteration 7'!E184</f>
        <v>2009</v>
      </c>
      <c r="F184" s="35">
        <f>'GF + UG Iteration 7'!F184</f>
        <v>5.3999999999999986</v>
      </c>
      <c r="G184" s="36">
        <f>'GF + UG Iteration 7'!G184</f>
        <v>0.37351117224616898</v>
      </c>
      <c r="H184" s="38">
        <f>'GF + UG Iteration 7'!H184</f>
        <v>2013</v>
      </c>
      <c r="I184" s="35">
        <f t="shared" ref="I184:I246" si="20">C184+F184</f>
        <v>26</v>
      </c>
      <c r="J184" s="36">
        <f t="shared" ref="J184:J246" si="21">D184+G184</f>
        <v>14.814053998385077</v>
      </c>
      <c r="K184" s="38">
        <f t="shared" ref="K184:K246" si="22">MAX(E184,H184)</f>
        <v>2013</v>
      </c>
      <c r="M184" s="21">
        <f>LN(I184)</f>
        <v>3.2580965380214821</v>
      </c>
      <c r="N184" s="21">
        <f>LN(J184)</f>
        <v>2.695576324675927</v>
      </c>
    </row>
    <row r="185" spans="1:14" x14ac:dyDescent="0.2">
      <c r="A185" s="33">
        <f>'GF + UG Iteration 7'!A185</f>
        <v>1597</v>
      </c>
      <c r="B185" s="34" t="str">
        <f>'GF + UG Iteration 7'!B185</f>
        <v>UG</v>
      </c>
      <c r="C185" s="35">
        <f>'GF + UG Iteration 7'!C185</f>
        <v>26</v>
      </c>
      <c r="D185" s="36">
        <f>'GF + UG Iteration 7'!P$16*(C185^'GF + UG Iteration 7'!P$15)</f>
        <v>16.498148241756674</v>
      </c>
      <c r="E185" s="37">
        <f>'GF + UG Iteration 7'!E185</f>
        <v>2009</v>
      </c>
      <c r="F185" s="35">
        <f>'GF + UG Iteration 7'!F185</f>
        <v>27.299999999999997</v>
      </c>
      <c r="G185" s="36">
        <f>'GF + UG Iteration 7'!G185</f>
        <v>4.2355817632178319</v>
      </c>
      <c r="H185" s="38">
        <f>'GF + UG Iteration 7'!H185</f>
        <v>2015</v>
      </c>
      <c r="I185" s="35">
        <f t="shared" si="20"/>
        <v>53.3</v>
      </c>
      <c r="J185" s="36">
        <f t="shared" si="21"/>
        <v>20.733730004974504</v>
      </c>
      <c r="K185" s="38">
        <f t="shared" si="22"/>
        <v>2015</v>
      </c>
      <c r="M185" s="21">
        <f t="shared" ref="M185:M247" si="23">LN(I185)</f>
        <v>3.9759363311717988</v>
      </c>
      <c r="N185" s="21">
        <f t="shared" ref="N185:N247" si="24">LN(J185)</f>
        <v>3.0317618429667337</v>
      </c>
    </row>
    <row r="186" spans="1:14" x14ac:dyDescent="0.2">
      <c r="A186" s="33">
        <f>'GF + UG Iteration 7'!A186</f>
        <v>1292</v>
      </c>
      <c r="B186" s="34" t="str">
        <f>'GF + UG Iteration 7'!B186</f>
        <v>UG</v>
      </c>
      <c r="C186" s="35">
        <f>'GF + UG Iteration 7'!C186</f>
        <v>30.3</v>
      </c>
      <c r="D186" s="36">
        <f>'GF + UG Iteration 7'!P$16*(C186^'GF + UG Iteration 7'!P$15)</f>
        <v>18.008108821227705</v>
      </c>
      <c r="E186" s="37" t="str">
        <f>'GF + UG Iteration 7'!E186</f>
        <v>unknown</v>
      </c>
      <c r="F186" s="35">
        <f>'GF + UG Iteration 7'!F186</f>
        <v>2.4999999999999964</v>
      </c>
      <c r="G186" s="36">
        <f>'GF + UG Iteration 7'!G186</f>
        <v>4.47116983018676</v>
      </c>
      <c r="H186" s="38">
        <f>'GF + UG Iteration 7'!H186</f>
        <v>2013</v>
      </c>
      <c r="I186" s="35">
        <f t="shared" si="20"/>
        <v>32.799999999999997</v>
      </c>
      <c r="J186" s="36">
        <f t="shared" si="21"/>
        <v>22.479278651414464</v>
      </c>
      <c r="K186" s="38">
        <f t="shared" si="22"/>
        <v>2013</v>
      </c>
      <c r="M186" s="21">
        <f t="shared" si="23"/>
        <v>3.4904285153900978</v>
      </c>
      <c r="N186" s="21">
        <f t="shared" si="24"/>
        <v>3.112593936050434</v>
      </c>
    </row>
    <row r="187" spans="1:14" x14ac:dyDescent="0.2">
      <c r="A187" s="33">
        <f>'GF + UG Iteration 7'!A187</f>
        <v>364</v>
      </c>
      <c r="B187" s="34" t="str">
        <f>'GF + UG Iteration 7'!B187</f>
        <v>UG</v>
      </c>
      <c r="C187" s="35">
        <f>'GF + UG Iteration 7'!C187</f>
        <v>44.904000000000003</v>
      </c>
      <c r="D187" s="36">
        <f>'GF + UG Iteration 7'!P$16*(C187^'GF + UG Iteration 7'!P$15)</f>
        <v>22.553919547247929</v>
      </c>
      <c r="E187" s="37">
        <f>'GF + UG Iteration 7'!E187</f>
        <v>1975</v>
      </c>
      <c r="F187" s="35">
        <f>'GF + UG Iteration 7'!F187</f>
        <v>2</v>
      </c>
      <c r="G187" s="36">
        <f>'GF + UG Iteration 7'!G187</f>
        <v>1.3174901179839253</v>
      </c>
      <c r="H187" s="38">
        <f>'GF + UG Iteration 7'!H187</f>
        <v>2004</v>
      </c>
      <c r="I187" s="35">
        <f t="shared" si="20"/>
        <v>46.904000000000003</v>
      </c>
      <c r="J187" s="36">
        <f t="shared" si="21"/>
        <v>23.871409665231855</v>
      </c>
      <c r="K187" s="38">
        <f t="shared" si="22"/>
        <v>2004</v>
      </c>
      <c r="M187" s="21">
        <f t="shared" si="23"/>
        <v>3.8481029596619138</v>
      </c>
      <c r="N187" s="21">
        <f t="shared" si="24"/>
        <v>3.172681494544662</v>
      </c>
    </row>
    <row r="188" spans="1:14" x14ac:dyDescent="0.2">
      <c r="A188" s="33">
        <f>'GF + UG Iteration 7'!A188</f>
        <v>1306</v>
      </c>
      <c r="B188" s="34" t="str">
        <f>'GF + UG Iteration 7'!B188</f>
        <v>UG</v>
      </c>
      <c r="C188" s="35">
        <f>'GF + UG Iteration 7'!C188</f>
        <v>23.1</v>
      </c>
      <c r="D188" s="36">
        <f>'GF + UG Iteration 7'!P$16*(C188^'GF + UG Iteration 7'!P$15)</f>
        <v>15.41866804566736</v>
      </c>
      <c r="E188" s="37">
        <f>'GF + UG Iteration 7'!E188</f>
        <v>1985</v>
      </c>
      <c r="F188" s="35">
        <f>'GF + UG Iteration 7'!F188</f>
        <v>2.0999999999999979</v>
      </c>
      <c r="G188" s="36">
        <f>'GF + UG Iteration 7'!G188</f>
        <v>5.9848606370399509</v>
      </c>
      <c r="H188" s="38">
        <f>'GF + UG Iteration 7'!H188</f>
        <v>2013</v>
      </c>
      <c r="I188" s="35">
        <f t="shared" si="20"/>
        <v>25.2</v>
      </c>
      <c r="J188" s="36">
        <f t="shared" si="21"/>
        <v>21.403528682707311</v>
      </c>
      <c r="K188" s="38">
        <f t="shared" si="22"/>
        <v>2013</v>
      </c>
      <c r="M188" s="21">
        <f t="shared" si="23"/>
        <v>3.2268439945173775</v>
      </c>
      <c r="N188" s="21">
        <f t="shared" si="24"/>
        <v>3.0635558001499561</v>
      </c>
    </row>
    <row r="189" spans="1:14" x14ac:dyDescent="0.2">
      <c r="A189" s="33">
        <f>'GF + UG Iteration 7'!A189</f>
        <v>858</v>
      </c>
      <c r="B189" s="34" t="str">
        <f>'GF + UG Iteration 7'!B189</f>
        <v>UG</v>
      </c>
      <c r="C189" s="35">
        <f>'GF + UG Iteration 7'!C189</f>
        <v>28.4</v>
      </c>
      <c r="D189" s="36">
        <f>'GF + UG Iteration 7'!P$16*(C189^'GF + UG Iteration 7'!P$15)</f>
        <v>17.353046655976755</v>
      </c>
      <c r="E189" s="37">
        <f>'GF + UG Iteration 7'!E189</f>
        <v>2009</v>
      </c>
      <c r="F189" s="35">
        <f>'GF + UG Iteration 7'!F189</f>
        <v>13.300000000000004</v>
      </c>
      <c r="G189" s="36">
        <f>'GF + UG Iteration 7'!G189</f>
        <v>5.4358775042665943</v>
      </c>
      <c r="H189" s="38">
        <f>'GF + UG Iteration 7'!H189</f>
        <v>2010</v>
      </c>
      <c r="I189" s="35">
        <f t="shared" si="20"/>
        <v>41.7</v>
      </c>
      <c r="J189" s="36">
        <f t="shared" si="21"/>
        <v>22.788924160243347</v>
      </c>
      <c r="K189" s="38">
        <f t="shared" si="22"/>
        <v>2010</v>
      </c>
      <c r="M189" s="21">
        <f t="shared" si="23"/>
        <v>3.730501128804756</v>
      </c>
      <c r="N189" s="21">
        <f t="shared" si="24"/>
        <v>3.1262746354844095</v>
      </c>
    </row>
    <row r="190" spans="1:14" x14ac:dyDescent="0.2">
      <c r="A190" s="33">
        <f>'GF + UG Iteration 7'!A190</f>
        <v>1454</v>
      </c>
      <c r="B190" s="34" t="str">
        <f>'GF + UG Iteration 7'!B190</f>
        <v>UG</v>
      </c>
      <c r="C190" s="35">
        <f>'GF + UG Iteration 7'!C190</f>
        <v>41.7</v>
      </c>
      <c r="D190" s="36">
        <f>'GF + UG Iteration 7'!P$16*(C190^'GF + UG Iteration 7'!P$15)</f>
        <v>21.618560835330268</v>
      </c>
      <c r="E190" s="37">
        <f>'GF + UG Iteration 7'!E190</f>
        <v>2009</v>
      </c>
      <c r="F190" s="35">
        <f>'GF + UG Iteration 7'!F190</f>
        <v>5.6999999999999957</v>
      </c>
      <c r="G190" s="36">
        <f>'GF + UG Iteration 7'!G190</f>
        <v>0.45762240995573644</v>
      </c>
      <c r="H190" s="38">
        <f>'GF + UG Iteration 7'!H190</f>
        <v>2013</v>
      </c>
      <c r="I190" s="35">
        <f t="shared" si="20"/>
        <v>47.4</v>
      </c>
      <c r="J190" s="36">
        <f t="shared" si="21"/>
        <v>22.076183245286003</v>
      </c>
      <c r="K190" s="38">
        <f t="shared" si="22"/>
        <v>2013</v>
      </c>
      <c r="M190" s="21">
        <f t="shared" si="23"/>
        <v>3.858622228701031</v>
      </c>
      <c r="N190" s="21">
        <f t="shared" si="24"/>
        <v>3.0944993461989925</v>
      </c>
    </row>
    <row r="191" spans="1:14" x14ac:dyDescent="0.2">
      <c r="A191" s="33">
        <f>'GF + UG Iteration 7'!A191</f>
        <v>637</v>
      </c>
      <c r="B191" s="34" t="str">
        <f>'GF + UG Iteration 7'!B191</f>
        <v>UG</v>
      </c>
      <c r="C191" s="35">
        <f>'GF + UG Iteration 7'!C191</f>
        <v>15.499999999999998</v>
      </c>
      <c r="D191" s="36">
        <f>'GF + UG Iteration 7'!P$16*(C191^'GF + UG Iteration 7'!P$15)</f>
        <v>12.271510191537088</v>
      </c>
      <c r="E191" s="37">
        <f>'GF + UG Iteration 7'!E191</f>
        <v>1989</v>
      </c>
      <c r="F191" s="35">
        <f>'GF + UG Iteration 7'!F191</f>
        <v>8.4</v>
      </c>
      <c r="G191" s="36">
        <f>'GF + UG Iteration 7'!G191</f>
        <v>5.068859840469166</v>
      </c>
      <c r="H191" s="38">
        <f>'GF + UG Iteration 7'!H191</f>
        <v>2007</v>
      </c>
      <c r="I191" s="35">
        <f t="shared" si="20"/>
        <v>23.9</v>
      </c>
      <c r="J191" s="36">
        <f t="shared" si="21"/>
        <v>17.340370032006255</v>
      </c>
      <c r="K191" s="38">
        <f t="shared" si="22"/>
        <v>2007</v>
      </c>
      <c r="M191" s="21">
        <f t="shared" si="23"/>
        <v>3.1738784589374651</v>
      </c>
      <c r="N191" s="21">
        <f t="shared" si="24"/>
        <v>2.8530373109174541</v>
      </c>
    </row>
    <row r="192" spans="1:14" x14ac:dyDescent="0.2">
      <c r="A192" s="33">
        <f>'GF + UG Iteration 7'!A192</f>
        <v>1254</v>
      </c>
      <c r="B192" s="34" t="str">
        <f>'GF + UG Iteration 7'!B192</f>
        <v>UG</v>
      </c>
      <c r="C192" s="35">
        <f>'GF + UG Iteration 7'!C192</f>
        <v>23.9</v>
      </c>
      <c r="D192" s="36">
        <f>'GF + UG Iteration 7'!P$16*(C192^'GF + UG Iteration 7'!P$15)</f>
        <v>15.721977869735698</v>
      </c>
      <c r="E192" s="37">
        <f>'GF + UG Iteration 7'!E192</f>
        <v>1989</v>
      </c>
      <c r="F192" s="35">
        <f>'GF + UG Iteration 7'!F192</f>
        <v>15.399999999999999</v>
      </c>
      <c r="G192" s="36">
        <f>'GF + UG Iteration 7'!G192</f>
        <v>6.528436764593768</v>
      </c>
      <c r="H192" s="38">
        <f>'GF + UG Iteration 7'!H192</f>
        <v>2012</v>
      </c>
      <c r="I192" s="35">
        <f t="shared" si="20"/>
        <v>39.299999999999997</v>
      </c>
      <c r="J192" s="36">
        <f t="shared" si="21"/>
        <v>22.250414634329466</v>
      </c>
      <c r="K192" s="38">
        <f t="shared" si="22"/>
        <v>2012</v>
      </c>
      <c r="M192" s="21">
        <f t="shared" si="23"/>
        <v>3.6712245188752153</v>
      </c>
      <c r="N192" s="21">
        <f t="shared" si="24"/>
        <v>3.1023606436893778</v>
      </c>
    </row>
    <row r="193" spans="1:14" x14ac:dyDescent="0.2">
      <c r="A193" s="33">
        <f>'GF + UG Iteration 7'!A193</f>
        <v>734</v>
      </c>
      <c r="B193" s="34" t="str">
        <f>'GF + UG Iteration 7'!B193</f>
        <v>UG</v>
      </c>
      <c r="C193" s="35">
        <f>'GF + UG Iteration 7'!C193</f>
        <v>20</v>
      </c>
      <c r="D193" s="36">
        <f>'GF + UG Iteration 7'!P$16*(C193^'GF + UG Iteration 7'!P$15)</f>
        <v>14.198361086370289</v>
      </c>
      <c r="E193" s="37">
        <f>'GF + UG Iteration 7'!E193</f>
        <v>1974</v>
      </c>
      <c r="F193" s="35">
        <f>'GF + UG Iteration 7'!F193</f>
        <v>4.3999999999999986</v>
      </c>
      <c r="G193" s="36">
        <f>'GF + UG Iteration 7'!G193</f>
        <v>11.261124599264825</v>
      </c>
      <c r="H193" s="38">
        <f>'GF + UG Iteration 7'!H193</f>
        <v>2011</v>
      </c>
      <c r="I193" s="35">
        <f t="shared" ref="I193" si="25">C193+F193</f>
        <v>24.4</v>
      </c>
      <c r="J193" s="36">
        <f t="shared" ref="J193" si="26">D193+G193</f>
        <v>25.459485685635116</v>
      </c>
      <c r="K193" s="38">
        <f t="shared" ref="K193" si="27">MAX(E193,H193)</f>
        <v>2011</v>
      </c>
      <c r="M193" s="21">
        <f t="shared" ref="M193" si="28">LN(I193)</f>
        <v>3.1945831322991562</v>
      </c>
      <c r="N193" s="21">
        <f t="shared" ref="N193" si="29">LN(J193)</f>
        <v>3.2370883920467879</v>
      </c>
    </row>
    <row r="194" spans="1:14" x14ac:dyDescent="0.2">
      <c r="A194" s="33">
        <f>'GF + UG Iteration 7'!A194</f>
        <v>1594</v>
      </c>
      <c r="B194" s="34" t="str">
        <f>'GF + UG Iteration 7'!B194</f>
        <v>UG</v>
      </c>
      <c r="C194" s="35">
        <f>'GF + UG Iteration 7'!C194</f>
        <v>24.4</v>
      </c>
      <c r="D194" s="36">
        <f>'GF + UG Iteration 7'!P$16*(C194^'GF + UG Iteration 7'!P$15)</f>
        <v>15.909343167230986</v>
      </c>
      <c r="E194" s="37">
        <f>'GF + UG Iteration 7'!E194</f>
        <v>1974</v>
      </c>
      <c r="F194" s="35">
        <f>'GF + UG Iteration 7'!F194</f>
        <v>0</v>
      </c>
      <c r="G194" s="36">
        <f>'GF + UG Iteration 7'!G194</f>
        <v>17.2334453477478</v>
      </c>
      <c r="H194" s="38">
        <f>'GF + UG Iteration 7'!H194</f>
        <v>2017</v>
      </c>
      <c r="I194" s="35">
        <f t="shared" si="20"/>
        <v>24.4</v>
      </c>
      <c r="J194" s="36">
        <f t="shared" si="21"/>
        <v>33.14278851497879</v>
      </c>
      <c r="K194" s="38">
        <f t="shared" si="22"/>
        <v>2017</v>
      </c>
      <c r="M194" s="21">
        <f t="shared" si="23"/>
        <v>3.1945831322991562</v>
      </c>
      <c r="N194" s="21">
        <f t="shared" si="24"/>
        <v>3.5008251519401092</v>
      </c>
    </row>
    <row r="195" spans="1:14" x14ac:dyDescent="0.2">
      <c r="A195" s="33">
        <f>'GF + UG Iteration 7'!A195</f>
        <v>1674</v>
      </c>
      <c r="B195" s="34" t="str">
        <f>'GF + UG Iteration 7'!B195</f>
        <v>UG</v>
      </c>
      <c r="C195" s="35">
        <f>'GF + UG Iteration 7'!C195</f>
        <v>17.399999999999999</v>
      </c>
      <c r="D195" s="36">
        <f>'GF + UG Iteration 7'!P$16*(C195^'GF + UG Iteration 7'!P$15)</f>
        <v>13.11088104200862</v>
      </c>
      <c r="E195" s="37">
        <f>'GF + UG Iteration 7'!E195</f>
        <v>0</v>
      </c>
      <c r="F195" s="35">
        <f>'GF + UG Iteration 7'!F195</f>
        <v>3.7000000000000028</v>
      </c>
      <c r="G195" s="36">
        <f>'GF + UG Iteration 7'!G195</f>
        <v>10.327278566796926</v>
      </c>
      <c r="H195" s="38">
        <f>'GF + UG Iteration 7'!H195</f>
        <v>2016</v>
      </c>
      <c r="I195" s="35">
        <f t="shared" si="20"/>
        <v>21.1</v>
      </c>
      <c r="J195" s="36">
        <f t="shared" si="21"/>
        <v>23.438159608805545</v>
      </c>
      <c r="K195" s="38">
        <f t="shared" si="22"/>
        <v>2016</v>
      </c>
      <c r="M195" s="21">
        <f t="shared" si="23"/>
        <v>3.0492730404820207</v>
      </c>
      <c r="N195" s="21">
        <f t="shared" si="24"/>
        <v>3.1543654466436508</v>
      </c>
    </row>
    <row r="196" spans="1:14" x14ac:dyDescent="0.2">
      <c r="A196" s="33">
        <f>'GF + UG Iteration 7'!A196</f>
        <v>711</v>
      </c>
      <c r="B196" s="34" t="str">
        <f>'GF + UG Iteration 7'!B196</f>
        <v>UG</v>
      </c>
      <c r="C196" s="35">
        <f>'GF + UG Iteration 7'!C196</f>
        <v>11.5</v>
      </c>
      <c r="D196" s="36">
        <f>'GF + UG Iteration 7'!P$16*(C196^'GF + UG Iteration 7'!P$15)</f>
        <v>10.344824167766605</v>
      </c>
      <c r="E196" s="37">
        <f>'GF + UG Iteration 7'!E196</f>
        <v>1976</v>
      </c>
      <c r="F196" s="35">
        <f>'GF + UG Iteration 7'!F196</f>
        <v>13.7</v>
      </c>
      <c r="G196" s="36">
        <f>'GF + UG Iteration 7'!G196</f>
        <v>9.2617881543087019</v>
      </c>
      <c r="H196" s="38">
        <f>'GF + UG Iteration 7'!H196</f>
        <v>2009</v>
      </c>
      <c r="I196" s="35">
        <f t="shared" si="20"/>
        <v>25.2</v>
      </c>
      <c r="J196" s="36">
        <f t="shared" si="21"/>
        <v>19.606612322075307</v>
      </c>
      <c r="K196" s="38">
        <f t="shared" si="22"/>
        <v>2009</v>
      </c>
      <c r="M196" s="21">
        <f t="shared" si="23"/>
        <v>3.2268439945173775</v>
      </c>
      <c r="N196" s="21">
        <f t="shared" si="24"/>
        <v>2.9758668727134343</v>
      </c>
    </row>
    <row r="197" spans="1:14" x14ac:dyDescent="0.2">
      <c r="A197" s="33">
        <f>'GF + UG Iteration 7'!A197</f>
        <v>408</v>
      </c>
      <c r="B197" s="34" t="str">
        <f>'GF + UG Iteration 7'!B197</f>
        <v>UG</v>
      </c>
      <c r="C197" s="35">
        <f>'GF + UG Iteration 7'!C197</f>
        <v>37.700000000000003</v>
      </c>
      <c r="D197" s="36">
        <f>'GF + UG Iteration 7'!P$16*(C197^'GF + UG Iteration 7'!P$15)</f>
        <v>20.406474827834742</v>
      </c>
      <c r="E197" s="37">
        <f>'GF + UG Iteration 7'!E197</f>
        <v>1976</v>
      </c>
      <c r="F197" s="35">
        <f>'GF + UG Iteration 7'!F197</f>
        <v>2.0419999999999945</v>
      </c>
      <c r="G197" s="36">
        <f>'GF + UG Iteration 7'!G197</f>
        <v>0.58015876995711901</v>
      </c>
      <c r="H197" s="38">
        <f>'GF + UG Iteration 7'!H197</f>
        <v>2004</v>
      </c>
      <c r="I197" s="35">
        <f t="shared" si="20"/>
        <v>39.741999999999997</v>
      </c>
      <c r="J197" s="36">
        <f t="shared" si="21"/>
        <v>20.986633597791862</v>
      </c>
      <c r="K197" s="38">
        <f t="shared" si="22"/>
        <v>2004</v>
      </c>
      <c r="M197" s="21">
        <f t="shared" si="23"/>
        <v>3.6824085629836243</v>
      </c>
      <c r="N197" s="21">
        <f t="shared" si="24"/>
        <v>3.0438857397310226</v>
      </c>
    </row>
    <row r="198" spans="1:14" x14ac:dyDescent="0.2">
      <c r="A198" s="33">
        <f>'GF + UG Iteration 7'!A198</f>
        <v>698</v>
      </c>
      <c r="B198" s="34" t="str">
        <f>'GF + UG Iteration 7'!B198</f>
        <v>UG</v>
      </c>
      <c r="C198" s="35">
        <f>'GF + UG Iteration 7'!C198</f>
        <v>39.700000000000003</v>
      </c>
      <c r="D198" s="36">
        <f>'GF + UG Iteration 7'!P$16*(C198^'GF + UG Iteration 7'!P$15)</f>
        <v>21.019051732953184</v>
      </c>
      <c r="E198" s="37">
        <f>'GF + UG Iteration 7'!E198</f>
        <v>1976</v>
      </c>
      <c r="F198" s="35">
        <f>'GF + UG Iteration 7'!F198</f>
        <v>20.9</v>
      </c>
      <c r="G198" s="36">
        <f>'GF + UG Iteration 7'!G198</f>
        <v>1.4406821685518079</v>
      </c>
      <c r="H198" s="38">
        <f>'GF + UG Iteration 7'!H198</f>
        <v>2007</v>
      </c>
      <c r="I198" s="35">
        <f t="shared" si="20"/>
        <v>60.6</v>
      </c>
      <c r="J198" s="36">
        <f t="shared" si="21"/>
        <v>22.45973390150499</v>
      </c>
      <c r="K198" s="38">
        <f t="shared" si="22"/>
        <v>2007</v>
      </c>
      <c r="M198" s="21">
        <f t="shared" si="23"/>
        <v>4.1042948930752692</v>
      </c>
      <c r="N198" s="21">
        <f t="shared" si="24"/>
        <v>3.1117241015778241</v>
      </c>
    </row>
    <row r="199" spans="1:14" x14ac:dyDescent="0.2">
      <c r="A199" s="33">
        <f>'GF + UG Iteration 7'!A199</f>
        <v>696</v>
      </c>
      <c r="B199" s="34" t="str">
        <f>'GF + UG Iteration 7'!B199</f>
        <v>UG</v>
      </c>
      <c r="C199" s="35">
        <f>'GF + UG Iteration 7'!C199</f>
        <v>9.1370000000000005</v>
      </c>
      <c r="D199" s="36">
        <f>'GF + UG Iteration 7'!P$16*(C199^'GF + UG Iteration 7'!P$15)</f>
        <v>9.0691142244122478</v>
      </c>
      <c r="E199" s="37">
        <f>'GF + UG Iteration 7'!E199</f>
        <v>1981</v>
      </c>
      <c r="F199" s="35">
        <f>'GF + UG Iteration 7'!F199</f>
        <v>8.0629999999999988</v>
      </c>
      <c r="G199" s="36">
        <f>'GF + UG Iteration 7'!G199</f>
        <v>0.26810351472539734</v>
      </c>
      <c r="H199" s="38">
        <f>'GF + UG Iteration 7'!H199</f>
        <v>2007</v>
      </c>
      <c r="I199" s="35">
        <f t="shared" si="20"/>
        <v>17.2</v>
      </c>
      <c r="J199" s="36">
        <f t="shared" si="21"/>
        <v>9.3372177391376443</v>
      </c>
      <c r="K199" s="38">
        <f t="shared" si="22"/>
        <v>2007</v>
      </c>
      <c r="M199" s="21">
        <f t="shared" si="23"/>
        <v>2.8449093838194073</v>
      </c>
      <c r="N199" s="21">
        <f t="shared" si="24"/>
        <v>2.2340083212617592</v>
      </c>
    </row>
    <row r="200" spans="1:14" x14ac:dyDescent="0.2">
      <c r="A200" s="33">
        <f>'GF + UG Iteration 7'!A200</f>
        <v>1636</v>
      </c>
      <c r="B200" s="34" t="str">
        <f>'GF + UG Iteration 7'!B200</f>
        <v>UG</v>
      </c>
      <c r="C200" s="35">
        <f>'GF + UG Iteration 7'!C200</f>
        <v>17.2</v>
      </c>
      <c r="D200" s="36">
        <f>'GF + UG Iteration 7'!P$16*(C200^'GF + UG Iteration 7'!P$15)</f>
        <v>13.024439302749496</v>
      </c>
      <c r="E200" s="37">
        <f>'GF + UG Iteration 7'!E200</f>
        <v>1981</v>
      </c>
      <c r="F200" s="35">
        <f>'GF + UG Iteration 7'!F200</f>
        <v>0</v>
      </c>
      <c r="G200" s="36">
        <f>'GF + UG Iteration 7'!G200</f>
        <v>6.6058972937468434</v>
      </c>
      <c r="H200" s="38">
        <f>'GF + UG Iteration 7'!H200</f>
        <v>2015</v>
      </c>
      <c r="I200" s="35">
        <f t="shared" si="20"/>
        <v>17.2</v>
      </c>
      <c r="J200" s="36">
        <f t="shared" si="21"/>
        <v>19.630336596496338</v>
      </c>
      <c r="K200" s="38">
        <f t="shared" si="22"/>
        <v>2015</v>
      </c>
      <c r="M200" s="21">
        <f t="shared" si="23"/>
        <v>2.8449093838194073</v>
      </c>
      <c r="N200" s="21">
        <f t="shared" si="24"/>
        <v>2.9770761551865133</v>
      </c>
    </row>
    <row r="201" spans="1:14" x14ac:dyDescent="0.2">
      <c r="A201" s="33">
        <f>'GF + UG Iteration 7'!A201</f>
        <v>1185</v>
      </c>
      <c r="B201" s="34" t="str">
        <f>'GF + UG Iteration 7'!B201</f>
        <v>UG</v>
      </c>
      <c r="C201" s="35">
        <f>'GF + UG Iteration 7'!C201</f>
        <v>32.4</v>
      </c>
      <c r="D201" s="36">
        <f>'GF + UG Iteration 7'!P$16*(C201^'GF + UG Iteration 7'!P$15)</f>
        <v>18.711996660091824</v>
      </c>
      <c r="E201" s="37">
        <f>'GF + UG Iteration 7'!E201</f>
        <v>1988</v>
      </c>
      <c r="F201" s="35">
        <f>'GF + UG Iteration 7'!F201</f>
        <v>2.5</v>
      </c>
      <c r="G201" s="36">
        <f>'GF + UG Iteration 7'!G201</f>
        <v>2.8087836612562955</v>
      </c>
      <c r="H201" s="38">
        <f>'GF + UG Iteration 7'!H201</f>
        <v>2011</v>
      </c>
      <c r="I201" s="35">
        <f t="shared" si="20"/>
        <v>34.9</v>
      </c>
      <c r="J201" s="36">
        <f t="shared" si="21"/>
        <v>21.52078032134812</v>
      </c>
      <c r="K201" s="38">
        <f t="shared" si="22"/>
        <v>2011</v>
      </c>
      <c r="M201" s="21">
        <f t="shared" si="23"/>
        <v>3.5524868292083815</v>
      </c>
      <c r="N201" s="21">
        <f t="shared" si="24"/>
        <v>3.0690189949218887</v>
      </c>
    </row>
    <row r="202" spans="1:14" x14ac:dyDescent="0.2">
      <c r="A202" s="33">
        <f>'GF + UG Iteration 7'!A202</f>
        <v>568</v>
      </c>
      <c r="B202" s="34" t="str">
        <f>'GF + UG Iteration 7'!B202</f>
        <v>UG</v>
      </c>
      <c r="C202" s="35">
        <f>'GF + UG Iteration 7'!C202</f>
        <v>38.04</v>
      </c>
      <c r="D202" s="36">
        <f>'GF + UG Iteration 7'!P$16*(C202^'GF + UG Iteration 7'!P$15)</f>
        <v>20.511576357850938</v>
      </c>
      <c r="E202" s="37">
        <f>'GF + UG Iteration 7'!E202</f>
        <v>1978</v>
      </c>
      <c r="F202" s="35">
        <f>'GF + UG Iteration 7'!F202</f>
        <v>1</v>
      </c>
      <c r="G202" s="36">
        <f>'GF + UG Iteration 7'!G202</f>
        <v>2.8818936071529556E-2</v>
      </c>
      <c r="H202" s="38">
        <f>'GF + UG Iteration 7'!H202</f>
        <v>2006</v>
      </c>
      <c r="I202" s="35">
        <f t="shared" si="20"/>
        <v>39.04</v>
      </c>
      <c r="J202" s="36">
        <f t="shared" si="21"/>
        <v>20.540395293922469</v>
      </c>
      <c r="K202" s="38">
        <f t="shared" si="22"/>
        <v>2006</v>
      </c>
      <c r="M202" s="21">
        <f t="shared" si="23"/>
        <v>3.6645867615448919</v>
      </c>
      <c r="N202" s="21">
        <f t="shared" si="24"/>
        <v>3.0223934493942188</v>
      </c>
    </row>
    <row r="203" spans="1:14" x14ac:dyDescent="0.2">
      <c r="A203" s="33">
        <f>'GF + UG Iteration 7'!A203</f>
        <v>853</v>
      </c>
      <c r="B203" s="34" t="str">
        <f>'GF + UG Iteration 7'!B203</f>
        <v>UG</v>
      </c>
      <c r="C203" s="35">
        <f>'GF + UG Iteration 7'!C203</f>
        <v>20</v>
      </c>
      <c r="D203" s="36">
        <f>'GF + UG Iteration 7'!P$16*(C203^'GF + UG Iteration 7'!P$15)</f>
        <v>14.198361086370289</v>
      </c>
      <c r="E203" s="37">
        <f>'GF + UG Iteration 7'!E203</f>
        <v>1991</v>
      </c>
      <c r="F203" s="35">
        <f>'GF + UG Iteration 7'!F203</f>
        <v>21.700000000000003</v>
      </c>
      <c r="G203" s="36">
        <f>'GF + UG Iteration 7'!G203</f>
        <v>4.2556245512411124</v>
      </c>
      <c r="H203" s="38">
        <f>'GF + UG Iteration 7'!H203</f>
        <v>2009</v>
      </c>
      <c r="I203" s="35">
        <f t="shared" si="20"/>
        <v>41.7</v>
      </c>
      <c r="J203" s="36">
        <f t="shared" si="21"/>
        <v>18.453985637611403</v>
      </c>
      <c r="K203" s="38">
        <f t="shared" si="22"/>
        <v>2009</v>
      </c>
      <c r="M203" s="21">
        <f t="shared" si="23"/>
        <v>3.730501128804756</v>
      </c>
      <c r="N203" s="21">
        <f t="shared" si="24"/>
        <v>2.9152803708755477</v>
      </c>
    </row>
    <row r="204" spans="1:14" x14ac:dyDescent="0.2">
      <c r="A204" s="33">
        <f>'GF + UG Iteration 7'!A204</f>
        <v>1201</v>
      </c>
      <c r="B204" s="34" t="str">
        <f>'GF + UG Iteration 7'!B204</f>
        <v>UG</v>
      </c>
      <c r="C204" s="35">
        <f>'GF + UG Iteration 7'!C204</f>
        <v>13.3</v>
      </c>
      <c r="D204" s="36">
        <f>'GF + UG Iteration 7'!P$16*(C204^'GF + UG Iteration 7'!P$15)</f>
        <v>11.242397619640734</v>
      </c>
      <c r="E204" s="37" t="str">
        <f>'GF + UG Iteration 7'!E204</f>
        <v>unknown</v>
      </c>
      <c r="F204" s="35">
        <f>'GF + UG Iteration 7'!F204</f>
        <v>10.599999999999998</v>
      </c>
      <c r="G204" s="36">
        <f>'GF + UG Iteration 7'!G204</f>
        <v>7.6364894321569698</v>
      </c>
      <c r="H204" s="38">
        <f>'GF + UG Iteration 7'!H204</f>
        <v>2012</v>
      </c>
      <c r="I204" s="35">
        <f t="shared" si="20"/>
        <v>23.9</v>
      </c>
      <c r="J204" s="36">
        <f t="shared" si="21"/>
        <v>18.878887051797705</v>
      </c>
      <c r="K204" s="38">
        <f t="shared" si="22"/>
        <v>2012</v>
      </c>
      <c r="M204" s="21">
        <f t="shared" si="23"/>
        <v>3.1738784589374651</v>
      </c>
      <c r="N204" s="21">
        <f t="shared" si="24"/>
        <v>2.938044210452158</v>
      </c>
    </row>
    <row r="205" spans="1:14" x14ac:dyDescent="0.2">
      <c r="A205" s="33">
        <f>'GF + UG Iteration 7'!A205</f>
        <v>654</v>
      </c>
      <c r="B205" s="34" t="str">
        <f>'GF + UG Iteration 7'!B205</f>
        <v>UG</v>
      </c>
      <c r="C205" s="35">
        <f>'GF + UG Iteration 7'!C205</f>
        <v>7.29</v>
      </c>
      <c r="D205" s="36">
        <f>'GF + UG Iteration 7'!P$16*(C205^'GF + UG Iteration 7'!P$15)</f>
        <v>7.9697910546478585</v>
      </c>
      <c r="E205" s="37">
        <f>'GF + UG Iteration 7'!E205</f>
        <v>1976</v>
      </c>
      <c r="F205" s="35">
        <f>'GF + UG Iteration 7'!F205</f>
        <v>4.4099999999999993</v>
      </c>
      <c r="G205" s="36">
        <f>'GF + UG Iteration 7'!G205</f>
        <v>0.73672544554632269</v>
      </c>
      <c r="H205" s="38">
        <f>'GF + UG Iteration 7'!H205</f>
        <v>2007</v>
      </c>
      <c r="I205" s="35">
        <f t="shared" si="20"/>
        <v>11.7</v>
      </c>
      <c r="J205" s="36">
        <f t="shared" si="21"/>
        <v>8.7065165001941818</v>
      </c>
      <c r="K205" s="38">
        <f t="shared" si="22"/>
        <v>2007</v>
      </c>
      <c r="M205" s="21">
        <f t="shared" si="23"/>
        <v>2.4595888418037104</v>
      </c>
      <c r="N205" s="21">
        <f t="shared" si="24"/>
        <v>2.1640717682936255</v>
      </c>
    </row>
    <row r="206" spans="1:14" x14ac:dyDescent="0.2">
      <c r="A206" s="33">
        <f>'GF + UG Iteration 7'!A206</f>
        <v>1394</v>
      </c>
      <c r="B206" s="34" t="str">
        <f>'GF + UG Iteration 7'!B206</f>
        <v>UG</v>
      </c>
      <c r="C206" s="35">
        <f>'GF + UG Iteration 7'!C206</f>
        <v>11.7</v>
      </c>
      <c r="D206" s="36">
        <f>'GF + UG Iteration 7'!P$16*(C206^'GF + UG Iteration 7'!P$15)</f>
        <v>10.44738662922931</v>
      </c>
      <c r="E206" s="37">
        <f>'GF + UG Iteration 7'!E206</f>
        <v>1976</v>
      </c>
      <c r="F206" s="35">
        <f>'GF + UG Iteration 7'!F206</f>
        <v>10</v>
      </c>
      <c r="G206" s="36">
        <f>'GF + UG Iteration 7'!G206</f>
        <v>5.0057806862702598</v>
      </c>
      <c r="H206" s="38">
        <f>'GF + UG Iteration 7'!H206</f>
        <v>2014</v>
      </c>
      <c r="I206" s="35">
        <f t="shared" si="20"/>
        <v>21.7</v>
      </c>
      <c r="J206" s="36">
        <f t="shared" si="21"/>
        <v>15.45316731549957</v>
      </c>
      <c r="K206" s="38">
        <f t="shared" si="22"/>
        <v>2014</v>
      </c>
      <c r="M206" s="21">
        <f t="shared" si="23"/>
        <v>3.0773122605464138</v>
      </c>
      <c r="N206" s="21">
        <f t="shared" si="24"/>
        <v>2.7378139865727111</v>
      </c>
    </row>
    <row r="207" spans="1:14" x14ac:dyDescent="0.2">
      <c r="A207" s="33">
        <f>'GF + UG Iteration 7'!A207</f>
        <v>1294</v>
      </c>
      <c r="B207" s="34" t="str">
        <f>'GF + UG Iteration 7'!B207</f>
        <v>UG</v>
      </c>
      <c r="C207" s="35">
        <f>'GF + UG Iteration 7'!C207</f>
        <v>8.5</v>
      </c>
      <c r="D207" s="36">
        <f>'GF + UG Iteration 7'!P$16*(C207^'GF + UG Iteration 7'!P$15)</f>
        <v>8.7017566324039795</v>
      </c>
      <c r="E207" s="37">
        <f>'GF + UG Iteration 7'!E207</f>
        <v>0</v>
      </c>
      <c r="F207" s="35">
        <f>'GF + UG Iteration 7'!F207</f>
        <v>1.5999999999999996</v>
      </c>
      <c r="G207" s="36">
        <f>'GF + UG Iteration 7'!G207</f>
        <v>4.5619922667121129</v>
      </c>
      <c r="H207" s="38">
        <f>'GF + UG Iteration 7'!H207</f>
        <v>2014</v>
      </c>
      <c r="I207" s="35">
        <f t="shared" si="20"/>
        <v>10.1</v>
      </c>
      <c r="J207" s="36">
        <f t="shared" si="21"/>
        <v>13.263748899116091</v>
      </c>
      <c r="K207" s="38">
        <f t="shared" si="22"/>
        <v>2014</v>
      </c>
      <c r="M207" s="21">
        <f t="shared" si="23"/>
        <v>2.3125354238472138</v>
      </c>
      <c r="N207" s="21">
        <f t="shared" si="24"/>
        <v>2.5850346672062132</v>
      </c>
    </row>
    <row r="208" spans="1:14" x14ac:dyDescent="0.2">
      <c r="A208" s="33">
        <f>'GF + UG Iteration 7'!A208</f>
        <v>1670</v>
      </c>
      <c r="B208" s="34" t="str">
        <f>'GF + UG Iteration 7'!B208</f>
        <v>UG</v>
      </c>
      <c r="C208" s="35">
        <f>'GF + UG Iteration 7'!C208</f>
        <v>31.45</v>
      </c>
      <c r="D208" s="36">
        <f>'GF + UG Iteration 7'!P$16*(C208^'GF + UG Iteration 7'!P$15)</f>
        <v>18.396066515510295</v>
      </c>
      <c r="E208" s="37">
        <f>'GF + UG Iteration 7'!E208</f>
        <v>0</v>
      </c>
      <c r="F208" s="35">
        <f>'GF + UG Iteration 7'!F208</f>
        <v>24.250000000000004</v>
      </c>
      <c r="G208" s="36">
        <f>'GF + UG Iteration 7'!G208</f>
        <v>2.7943521582603679</v>
      </c>
      <c r="H208" s="38">
        <f>'GF + UG Iteration 7'!H208</f>
        <v>2016</v>
      </c>
      <c r="I208" s="35">
        <f t="shared" si="20"/>
        <v>55.7</v>
      </c>
      <c r="J208" s="36">
        <f t="shared" si="21"/>
        <v>21.190418673770662</v>
      </c>
      <c r="K208" s="38">
        <f t="shared" si="22"/>
        <v>2016</v>
      </c>
      <c r="M208" s="21">
        <f t="shared" si="23"/>
        <v>4.0199801469332384</v>
      </c>
      <c r="N208" s="21">
        <f t="shared" si="24"/>
        <v>3.0535491301676365</v>
      </c>
    </row>
    <row r="209" spans="1:14" x14ac:dyDescent="0.2">
      <c r="A209" s="33">
        <f>'GF + UG Iteration 7'!A209</f>
        <v>579</v>
      </c>
      <c r="B209" s="34" t="str">
        <f>'GF + UG Iteration 7'!B209</f>
        <v>UG</v>
      </c>
      <c r="C209" s="35">
        <f>'GF + UG Iteration 7'!C209</f>
        <v>17.100000000000001</v>
      </c>
      <c r="D209" s="36">
        <f>'GF + UG Iteration 7'!P$16*(C209^'GF + UG Iteration 7'!P$15)</f>
        <v>12.981057222196256</v>
      </c>
      <c r="E209" s="37" t="str">
        <f>'GF + UG Iteration 7'!E209</f>
        <v>unknown</v>
      </c>
      <c r="F209" s="35">
        <f>'GF + UG Iteration 7'!F209</f>
        <v>11</v>
      </c>
      <c r="G209" s="36">
        <f>'GF + UG Iteration 7'!G209</f>
        <v>3.6516230200538073</v>
      </c>
      <c r="H209" s="38">
        <f>'GF + UG Iteration 7'!H209</f>
        <v>2008</v>
      </c>
      <c r="I209" s="35">
        <f t="shared" si="20"/>
        <v>28.1</v>
      </c>
      <c r="J209" s="36">
        <f t="shared" si="21"/>
        <v>16.632680242250064</v>
      </c>
      <c r="K209" s="38">
        <f t="shared" si="22"/>
        <v>2008</v>
      </c>
      <c r="M209" s="21">
        <f t="shared" si="23"/>
        <v>3.3357695763396999</v>
      </c>
      <c r="N209" s="21">
        <f t="shared" si="24"/>
        <v>2.8113694493255306</v>
      </c>
    </row>
    <row r="210" spans="1:14" x14ac:dyDescent="0.2">
      <c r="A210" s="33">
        <f>'GF + UG Iteration 7'!A210</f>
        <v>1670</v>
      </c>
      <c r="B210" s="34" t="str">
        <f>'GF + UG Iteration 7'!B210</f>
        <v>UG</v>
      </c>
      <c r="C210" s="35">
        <f>'GF + UG Iteration 7'!C210</f>
        <v>18.79</v>
      </c>
      <c r="D210" s="36">
        <f>'GF + UG Iteration 7'!P$16*(C210^'GF + UG Iteration 7'!P$15)</f>
        <v>13.700300410254028</v>
      </c>
      <c r="E210" s="37">
        <f>'GF + UG Iteration 7'!E210</f>
        <v>0</v>
      </c>
      <c r="F210" s="35">
        <f>'GF + UG Iteration 7'!F210</f>
        <v>30.509999999999998</v>
      </c>
      <c r="G210" s="36">
        <f>'GF + UG Iteration 7'!G210</f>
        <v>18.363697996227653</v>
      </c>
      <c r="H210" s="38">
        <f>'GF + UG Iteration 7'!H210</f>
        <v>2016</v>
      </c>
      <c r="I210" s="35">
        <f t="shared" si="20"/>
        <v>49.3</v>
      </c>
      <c r="J210" s="36">
        <f t="shared" si="21"/>
        <v>32.06399840648168</v>
      </c>
      <c r="K210" s="38">
        <f t="shared" si="22"/>
        <v>2016</v>
      </c>
      <c r="M210" s="21">
        <f t="shared" si="23"/>
        <v>3.8979240810486444</v>
      </c>
      <c r="N210" s="21">
        <f t="shared" si="24"/>
        <v>3.4677338557643469</v>
      </c>
    </row>
    <row r="211" spans="1:14" x14ac:dyDescent="0.2">
      <c r="A211" s="33">
        <f>'GF + UG Iteration 7'!A211</f>
        <v>1083</v>
      </c>
      <c r="B211" s="34" t="str">
        <f>'GF + UG Iteration 7'!B211</f>
        <v>UG</v>
      </c>
      <c r="C211" s="35">
        <f>'GF + UG Iteration 7'!C211</f>
        <v>7.53</v>
      </c>
      <c r="D211" s="36">
        <f>'GF + UG Iteration 7'!P$16*(C211^'GF + UG Iteration 7'!P$15)</f>
        <v>8.1188806321738536</v>
      </c>
      <c r="E211" s="37">
        <f>'GF + UG Iteration 7'!E211</f>
        <v>1981</v>
      </c>
      <c r="F211" s="35">
        <f>'GF + UG Iteration 7'!F211</f>
        <v>5.87</v>
      </c>
      <c r="G211" s="36">
        <f>'GF + UG Iteration 7'!G211</f>
        <v>7.4125108979310461</v>
      </c>
      <c r="H211" s="38">
        <f>'GF + UG Iteration 7'!H211</f>
        <v>2011</v>
      </c>
      <c r="I211" s="35">
        <f t="shared" si="20"/>
        <v>13.4</v>
      </c>
      <c r="J211" s="36">
        <f t="shared" si="21"/>
        <v>15.5313915301049</v>
      </c>
      <c r="K211" s="38">
        <f t="shared" si="22"/>
        <v>2011</v>
      </c>
      <c r="M211" s="21">
        <f t="shared" si="23"/>
        <v>2.5952547069568657</v>
      </c>
      <c r="N211" s="21">
        <f t="shared" si="24"/>
        <v>2.7428632358577101</v>
      </c>
    </row>
    <row r="212" spans="1:14" x14ac:dyDescent="0.2">
      <c r="A212" s="33">
        <f>'GF + UG Iteration 7'!A212</f>
        <v>552</v>
      </c>
      <c r="B212" s="34" t="str">
        <f>'GF + UG Iteration 7'!B212</f>
        <v>UG</v>
      </c>
      <c r="C212" s="35">
        <f>'GF + UG Iteration 7'!C212</f>
        <v>20.229999999999997</v>
      </c>
      <c r="D212" s="36">
        <f>'GF + UG Iteration 7'!P$16*(C212^'GF + UG Iteration 7'!P$15)</f>
        <v>14.291559978670559</v>
      </c>
      <c r="E212" s="37">
        <f>'GF + UG Iteration 7'!E212</f>
        <v>1991</v>
      </c>
      <c r="F212" s="35">
        <f>'GF + UG Iteration 7'!F212</f>
        <v>10.470000000000002</v>
      </c>
      <c r="G212" s="36">
        <f>'GF + UG Iteration 7'!G212</f>
        <v>1.1457716756011658</v>
      </c>
      <c r="H212" s="38">
        <f>'GF + UG Iteration 7'!H212</f>
        <v>2006</v>
      </c>
      <c r="I212" s="35">
        <f t="shared" si="20"/>
        <v>30.7</v>
      </c>
      <c r="J212" s="36">
        <f t="shared" si="21"/>
        <v>15.437331654271725</v>
      </c>
      <c r="K212" s="38">
        <f t="shared" si="22"/>
        <v>2006</v>
      </c>
      <c r="M212" s="21">
        <f t="shared" si="23"/>
        <v>3.4242626545931514</v>
      </c>
      <c r="N212" s="21">
        <f t="shared" si="24"/>
        <v>2.7367887093422891</v>
      </c>
    </row>
    <row r="213" spans="1:14" x14ac:dyDescent="0.2">
      <c r="A213" s="33">
        <f>'GF + UG Iteration 7'!A213</f>
        <v>1311</v>
      </c>
      <c r="B213" s="34" t="str">
        <f>'GF + UG Iteration 7'!B213</f>
        <v>UG</v>
      </c>
      <c r="C213" s="35">
        <f>'GF + UG Iteration 7'!C213</f>
        <v>30.7</v>
      </c>
      <c r="D213" s="36">
        <f>'GF + UG Iteration 7'!P$16*(C213^'GF + UG Iteration 7'!P$15)</f>
        <v>18.143753742897609</v>
      </c>
      <c r="E213" s="37">
        <f>'GF + UG Iteration 7'!E213</f>
        <v>1991</v>
      </c>
      <c r="F213" s="35">
        <f>'GF + UG Iteration 7'!F213</f>
        <v>19.3</v>
      </c>
      <c r="G213" s="36">
        <f>'GF + UG Iteration 7'!G213</f>
        <v>5.9841430822776953</v>
      </c>
      <c r="H213" s="38">
        <f>'GF + UG Iteration 7'!H213</f>
        <v>2013</v>
      </c>
      <c r="I213" s="35">
        <f t="shared" si="20"/>
        <v>50</v>
      </c>
      <c r="J213" s="36">
        <f t="shared" si="21"/>
        <v>24.127896825175306</v>
      </c>
      <c r="K213" s="38">
        <f t="shared" si="22"/>
        <v>2013</v>
      </c>
      <c r="M213" s="21">
        <f t="shared" si="23"/>
        <v>3.912023005428146</v>
      </c>
      <c r="N213" s="21">
        <f t="shared" si="24"/>
        <v>3.1833687156714801</v>
      </c>
    </row>
    <row r="214" spans="1:14" x14ac:dyDescent="0.2">
      <c r="A214" s="33">
        <f>'GF + UG Iteration 7'!A214</f>
        <v>1078</v>
      </c>
      <c r="B214" s="34" t="str">
        <f>'GF + UG Iteration 7'!B214</f>
        <v>UG</v>
      </c>
      <c r="C214" s="35">
        <f>'GF + UG Iteration 7'!C214</f>
        <v>17.66</v>
      </c>
      <c r="D214" s="36">
        <f>'GF + UG Iteration 7'!P$16*(C214^'GF + UG Iteration 7'!P$15)</f>
        <v>13.222622401745207</v>
      </c>
      <c r="E214" s="37">
        <f>'GF + UG Iteration 7'!E214</f>
        <v>1957</v>
      </c>
      <c r="F214" s="35">
        <f>'GF + UG Iteration 7'!F214</f>
        <v>7.34</v>
      </c>
      <c r="G214" s="36">
        <f>'GF + UG Iteration 7'!G214</f>
        <v>1.0936387702296273</v>
      </c>
      <c r="H214" s="38">
        <f>'GF + UG Iteration 7'!H214</f>
        <v>2011</v>
      </c>
      <c r="I214" s="35">
        <f t="shared" si="20"/>
        <v>25</v>
      </c>
      <c r="J214" s="36">
        <f t="shared" si="21"/>
        <v>14.316261171974835</v>
      </c>
      <c r="K214" s="38">
        <f t="shared" si="22"/>
        <v>2011</v>
      </c>
      <c r="M214" s="21">
        <f t="shared" si="23"/>
        <v>3.2188758248682006</v>
      </c>
      <c r="N214" s="21">
        <f t="shared" si="24"/>
        <v>2.6613960360996818</v>
      </c>
    </row>
    <row r="215" spans="1:14" x14ac:dyDescent="0.2">
      <c r="A215" s="33">
        <f>'GF + UG Iteration 7'!A215</f>
        <v>495</v>
      </c>
      <c r="B215" s="34" t="str">
        <f>'GF + UG Iteration 7'!B215</f>
        <v>UG</v>
      </c>
      <c r="C215" s="35">
        <f>'GF + UG Iteration 7'!C215</f>
        <v>12.974</v>
      </c>
      <c r="D215" s="36">
        <f>'GF + UG Iteration 7'!P$16*(C215^'GF + UG Iteration 7'!P$15)</f>
        <v>11.083885910142412</v>
      </c>
      <c r="E215" s="37">
        <f>'GF + UG Iteration 7'!E215</f>
        <v>1982</v>
      </c>
      <c r="F215" s="35">
        <f>'GF + UG Iteration 7'!F215</f>
        <v>0</v>
      </c>
      <c r="G215" s="36">
        <f>'GF + UG Iteration 7'!G215</f>
        <v>3.5907902166068872</v>
      </c>
      <c r="H215" s="38">
        <f>'GF + UG Iteration 7'!H215</f>
        <v>2006</v>
      </c>
      <c r="I215" s="35">
        <f t="shared" si="20"/>
        <v>12.974</v>
      </c>
      <c r="J215" s="36">
        <f t="shared" si="21"/>
        <v>14.674676126749299</v>
      </c>
      <c r="K215" s="38">
        <f t="shared" si="22"/>
        <v>2006</v>
      </c>
      <c r="M215" s="21">
        <f t="shared" si="23"/>
        <v>2.5629473547908637</v>
      </c>
      <c r="N215" s="21">
        <f t="shared" si="24"/>
        <v>2.6861232957431449</v>
      </c>
    </row>
    <row r="216" spans="1:14" x14ac:dyDescent="0.2">
      <c r="A216" s="33">
        <f>'GF + UG Iteration 7'!A216</f>
        <v>383</v>
      </c>
      <c r="B216" s="34" t="str">
        <f>'GF + UG Iteration 7'!B216</f>
        <v>UG</v>
      </c>
      <c r="C216" s="35">
        <f>'GF + UG Iteration 7'!C216</f>
        <v>0.51</v>
      </c>
      <c r="D216" s="36">
        <f>'GF + UG Iteration 7'!P$16*(C216^'GF + UG Iteration 7'!P$15)</f>
        <v>1.7397230027096999</v>
      </c>
      <c r="E216" s="37">
        <f>'GF + UG Iteration 7'!E216</f>
        <v>1984</v>
      </c>
      <c r="F216" s="35">
        <f>'GF + UG Iteration 7'!F216</f>
        <v>8</v>
      </c>
      <c r="G216" s="36">
        <f>'GF + UG Iteration 7'!G216</f>
        <v>3.9501723720469593</v>
      </c>
      <c r="H216" s="38">
        <f>'GF + UG Iteration 7'!H216</f>
        <v>2005</v>
      </c>
      <c r="I216" s="35">
        <f t="shared" si="20"/>
        <v>8.51</v>
      </c>
      <c r="J216" s="36">
        <f t="shared" si="21"/>
        <v>5.6898953747566594</v>
      </c>
      <c r="K216" s="38">
        <f t="shared" si="22"/>
        <v>2005</v>
      </c>
      <c r="M216" s="21">
        <f t="shared" si="23"/>
        <v>2.1412419425852827</v>
      </c>
      <c r="N216" s="21">
        <f t="shared" si="24"/>
        <v>1.7386918604044515</v>
      </c>
    </row>
    <row r="217" spans="1:14" x14ac:dyDescent="0.2">
      <c r="A217" s="33">
        <f>'GF + UG Iteration 7'!A217</f>
        <v>1020</v>
      </c>
      <c r="B217" s="34" t="str">
        <f>'GF + UG Iteration 7'!B217</f>
        <v>UG</v>
      </c>
      <c r="C217" s="35">
        <f>'GF + UG Iteration 7'!C217</f>
        <v>13</v>
      </c>
      <c r="D217" s="36">
        <f>'GF + UG Iteration 7'!P$16*(C217^'GF + UG Iteration 7'!P$15)</f>
        <v>11.0965900126241</v>
      </c>
      <c r="E217" s="37">
        <f>'GF + UG Iteration 7'!E217</f>
        <v>1977</v>
      </c>
      <c r="F217" s="35">
        <f>'GF + UG Iteration 7'!F217</f>
        <v>9</v>
      </c>
      <c r="G217" s="36">
        <f>'GF + UG Iteration 7'!G217</f>
        <v>7.3449786888029998</v>
      </c>
      <c r="H217" s="38">
        <f>'GF + UG Iteration 7'!H217</f>
        <v>2010</v>
      </c>
      <c r="I217" s="35">
        <f t="shared" si="20"/>
        <v>22</v>
      </c>
      <c r="J217" s="36">
        <f t="shared" si="21"/>
        <v>18.441568701427101</v>
      </c>
      <c r="K217" s="38">
        <f t="shared" si="22"/>
        <v>2010</v>
      </c>
      <c r="M217" s="21">
        <f t="shared" si="23"/>
        <v>3.0910424533583161</v>
      </c>
      <c r="N217" s="21">
        <f t="shared" si="24"/>
        <v>2.9146072850864586</v>
      </c>
    </row>
    <row r="218" spans="1:14" x14ac:dyDescent="0.2">
      <c r="A218" s="33">
        <f>'GF + UG Iteration 7'!A218</f>
        <v>1364</v>
      </c>
      <c r="B218" s="34" t="str">
        <f>'GF + UG Iteration 7'!B218</f>
        <v>UG</v>
      </c>
      <c r="C218" s="35">
        <f>'GF + UG Iteration 7'!C218</f>
        <v>8.5</v>
      </c>
      <c r="D218" s="36">
        <f>'GF + UG Iteration 7'!P$16*(C218^'GF + UG Iteration 7'!P$15)</f>
        <v>8.7017566324039795</v>
      </c>
      <c r="E218" s="37">
        <f>'GF + UG Iteration 7'!E218</f>
        <v>0</v>
      </c>
      <c r="F218" s="35">
        <f>'GF + UG Iteration 7'!F218</f>
        <v>34</v>
      </c>
      <c r="G218" s="36">
        <f>'GF + UG Iteration 7'!G218</f>
        <v>8.7951197470845859</v>
      </c>
      <c r="H218" s="38">
        <f>'GF + UG Iteration 7'!H218</f>
        <v>2013</v>
      </c>
      <c r="I218" s="35">
        <f t="shared" si="20"/>
        <v>42.5</v>
      </c>
      <c r="J218" s="36">
        <f t="shared" si="21"/>
        <v>17.496876379488565</v>
      </c>
      <c r="K218" s="38">
        <f t="shared" si="22"/>
        <v>2013</v>
      </c>
      <c r="M218" s="21">
        <f t="shared" si="23"/>
        <v>3.7495040759303713</v>
      </c>
      <c r="N218" s="21">
        <f t="shared" si="24"/>
        <v>2.862022372397115</v>
      </c>
    </row>
    <row r="219" spans="1:14" x14ac:dyDescent="0.2">
      <c r="A219" s="33">
        <f>'GF + UG Iteration 7'!A219</f>
        <v>503</v>
      </c>
      <c r="B219" s="34" t="str">
        <f>'GF + UG Iteration 7'!B219</f>
        <v>UG</v>
      </c>
      <c r="C219" s="35">
        <f>'GF + UG Iteration 7'!C219</f>
        <v>31</v>
      </c>
      <c r="D219" s="36">
        <f>'GF + UG Iteration 7'!P$16*(C219^'GF + UG Iteration 7'!P$15)</f>
        <v>18.244991845231745</v>
      </c>
      <c r="E219" s="37">
        <f>'GF + UG Iteration 7'!E219</f>
        <v>1972</v>
      </c>
      <c r="F219" s="35">
        <f>'GF + UG Iteration 7'!F219</f>
        <v>16</v>
      </c>
      <c r="G219" s="36">
        <f>'GF + UG Iteration 7'!G219</f>
        <v>3.8033222269089473</v>
      </c>
      <c r="H219" s="38">
        <f>'GF + UG Iteration 7'!H219</f>
        <v>2007</v>
      </c>
      <c r="I219" s="35">
        <f t="shared" si="20"/>
        <v>47</v>
      </c>
      <c r="J219" s="36">
        <f t="shared" si="21"/>
        <v>22.048314072140691</v>
      </c>
      <c r="K219" s="38">
        <f t="shared" si="22"/>
        <v>2007</v>
      </c>
      <c r="M219" s="21">
        <f t="shared" si="23"/>
        <v>3.8501476017100584</v>
      </c>
      <c r="N219" s="21">
        <f t="shared" si="24"/>
        <v>3.0932361396563453</v>
      </c>
    </row>
    <row r="220" spans="1:14" x14ac:dyDescent="0.2">
      <c r="A220" s="33">
        <f>'GF + UG Iteration 7'!A220</f>
        <v>925</v>
      </c>
      <c r="B220" s="34" t="str">
        <f>'GF + UG Iteration 7'!B220</f>
        <v>UG</v>
      </c>
      <c r="C220" s="35">
        <f>'GF + UG Iteration 7'!C220</f>
        <v>47</v>
      </c>
      <c r="D220" s="36">
        <f>'GF + UG Iteration 7'!P$16*(C220^'GF + UG Iteration 7'!P$15)</f>
        <v>23.150409836967913</v>
      </c>
      <c r="E220" s="37">
        <f>'GF + UG Iteration 7'!E220</f>
        <v>1972</v>
      </c>
      <c r="F220" s="35">
        <f>'GF + UG Iteration 7'!F220</f>
        <v>9</v>
      </c>
      <c r="G220" s="36">
        <f>'GF + UG Iteration 7'!G220</f>
        <v>3.3164697860941139</v>
      </c>
      <c r="H220" s="38">
        <f>'GF + UG Iteration 7'!H220</f>
        <v>2011</v>
      </c>
      <c r="I220" s="35">
        <f t="shared" si="20"/>
        <v>56</v>
      </c>
      <c r="J220" s="36">
        <f t="shared" si="21"/>
        <v>26.466879623062027</v>
      </c>
      <c r="K220" s="38">
        <f t="shared" si="22"/>
        <v>2011</v>
      </c>
      <c r="M220" s="21">
        <f t="shared" si="23"/>
        <v>4.0253516907351496</v>
      </c>
      <c r="N220" s="21">
        <f t="shared" si="24"/>
        <v>3.2758941257640215</v>
      </c>
    </row>
    <row r="221" spans="1:14" x14ac:dyDescent="0.2">
      <c r="A221" s="33">
        <f>'GF + UG Iteration 7'!A221</f>
        <v>821</v>
      </c>
      <c r="B221" s="34" t="str">
        <f>'GF + UG Iteration 7'!B221</f>
        <v>UG</v>
      </c>
      <c r="C221" s="35">
        <f>'GF + UG Iteration 7'!C221</f>
        <v>25</v>
      </c>
      <c r="D221" s="36">
        <f>'GF + UG Iteration 7'!P$16*(C221^'GF + UG Iteration 7'!P$15)</f>
        <v>16.132026781230639</v>
      </c>
      <c r="E221" s="37">
        <f>'GF + UG Iteration 7'!E221</f>
        <v>2006</v>
      </c>
      <c r="F221" s="35">
        <f>'GF + UG Iteration 7'!F221</f>
        <v>32</v>
      </c>
      <c r="G221" s="36">
        <f>'GF + UG Iteration 7'!G221</f>
        <v>9.4177371403666275</v>
      </c>
      <c r="H221" s="38">
        <f>'GF + UG Iteration 7'!H221</f>
        <v>2011</v>
      </c>
      <c r="I221" s="35">
        <f t="shared" si="20"/>
        <v>57</v>
      </c>
      <c r="J221" s="36">
        <f t="shared" si="21"/>
        <v>25.549763921597268</v>
      </c>
      <c r="K221" s="38">
        <f t="shared" si="22"/>
        <v>2011</v>
      </c>
      <c r="M221" s="21">
        <f t="shared" si="23"/>
        <v>4.0430512678345503</v>
      </c>
      <c r="N221" s="21">
        <f t="shared" si="24"/>
        <v>3.2406280767478188</v>
      </c>
    </row>
    <row r="222" spans="1:14" x14ac:dyDescent="0.2">
      <c r="A222" s="33">
        <f>'GF + UG Iteration 7'!A222</f>
        <v>486</v>
      </c>
      <c r="B222" s="34" t="str">
        <f>'GF + UG Iteration 7'!B222</f>
        <v>UG</v>
      </c>
      <c r="C222" s="35">
        <f>'GF + UG Iteration 7'!C222</f>
        <v>10.81</v>
      </c>
      <c r="D222" s="36">
        <f>'GF + UG Iteration 7'!P$16*(C222^'GF + UG Iteration 7'!P$15)</f>
        <v>9.9849800534156348</v>
      </c>
      <c r="E222" s="37">
        <f>'GF + UG Iteration 7'!E222</f>
        <v>1993</v>
      </c>
      <c r="F222" s="35">
        <f>'GF + UG Iteration 7'!F222</f>
        <v>3.1399999999999988</v>
      </c>
      <c r="G222" s="36">
        <f>'GF + UG Iteration 7'!G222</f>
        <v>0.34692120274319505</v>
      </c>
      <c r="H222" s="38">
        <f>'GF + UG Iteration 7'!H222</f>
        <v>2005</v>
      </c>
      <c r="I222" s="35">
        <f t="shared" si="20"/>
        <v>13.95</v>
      </c>
      <c r="J222" s="36">
        <f t="shared" si="21"/>
        <v>10.331901256158829</v>
      </c>
      <c r="K222" s="38">
        <f t="shared" si="22"/>
        <v>2005</v>
      </c>
      <c r="M222" s="21">
        <f t="shared" si="23"/>
        <v>2.6354795082673745</v>
      </c>
      <c r="N222" s="21">
        <f t="shared" si="24"/>
        <v>2.3352363180991551</v>
      </c>
    </row>
    <row r="223" spans="1:14" x14ac:dyDescent="0.2">
      <c r="A223" s="33">
        <f>'GF + UG Iteration 7'!A223</f>
        <v>779</v>
      </c>
      <c r="B223" s="34" t="str">
        <f>'GF + UG Iteration 7'!B223</f>
        <v>UG</v>
      </c>
      <c r="C223" s="35">
        <f>'GF + UG Iteration 7'!C223</f>
        <v>13.95</v>
      </c>
      <c r="D223" s="36">
        <f>'GF + UG Iteration 7'!P$16*(C223^'GF + UG Iteration 7'!P$15)</f>
        <v>11.553568379985418</v>
      </c>
      <c r="E223" s="37">
        <f>'GF + UG Iteration 7'!E223</f>
        <v>1993</v>
      </c>
      <c r="F223" s="35">
        <f>'GF + UG Iteration 7'!F223</f>
        <v>4.0500000000000007</v>
      </c>
      <c r="G223" s="36">
        <f>'GF + UG Iteration 7'!G223</f>
        <v>0.91575874480529229</v>
      </c>
      <c r="H223" s="38">
        <f>'GF + UG Iteration 7'!H223</f>
        <v>2008</v>
      </c>
      <c r="I223" s="35">
        <f t="shared" si="20"/>
        <v>18</v>
      </c>
      <c r="J223" s="36">
        <f t="shared" si="21"/>
        <v>12.469327124790709</v>
      </c>
      <c r="K223" s="38">
        <f t="shared" si="22"/>
        <v>2008</v>
      </c>
      <c r="M223" s="21">
        <f t="shared" si="23"/>
        <v>2.8903717578961645</v>
      </c>
      <c r="N223" s="21">
        <f t="shared" si="24"/>
        <v>2.5232717987164874</v>
      </c>
    </row>
    <row r="224" spans="1:14" x14ac:dyDescent="0.2">
      <c r="A224" s="33">
        <f>'GF + UG Iteration 7'!A224</f>
        <v>1416</v>
      </c>
      <c r="B224" s="34" t="str">
        <f>'GF + UG Iteration 7'!B224</f>
        <v>UG</v>
      </c>
      <c r="C224" s="35">
        <f>'GF + UG Iteration 7'!C224</f>
        <v>18</v>
      </c>
      <c r="D224" s="36">
        <f>'GF + UG Iteration 7'!P$16*(C224^'GF + UG Iteration 7'!P$15)</f>
        <v>13.367689317345208</v>
      </c>
      <c r="E224" s="37">
        <f>'GF + UG Iteration 7'!E224</f>
        <v>1993</v>
      </c>
      <c r="F224" s="35">
        <f>'GF + UG Iteration 7'!F224</f>
        <v>6</v>
      </c>
      <c r="G224" s="36">
        <f>'GF + UG Iteration 7'!G224</f>
        <v>1.4181567457767223</v>
      </c>
      <c r="H224" s="38">
        <f>'GF + UG Iteration 7'!H224</f>
        <v>2014</v>
      </c>
      <c r="I224" s="35">
        <f t="shared" si="20"/>
        <v>24</v>
      </c>
      <c r="J224" s="36">
        <f t="shared" si="21"/>
        <v>14.78584606312193</v>
      </c>
      <c r="K224" s="38">
        <f t="shared" si="22"/>
        <v>2014</v>
      </c>
      <c r="M224" s="21">
        <f t="shared" si="23"/>
        <v>3.1780538303479458</v>
      </c>
      <c r="N224" s="21">
        <f t="shared" si="24"/>
        <v>2.6936703760920708</v>
      </c>
    </row>
    <row r="225" spans="1:14" x14ac:dyDescent="0.2">
      <c r="A225" s="33">
        <f>'GF + UG Iteration 7'!A225</f>
        <v>554</v>
      </c>
      <c r="B225" s="34" t="str">
        <f>'GF + UG Iteration 7'!B225</f>
        <v>UG</v>
      </c>
      <c r="C225" s="35">
        <f>'GF + UG Iteration 7'!C225</f>
        <v>23</v>
      </c>
      <c r="D225" s="36">
        <f>'GF + UG Iteration 7'!P$16*(C225^'GF + UG Iteration 7'!P$15)</f>
        <v>15.380440519164569</v>
      </c>
      <c r="E225" s="37">
        <f>'GF + UG Iteration 7'!E225</f>
        <v>1968</v>
      </c>
      <c r="F225" s="35">
        <f>'GF + UG Iteration 7'!F225</f>
        <v>8.2600000000000016</v>
      </c>
      <c r="G225" s="36">
        <f>'GF + UG Iteration 7'!G225</f>
        <v>1.061095708813089</v>
      </c>
      <c r="H225" s="38">
        <f>'GF + UG Iteration 7'!H225</f>
        <v>2006</v>
      </c>
      <c r="I225" s="35">
        <f t="shared" si="20"/>
        <v>31.26</v>
      </c>
      <c r="J225" s="36">
        <f t="shared" si="21"/>
        <v>16.441536227977657</v>
      </c>
      <c r="K225" s="38">
        <f t="shared" si="22"/>
        <v>2006</v>
      </c>
      <c r="M225" s="21">
        <f t="shared" si="23"/>
        <v>3.4423393249933305</v>
      </c>
      <c r="N225" s="21">
        <f t="shared" si="24"/>
        <v>2.7998108297865545</v>
      </c>
    </row>
    <row r="226" spans="1:14" x14ac:dyDescent="0.2">
      <c r="A226" s="33">
        <f>'GF + UG Iteration 7'!A226</f>
        <v>1581</v>
      </c>
      <c r="B226" s="34" t="str">
        <f>'GF + UG Iteration 7'!B226</f>
        <v>UG</v>
      </c>
      <c r="C226" s="35">
        <f>'GF + UG Iteration 7'!C226</f>
        <v>7.44</v>
      </c>
      <c r="D226" s="36">
        <f>'GF + UG Iteration 7'!P$16*(C226^'GF + UG Iteration 7'!P$15)</f>
        <v>8.0632136760077451</v>
      </c>
      <c r="E226" s="37" t="str">
        <f>'GF + UG Iteration 7'!E226</f>
        <v>unknown</v>
      </c>
      <c r="F226" s="35">
        <f>'GF + UG Iteration 7'!F226</f>
        <v>9.36</v>
      </c>
      <c r="G226" s="36">
        <f>'GF + UG Iteration 7'!G226</f>
        <v>5.3848313505476417</v>
      </c>
      <c r="H226" s="38">
        <f>'GF + UG Iteration 7'!H226</f>
        <v>2015</v>
      </c>
      <c r="I226" s="35">
        <f t="shared" si="20"/>
        <v>16.8</v>
      </c>
      <c r="J226" s="36">
        <f t="shared" si="21"/>
        <v>13.448045026555388</v>
      </c>
      <c r="K226" s="38">
        <f t="shared" si="22"/>
        <v>2015</v>
      </c>
      <c r="M226" s="21">
        <f t="shared" si="23"/>
        <v>2.8213788864092133</v>
      </c>
      <c r="N226" s="21">
        <f t="shared" si="24"/>
        <v>2.5988337442978677</v>
      </c>
    </row>
    <row r="227" spans="1:14" x14ac:dyDescent="0.2">
      <c r="A227" s="33">
        <f>'GF + UG Iteration 7'!A227</f>
        <v>880</v>
      </c>
      <c r="B227" s="34" t="str">
        <f>'GF + UG Iteration 7'!B227</f>
        <v>UG</v>
      </c>
      <c r="C227" s="35">
        <f>'GF + UG Iteration 7'!C227</f>
        <v>8.9499999999999993</v>
      </c>
      <c r="D227" s="36">
        <f>'GF + UG Iteration 7'!P$16*(C227^'GF + UG Iteration 7'!P$15)</f>
        <v>8.9624405705694432</v>
      </c>
      <c r="E227" s="37">
        <f>'GF + UG Iteration 7'!E227</f>
        <v>1966</v>
      </c>
      <c r="F227" s="35">
        <f>'GF + UG Iteration 7'!F227</f>
        <v>2.0500000000000007</v>
      </c>
      <c r="G227" s="36">
        <f>'GF + UG Iteration 7'!G227</f>
        <v>4.5763928166345611</v>
      </c>
      <c r="H227" s="38">
        <f>'GF + UG Iteration 7'!H227</f>
        <v>2010</v>
      </c>
      <c r="I227" s="35">
        <f t="shared" si="20"/>
        <v>11</v>
      </c>
      <c r="J227" s="36">
        <f t="shared" si="21"/>
        <v>13.538833387204004</v>
      </c>
      <c r="K227" s="38">
        <f t="shared" si="22"/>
        <v>2010</v>
      </c>
      <c r="M227" s="21">
        <f t="shared" si="23"/>
        <v>2.3978952727983707</v>
      </c>
      <c r="N227" s="21">
        <f t="shared" si="24"/>
        <v>2.6055621032997243</v>
      </c>
    </row>
    <row r="228" spans="1:14" x14ac:dyDescent="0.2">
      <c r="A228" s="33">
        <f>'GF + UG Iteration 7'!A228</f>
        <v>1047</v>
      </c>
      <c r="B228" s="34" t="str">
        <f>'GF + UG Iteration 7'!B228</f>
        <v>UG</v>
      </c>
      <c r="C228" s="35">
        <f>'GF + UG Iteration 7'!C228</f>
        <v>10</v>
      </c>
      <c r="D228" s="36">
        <f>'GF + UG Iteration 7'!P$16*(C228^'GF + UG Iteration 7'!P$15)</f>
        <v>9.5497621622698787</v>
      </c>
      <c r="E228" s="37">
        <f>'GF + UG Iteration 7'!E228</f>
        <v>1965</v>
      </c>
      <c r="F228" s="35">
        <f>'GF + UG Iteration 7'!F228</f>
        <v>5</v>
      </c>
      <c r="G228" s="36">
        <f>'GF + UG Iteration 7'!G228</f>
        <v>6.2586429220605622</v>
      </c>
      <c r="H228" s="38">
        <f>'GF + UG Iteration 7'!H228</f>
        <v>2012</v>
      </c>
      <c r="I228" s="35">
        <f t="shared" si="20"/>
        <v>15</v>
      </c>
      <c r="J228" s="36">
        <f t="shared" si="21"/>
        <v>15.808405084330442</v>
      </c>
      <c r="K228" s="38">
        <f t="shared" si="22"/>
        <v>2012</v>
      </c>
      <c r="M228" s="21">
        <f t="shared" si="23"/>
        <v>2.7080502011022101</v>
      </c>
      <c r="N228" s="21">
        <f t="shared" si="24"/>
        <v>2.76054176595113</v>
      </c>
    </row>
    <row r="229" spans="1:14" x14ac:dyDescent="0.2">
      <c r="A229" s="33">
        <f>'GF + UG Iteration 7'!A229</f>
        <v>1045</v>
      </c>
      <c r="B229" s="34" t="str">
        <f>'GF + UG Iteration 7'!B229</f>
        <v>UG</v>
      </c>
      <c r="C229" s="35">
        <f>'GF + UG Iteration 7'!C229</f>
        <v>24.065999999999999</v>
      </c>
      <c r="D229" s="36">
        <f>'GF + UG Iteration 7'!P$16*(C229^'GF + UG Iteration 7'!P$15)</f>
        <v>15.784367483769811</v>
      </c>
      <c r="E229" s="37">
        <f>'GF + UG Iteration 7'!E229</f>
        <v>1971</v>
      </c>
      <c r="F229" s="35">
        <f>'GF + UG Iteration 7'!F229</f>
        <v>7.9340000000000011</v>
      </c>
      <c r="G229" s="36">
        <f>'GF + UG Iteration 7'!G229</f>
        <v>3.8009199870921253</v>
      </c>
      <c r="H229" s="38">
        <f>'GF + UG Iteration 7'!H229</f>
        <v>2011</v>
      </c>
      <c r="I229" s="35">
        <f t="shared" si="20"/>
        <v>32</v>
      </c>
      <c r="J229" s="36">
        <f t="shared" si="21"/>
        <v>19.585287470861935</v>
      </c>
      <c r="K229" s="38">
        <f t="shared" si="22"/>
        <v>2011</v>
      </c>
      <c r="M229" s="21">
        <f t="shared" si="23"/>
        <v>3.4657359027997265</v>
      </c>
      <c r="N229" s="21">
        <f t="shared" si="24"/>
        <v>2.9747786451240334</v>
      </c>
    </row>
    <row r="230" spans="1:14" x14ac:dyDescent="0.2">
      <c r="A230" s="33">
        <f>'GF + UG Iteration 7'!A230</f>
        <v>1616</v>
      </c>
      <c r="B230" s="34" t="str">
        <f>'GF + UG Iteration 7'!B230</f>
        <v>UG</v>
      </c>
      <c r="C230" s="35">
        <f>'GF + UG Iteration 7'!C230</f>
        <v>21.68</v>
      </c>
      <c r="D230" s="36">
        <f>'GF + UG Iteration 7'!P$16*(C230^'GF + UG Iteration 7'!P$15)</f>
        <v>14.868992459685057</v>
      </c>
      <c r="E230" s="37" t="str">
        <f>'GF + UG Iteration 7'!E230</f>
        <v>unknown</v>
      </c>
      <c r="F230" s="35">
        <f>'GF + UG Iteration 7'!F230</f>
        <v>25.75</v>
      </c>
      <c r="G230" s="36">
        <f>'GF + UG Iteration 7'!G230</f>
        <v>0.84818580502502572</v>
      </c>
      <c r="H230" s="38">
        <f>'GF + UG Iteration 7'!H230</f>
        <v>2015</v>
      </c>
      <c r="I230" s="35">
        <f t="shared" si="20"/>
        <v>47.43</v>
      </c>
      <c r="J230" s="36">
        <f t="shared" si="21"/>
        <v>15.717178264710082</v>
      </c>
      <c r="K230" s="38">
        <f t="shared" si="22"/>
        <v>2015</v>
      </c>
      <c r="M230" s="21">
        <f t="shared" si="23"/>
        <v>3.8592549398894902</v>
      </c>
      <c r="N230" s="21">
        <f t="shared" si="24"/>
        <v>2.7547542711886845</v>
      </c>
    </row>
    <row r="231" spans="1:14" x14ac:dyDescent="0.2">
      <c r="A231" s="33">
        <f>'GF + UG Iteration 7'!A231</f>
        <v>362</v>
      </c>
      <c r="B231" s="34" t="str">
        <f>'GF + UG Iteration 7'!B231</f>
        <v>UG</v>
      </c>
      <c r="C231" s="35">
        <f>'GF + UG Iteration 7'!C231</f>
        <v>51.8</v>
      </c>
      <c r="D231" s="36">
        <f>'GF + UG Iteration 7'!P$16*(C231^'GF + UG Iteration 7'!P$15)</f>
        <v>24.475031456192355</v>
      </c>
      <c r="E231" s="37">
        <f>'GF + UG Iteration 7'!E231</f>
        <v>1971</v>
      </c>
      <c r="F231" s="35">
        <f>'GF + UG Iteration 7'!F231</f>
        <v>1</v>
      </c>
      <c r="G231" s="36">
        <f>'GF + UG Iteration 7'!G231</f>
        <v>0.78848028183233532</v>
      </c>
      <c r="H231" s="38">
        <f>'GF + UG Iteration 7'!H231</f>
        <v>2004</v>
      </c>
      <c r="I231" s="35">
        <f t="shared" si="20"/>
        <v>52.8</v>
      </c>
      <c r="J231" s="36">
        <f t="shared" si="21"/>
        <v>25.26351173802469</v>
      </c>
      <c r="K231" s="38">
        <f t="shared" si="22"/>
        <v>2004</v>
      </c>
      <c r="M231" s="21">
        <f t="shared" si="23"/>
        <v>3.9665111907122159</v>
      </c>
      <c r="N231" s="21">
        <f t="shared" si="24"/>
        <v>3.2293611309342194</v>
      </c>
    </row>
    <row r="232" spans="1:14" x14ac:dyDescent="0.2">
      <c r="A232" s="33">
        <f>'GF + UG Iteration 7'!A232</f>
        <v>924</v>
      </c>
      <c r="B232" s="34" t="str">
        <f>'GF + UG Iteration 7'!B232</f>
        <v>UG</v>
      </c>
      <c r="C232" s="35">
        <f>'GF + UG Iteration 7'!C232</f>
        <v>45.94</v>
      </c>
      <c r="D232" s="36">
        <f>'GF + UG Iteration 7'!P$16*(C232^'GF + UG Iteration 7'!P$15)</f>
        <v>22.850204771304657</v>
      </c>
      <c r="E232" s="37">
        <f>'GF + UG Iteration 7'!E232</f>
        <v>1982</v>
      </c>
      <c r="F232" s="35">
        <f>'GF + UG Iteration 7'!F232</f>
        <v>6.0600000000000023</v>
      </c>
      <c r="G232" s="36">
        <f>'GF + UG Iteration 7'!G232</f>
        <v>1.4264307906682692</v>
      </c>
      <c r="H232" s="38">
        <f>'GF + UG Iteration 7'!H232</f>
        <v>2010</v>
      </c>
      <c r="I232" s="35">
        <f t="shared" si="20"/>
        <v>52</v>
      </c>
      <c r="J232" s="36">
        <f t="shared" si="21"/>
        <v>24.276635561972927</v>
      </c>
      <c r="K232" s="38">
        <f t="shared" si="22"/>
        <v>2010</v>
      </c>
      <c r="M232" s="21">
        <f t="shared" si="23"/>
        <v>3.9512437185814275</v>
      </c>
      <c r="N232" s="21">
        <f t="shared" si="24"/>
        <v>3.1895143883020545</v>
      </c>
    </row>
    <row r="233" spans="1:14" x14ac:dyDescent="0.2">
      <c r="A233" s="33">
        <f>'GF + UG Iteration 7'!A233</f>
        <v>1241</v>
      </c>
      <c r="B233" s="34" t="str">
        <f>'GF + UG Iteration 7'!B233</f>
        <v>UG</v>
      </c>
      <c r="C233" s="35">
        <f>'GF + UG Iteration 7'!C233</f>
        <v>20.29</v>
      </c>
      <c r="D233" s="36">
        <f>'GF + UG Iteration 7'!P$16*(C233^'GF + UG Iteration 7'!P$15)</f>
        <v>14.315798063290421</v>
      </c>
      <c r="E233" s="37" t="str">
        <f>'GF + UG Iteration 7'!E233</f>
        <v>unknown</v>
      </c>
      <c r="F233" s="35">
        <f>'GF + UG Iteration 7'!F233</f>
        <v>6</v>
      </c>
      <c r="G233" s="36">
        <f>'GF + UG Iteration 7'!G233</f>
        <v>2.625007735639064</v>
      </c>
      <c r="H233" s="38">
        <f>'GF + UG Iteration 7'!H233</f>
        <v>2012</v>
      </c>
      <c r="I233" s="35">
        <f t="shared" si="20"/>
        <v>26.29</v>
      </c>
      <c r="J233" s="36">
        <f t="shared" si="21"/>
        <v>16.940805798929485</v>
      </c>
      <c r="K233" s="38">
        <f t="shared" si="22"/>
        <v>2012</v>
      </c>
      <c r="M233" s="21">
        <f t="shared" si="23"/>
        <v>3.2691886387417899</v>
      </c>
      <c r="N233" s="21">
        <f t="shared" si="24"/>
        <v>2.8297252559160597</v>
      </c>
    </row>
    <row r="234" spans="1:14" x14ac:dyDescent="0.2">
      <c r="A234" s="33">
        <f>'GF + UG Iteration 7'!A234</f>
        <v>438</v>
      </c>
      <c r="B234" s="34" t="str">
        <f>'GF + UG Iteration 7'!B234</f>
        <v>UG</v>
      </c>
      <c r="C234" s="35">
        <f>'GF + UG Iteration 7'!C234</f>
        <v>8.2460000000000004</v>
      </c>
      <c r="D234" s="36">
        <f>'GF + UG Iteration 7'!P$16*(C234^'GF + UG Iteration 7'!P$15)</f>
        <v>8.5520064426900895</v>
      </c>
      <c r="E234" s="37">
        <f>'GF + UG Iteration 7'!E234</f>
        <v>1978</v>
      </c>
      <c r="F234" s="35">
        <f>'GF + UG Iteration 7'!F234</f>
        <v>1</v>
      </c>
      <c r="G234" s="36">
        <f>'GF + UG Iteration 7'!G234</f>
        <v>0.18095315250984781</v>
      </c>
      <c r="H234" s="38">
        <f>'GF + UG Iteration 7'!H234</f>
        <v>2004</v>
      </c>
      <c r="I234" s="35">
        <f t="shared" si="20"/>
        <v>9.2460000000000004</v>
      </c>
      <c r="J234" s="36">
        <f t="shared" si="21"/>
        <v>8.7329595951999366</v>
      </c>
      <c r="K234" s="38">
        <f t="shared" si="22"/>
        <v>2004</v>
      </c>
      <c r="M234" s="21">
        <f t="shared" si="23"/>
        <v>2.2241910255660335</v>
      </c>
      <c r="N234" s="21">
        <f t="shared" si="24"/>
        <v>2.1671043267404779</v>
      </c>
    </row>
    <row r="235" spans="1:14" x14ac:dyDescent="0.2">
      <c r="A235" s="33">
        <f>'GF + UG Iteration 7'!A235</f>
        <v>748</v>
      </c>
      <c r="B235" s="34" t="str">
        <f>'GF + UG Iteration 7'!B235</f>
        <v>UG</v>
      </c>
      <c r="C235" s="35">
        <f>'GF + UG Iteration 7'!C235</f>
        <v>25.541</v>
      </c>
      <c r="D235" s="36">
        <f>'GF + UG Iteration 7'!P$16*(C235^'GF + UG Iteration 7'!P$15)</f>
        <v>16.330860600760325</v>
      </c>
      <c r="E235" s="37">
        <f>'GF + UG Iteration 7'!E235</f>
        <v>1995</v>
      </c>
      <c r="F235" s="35">
        <f>'GF + UG Iteration 7'!F235</f>
        <v>1</v>
      </c>
      <c r="G235" s="36">
        <f>'GF + UG Iteration 7'!G235</f>
        <v>0.38858476644316492</v>
      </c>
      <c r="H235" s="38">
        <f>'GF + UG Iteration 7'!H235</f>
        <v>2008</v>
      </c>
      <c r="I235" s="35">
        <f t="shared" si="20"/>
        <v>26.541</v>
      </c>
      <c r="J235" s="36">
        <f t="shared" si="21"/>
        <v>16.719445367203491</v>
      </c>
      <c r="K235" s="38">
        <f t="shared" si="22"/>
        <v>2008</v>
      </c>
      <c r="M235" s="21">
        <f t="shared" si="23"/>
        <v>3.2786907071693587</v>
      </c>
      <c r="N235" s="21">
        <f t="shared" si="24"/>
        <v>2.8165724352883856</v>
      </c>
    </row>
    <row r="236" spans="1:14" x14ac:dyDescent="0.2">
      <c r="A236" s="33">
        <f>'GF + UG Iteration 7'!A236</f>
        <v>1319</v>
      </c>
      <c r="B236" s="34" t="str">
        <f>'GF + UG Iteration 7'!B236</f>
        <v>UG</v>
      </c>
      <c r="C236" s="35">
        <f>'GF + UG Iteration 7'!C236</f>
        <v>15.71</v>
      </c>
      <c r="D236" s="36">
        <f>'GF + UG Iteration 7'!P$16*(C236^'GF + UG Iteration 7'!P$15)</f>
        <v>12.366367708400634</v>
      </c>
      <c r="E236" s="37">
        <f>'GF + UG Iteration 7'!E236</f>
        <v>0</v>
      </c>
      <c r="F236" s="35">
        <f>'GF + UG Iteration 7'!F236</f>
        <v>4.2899999999999991</v>
      </c>
      <c r="G236" s="36">
        <f>'GF + UG Iteration 7'!G236</f>
        <v>3.2376779482440865</v>
      </c>
      <c r="H236" s="38">
        <f>'GF + UG Iteration 7'!H236</f>
        <v>2014</v>
      </c>
      <c r="I236" s="35">
        <f t="shared" si="20"/>
        <v>20</v>
      </c>
      <c r="J236" s="36">
        <f t="shared" si="21"/>
        <v>15.604045656644722</v>
      </c>
      <c r="K236" s="38">
        <f t="shared" si="22"/>
        <v>2014</v>
      </c>
      <c r="M236" s="21">
        <f t="shared" si="23"/>
        <v>2.9957322735539909</v>
      </c>
      <c r="N236" s="21">
        <f t="shared" si="24"/>
        <v>2.7475302175978791</v>
      </c>
    </row>
    <row r="237" spans="1:14" x14ac:dyDescent="0.2">
      <c r="A237" s="33">
        <f>'GF + UG Iteration 7'!A237</f>
        <v>892</v>
      </c>
      <c r="B237" s="34" t="str">
        <f>'GF + UG Iteration 7'!B237</f>
        <v>UG</v>
      </c>
      <c r="C237" s="35">
        <f>'GF + UG Iteration 7'!C237</f>
        <v>13.05</v>
      </c>
      <c r="D237" s="36">
        <f>'GF + UG Iteration 7'!P$16*(C237^'GF + UG Iteration 7'!P$15)</f>
        <v>11.120990467133577</v>
      </c>
      <c r="E237" s="37">
        <f>'GF + UG Iteration 7'!E237</f>
        <v>1972</v>
      </c>
      <c r="F237" s="35">
        <f>'GF + UG Iteration 7'!F237</f>
        <v>0</v>
      </c>
      <c r="G237" s="36">
        <f>'GF + UG Iteration 7'!G237</f>
        <v>3.2490818561124843</v>
      </c>
      <c r="H237" s="38">
        <f>'GF + UG Iteration 7'!H237</f>
        <v>2011</v>
      </c>
      <c r="I237" s="35">
        <f t="shared" si="20"/>
        <v>13.05</v>
      </c>
      <c r="J237" s="36">
        <f t="shared" si="21"/>
        <v>14.370072323246061</v>
      </c>
      <c r="K237" s="38">
        <f t="shared" si="22"/>
        <v>2011</v>
      </c>
      <c r="M237" s="21">
        <f t="shared" si="23"/>
        <v>2.5687881337687024</v>
      </c>
      <c r="N237" s="21">
        <f t="shared" si="24"/>
        <v>2.6651477330111883</v>
      </c>
    </row>
    <row r="238" spans="1:14" x14ac:dyDescent="0.2">
      <c r="A238" s="33">
        <f>'GF + UG Iteration 7'!A238</f>
        <v>504</v>
      </c>
      <c r="B238" s="34" t="str">
        <f>'GF + UG Iteration 7'!B238</f>
        <v>UG</v>
      </c>
      <c r="C238" s="35">
        <f>'GF + UG Iteration 7'!C238</f>
        <v>10.496</v>
      </c>
      <c r="D238" s="36">
        <f>'GF + UG Iteration 7'!P$16*(C238^'GF + UG Iteration 7'!P$15)</f>
        <v>9.8179796585873955</v>
      </c>
      <c r="E238" s="37">
        <f>'GF + UG Iteration 7'!E238</f>
        <v>2007</v>
      </c>
      <c r="F238" s="35">
        <f>'GF + UG Iteration 7'!F238</f>
        <v>0</v>
      </c>
      <c r="G238" s="36">
        <f>'GF + UG Iteration 7'!G238</f>
        <v>2.1923137026225539</v>
      </c>
      <c r="H238" s="38">
        <f>'GF + UG Iteration 7'!H238</f>
        <v>2006</v>
      </c>
      <c r="I238" s="35">
        <f t="shared" si="20"/>
        <v>10.496</v>
      </c>
      <c r="J238" s="36">
        <f t="shared" si="21"/>
        <v>12.01029336120995</v>
      </c>
      <c r="K238" s="38">
        <f t="shared" si="22"/>
        <v>2007</v>
      </c>
      <c r="M238" s="21">
        <f t="shared" si="23"/>
        <v>2.3509942322017334</v>
      </c>
      <c r="N238" s="21">
        <f t="shared" si="24"/>
        <v>2.4857640622057247</v>
      </c>
    </row>
    <row r="239" spans="1:14" x14ac:dyDescent="0.2">
      <c r="A239" s="33">
        <f>'GF + UG Iteration 7'!A239</f>
        <v>618</v>
      </c>
      <c r="B239" s="34" t="str">
        <f>'GF + UG Iteration 7'!B239</f>
        <v>UG</v>
      </c>
      <c r="C239" s="35">
        <f>'GF + UG Iteration 7'!C239</f>
        <v>11</v>
      </c>
      <c r="D239" s="36">
        <f>'GF + UG Iteration 7'!P$16*(C239^'GF + UG Iteration 7'!P$15)</f>
        <v>10.085024113041435</v>
      </c>
      <c r="E239" s="37">
        <f>'GF + UG Iteration 7'!E239</f>
        <v>1995</v>
      </c>
      <c r="F239" s="35">
        <f>'GF + UG Iteration 7'!F239</f>
        <v>11.5</v>
      </c>
      <c r="G239" s="36">
        <f>'GF + UG Iteration 7'!G239</f>
        <v>2.3464649770982668</v>
      </c>
      <c r="H239" s="38">
        <f>'GF + UG Iteration 7'!H239</f>
        <v>2006</v>
      </c>
      <c r="I239" s="35">
        <f t="shared" si="20"/>
        <v>22.5</v>
      </c>
      <c r="J239" s="36">
        <f t="shared" si="21"/>
        <v>12.431489090139701</v>
      </c>
      <c r="K239" s="38">
        <f t="shared" si="22"/>
        <v>2006</v>
      </c>
      <c r="M239" s="21">
        <f t="shared" si="23"/>
        <v>3.1135153092103742</v>
      </c>
      <c r="N239" s="21">
        <f t="shared" si="24"/>
        <v>2.5202326964278292</v>
      </c>
    </row>
    <row r="240" spans="1:14" x14ac:dyDescent="0.2">
      <c r="A240" s="33">
        <f>'GF + UG Iteration 7'!A240</f>
        <v>712</v>
      </c>
      <c r="B240" s="34" t="str">
        <f>'GF + UG Iteration 7'!B240</f>
        <v>UG</v>
      </c>
      <c r="C240" s="35">
        <f>'GF + UG Iteration 7'!C240</f>
        <v>7.5</v>
      </c>
      <c r="D240" s="36">
        <f>'GF + UG Iteration 7'!P$16*(C240^'GF + UG Iteration 7'!P$15)</f>
        <v>8.1003567670022658</v>
      </c>
      <c r="E240" s="37">
        <f>'GF + UG Iteration 7'!E240</f>
        <v>1980</v>
      </c>
      <c r="F240" s="35">
        <f>'GF + UG Iteration 7'!F240</f>
        <v>1</v>
      </c>
      <c r="G240" s="36">
        <f>'GF + UG Iteration 7'!G240</f>
        <v>7.8904141673966368</v>
      </c>
      <c r="H240" s="38">
        <f>'GF + UG Iteration 7'!H240</f>
        <v>2011</v>
      </c>
      <c r="I240" s="35">
        <f t="shared" si="20"/>
        <v>8.5</v>
      </c>
      <c r="J240" s="36">
        <f t="shared" si="21"/>
        <v>15.990770934398903</v>
      </c>
      <c r="K240" s="38">
        <f t="shared" si="22"/>
        <v>2011</v>
      </c>
      <c r="M240" s="21">
        <f t="shared" si="23"/>
        <v>2.1400661634962708</v>
      </c>
      <c r="N240" s="21">
        <f t="shared" si="24"/>
        <v>2.7720117392170178</v>
      </c>
    </row>
    <row r="241" spans="1:14" x14ac:dyDescent="0.2">
      <c r="A241" s="33">
        <f>'GF + UG Iteration 7'!A241</f>
        <v>726</v>
      </c>
      <c r="B241" s="34" t="str">
        <f>'GF + UG Iteration 7'!B241</f>
        <v>UG</v>
      </c>
      <c r="C241" s="35">
        <f>'GF + UG Iteration 7'!C241</f>
        <v>25.635400000000001</v>
      </c>
      <c r="D241" s="36">
        <f>'GF + UG Iteration 7'!P$16*(C241^'GF + UG Iteration 7'!P$15)</f>
        <v>16.36537011142995</v>
      </c>
      <c r="E241" s="37">
        <f>'GF + UG Iteration 7'!E241</f>
        <v>1982</v>
      </c>
      <c r="F241" s="35">
        <f>'GF + UG Iteration 7'!F241</f>
        <v>5.3645999999999994</v>
      </c>
      <c r="G241" s="36">
        <f>'GF + UG Iteration 7'!G241</f>
        <v>1.031633192087684</v>
      </c>
      <c r="H241" s="38">
        <f>'GF + UG Iteration 7'!H241</f>
        <v>2008</v>
      </c>
      <c r="I241" s="35">
        <f t="shared" si="20"/>
        <v>31</v>
      </c>
      <c r="J241" s="36">
        <f t="shared" si="21"/>
        <v>17.397003303517636</v>
      </c>
      <c r="K241" s="38">
        <f t="shared" si="22"/>
        <v>2008</v>
      </c>
      <c r="M241" s="21">
        <f t="shared" si="23"/>
        <v>3.4339872044851463</v>
      </c>
      <c r="N241" s="21">
        <f t="shared" si="24"/>
        <v>2.8562979674524702</v>
      </c>
    </row>
    <row r="242" spans="1:14" x14ac:dyDescent="0.2">
      <c r="A242" s="33">
        <f>'GF + UG Iteration 7'!A242</f>
        <v>530</v>
      </c>
      <c r="B242" s="34" t="str">
        <f>'GF + UG Iteration 7'!B242</f>
        <v>UG</v>
      </c>
      <c r="C242" s="35">
        <f>'GF + UG Iteration 7'!C242</f>
        <v>25</v>
      </c>
      <c r="D242" s="36">
        <f>'GF + UG Iteration 7'!P$16*(C242^'GF + UG Iteration 7'!P$15)</f>
        <v>16.132026781230639</v>
      </c>
      <c r="E242" s="37">
        <f>'GF + UG Iteration 7'!E242</f>
        <v>1982</v>
      </c>
      <c r="F242" s="35">
        <f>'GF + UG Iteration 7'!F242</f>
        <v>20</v>
      </c>
      <c r="G242" s="36">
        <f>'GF + UG Iteration 7'!G242</f>
        <v>4.5022608459814819</v>
      </c>
      <c r="H242" s="38">
        <f>'GF + UG Iteration 7'!H242</f>
        <v>2006</v>
      </c>
      <c r="I242" s="35">
        <f t="shared" si="20"/>
        <v>45</v>
      </c>
      <c r="J242" s="36">
        <f t="shared" si="21"/>
        <v>20.634287627212121</v>
      </c>
      <c r="K242" s="38">
        <f t="shared" si="22"/>
        <v>2006</v>
      </c>
      <c r="M242" s="21">
        <f t="shared" si="23"/>
        <v>3.8066624897703196</v>
      </c>
      <c r="N242" s="21">
        <f t="shared" si="24"/>
        <v>3.0269541400601487</v>
      </c>
    </row>
    <row r="243" spans="1:14" x14ac:dyDescent="0.2">
      <c r="A243" s="33">
        <f>'GF + UG Iteration 7'!A243</f>
        <v>755</v>
      </c>
      <c r="B243" s="34" t="str">
        <f>'GF + UG Iteration 7'!B243</f>
        <v>UG</v>
      </c>
      <c r="C243" s="35">
        <f>'GF + UG Iteration 7'!C243</f>
        <v>8.6980000000000004</v>
      </c>
      <c r="D243" s="36">
        <f>'GF + UG Iteration 7'!P$16*(C243^'GF + UG Iteration 7'!P$15)</f>
        <v>8.8171673387061809</v>
      </c>
      <c r="E243" s="37">
        <f>'GF + UG Iteration 7'!E243</f>
        <v>1983</v>
      </c>
      <c r="F243" s="35">
        <f>'GF + UG Iteration 7'!F243</f>
        <v>3.3019999999999996</v>
      </c>
      <c r="G243" s="36">
        <f>'GF + UG Iteration 7'!G243</f>
        <v>0.74649134624932623</v>
      </c>
      <c r="H243" s="38">
        <f>'GF + UG Iteration 7'!H243</f>
        <v>2008</v>
      </c>
      <c r="I243" s="35">
        <f t="shared" si="20"/>
        <v>12</v>
      </c>
      <c r="J243" s="36">
        <f t="shared" si="21"/>
        <v>9.5636586849555076</v>
      </c>
      <c r="K243" s="38">
        <f t="shared" si="22"/>
        <v>2008</v>
      </c>
      <c r="M243" s="21">
        <f t="shared" si="23"/>
        <v>2.4849066497880004</v>
      </c>
      <c r="N243" s="21">
        <f t="shared" si="24"/>
        <v>2.2579703614807527</v>
      </c>
    </row>
    <row r="244" spans="1:14" x14ac:dyDescent="0.2">
      <c r="A244" s="33">
        <f>'GF + UG Iteration 7'!A244</f>
        <v>1081</v>
      </c>
      <c r="B244" s="34" t="str">
        <f>'GF + UG Iteration 7'!B244</f>
        <v>UG</v>
      </c>
      <c r="C244" s="35">
        <f>'GF + UG Iteration 7'!C244</f>
        <v>12</v>
      </c>
      <c r="D244" s="36">
        <f>'GF + UG Iteration 7'!P$16*(C244^'GF + UG Iteration 7'!P$15)</f>
        <v>10.599834652286527</v>
      </c>
      <c r="E244" s="37">
        <f>'GF + UG Iteration 7'!E244</f>
        <v>1983</v>
      </c>
      <c r="F244" s="35">
        <f>'GF + UG Iteration 7'!F244</f>
        <v>4</v>
      </c>
      <c r="G244" s="36">
        <f>'GF + UG Iteration 7'!G244</f>
        <v>0.74615854172219498</v>
      </c>
      <c r="H244" s="38">
        <f>'GF + UG Iteration 7'!H244</f>
        <v>2010</v>
      </c>
      <c r="I244" s="35">
        <f t="shared" si="20"/>
        <v>16</v>
      </c>
      <c r="J244" s="36">
        <f t="shared" si="21"/>
        <v>11.345993194008722</v>
      </c>
      <c r="K244" s="38">
        <f t="shared" si="22"/>
        <v>2010</v>
      </c>
      <c r="M244" s="21">
        <f t="shared" si="23"/>
        <v>2.7725887222397811</v>
      </c>
      <c r="N244" s="21">
        <f t="shared" si="24"/>
        <v>2.428864659045983</v>
      </c>
    </row>
    <row r="245" spans="1:14" x14ac:dyDescent="0.2">
      <c r="A245" s="33">
        <f>'GF + UG Iteration 7'!A245</f>
        <v>307</v>
      </c>
      <c r="B245" s="34" t="str">
        <f>'GF + UG Iteration 7'!B245</f>
        <v>UG</v>
      </c>
      <c r="C245" s="35">
        <f>'GF + UG Iteration 7'!C245</f>
        <v>9.07</v>
      </c>
      <c r="D245" s="36">
        <f>'GF + UG Iteration 7'!P$16*(C245^'GF + UG Iteration 7'!P$15)</f>
        <v>9.0310025854841403</v>
      </c>
      <c r="E245" s="37">
        <f>'GF + UG Iteration 7'!E245</f>
        <v>1985</v>
      </c>
      <c r="F245" s="35">
        <f>'GF + UG Iteration 7'!F245</f>
        <v>1.0019999999999989</v>
      </c>
      <c r="G245" s="36">
        <f>'GF + UG Iteration 7'!G245</f>
        <v>2.5230801807757093</v>
      </c>
      <c r="H245" s="38">
        <f>'GF + UG Iteration 7'!H245</f>
        <v>2003</v>
      </c>
      <c r="I245" s="35">
        <f t="shared" si="20"/>
        <v>10.071999999999999</v>
      </c>
      <c r="J245" s="36">
        <f t="shared" si="21"/>
        <v>11.55408276625985</v>
      </c>
      <c r="K245" s="38">
        <f t="shared" si="22"/>
        <v>2003</v>
      </c>
      <c r="M245" s="21">
        <f t="shared" si="23"/>
        <v>2.3097592967420462</v>
      </c>
      <c r="N245" s="21">
        <f t="shared" si="24"/>
        <v>2.4470388607625191</v>
      </c>
    </row>
    <row r="246" spans="1:14" x14ac:dyDescent="0.2">
      <c r="A246" s="33">
        <f>'GF + UG Iteration 7'!A246</f>
        <v>1466</v>
      </c>
      <c r="B246" s="34" t="str">
        <f>'GF + UG Iteration 7'!B246</f>
        <v>UG</v>
      </c>
      <c r="C246" s="35">
        <f>'GF + UG Iteration 7'!C246</f>
        <v>10.07</v>
      </c>
      <c r="D246" s="36">
        <f>'GF + UG Iteration 7'!P$16*(C246^'GF + UG Iteration 7'!P$15)</f>
        <v>9.5879548744123468</v>
      </c>
      <c r="E246" s="37">
        <f>'GF + UG Iteration 7'!E246</f>
        <v>1985</v>
      </c>
      <c r="F246" s="35">
        <f>'GF + UG Iteration 7'!F246</f>
        <v>4.93</v>
      </c>
      <c r="G246" s="36">
        <f>'GF + UG Iteration 7'!G246</f>
        <v>4.634839878669343</v>
      </c>
      <c r="H246" s="38">
        <f>'GF + UG Iteration 7'!H246</f>
        <v>2015</v>
      </c>
      <c r="I246" s="35">
        <f t="shared" si="20"/>
        <v>15</v>
      </c>
      <c r="J246" s="36">
        <f t="shared" si="21"/>
        <v>14.22279475308169</v>
      </c>
      <c r="K246" s="38">
        <f t="shared" si="22"/>
        <v>2015</v>
      </c>
      <c r="M246" s="21">
        <f t="shared" si="23"/>
        <v>2.7080502011022101</v>
      </c>
      <c r="N246" s="21">
        <f t="shared" si="24"/>
        <v>2.6548459418491999</v>
      </c>
    </row>
    <row r="247" spans="1:14" x14ac:dyDescent="0.2">
      <c r="A247" s="33">
        <f>'GF + UG Iteration 7'!A247</f>
        <v>1091</v>
      </c>
      <c r="B247" s="34" t="str">
        <f>'GF + UG Iteration 7'!B247</f>
        <v>UG</v>
      </c>
      <c r="C247" s="35">
        <f>'GF + UG Iteration 7'!C247</f>
        <v>16.059999999999999</v>
      </c>
      <c r="D247" s="36">
        <f>'GF + UG Iteration 7'!P$16*(C247^'GF + UG Iteration 7'!P$15)</f>
        <v>12.523266529577331</v>
      </c>
      <c r="E247" s="37">
        <f>'GF + UG Iteration 7'!E247</f>
        <v>1982</v>
      </c>
      <c r="F247" s="35">
        <f>'GF + UG Iteration 7'!F247</f>
        <v>24.34</v>
      </c>
      <c r="G247" s="36">
        <f>'GF + UG Iteration 7'!G247</f>
        <v>7.6638380518522098</v>
      </c>
      <c r="H247" s="38">
        <f>'GF + UG Iteration 7'!H247</f>
        <v>2011</v>
      </c>
      <c r="I247" s="35">
        <f t="shared" ref="I247:I292" si="30">C247+F247</f>
        <v>40.4</v>
      </c>
      <c r="J247" s="36">
        <f t="shared" ref="J247:J292" si="31">D247+G247</f>
        <v>20.187104581429541</v>
      </c>
      <c r="K247" s="38">
        <f t="shared" ref="K247:K292" si="32">MAX(E247,H247)</f>
        <v>2011</v>
      </c>
      <c r="M247" s="21">
        <f t="shared" si="23"/>
        <v>3.6988297849671046</v>
      </c>
      <c r="N247" s="21">
        <f t="shared" si="24"/>
        <v>3.0050440134934338</v>
      </c>
    </row>
    <row r="248" spans="1:14" x14ac:dyDescent="0.2">
      <c r="A248" s="33">
        <f>'GF + UG Iteration 7'!A248</f>
        <v>666</v>
      </c>
      <c r="B248" s="34" t="str">
        <f>'GF + UG Iteration 7'!B248</f>
        <v>UG</v>
      </c>
      <c r="C248" s="35">
        <f>'GF + UG Iteration 7'!C248</f>
        <v>25.92</v>
      </c>
      <c r="D248" s="36">
        <f>'GF + UG Iteration 7'!P$16*(C248^'GF + UG Iteration 7'!P$15)</f>
        <v>16.469082826967082</v>
      </c>
      <c r="E248" s="37">
        <f>'GF + UG Iteration 7'!E248</f>
        <v>1987</v>
      </c>
      <c r="F248" s="35">
        <f>'GF + UG Iteration 7'!F248</f>
        <v>14.079999999999998</v>
      </c>
      <c r="G248" s="36">
        <f>'GF + UG Iteration 7'!G248</f>
        <v>3.6887760601263184</v>
      </c>
      <c r="H248" s="38">
        <f>'GF + UG Iteration 7'!H248</f>
        <v>2008</v>
      </c>
      <c r="I248" s="35">
        <f t="shared" si="30"/>
        <v>40</v>
      </c>
      <c r="J248" s="36">
        <f t="shared" si="31"/>
        <v>20.157858887093401</v>
      </c>
      <c r="K248" s="38">
        <f t="shared" si="32"/>
        <v>2008</v>
      </c>
      <c r="M248" s="21">
        <f t="shared" ref="M248:M292" si="33">LN(I248)</f>
        <v>3.6888794541139363</v>
      </c>
      <c r="N248" s="21">
        <f t="shared" ref="N248:N292" si="34">LN(J248)</f>
        <v>3.0035942315655606</v>
      </c>
    </row>
    <row r="249" spans="1:14" x14ac:dyDescent="0.2">
      <c r="A249" s="33">
        <f>'GF + UG Iteration 7'!A249</f>
        <v>556</v>
      </c>
      <c r="B249" s="34" t="str">
        <f>'GF + UG Iteration 7'!B249</f>
        <v>UG</v>
      </c>
      <c r="C249" s="35">
        <f>'GF + UG Iteration 7'!C249</f>
        <v>8.6560000000000006</v>
      </c>
      <c r="D249" s="36">
        <f>'GF + UG Iteration 7'!P$16*(C249^'GF + UG Iteration 7'!P$15)</f>
        <v>8.792780985048104</v>
      </c>
      <c r="E249" s="37">
        <f>'GF + UG Iteration 7'!E249</f>
        <v>1985</v>
      </c>
      <c r="F249" s="35">
        <f>'GF + UG Iteration 7'!F249</f>
        <v>4.3439999999999994</v>
      </c>
      <c r="G249" s="36">
        <f>'GF + UG Iteration 7'!G249</f>
        <v>3.2483692675760008</v>
      </c>
      <c r="H249" s="38">
        <f>'GF + UG Iteration 7'!H249</f>
        <v>2007</v>
      </c>
      <c r="I249" s="35">
        <f t="shared" si="30"/>
        <v>13</v>
      </c>
      <c r="J249" s="36">
        <f t="shared" si="31"/>
        <v>12.041150252624105</v>
      </c>
      <c r="K249" s="38">
        <f t="shared" si="32"/>
        <v>2007</v>
      </c>
      <c r="M249" s="21">
        <f t="shared" si="33"/>
        <v>2.5649493574615367</v>
      </c>
      <c r="N249" s="21">
        <f t="shared" si="34"/>
        <v>2.4883299712496432</v>
      </c>
    </row>
    <row r="250" spans="1:14" x14ac:dyDescent="0.2">
      <c r="A250" s="33">
        <f>'GF + UG Iteration 7'!A250</f>
        <v>452</v>
      </c>
      <c r="B250" s="34" t="str">
        <f>'GF + UG Iteration 7'!B250</f>
        <v>UG</v>
      </c>
      <c r="C250" s="35">
        <f>'GF + UG Iteration 7'!C250</f>
        <v>10.781000000000001</v>
      </c>
      <c r="D250" s="36">
        <f>'GF + UG Iteration 7'!P$16*(C250^'GF + UG Iteration 7'!P$15)</f>
        <v>9.9696442162164196</v>
      </c>
      <c r="E250" s="37">
        <f>'GF + UG Iteration 7'!E250</f>
        <v>1986</v>
      </c>
      <c r="F250" s="35">
        <f>'GF + UG Iteration 7'!F250</f>
        <v>3.6189999999999998</v>
      </c>
      <c r="G250" s="36">
        <f>'GF + UG Iteration 7'!G250</f>
        <v>3.4437072461958511</v>
      </c>
      <c r="H250" s="38">
        <f>'GF + UG Iteration 7'!H250</f>
        <v>2005</v>
      </c>
      <c r="I250" s="35">
        <f t="shared" si="30"/>
        <v>14.4</v>
      </c>
      <c r="J250" s="36">
        <f t="shared" si="31"/>
        <v>13.413351462412271</v>
      </c>
      <c r="K250" s="38">
        <f t="shared" si="32"/>
        <v>2005</v>
      </c>
      <c r="M250" s="21">
        <f t="shared" si="33"/>
        <v>2.6672282065819548</v>
      </c>
      <c r="N250" s="21">
        <f t="shared" si="34"/>
        <v>2.5962505886939522</v>
      </c>
    </row>
    <row r="251" spans="1:14" x14ac:dyDescent="0.2">
      <c r="A251" s="33">
        <f>'GF + UG Iteration 7'!A251</f>
        <v>613</v>
      </c>
      <c r="B251" s="34" t="str">
        <f>'GF + UG Iteration 7'!B251</f>
        <v>UG</v>
      </c>
      <c r="C251" s="35">
        <f>'GF + UG Iteration 7'!C251</f>
        <v>6.2</v>
      </c>
      <c r="D251" s="36">
        <f>'GF + UG Iteration 7'!P$16*(C251^'GF + UG Iteration 7'!P$15)</f>
        <v>7.264431511941126</v>
      </c>
      <c r="E251" s="37">
        <f>'GF + UG Iteration 7'!E251</f>
        <v>1999</v>
      </c>
      <c r="F251" s="35">
        <f>'GF + UG Iteration 7'!F251</f>
        <v>2.2000000000000002</v>
      </c>
      <c r="G251" s="36">
        <f>'GF + UG Iteration 7'!G251</f>
        <v>0.43131820582676678</v>
      </c>
      <c r="H251" s="38">
        <f>'GF + UG Iteration 7'!H251</f>
        <v>2006</v>
      </c>
      <c r="I251" s="35">
        <f t="shared" si="30"/>
        <v>8.4</v>
      </c>
      <c r="J251" s="36">
        <f t="shared" si="31"/>
        <v>7.6957497177678924</v>
      </c>
      <c r="K251" s="38">
        <f t="shared" si="32"/>
        <v>2006</v>
      </c>
      <c r="M251" s="21">
        <f t="shared" si="33"/>
        <v>2.1282317058492679</v>
      </c>
      <c r="N251" s="21">
        <f t="shared" si="34"/>
        <v>2.040668191754528</v>
      </c>
    </row>
    <row r="252" spans="1:14" x14ac:dyDescent="0.2">
      <c r="A252" s="33">
        <f>'GF + UG Iteration 7'!A252</f>
        <v>778</v>
      </c>
      <c r="B252" s="34" t="str">
        <f>'GF + UG Iteration 7'!B252</f>
        <v>UG</v>
      </c>
      <c r="C252" s="35">
        <f>'GF + UG Iteration 7'!C252</f>
        <v>0.1</v>
      </c>
      <c r="D252" s="36">
        <f>'GF + UG Iteration 7'!P$16*(C252^'GF + UG Iteration 7'!P$15)</f>
        <v>0.68488420945674</v>
      </c>
      <c r="E252" s="37">
        <f>'GF + UG Iteration 7'!E252</f>
        <v>1988</v>
      </c>
      <c r="F252" s="35">
        <f>'GF + UG Iteration 7'!F252</f>
        <v>1.9</v>
      </c>
      <c r="G252" s="36">
        <f>'GF + UG Iteration 7'!G252</f>
        <v>0.48701021540648831</v>
      </c>
      <c r="H252" s="38">
        <f>'GF + UG Iteration 7'!H252</f>
        <v>2008</v>
      </c>
      <c r="I252" s="35">
        <f t="shared" si="30"/>
        <v>2</v>
      </c>
      <c r="J252" s="36">
        <f t="shared" si="31"/>
        <v>1.1718944248632284</v>
      </c>
      <c r="K252" s="38">
        <f t="shared" si="32"/>
        <v>2008</v>
      </c>
      <c r="M252" s="21">
        <f t="shared" si="33"/>
        <v>0.69314718055994529</v>
      </c>
      <c r="N252" s="21">
        <f t="shared" si="34"/>
        <v>0.15862160592254834</v>
      </c>
    </row>
    <row r="253" spans="1:14" x14ac:dyDescent="0.2">
      <c r="A253" s="33">
        <f>'GF + UG Iteration 7'!A253</f>
        <v>1571</v>
      </c>
      <c r="B253" s="34" t="str">
        <f>'GF + UG Iteration 7'!B253</f>
        <v>UG</v>
      </c>
      <c r="C253" s="35">
        <f>'GF + UG Iteration 7'!C253</f>
        <v>2</v>
      </c>
      <c r="D253" s="36">
        <f>'GF + UG Iteration 7'!P$16*(C253^'GF + UG Iteration 7'!P$15)</f>
        <v>3.8023362121297315</v>
      </c>
      <c r="E253" s="37">
        <f>'GF + UG Iteration 7'!E253</f>
        <v>1988</v>
      </c>
      <c r="F253" s="35">
        <f>'GF + UG Iteration 7'!F253</f>
        <v>11</v>
      </c>
      <c r="G253" s="36">
        <f>'GF + UG Iteration 7'!G253</f>
        <v>1.5920457896917759</v>
      </c>
      <c r="H253" s="38">
        <f>'GF + UG Iteration 7'!H253</f>
        <v>2016</v>
      </c>
      <c r="I253" s="35">
        <f t="shared" si="30"/>
        <v>13</v>
      </c>
      <c r="J253" s="36">
        <f t="shared" si="31"/>
        <v>5.3943820018215076</v>
      </c>
      <c r="K253" s="38">
        <f t="shared" si="32"/>
        <v>2016</v>
      </c>
      <c r="M253" s="21">
        <f t="shared" si="33"/>
        <v>2.5649493574615367</v>
      </c>
      <c r="N253" s="21">
        <f t="shared" si="34"/>
        <v>1.6853580419766236</v>
      </c>
    </row>
    <row r="254" spans="1:14" x14ac:dyDescent="0.2">
      <c r="A254" s="33">
        <f>'GF + UG Iteration 7'!A254</f>
        <v>525</v>
      </c>
      <c r="B254" s="34" t="str">
        <f>'GF + UG Iteration 7'!B254</f>
        <v>UG</v>
      </c>
      <c r="C254" s="35">
        <f>'GF + UG Iteration 7'!C254</f>
        <v>11.55</v>
      </c>
      <c r="D254" s="36">
        <f>'GF + UG Iteration 7'!P$16*(C254^'GF + UG Iteration 7'!P$15)</f>
        <v>10.370535852652827</v>
      </c>
      <c r="E254" s="37">
        <f>'GF + UG Iteration 7'!E254</f>
        <v>1995</v>
      </c>
      <c r="F254" s="35">
        <f>'GF + UG Iteration 7'!F254</f>
        <v>14</v>
      </c>
      <c r="G254" s="36">
        <f>'GF + UG Iteration 7'!G254</f>
        <v>2.107818995325883</v>
      </c>
      <c r="H254" s="38">
        <f>'GF + UG Iteration 7'!H254</f>
        <v>2006</v>
      </c>
      <c r="I254" s="35">
        <f t="shared" si="30"/>
        <v>25.55</v>
      </c>
      <c r="J254" s="36">
        <f t="shared" si="31"/>
        <v>12.478354847978711</v>
      </c>
      <c r="K254" s="38">
        <f t="shared" si="32"/>
        <v>2006</v>
      </c>
      <c r="M254" s="21">
        <f t="shared" si="33"/>
        <v>3.2406373166497136</v>
      </c>
      <c r="N254" s="21">
        <f t="shared" si="34"/>
        <v>2.5239955311732269</v>
      </c>
    </row>
    <row r="255" spans="1:14" x14ac:dyDescent="0.2">
      <c r="A255" s="33">
        <f>'GF + UG Iteration 7'!A255</f>
        <v>1324</v>
      </c>
      <c r="B255" s="34" t="str">
        <f>'GF + UG Iteration 7'!B255</f>
        <v>UG</v>
      </c>
      <c r="C255" s="35">
        <f>'GF + UG Iteration 7'!C255</f>
        <v>15.8</v>
      </c>
      <c r="D255" s="36">
        <f>'GF + UG Iteration 7'!P$16*(C255^'GF + UG Iteration 7'!P$15)</f>
        <v>12.406854738598284</v>
      </c>
      <c r="E255" s="37">
        <f>'GF + UG Iteration 7'!E255</f>
        <v>2012</v>
      </c>
      <c r="F255" s="35">
        <f>'GF + UG Iteration 7'!F255</f>
        <v>12.3</v>
      </c>
      <c r="G255" s="36">
        <f>'GF + UG Iteration 7'!G255</f>
        <v>2.2692987542218521</v>
      </c>
      <c r="H255" s="38">
        <f>'GF + UG Iteration 7'!H255</f>
        <v>2014</v>
      </c>
      <c r="I255" s="35">
        <f t="shared" si="30"/>
        <v>28.1</v>
      </c>
      <c r="J255" s="36">
        <f t="shared" si="31"/>
        <v>14.676153492820136</v>
      </c>
      <c r="K255" s="38">
        <f t="shared" si="32"/>
        <v>2014</v>
      </c>
      <c r="M255" s="21">
        <f t="shared" si="33"/>
        <v>3.3357695763396999</v>
      </c>
      <c r="N255" s="21">
        <f t="shared" si="34"/>
        <v>2.6862239652023208</v>
      </c>
    </row>
    <row r="256" spans="1:14" x14ac:dyDescent="0.2">
      <c r="A256" s="33">
        <f>'GF + UG Iteration 7'!A256</f>
        <v>511</v>
      </c>
      <c r="B256" s="34" t="str">
        <f>'GF + UG Iteration 7'!B256</f>
        <v>UG</v>
      </c>
      <c r="C256" s="35">
        <f>'GF + UG Iteration 7'!C256</f>
        <v>13.95</v>
      </c>
      <c r="D256" s="36">
        <f>'GF + UG Iteration 7'!P$16*(C256^'GF + UG Iteration 7'!P$15)</f>
        <v>11.553568379985418</v>
      </c>
      <c r="E256" s="37">
        <f>'GF + UG Iteration 7'!E256</f>
        <v>2004</v>
      </c>
      <c r="F256" s="35">
        <f>'GF + UG Iteration 7'!F256</f>
        <v>4.0500000000000007</v>
      </c>
      <c r="G256" s="36">
        <f>'GF + UG Iteration 7'!G256</f>
        <v>0.42903557118440139</v>
      </c>
      <c r="H256" s="38">
        <f>'GF + UG Iteration 7'!H256</f>
        <v>2004</v>
      </c>
      <c r="I256" s="35">
        <f t="shared" si="30"/>
        <v>18</v>
      </c>
      <c r="J256" s="36">
        <f t="shared" si="31"/>
        <v>11.982603951169819</v>
      </c>
      <c r="K256" s="38">
        <f t="shared" si="32"/>
        <v>2004</v>
      </c>
      <c r="M256" s="21">
        <f t="shared" si="33"/>
        <v>2.8903717578961645</v>
      </c>
      <c r="N256" s="21">
        <f t="shared" si="34"/>
        <v>2.4834559272629093</v>
      </c>
    </row>
    <row r="257" spans="1:14" x14ac:dyDescent="0.2">
      <c r="A257" s="33">
        <f>'GF + UG Iteration 7'!A257</f>
        <v>1094</v>
      </c>
      <c r="B257" s="34" t="str">
        <f>'GF + UG Iteration 7'!B257</f>
        <v>UG</v>
      </c>
      <c r="C257" s="35">
        <f>'GF + UG Iteration 7'!C257</f>
        <v>18</v>
      </c>
      <c r="D257" s="36">
        <f>'GF + UG Iteration 7'!P$16*(C257^'GF + UG Iteration 7'!P$15)</f>
        <v>13.367689317345208</v>
      </c>
      <c r="E257" s="37">
        <f>'GF + UG Iteration 7'!E257</f>
        <v>2004</v>
      </c>
      <c r="F257" s="35">
        <f>'GF + UG Iteration 7'!F257</f>
        <v>6</v>
      </c>
      <c r="G257" s="36">
        <f>'GF + UG Iteration 7'!G257</f>
        <v>1.0646458657975095</v>
      </c>
      <c r="H257" s="38">
        <f>'GF + UG Iteration 7'!H257</f>
        <v>2011</v>
      </c>
      <c r="I257" s="35">
        <f t="shared" si="30"/>
        <v>24</v>
      </c>
      <c r="J257" s="36">
        <f t="shared" si="31"/>
        <v>14.432335183142717</v>
      </c>
      <c r="K257" s="38">
        <f t="shared" si="32"/>
        <v>2011</v>
      </c>
      <c r="M257" s="21">
        <f t="shared" si="33"/>
        <v>3.1780538303479458</v>
      </c>
      <c r="N257" s="21">
        <f t="shared" si="34"/>
        <v>2.6694711880466024</v>
      </c>
    </row>
    <row r="258" spans="1:14" x14ac:dyDescent="0.2">
      <c r="A258" s="33">
        <f>'GF + UG Iteration 7'!A258</f>
        <v>775</v>
      </c>
      <c r="B258" s="34" t="str">
        <f>'GF + UG Iteration 7'!B258</f>
        <v>UG</v>
      </c>
      <c r="C258" s="35">
        <f>'GF + UG Iteration 7'!C258</f>
        <v>8</v>
      </c>
      <c r="D258" s="36">
        <f>'GF + UG Iteration 7'!P$16*(C258^'GF + UG Iteration 7'!P$15)</f>
        <v>8.4050797402978485</v>
      </c>
      <c r="E258" s="37">
        <f>'GF + UG Iteration 7'!E258</f>
        <v>2002</v>
      </c>
      <c r="F258" s="35">
        <f>'GF + UG Iteration 7'!F258</f>
        <v>7</v>
      </c>
      <c r="G258" s="36">
        <f>'GF + UG Iteration 7'!G258</f>
        <v>1.4058744428987999</v>
      </c>
      <c r="H258" s="38">
        <f>'GF + UG Iteration 7'!H258</f>
        <v>2008</v>
      </c>
      <c r="I258" s="35">
        <f t="shared" si="30"/>
        <v>15</v>
      </c>
      <c r="J258" s="36">
        <f t="shared" si="31"/>
        <v>9.8109541831966478</v>
      </c>
      <c r="K258" s="38">
        <f t="shared" si="32"/>
        <v>2008</v>
      </c>
      <c r="M258" s="21">
        <f t="shared" si="33"/>
        <v>2.7080502011022101</v>
      </c>
      <c r="N258" s="21">
        <f t="shared" si="34"/>
        <v>2.2834995352281058</v>
      </c>
    </row>
    <row r="259" spans="1:14" x14ac:dyDescent="0.2">
      <c r="A259" s="33">
        <f>'GF + UG Iteration 7'!A259</f>
        <v>1646</v>
      </c>
      <c r="B259" s="34" t="str">
        <f>'GF + UG Iteration 7'!B259</f>
        <v>UG</v>
      </c>
      <c r="C259" s="35">
        <f>'GF + UG Iteration 7'!C259</f>
        <v>2.88</v>
      </c>
      <c r="D259" s="36">
        <f>'GF + UG Iteration 7'!P$16*(C259^'GF + UG Iteration 7'!P$15)</f>
        <v>4.6845036959594148</v>
      </c>
      <c r="E259" s="37" t="str">
        <f>'GF + UG Iteration 7'!E259</f>
        <v>unknown</v>
      </c>
      <c r="F259" s="35">
        <f>'GF + UG Iteration 7'!F259</f>
        <v>3.5200000000000005</v>
      </c>
      <c r="G259" s="36">
        <f>'GF + UG Iteration 7'!G259</f>
        <v>6.6895680450065891</v>
      </c>
      <c r="H259" s="38">
        <f>'GF + UG Iteration 7'!H259</f>
        <v>2016</v>
      </c>
      <c r="I259" s="35">
        <f t="shared" si="30"/>
        <v>6.4</v>
      </c>
      <c r="J259" s="36">
        <f t="shared" si="31"/>
        <v>11.374071740966004</v>
      </c>
      <c r="K259" s="38">
        <f t="shared" si="32"/>
        <v>2016</v>
      </c>
      <c r="M259" s="21">
        <f t="shared" si="33"/>
        <v>1.8562979903656263</v>
      </c>
      <c r="N259" s="21">
        <f t="shared" si="34"/>
        <v>2.4313363563173276</v>
      </c>
    </row>
    <row r="260" spans="1:14" x14ac:dyDescent="0.2">
      <c r="A260" s="33">
        <f>'GF + UG Iteration 7'!A260</f>
        <v>467</v>
      </c>
      <c r="B260" s="34" t="str">
        <f>'GF + UG Iteration 7'!B260</f>
        <v>UG</v>
      </c>
      <c r="C260" s="35">
        <f>'GF + UG Iteration 7'!C260</f>
        <v>5.7</v>
      </c>
      <c r="D260" s="36">
        <f>'GF + UG Iteration 7'!P$16*(C260^'GF + UG Iteration 7'!P$15)</f>
        <v>6.9232043455764289</v>
      </c>
      <c r="E260" s="37">
        <f>'GF + UG Iteration 7'!E260</f>
        <v>1996</v>
      </c>
      <c r="F260" s="35">
        <f>'GF + UG Iteration 7'!F260</f>
        <v>7.8999999999999995</v>
      </c>
      <c r="G260" s="36">
        <f>'GF + UG Iteration 7'!G260</f>
        <v>3.4855022233326953</v>
      </c>
      <c r="H260" s="38">
        <f>'GF + UG Iteration 7'!H260</f>
        <v>2005</v>
      </c>
      <c r="I260" s="35">
        <f t="shared" si="30"/>
        <v>13.6</v>
      </c>
      <c r="J260" s="36">
        <f t="shared" si="31"/>
        <v>10.408706568909125</v>
      </c>
      <c r="K260" s="38">
        <f t="shared" si="32"/>
        <v>2005</v>
      </c>
      <c r="M260" s="21">
        <f t="shared" si="33"/>
        <v>2.6100697927420065</v>
      </c>
      <c r="N260" s="21">
        <f t="shared" si="34"/>
        <v>2.3426426260033204</v>
      </c>
    </row>
    <row r="261" spans="1:14" x14ac:dyDescent="0.2">
      <c r="A261" s="33">
        <f>'GF + UG Iteration 7'!A261</f>
        <v>437</v>
      </c>
      <c r="B261" s="34" t="str">
        <f>'GF + UG Iteration 7'!B261</f>
        <v>UG</v>
      </c>
      <c r="C261" s="35">
        <f>'GF + UG Iteration 7'!C261</f>
        <v>23</v>
      </c>
      <c r="D261" s="36">
        <f>'GF + UG Iteration 7'!P$16*(C261^'GF + UG Iteration 7'!P$15)</f>
        <v>15.380440519164569</v>
      </c>
      <c r="E261" s="37">
        <f>'GF + UG Iteration 7'!E261</f>
        <v>2001</v>
      </c>
      <c r="F261" s="35">
        <f>'GF + UG Iteration 7'!F261</f>
        <v>17</v>
      </c>
      <c r="G261" s="36">
        <f>'GF + UG Iteration 7'!G261</f>
        <v>3.6313804067567292</v>
      </c>
      <c r="H261" s="38">
        <f>'GF + UG Iteration 7'!H261</f>
        <v>2008</v>
      </c>
      <c r="I261" s="35">
        <f t="shared" si="30"/>
        <v>40</v>
      </c>
      <c r="J261" s="36">
        <f t="shared" si="31"/>
        <v>19.011820925921299</v>
      </c>
      <c r="K261" s="38">
        <f t="shared" si="32"/>
        <v>2008</v>
      </c>
      <c r="M261" s="21">
        <f t="shared" si="33"/>
        <v>3.6888794541139363</v>
      </c>
      <c r="N261" s="21">
        <f t="shared" si="34"/>
        <v>2.9450609397047369</v>
      </c>
    </row>
    <row r="262" spans="1:14" x14ac:dyDescent="0.2">
      <c r="A262" s="33">
        <f>'GF + UG Iteration 7'!A262</f>
        <v>1233</v>
      </c>
      <c r="B262" s="34" t="str">
        <f>'GF + UG Iteration 7'!B262</f>
        <v>UG</v>
      </c>
      <c r="C262" s="35">
        <f>'GF + UG Iteration 7'!C262</f>
        <v>40</v>
      </c>
      <c r="D262" s="36">
        <f>'GF + UG Iteration 7'!P$16*(C262^'GF + UG Iteration 7'!P$15)</f>
        <v>21.109788297705357</v>
      </c>
      <c r="E262" s="37">
        <f>'GF + UG Iteration 7'!E262</f>
        <v>2001</v>
      </c>
      <c r="F262" s="35">
        <f>'GF + UG Iteration 7'!F262</f>
        <v>10</v>
      </c>
      <c r="G262" s="36">
        <f>'GF + UG Iteration 7'!G262</f>
        <v>3.8904117673360803</v>
      </c>
      <c r="H262" s="38">
        <f>'GF + UG Iteration 7'!H262</f>
        <v>2011</v>
      </c>
      <c r="I262" s="35">
        <f t="shared" si="30"/>
        <v>50</v>
      </c>
      <c r="J262" s="36">
        <f t="shared" si="31"/>
        <v>25.000200065041437</v>
      </c>
      <c r="K262" s="38">
        <f t="shared" si="32"/>
        <v>2011</v>
      </c>
      <c r="M262" s="21">
        <f t="shared" si="33"/>
        <v>3.912023005428146</v>
      </c>
      <c r="N262" s="21">
        <f t="shared" si="34"/>
        <v>3.2188838274378377</v>
      </c>
    </row>
    <row r="263" spans="1:14" x14ac:dyDescent="0.2">
      <c r="A263" s="33">
        <f>'GF + UG Iteration 7'!A263</f>
        <v>361</v>
      </c>
      <c r="B263" s="34" t="str">
        <f>'GF + UG Iteration 7'!B263</f>
        <v>UG</v>
      </c>
      <c r="C263" s="35">
        <f>'GF + UG Iteration 7'!C263</f>
        <v>12.22</v>
      </c>
      <c r="D263" s="36">
        <f>'GF + UG Iteration 7'!P$16*(C263^'GF + UG Iteration 7'!P$15)</f>
        <v>10.710595766549771</v>
      </c>
      <c r="E263" s="37">
        <f>'GF + UG Iteration 7'!E263</f>
        <v>1986</v>
      </c>
      <c r="F263" s="35">
        <f>'GF + UG Iteration 7'!F263</f>
        <v>12.999999999999998</v>
      </c>
      <c r="G263" s="36">
        <f>'GF + UG Iteration 7'!G263</f>
        <v>1.1719780512644304</v>
      </c>
      <c r="H263" s="38">
        <f>'GF + UG Iteration 7'!H263</f>
        <v>2002</v>
      </c>
      <c r="I263" s="35">
        <f t="shared" si="30"/>
        <v>25.22</v>
      </c>
      <c r="J263" s="36">
        <f t="shared" si="31"/>
        <v>11.882573817814201</v>
      </c>
      <c r="K263" s="38">
        <f t="shared" si="32"/>
        <v>2002</v>
      </c>
      <c r="M263" s="21">
        <f t="shared" si="33"/>
        <v>3.2276373305367736</v>
      </c>
      <c r="N263" s="21">
        <f t="shared" si="34"/>
        <v>2.4750729418001503</v>
      </c>
    </row>
    <row r="264" spans="1:14" x14ac:dyDescent="0.2">
      <c r="A264" s="33">
        <f>'GF + UG Iteration 7'!A264</f>
        <v>645</v>
      </c>
      <c r="B264" s="34" t="str">
        <f>'GF + UG Iteration 7'!B264</f>
        <v>UG</v>
      </c>
      <c r="C264" s="35">
        <f>'GF + UG Iteration 7'!C264</f>
        <v>25.22</v>
      </c>
      <c r="D264" s="36">
        <f>'GF + UG Iteration 7'!P$16*(C264^'GF + UG Iteration 7'!P$15)</f>
        <v>16.21310333160741</v>
      </c>
      <c r="E264" s="37">
        <f>'GF + UG Iteration 7'!E264</f>
        <v>1986</v>
      </c>
      <c r="F264" s="35">
        <f>'GF + UG Iteration 7'!F264</f>
        <v>1</v>
      </c>
      <c r="G264" s="36">
        <f>'GF + UG Iteration 7'!G264</f>
        <v>0.22667756309168191</v>
      </c>
      <c r="H264" s="38">
        <f>'GF + UG Iteration 7'!H264</f>
        <v>2006</v>
      </c>
      <c r="I264" s="35">
        <f t="shared" si="30"/>
        <v>26.22</v>
      </c>
      <c r="J264" s="36">
        <f t="shared" si="31"/>
        <v>16.439780894699091</v>
      </c>
      <c r="K264" s="38">
        <f t="shared" si="32"/>
        <v>2006</v>
      </c>
      <c r="M264" s="21">
        <f t="shared" si="33"/>
        <v>3.2665224783355535</v>
      </c>
      <c r="N264" s="21">
        <f t="shared" si="34"/>
        <v>2.7997040619661728</v>
      </c>
    </row>
    <row r="265" spans="1:14" x14ac:dyDescent="0.2">
      <c r="A265" s="33">
        <f>'GF + UG Iteration 7'!A265</f>
        <v>720</v>
      </c>
      <c r="B265" s="34" t="str">
        <f>'GF + UG Iteration 7'!B265</f>
        <v>UG</v>
      </c>
      <c r="C265" s="35">
        <f>'GF + UG Iteration 7'!C265</f>
        <v>5.29</v>
      </c>
      <c r="D265" s="36">
        <f>'GF + UG Iteration 7'!P$16*(C265^'GF + UG Iteration 7'!P$15)</f>
        <v>6.6337223780534966</v>
      </c>
      <c r="E265" s="37">
        <f>'GF + UG Iteration 7'!E265</f>
        <v>1974</v>
      </c>
      <c r="F265" s="35">
        <f>'GF + UG Iteration 7'!F265</f>
        <v>3.9099999999999993</v>
      </c>
      <c r="G265" s="36">
        <f>'GF + UG Iteration 7'!G265</f>
        <v>3.214674226156069</v>
      </c>
      <c r="H265" s="38">
        <f>'GF + UG Iteration 7'!H265</f>
        <v>2009</v>
      </c>
      <c r="I265" s="35">
        <f t="shared" si="30"/>
        <v>9.1999999999999993</v>
      </c>
      <c r="J265" s="36">
        <f t="shared" si="31"/>
        <v>9.8483966042095652</v>
      </c>
      <c r="K265" s="38">
        <f t="shared" si="32"/>
        <v>2009</v>
      </c>
      <c r="M265" s="21">
        <f t="shared" si="33"/>
        <v>2.2192034840549946</v>
      </c>
      <c r="N265" s="21">
        <f t="shared" si="34"/>
        <v>2.2873086606351625</v>
      </c>
    </row>
    <row r="266" spans="1:14" x14ac:dyDescent="0.2">
      <c r="A266" s="33">
        <f>'GF + UG Iteration 7'!A266</f>
        <v>1554</v>
      </c>
      <c r="B266" s="34" t="str">
        <f>'GF + UG Iteration 7'!B266</f>
        <v>UG</v>
      </c>
      <c r="C266" s="35">
        <f>'GF + UG Iteration 7'!C266</f>
        <v>18</v>
      </c>
      <c r="D266" s="36">
        <f>'GF + UG Iteration 7'!P$16*(C266^'GF + UG Iteration 7'!P$15)</f>
        <v>13.367689317345208</v>
      </c>
      <c r="E266" s="37">
        <f>'GF + UG Iteration 7'!E266</f>
        <v>2013</v>
      </c>
      <c r="F266" s="35">
        <f>'GF + UG Iteration 7'!F266</f>
        <v>13</v>
      </c>
      <c r="G266" s="36">
        <f>'GF + UG Iteration 7'!G266</f>
        <v>4.0040929633677633</v>
      </c>
      <c r="H266" s="38">
        <f>'GF + UG Iteration 7'!H266</f>
        <v>2015</v>
      </c>
      <c r="I266" s="35">
        <f t="shared" si="30"/>
        <v>31</v>
      </c>
      <c r="J266" s="36">
        <f t="shared" si="31"/>
        <v>17.371782280712971</v>
      </c>
      <c r="K266" s="38">
        <f t="shared" si="32"/>
        <v>2015</v>
      </c>
      <c r="M266" s="21">
        <f t="shared" si="33"/>
        <v>3.4339872044851463</v>
      </c>
      <c r="N266" s="21">
        <f t="shared" si="34"/>
        <v>2.8548471818236605</v>
      </c>
    </row>
    <row r="267" spans="1:14" x14ac:dyDescent="0.2">
      <c r="A267" s="33">
        <f>'GF + UG Iteration 7'!A267</f>
        <v>1570</v>
      </c>
      <c r="B267" s="34" t="str">
        <f>'GF + UG Iteration 7'!B267</f>
        <v>UG</v>
      </c>
      <c r="C267" s="35">
        <f>'GF + UG Iteration 7'!C267</f>
        <v>12</v>
      </c>
      <c r="D267" s="36">
        <f>'GF + UG Iteration 7'!P$16*(C267^'GF + UG Iteration 7'!P$15)</f>
        <v>10.599834652286527</v>
      </c>
      <c r="E267" s="37">
        <f>'GF + UG Iteration 7'!E267</f>
        <v>0</v>
      </c>
      <c r="F267" s="35">
        <f>'GF + UG Iteration 7'!F267</f>
        <v>7</v>
      </c>
      <c r="G267" s="36">
        <f>'GF + UG Iteration 7'!G267</f>
        <v>5.7128729653456798</v>
      </c>
      <c r="H267" s="38">
        <f>'GF + UG Iteration 7'!H267</f>
        <v>2016</v>
      </c>
      <c r="I267" s="35">
        <f t="shared" si="30"/>
        <v>19</v>
      </c>
      <c r="J267" s="36">
        <f t="shared" si="31"/>
        <v>16.312707617632206</v>
      </c>
      <c r="K267" s="38">
        <f t="shared" si="32"/>
        <v>2016</v>
      </c>
      <c r="M267" s="21">
        <f t="shared" si="33"/>
        <v>2.9444389791664403</v>
      </c>
      <c r="N267" s="21">
        <f t="shared" si="34"/>
        <v>2.7919444125196011</v>
      </c>
    </row>
    <row r="268" spans="1:14" x14ac:dyDescent="0.2">
      <c r="A268" s="33">
        <f>'GF + UG Iteration 7'!A268</f>
        <v>1280</v>
      </c>
      <c r="B268" s="34" t="str">
        <f>'GF + UG Iteration 7'!B268</f>
        <v>UG</v>
      </c>
      <c r="C268" s="35">
        <f>'GF + UG Iteration 7'!C268</f>
        <v>10</v>
      </c>
      <c r="D268" s="36">
        <f>'GF + UG Iteration 7'!P$16*(C268^'GF + UG Iteration 7'!P$15)</f>
        <v>9.5497621622698787</v>
      </c>
      <c r="E268" s="37">
        <f>'GF + UG Iteration 7'!E268</f>
        <v>0</v>
      </c>
      <c r="F268" s="35">
        <f>'GF + UG Iteration 7'!F268</f>
        <v>10</v>
      </c>
      <c r="G268" s="36">
        <f>'GF + UG Iteration 7'!G268</f>
        <v>3.9567117678399111</v>
      </c>
      <c r="H268" s="38">
        <f>'GF + UG Iteration 7'!H268</f>
        <v>2013</v>
      </c>
      <c r="I268" s="35">
        <f t="shared" si="30"/>
        <v>20</v>
      </c>
      <c r="J268" s="36">
        <f t="shared" si="31"/>
        <v>13.50647393010979</v>
      </c>
      <c r="K268" s="38">
        <f t="shared" si="32"/>
        <v>2013</v>
      </c>
      <c r="M268" s="21">
        <f t="shared" si="33"/>
        <v>2.9957322735539909</v>
      </c>
      <c r="N268" s="21">
        <f t="shared" si="34"/>
        <v>2.6031691208753514</v>
      </c>
    </row>
    <row r="269" spans="1:14" x14ac:dyDescent="0.2">
      <c r="A269" s="33">
        <f>'GF + UG Iteration 7'!A269</f>
        <v>659</v>
      </c>
      <c r="B269" s="34" t="str">
        <f>'GF + UG Iteration 7'!B269</f>
        <v>UG</v>
      </c>
      <c r="C269" s="35">
        <f>'GF + UG Iteration 7'!C269</f>
        <v>51</v>
      </c>
      <c r="D269" s="36">
        <f>'GF + UG Iteration 7'!P$16*(C269^'GF + UG Iteration 7'!P$15)</f>
        <v>24.258028838606229</v>
      </c>
      <c r="E269" s="37">
        <f>'GF + UG Iteration 7'!E269</f>
        <v>1974</v>
      </c>
      <c r="F269" s="35">
        <f>'GF + UG Iteration 7'!F269</f>
        <v>7</v>
      </c>
      <c r="G269" s="36">
        <f>'GF + UG Iteration 7'!G269</f>
        <v>0.19038861907506671</v>
      </c>
      <c r="H269" s="38">
        <f>'GF + UG Iteration 7'!H269</f>
        <v>2006</v>
      </c>
      <c r="I269" s="35">
        <f t="shared" si="30"/>
        <v>58</v>
      </c>
      <c r="J269" s="36">
        <f t="shared" si="31"/>
        <v>24.448417457681295</v>
      </c>
      <c r="K269" s="38">
        <f t="shared" si="32"/>
        <v>2006</v>
      </c>
      <c r="M269" s="21">
        <f t="shared" si="33"/>
        <v>4.0604430105464191</v>
      </c>
      <c r="N269" s="21">
        <f t="shared" si="34"/>
        <v>3.1965654881688783</v>
      </c>
    </row>
    <row r="270" spans="1:14" x14ac:dyDescent="0.2">
      <c r="A270" s="33">
        <f>'GF + UG Iteration 7'!A270</f>
        <v>1240</v>
      </c>
      <c r="B270" s="34" t="str">
        <f>'GF + UG Iteration 7'!B270</f>
        <v>UG</v>
      </c>
      <c r="C270" s="35">
        <f>'GF + UG Iteration 7'!C270</f>
        <v>9</v>
      </c>
      <c r="D270" s="36">
        <f>'GF + UG Iteration 7'!P$16*(C270^'GF + UG Iteration 7'!P$15)</f>
        <v>8.9910555776967822</v>
      </c>
      <c r="E270" s="37">
        <f>'GF + UG Iteration 7'!E270</f>
        <v>0</v>
      </c>
      <c r="F270" s="35">
        <f>'GF + UG Iteration 7'!F270</f>
        <v>12</v>
      </c>
      <c r="G270" s="36">
        <f>'GF + UG Iteration 7'!G270</f>
        <v>2.4762389627807444</v>
      </c>
      <c r="H270" s="38">
        <f>'GF + UG Iteration 7'!H270</f>
        <v>2013</v>
      </c>
      <c r="I270" s="35">
        <f t="shared" si="30"/>
        <v>21</v>
      </c>
      <c r="J270" s="36">
        <f t="shared" si="31"/>
        <v>11.467294540477527</v>
      </c>
      <c r="K270" s="38">
        <f t="shared" si="32"/>
        <v>2013</v>
      </c>
      <c r="M270" s="21">
        <f t="shared" si="33"/>
        <v>3.044522437723423</v>
      </c>
      <c r="N270" s="21">
        <f t="shared" si="34"/>
        <v>2.4394990306491575</v>
      </c>
    </row>
    <row r="271" spans="1:14" x14ac:dyDescent="0.2">
      <c r="A271" s="33">
        <f>'GF + UG Iteration 7'!A271</f>
        <v>317</v>
      </c>
      <c r="B271" s="34" t="str">
        <f>'GF + UG Iteration 7'!B271</f>
        <v>UG</v>
      </c>
      <c r="C271" s="35">
        <f>'GF + UG Iteration 7'!C271</f>
        <v>26.67</v>
      </c>
      <c r="D271" s="36">
        <f>'GF + UG Iteration 7'!P$16*(C271^'GF + UG Iteration 7'!P$15)</f>
        <v>16.740086029017952</v>
      </c>
      <c r="E271" s="37">
        <f>'GF + UG Iteration 7'!E271</f>
        <v>1978</v>
      </c>
      <c r="F271" s="35">
        <f>'GF + UG Iteration 7'!F271</f>
        <v>8.4600000000000009</v>
      </c>
      <c r="G271" s="36">
        <f>'GF + UG Iteration 7'!G271</f>
        <v>3.7336154837609361</v>
      </c>
      <c r="H271" s="38">
        <f>'GF + UG Iteration 7'!H271</f>
        <v>2002</v>
      </c>
      <c r="I271" s="35">
        <f t="shared" si="30"/>
        <v>35.130000000000003</v>
      </c>
      <c r="J271" s="36">
        <f t="shared" si="31"/>
        <v>20.473701512778888</v>
      </c>
      <c r="K271" s="38">
        <f t="shared" si="32"/>
        <v>2002</v>
      </c>
      <c r="M271" s="21">
        <f t="shared" si="33"/>
        <v>3.5590554662777358</v>
      </c>
      <c r="N271" s="21">
        <f t="shared" si="34"/>
        <v>3.0191412095488181</v>
      </c>
    </row>
    <row r="272" spans="1:14" x14ac:dyDescent="0.2">
      <c r="A272" s="33">
        <f>'GF + UG Iteration 7'!A272</f>
        <v>1510</v>
      </c>
      <c r="B272" s="34" t="str">
        <f>'GF + UG Iteration 7'!B272</f>
        <v>UG</v>
      </c>
      <c r="C272" s="35">
        <f>'GF + UG Iteration 7'!C272</f>
        <v>35.130000000000003</v>
      </c>
      <c r="D272" s="36">
        <f>'GF + UG Iteration 7'!P$16*(C272^'GF + UG Iteration 7'!P$15)</f>
        <v>19.598502183906501</v>
      </c>
      <c r="E272" s="37">
        <f>'GF + UG Iteration 7'!E272</f>
        <v>1978</v>
      </c>
      <c r="F272" s="35">
        <f>'GF + UG Iteration 7'!F272</f>
        <v>0</v>
      </c>
      <c r="G272" s="36">
        <f>'GF + UG Iteration 7'!G272</f>
        <v>1.0378442790997116</v>
      </c>
      <c r="H272" s="38">
        <f>'GF + UG Iteration 7'!H272</f>
        <v>2014</v>
      </c>
      <c r="I272" s="35">
        <f t="shared" si="30"/>
        <v>35.130000000000003</v>
      </c>
      <c r="J272" s="36">
        <f t="shared" si="31"/>
        <v>20.636346463006213</v>
      </c>
      <c r="K272" s="38">
        <f t="shared" si="32"/>
        <v>2014</v>
      </c>
      <c r="M272" s="21">
        <f t="shared" si="33"/>
        <v>3.5590554662777358</v>
      </c>
      <c r="N272" s="21">
        <f t="shared" si="34"/>
        <v>3.0270539124935598</v>
      </c>
    </row>
    <row r="273" spans="1:14" x14ac:dyDescent="0.2">
      <c r="A273" s="33">
        <f>'GF + UG Iteration 7'!A273</f>
        <v>1678</v>
      </c>
      <c r="B273" s="34" t="str">
        <f>'GF + UG Iteration 7'!B273</f>
        <v>UG</v>
      </c>
      <c r="C273" s="35">
        <f>'GF + UG Iteration 7'!C273</f>
        <v>71.19</v>
      </c>
      <c r="D273" s="36">
        <f>'GF + UG Iteration 7'!P$16*(C273^'GF + UG Iteration 7'!P$15)</f>
        <v>29.358659329866956</v>
      </c>
      <c r="E273" s="37">
        <f>'GF + UG Iteration 7'!E273</f>
        <v>0</v>
      </c>
      <c r="F273" s="35">
        <f>'GF + UG Iteration 7'!F273</f>
        <v>3.8100000000000023</v>
      </c>
      <c r="G273" s="36">
        <f>'GF + UG Iteration 7'!G273</f>
        <v>0.1876880715541229</v>
      </c>
      <c r="H273" s="38">
        <f>'GF + UG Iteration 7'!H273</f>
        <v>2015</v>
      </c>
      <c r="I273" s="35">
        <f t="shared" si="30"/>
        <v>75</v>
      </c>
      <c r="J273" s="36">
        <f t="shared" si="31"/>
        <v>29.54634740142108</v>
      </c>
      <c r="K273" s="38">
        <f t="shared" si="32"/>
        <v>2015</v>
      </c>
      <c r="M273" s="21">
        <f t="shared" si="33"/>
        <v>4.3174881135363101</v>
      </c>
      <c r="N273" s="21">
        <f t="shared" si="34"/>
        <v>3.3859601288151655</v>
      </c>
    </row>
    <row r="274" spans="1:14" x14ac:dyDescent="0.2">
      <c r="A274" s="33">
        <f>'GF + UG Iteration 7'!A274</f>
        <v>409</v>
      </c>
      <c r="B274" s="34" t="str">
        <f>'GF + UG Iteration 7'!B274</f>
        <v>UG</v>
      </c>
      <c r="C274" s="35">
        <f>'GF + UG Iteration 7'!C274</f>
        <v>50.9</v>
      </c>
      <c r="D274" s="36">
        <f>'GF + UG Iteration 7'!P$16*(C274^'GF + UG Iteration 7'!P$15)</f>
        <v>24.230801440845319</v>
      </c>
      <c r="E274" s="37" t="str">
        <f>'GF + UG Iteration 7'!E274</f>
        <v>unknown</v>
      </c>
      <c r="F274" s="35">
        <f>'GF + UG Iteration 7'!F274</f>
        <v>0</v>
      </c>
      <c r="G274" s="36">
        <f>'GF + UG Iteration 7'!G274</f>
        <v>6.9500275644125207</v>
      </c>
      <c r="H274" s="38">
        <f>'GF + UG Iteration 7'!H274</f>
        <v>2004</v>
      </c>
      <c r="I274" s="35">
        <f t="shared" si="30"/>
        <v>50.9</v>
      </c>
      <c r="J274" s="36">
        <f t="shared" si="31"/>
        <v>31.180829005257841</v>
      </c>
      <c r="K274" s="38">
        <f t="shared" si="32"/>
        <v>2004</v>
      </c>
      <c r="M274" s="21">
        <f t="shared" si="33"/>
        <v>3.929862923556477</v>
      </c>
      <c r="N274" s="21">
        <f t="shared" si="34"/>
        <v>3.4398034510009374</v>
      </c>
    </row>
    <row r="275" spans="1:14" x14ac:dyDescent="0.2">
      <c r="A275" s="33">
        <f>'GF + UG Iteration 7'!A275</f>
        <v>620</v>
      </c>
      <c r="B275" s="34" t="str">
        <f>'GF + UG Iteration 7'!B275</f>
        <v>UG</v>
      </c>
      <c r="C275" s="35">
        <f>'GF + UG Iteration 7'!C275</f>
        <v>66.040000000000006</v>
      </c>
      <c r="D275" s="36">
        <f>'GF + UG Iteration 7'!P$16*(C275^'GF + UG Iteration 7'!P$15)</f>
        <v>28.123934333196871</v>
      </c>
      <c r="E275" s="37" t="str">
        <f>'GF + UG Iteration 7'!E275</f>
        <v>unknown</v>
      </c>
      <c r="F275" s="35">
        <f>'GF + UG Iteration 7'!F275</f>
        <v>1</v>
      </c>
      <c r="G275" s="36">
        <f>'GF + UG Iteration 7'!G275</f>
        <v>5.2327101351069411E-2</v>
      </c>
      <c r="H275" s="38">
        <f>'GF + UG Iteration 7'!H275</f>
        <v>2006</v>
      </c>
      <c r="I275" s="35">
        <f t="shared" si="30"/>
        <v>67.040000000000006</v>
      </c>
      <c r="J275" s="36">
        <f t="shared" si="31"/>
        <v>28.176261434547939</v>
      </c>
      <c r="K275" s="38">
        <f t="shared" si="32"/>
        <v>2006</v>
      </c>
      <c r="M275" s="21">
        <f t="shared" si="33"/>
        <v>4.2052894561738281</v>
      </c>
      <c r="N275" s="21">
        <f t="shared" si="34"/>
        <v>3.3384798303361567</v>
      </c>
    </row>
    <row r="276" spans="1:14" x14ac:dyDescent="0.2">
      <c r="A276" s="33">
        <f>'GF + UG Iteration 7'!A276</f>
        <v>1085</v>
      </c>
      <c r="B276" s="34" t="str">
        <f>'GF + UG Iteration 7'!B276</f>
        <v>UG</v>
      </c>
      <c r="C276" s="35">
        <f>'GF + UG Iteration 7'!C276</f>
        <v>67.040000000000006</v>
      </c>
      <c r="D276" s="36">
        <f>'GF + UG Iteration 7'!P$16*(C276^'GF + UG Iteration 7'!P$15)</f>
        <v>28.366823769747466</v>
      </c>
      <c r="E276" s="37" t="str">
        <f>'GF + UG Iteration 7'!E276</f>
        <v>unknown</v>
      </c>
      <c r="F276" s="35">
        <f>'GF + UG Iteration 7'!F276</f>
        <v>2</v>
      </c>
      <c r="G276" s="36">
        <f>'GF + UG Iteration 7'!G276</f>
        <v>7.9312358901564406E-2</v>
      </c>
      <c r="H276" s="38">
        <f>'GF + UG Iteration 7'!H276</f>
        <v>2010</v>
      </c>
      <c r="I276" s="35">
        <f t="shared" si="30"/>
        <v>69.040000000000006</v>
      </c>
      <c r="J276" s="36">
        <f t="shared" si="31"/>
        <v>28.44613612864903</v>
      </c>
      <c r="K276" s="38">
        <f t="shared" si="32"/>
        <v>2010</v>
      </c>
      <c r="M276" s="21">
        <f t="shared" si="33"/>
        <v>4.234686046775173</v>
      </c>
      <c r="N276" s="21">
        <f t="shared" si="34"/>
        <v>3.3480123386476954</v>
      </c>
    </row>
    <row r="277" spans="1:14" x14ac:dyDescent="0.2">
      <c r="A277" s="33">
        <f>'GF + UG Iteration 7'!A277</f>
        <v>589</v>
      </c>
      <c r="B277" s="34" t="str">
        <f>'GF + UG Iteration 7'!B277</f>
        <v>UG</v>
      </c>
      <c r="C277" s="35">
        <f>'GF + UG Iteration 7'!C277</f>
        <v>36.963000000000001</v>
      </c>
      <c r="D277" s="36">
        <f>'GF + UG Iteration 7'!P$16*(C277^'GF + UG Iteration 7'!P$15)</f>
        <v>20.177249838621879</v>
      </c>
      <c r="E277" s="37">
        <f>'GF + UG Iteration 7'!E277</f>
        <v>1974</v>
      </c>
      <c r="F277" s="35">
        <f>'GF + UG Iteration 7'!F277</f>
        <v>0</v>
      </c>
      <c r="G277" s="36">
        <f>'GF + UG Iteration 7'!G277</f>
        <v>3.2007376892660457E-2</v>
      </c>
      <c r="H277" s="38">
        <f>'GF + UG Iteration 7'!H277</f>
        <v>2005</v>
      </c>
      <c r="I277" s="35">
        <f t="shared" si="30"/>
        <v>36.963000000000001</v>
      </c>
      <c r="J277" s="36">
        <f t="shared" si="31"/>
        <v>20.20925721551454</v>
      </c>
      <c r="K277" s="38">
        <f t="shared" si="32"/>
        <v>2005</v>
      </c>
      <c r="M277" s="21">
        <f t="shared" si="33"/>
        <v>3.609917412310641</v>
      </c>
      <c r="N277" s="21">
        <f t="shared" si="34"/>
        <v>3.0061407774256388</v>
      </c>
    </row>
    <row r="278" spans="1:14" x14ac:dyDescent="0.2">
      <c r="A278" s="33">
        <f>'GF + UG Iteration 7'!A278</f>
        <v>836</v>
      </c>
      <c r="B278" s="34" t="str">
        <f>'GF + UG Iteration 7'!B278</f>
        <v>UG</v>
      </c>
      <c r="C278" s="35">
        <f>'GF + UG Iteration 7'!C278</f>
        <v>33.963000000000001</v>
      </c>
      <c r="D278" s="36">
        <f>'GF + UG Iteration 7'!P$16*(C278^'GF + UG Iteration 7'!P$15)</f>
        <v>19.223288499870176</v>
      </c>
      <c r="E278" s="37">
        <f>'GF + UG Iteration 7'!E278</f>
        <v>1974</v>
      </c>
      <c r="F278" s="35">
        <f>'GF + UG Iteration 7'!F278</f>
        <v>10.036999999999999</v>
      </c>
      <c r="G278" s="36">
        <f>'GF + UG Iteration 7'!G278</f>
        <v>0.20824846319974696</v>
      </c>
      <c r="H278" s="38">
        <f>'GF + UG Iteration 7'!H278</f>
        <v>2008</v>
      </c>
      <c r="I278" s="35">
        <f t="shared" si="30"/>
        <v>44</v>
      </c>
      <c r="J278" s="36">
        <f t="shared" si="31"/>
        <v>19.431536963069924</v>
      </c>
      <c r="K278" s="38">
        <f t="shared" si="32"/>
        <v>2008</v>
      </c>
      <c r="M278" s="21">
        <f t="shared" si="33"/>
        <v>3.784189633918261</v>
      </c>
      <c r="N278" s="21">
        <f t="shared" si="34"/>
        <v>2.9668973628378437</v>
      </c>
    </row>
    <row r="279" spans="1:14" x14ac:dyDescent="0.2">
      <c r="A279" s="33">
        <f>'GF + UG Iteration 7'!A279</f>
        <v>1417</v>
      </c>
      <c r="B279" s="34" t="str">
        <f>'GF + UG Iteration 7'!B279</f>
        <v>UG</v>
      </c>
      <c r="C279" s="35">
        <f>'GF + UG Iteration 7'!C279</f>
        <v>53.176000000000002</v>
      </c>
      <c r="D279" s="36">
        <f>'GF + UG Iteration 7'!P$16*(C279^'GF + UG Iteration 7'!P$15)</f>
        <v>24.844950398444041</v>
      </c>
      <c r="E279" s="37">
        <f>'GF + UG Iteration 7'!E279</f>
        <v>0</v>
      </c>
      <c r="F279" s="35">
        <f>'GF + UG Iteration 7'!F279</f>
        <v>2.8239999999999981</v>
      </c>
      <c r="G279" s="36">
        <f>'GF + UG Iteration 7'!G279</f>
        <v>0.36631755287404399</v>
      </c>
      <c r="H279" s="38">
        <f>'GF + UG Iteration 7'!H279</f>
        <v>2013</v>
      </c>
      <c r="I279" s="35">
        <f t="shared" si="30"/>
        <v>56</v>
      </c>
      <c r="J279" s="36">
        <f t="shared" si="31"/>
        <v>25.211267951318085</v>
      </c>
      <c r="K279" s="38">
        <f t="shared" si="32"/>
        <v>2013</v>
      </c>
      <c r="M279" s="21">
        <f t="shared" si="33"/>
        <v>4.0253516907351496</v>
      </c>
      <c r="N279" s="21">
        <f t="shared" si="34"/>
        <v>3.2272910355049844</v>
      </c>
    </row>
    <row r="280" spans="1:14" x14ac:dyDescent="0.2">
      <c r="A280" s="33">
        <f>'GF + UG Iteration 7'!A280</f>
        <v>1575</v>
      </c>
      <c r="B280" s="34" t="str">
        <f>'GF + UG Iteration 7'!B280</f>
        <v>UG</v>
      </c>
      <c r="C280" s="35">
        <f>'GF + UG Iteration 7'!C280</f>
        <v>107.8</v>
      </c>
      <c r="D280" s="36">
        <f>'GF + UG Iteration 7'!P$16*(C280^'GF + UG Iteration 7'!P$15)</f>
        <v>37.225823208727327</v>
      </c>
      <c r="E280" s="37">
        <f>'GF + UG Iteration 7'!E280</f>
        <v>0</v>
      </c>
      <c r="F280" s="35">
        <f>'GF + UG Iteration 7'!F280</f>
        <v>2.2000000000000028</v>
      </c>
      <c r="G280" s="36">
        <f>'GF + UG Iteration 7'!G280</f>
        <v>8.4606138058298655E-2</v>
      </c>
      <c r="H280" s="38">
        <f>'GF + UG Iteration 7'!H280</f>
        <v>2014</v>
      </c>
      <c r="I280" s="35">
        <f t="shared" si="30"/>
        <v>110</v>
      </c>
      <c r="J280" s="36">
        <f t="shared" si="31"/>
        <v>37.310429346785625</v>
      </c>
      <c r="K280" s="38">
        <f t="shared" si="32"/>
        <v>2014</v>
      </c>
      <c r="M280" s="21">
        <f t="shared" si="33"/>
        <v>4.7004803657924166</v>
      </c>
      <c r="N280" s="21">
        <f t="shared" si="34"/>
        <v>3.6192728947194048</v>
      </c>
    </row>
    <row r="281" spans="1:14" x14ac:dyDescent="0.2">
      <c r="A281" s="33">
        <f>'GF + UG Iteration 7'!A281</f>
        <v>1480</v>
      </c>
      <c r="B281" s="34" t="str">
        <f>'GF + UG Iteration 7'!B281</f>
        <v>UG</v>
      </c>
      <c r="C281" s="35">
        <f>'GF + UG Iteration 7'!C281</f>
        <v>92</v>
      </c>
      <c r="D281" s="36">
        <f>'GF + UG Iteration 7'!P$16*(C281^'GF + UG Iteration 7'!P$15)</f>
        <v>33.998526640567256</v>
      </c>
      <c r="E281" s="37">
        <f>'GF + UG Iteration 7'!E281</f>
        <v>0</v>
      </c>
      <c r="F281" s="35">
        <f>'GF + UG Iteration 7'!F281</f>
        <v>9</v>
      </c>
      <c r="G281" s="36">
        <f>'GF + UG Iteration 7'!G281</f>
        <v>1.4186292000498641</v>
      </c>
      <c r="H281" s="38">
        <f>'GF + UG Iteration 7'!H281</f>
        <v>2015</v>
      </c>
      <c r="I281" s="35">
        <f t="shared" si="30"/>
        <v>101</v>
      </c>
      <c r="J281" s="36">
        <f t="shared" si="31"/>
        <v>35.41715584061712</v>
      </c>
      <c r="K281" s="38">
        <f t="shared" si="32"/>
        <v>2015</v>
      </c>
      <c r="M281" s="21">
        <f t="shared" si="33"/>
        <v>4.6151205168412597</v>
      </c>
      <c r="N281" s="21">
        <f t="shared" si="34"/>
        <v>3.5671963310113979</v>
      </c>
    </row>
    <row r="282" spans="1:14" x14ac:dyDescent="0.2">
      <c r="A282" s="33">
        <f>'GF + UG Iteration 7'!A282</f>
        <v>1644</v>
      </c>
      <c r="B282" s="34" t="str">
        <f>'GF + UG Iteration 7'!B282</f>
        <v>UG</v>
      </c>
      <c r="C282" s="35">
        <f>'GF + UG Iteration 7'!C282</f>
        <v>25</v>
      </c>
      <c r="D282" s="36">
        <f>'GF + UG Iteration 7'!P$16*(C282^'GF + UG Iteration 7'!P$15)</f>
        <v>16.132026781230639</v>
      </c>
      <c r="E282" s="37">
        <f>'GF + UG Iteration 7'!E282</f>
        <v>0</v>
      </c>
      <c r="F282" s="35">
        <f>'GF + UG Iteration 7'!F282</f>
        <v>14</v>
      </c>
      <c r="G282" s="36">
        <f>'GF + UG Iteration 7'!G282</f>
        <v>6.4881768587089867</v>
      </c>
      <c r="H282" s="38">
        <f>'GF + UG Iteration 7'!H282</f>
        <v>2016</v>
      </c>
      <c r="I282" s="35">
        <f t="shared" si="30"/>
        <v>39</v>
      </c>
      <c r="J282" s="36">
        <f t="shared" si="31"/>
        <v>22.620203639939625</v>
      </c>
      <c r="K282" s="38">
        <f t="shared" si="32"/>
        <v>2016</v>
      </c>
      <c r="M282" s="21">
        <f t="shared" si="33"/>
        <v>3.6635616461296463</v>
      </c>
      <c r="N282" s="21">
        <f t="shared" si="34"/>
        <v>3.1188434732973014</v>
      </c>
    </row>
    <row r="283" spans="1:14" x14ac:dyDescent="0.2">
      <c r="A283" s="33">
        <f>'GF + UG Iteration 7'!A283</f>
        <v>1276</v>
      </c>
      <c r="B283" s="34" t="str">
        <f>'GF + UG Iteration 7'!B283</f>
        <v>UG</v>
      </c>
      <c r="C283" s="35">
        <f>'GF + UG Iteration 7'!C283</f>
        <v>34</v>
      </c>
      <c r="D283" s="36">
        <f>'GF + UG Iteration 7'!P$16*(C283^'GF + UG Iteration 7'!P$15)</f>
        <v>19.23526860741628</v>
      </c>
      <c r="E283" s="37" t="str">
        <f>'GF + UG Iteration 7'!E283</f>
        <v>unknown</v>
      </c>
      <c r="F283" s="35">
        <f>'GF + UG Iteration 7'!F283</f>
        <v>4</v>
      </c>
      <c r="G283" s="36">
        <f>'GF + UG Iteration 7'!G283</f>
        <v>0.69755192087391271</v>
      </c>
      <c r="H283" s="38">
        <f>'GF + UG Iteration 7'!H283</f>
        <v>2012</v>
      </c>
      <c r="I283" s="35">
        <f t="shared" si="30"/>
        <v>38</v>
      </c>
      <c r="J283" s="36">
        <f t="shared" si="31"/>
        <v>19.932820528290193</v>
      </c>
      <c r="K283" s="38">
        <f t="shared" si="32"/>
        <v>2012</v>
      </c>
      <c r="M283" s="21">
        <f t="shared" si="33"/>
        <v>3.6375861597263857</v>
      </c>
      <c r="N283" s="21">
        <f t="shared" si="34"/>
        <v>2.9923676459520485</v>
      </c>
    </row>
    <row r="284" spans="1:14" x14ac:dyDescent="0.2">
      <c r="A284" s="33">
        <f>'GF + UG Iteration 7'!A284</f>
        <v>823</v>
      </c>
      <c r="B284" s="34" t="str">
        <f>'GF + UG Iteration 7'!B284</f>
        <v>UG</v>
      </c>
      <c r="C284" s="35">
        <f>'GF + UG Iteration 7'!C284</f>
        <v>10</v>
      </c>
      <c r="D284" s="36">
        <f>'GF + UG Iteration 7'!P$16*(C284^'GF + UG Iteration 7'!P$15)</f>
        <v>9.5497621622698787</v>
      </c>
      <c r="E284" s="37" t="str">
        <f>'GF + UG Iteration 7'!E284</f>
        <v>unknown</v>
      </c>
      <c r="F284" s="35">
        <f>'GF + UG Iteration 7'!F284</f>
        <v>25</v>
      </c>
      <c r="G284" s="36">
        <f>'GF + UG Iteration 7'!G284</f>
        <v>8.3156614233786232</v>
      </c>
      <c r="H284" s="38">
        <f>'GF + UG Iteration 7'!H284</f>
        <v>2009</v>
      </c>
      <c r="I284" s="35">
        <f t="shared" si="30"/>
        <v>35</v>
      </c>
      <c r="J284" s="36">
        <f t="shared" si="31"/>
        <v>17.8654235856485</v>
      </c>
      <c r="K284" s="38">
        <f t="shared" si="32"/>
        <v>2009</v>
      </c>
      <c r="M284" s="21">
        <f t="shared" si="33"/>
        <v>3.5553480614894135</v>
      </c>
      <c r="N284" s="21">
        <f t="shared" si="34"/>
        <v>2.8828672015580428</v>
      </c>
    </row>
    <row r="285" spans="1:14" x14ac:dyDescent="0.2">
      <c r="A285" s="33">
        <f>'GF + UG Iteration 7'!A285</f>
        <v>1601</v>
      </c>
      <c r="B285" s="34" t="str">
        <f>'GF + UG Iteration 7'!B285</f>
        <v>UG</v>
      </c>
      <c r="C285" s="35">
        <f>'GF + UG Iteration 7'!C285</f>
        <v>77</v>
      </c>
      <c r="D285" s="36">
        <f>'GF + UG Iteration 7'!P$16*(C285^'GF + UG Iteration 7'!P$15)</f>
        <v>30.706593919030709</v>
      </c>
      <c r="E285" s="37">
        <f>'GF + UG Iteration 7'!E285</f>
        <v>0</v>
      </c>
      <c r="F285" s="35">
        <f>'GF + UG Iteration 7'!F285</f>
        <v>0</v>
      </c>
      <c r="G285" s="36">
        <f>'GF + UG Iteration 7'!G285</f>
        <v>4.0094648670350015</v>
      </c>
      <c r="H285" s="38">
        <f>'GF + UG Iteration 7'!H285</f>
        <v>2015</v>
      </c>
      <c r="I285" s="35">
        <f t="shared" si="30"/>
        <v>77</v>
      </c>
      <c r="J285" s="36">
        <f t="shared" si="31"/>
        <v>34.716058786065709</v>
      </c>
      <c r="K285" s="38">
        <f t="shared" si="32"/>
        <v>2015</v>
      </c>
      <c r="M285" s="21">
        <f t="shared" si="33"/>
        <v>4.3438054218536841</v>
      </c>
      <c r="N285" s="21">
        <f t="shared" si="34"/>
        <v>3.5472023691227039</v>
      </c>
    </row>
    <row r="286" spans="1:14" x14ac:dyDescent="0.2">
      <c r="A286" s="33">
        <f>'GF + UG Iteration 7'!A286</f>
        <v>1046</v>
      </c>
      <c r="B286" s="34" t="str">
        <f>'GF + UG Iteration 7'!B286</f>
        <v>UG</v>
      </c>
      <c r="C286" s="35">
        <f>'GF + UG Iteration 7'!C286</f>
        <v>33</v>
      </c>
      <c r="D286" s="36">
        <f>'GF + UG Iteration 7'!P$16*(C286^'GF + UG Iteration 7'!P$15)</f>
        <v>18.909491698344475</v>
      </c>
      <c r="E286" s="37" t="str">
        <f>'GF + UG Iteration 7'!E286</f>
        <v>unknown</v>
      </c>
      <c r="F286" s="35">
        <f>'GF + UG Iteration 7'!F286</f>
        <v>17</v>
      </c>
      <c r="G286" s="36">
        <f>'GF + UG Iteration 7'!G286</f>
        <v>13.838101419471103</v>
      </c>
      <c r="H286" s="38">
        <f>'GF + UG Iteration 7'!H286</f>
        <v>2011</v>
      </c>
      <c r="I286" s="35">
        <f t="shared" si="30"/>
        <v>50</v>
      </c>
      <c r="J286" s="36">
        <f t="shared" si="31"/>
        <v>32.747593117815576</v>
      </c>
      <c r="K286" s="38">
        <f t="shared" si="32"/>
        <v>2011</v>
      </c>
      <c r="M286" s="21">
        <f t="shared" si="33"/>
        <v>3.912023005428146</v>
      </c>
      <c r="N286" s="21">
        <f t="shared" si="34"/>
        <v>3.4888294667947646</v>
      </c>
    </row>
    <row r="287" spans="1:14" x14ac:dyDescent="0.2">
      <c r="A287" s="33">
        <f>'GF + UG Iteration 7'!A287</f>
        <v>873</v>
      </c>
      <c r="B287" s="34" t="str">
        <f>'GF + UG Iteration 7'!B287</f>
        <v>UG</v>
      </c>
      <c r="C287" s="35">
        <f>'GF + UG Iteration 7'!C287</f>
        <v>38</v>
      </c>
      <c r="D287" s="36">
        <f>'GF + UG Iteration 7'!P$16*(C287^'GF + UG Iteration 7'!P$15)</f>
        <v>20.499232390552244</v>
      </c>
      <c r="E287" s="37" t="str">
        <f>'GF + UG Iteration 7'!E287</f>
        <v>unknown</v>
      </c>
      <c r="F287" s="35">
        <f>'GF + UG Iteration 7'!F287</f>
        <v>10</v>
      </c>
      <c r="G287" s="36">
        <f>'GF + UG Iteration 7'!G287</f>
        <v>10.835025062169574</v>
      </c>
      <c r="H287" s="38">
        <f>'GF + UG Iteration 7'!H287</f>
        <v>2011</v>
      </c>
      <c r="I287" s="35">
        <f t="shared" si="30"/>
        <v>48</v>
      </c>
      <c r="J287" s="36">
        <f t="shared" si="31"/>
        <v>31.334257452721818</v>
      </c>
      <c r="K287" s="38">
        <f t="shared" si="32"/>
        <v>2011</v>
      </c>
      <c r="M287" s="21">
        <f t="shared" si="33"/>
        <v>3.8712010109078911</v>
      </c>
      <c r="N287" s="21">
        <f t="shared" si="34"/>
        <v>3.4447119863389521</v>
      </c>
    </row>
    <row r="288" spans="1:14" x14ac:dyDescent="0.2">
      <c r="A288" s="33">
        <f>'GF + UG Iteration 7'!A288</f>
        <v>630</v>
      </c>
      <c r="B288" s="34" t="str">
        <f>'GF + UG Iteration 7'!B288</f>
        <v>UG</v>
      </c>
      <c r="C288" s="35">
        <f>'GF + UG Iteration 7'!C288</f>
        <v>36.4</v>
      </c>
      <c r="D288" s="36">
        <f>'GF + UG Iteration 7'!P$16*(C288^'GF + UG Iteration 7'!P$15)</f>
        <v>20.000822993864514</v>
      </c>
      <c r="E288" s="37" t="str">
        <f>'GF + UG Iteration 7'!E288</f>
        <v>unknown</v>
      </c>
      <c r="F288" s="35">
        <f>'GF + UG Iteration 7'!F288</f>
        <v>3.6000000000000014</v>
      </c>
      <c r="G288" s="36">
        <f>'GF + UG Iteration 7'!G288</f>
        <v>0.76181860016629799</v>
      </c>
      <c r="H288" s="38">
        <f>'GF + UG Iteration 7'!H288</f>
        <v>2007</v>
      </c>
      <c r="I288" s="35">
        <f t="shared" si="30"/>
        <v>40</v>
      </c>
      <c r="J288" s="36">
        <f t="shared" si="31"/>
        <v>20.762641594030811</v>
      </c>
      <c r="K288" s="38">
        <f t="shared" si="32"/>
        <v>2007</v>
      </c>
      <c r="M288" s="21">
        <f t="shared" si="33"/>
        <v>3.6888794541139363</v>
      </c>
      <c r="N288" s="21">
        <f t="shared" si="34"/>
        <v>3.0331552946166198</v>
      </c>
    </row>
    <row r="289" spans="1:20" x14ac:dyDescent="0.2">
      <c r="A289" s="33">
        <f>'GF + UG Iteration 7'!A289</f>
        <v>1107</v>
      </c>
      <c r="B289" s="34" t="str">
        <f>'GF + UG Iteration 7'!B289</f>
        <v>UG</v>
      </c>
      <c r="C289" s="35">
        <f>'GF + UG Iteration 7'!C289</f>
        <v>16</v>
      </c>
      <c r="D289" s="36">
        <f>'GF + UG Iteration 7'!P$16*(C289^'GF + UG Iteration 7'!P$15)</f>
        <v>12.496474266550615</v>
      </c>
      <c r="E289" s="37">
        <f>'GF + UG Iteration 7'!E289</f>
        <v>2010</v>
      </c>
      <c r="F289" s="35">
        <f>'GF + UG Iteration 7'!F289</f>
        <v>24</v>
      </c>
      <c r="G289" s="36">
        <f>'GF + UG Iteration 7'!G289</f>
        <v>7.7000094501504579</v>
      </c>
      <c r="H289" s="38">
        <f>'GF + UG Iteration 7'!H289</f>
        <v>2014</v>
      </c>
      <c r="I289" s="35">
        <f t="shared" si="30"/>
        <v>40</v>
      </c>
      <c r="J289" s="36">
        <f t="shared" si="31"/>
        <v>20.196483716701074</v>
      </c>
      <c r="K289" s="38">
        <f t="shared" si="32"/>
        <v>2014</v>
      </c>
      <c r="M289" s="21">
        <f t="shared" si="33"/>
        <v>3.6888794541139363</v>
      </c>
      <c r="N289" s="21">
        <f t="shared" si="34"/>
        <v>3.0055085158239812</v>
      </c>
    </row>
    <row r="290" spans="1:20" x14ac:dyDescent="0.2">
      <c r="A290" s="33">
        <f>'GF + UG Iteration 7'!A290</f>
        <v>682</v>
      </c>
      <c r="B290" s="34" t="str">
        <f>'GF + UG Iteration 7'!B290</f>
        <v>UG</v>
      </c>
      <c r="C290" s="35">
        <f>'GF + UG Iteration 7'!C290</f>
        <v>12</v>
      </c>
      <c r="D290" s="36">
        <f>'GF + UG Iteration 7'!P$16*(C290^'GF + UG Iteration 7'!P$15)</f>
        <v>10.599834652286527</v>
      </c>
      <c r="E290" s="37">
        <f>'GF + UG Iteration 7'!E290</f>
        <v>2005</v>
      </c>
      <c r="F290" s="35">
        <f>'GF + UG Iteration 7'!F290</f>
        <v>18</v>
      </c>
      <c r="G290" s="36">
        <f>'GF + UG Iteration 7'!G290</f>
        <v>4.2252233548626927</v>
      </c>
      <c r="H290" s="38">
        <f>'GF + UG Iteration 7'!H290</f>
        <v>2009</v>
      </c>
      <c r="I290" s="35">
        <f t="shared" ref="I290:I291" si="35">C290+F290</f>
        <v>30</v>
      </c>
      <c r="J290" s="36">
        <f t="shared" ref="J290:J291" si="36">D290+G290</f>
        <v>14.82505800714922</v>
      </c>
      <c r="K290" s="38">
        <f t="shared" ref="K290:K291" si="37">MAX(E290,H290)</f>
        <v>2009</v>
      </c>
      <c r="M290" s="21">
        <f t="shared" ref="M290:M291" si="38">LN(I290)</f>
        <v>3.4011973816621555</v>
      </c>
      <c r="N290" s="21">
        <f t="shared" ref="N290:N291" si="39">LN(J290)</f>
        <v>2.6963188576686616</v>
      </c>
    </row>
    <row r="291" spans="1:20" x14ac:dyDescent="0.2">
      <c r="A291" s="33">
        <f>'GF + UG Iteration 7'!A291</f>
        <v>677</v>
      </c>
      <c r="B291" s="34" t="str">
        <f>'GF + UG Iteration 7'!B291</f>
        <v>UG</v>
      </c>
      <c r="C291" s="35">
        <f>'GF + UG Iteration 7'!C291</f>
        <v>117</v>
      </c>
      <c r="D291" s="36">
        <f>'GF + UG Iteration 7'!P$16*(C291^'GF + UG Iteration 7'!P$15)</f>
        <v>39.011744226487053</v>
      </c>
      <c r="E291" s="37" t="str">
        <f>'GF + UG Iteration 7'!E291</f>
        <v>unknown</v>
      </c>
      <c r="F291" s="35">
        <f>'GF + UG Iteration 7'!F291</f>
        <v>0</v>
      </c>
      <c r="G291" s="36">
        <f>'GF + UG Iteration 7'!G291</f>
        <v>5.9672660834890454</v>
      </c>
      <c r="H291" s="38">
        <f>'GF + UG Iteration 7'!H291</f>
        <v>2009</v>
      </c>
      <c r="I291" s="35">
        <f t="shared" si="35"/>
        <v>117</v>
      </c>
      <c r="J291" s="36">
        <f t="shared" si="36"/>
        <v>44.979010309976097</v>
      </c>
      <c r="K291" s="38">
        <f t="shared" si="37"/>
        <v>2009</v>
      </c>
      <c r="M291" s="21">
        <f t="shared" si="38"/>
        <v>4.7621739347977563</v>
      </c>
      <c r="N291" s="21">
        <f t="shared" si="39"/>
        <v>3.8061959433983978</v>
      </c>
    </row>
    <row r="292" spans="1:20" x14ac:dyDescent="0.2">
      <c r="A292" s="33">
        <f>'GF + UG Iteration 7'!A292</f>
        <v>643</v>
      </c>
      <c r="B292" s="34" t="str">
        <f>'GF + UG Iteration 7'!B292</f>
        <v>UG</v>
      </c>
      <c r="C292" s="35">
        <f>'GF + UG Iteration 7'!C292</f>
        <v>53.37</v>
      </c>
      <c r="D292" s="36">
        <f>'GF + UG Iteration 7'!P$16*(C292^'GF + UG Iteration 7'!P$15)</f>
        <v>24.8967736018406</v>
      </c>
      <c r="E292" s="37" t="str">
        <f>'GF + UG Iteration 7'!E292</f>
        <v>unknown</v>
      </c>
      <c r="F292" s="35">
        <f>'GF + UG Iteration 7'!F292</f>
        <v>0.5</v>
      </c>
      <c r="G292" s="36">
        <f>'GF + UG Iteration 7'!G292</f>
        <v>4.4086715648995529</v>
      </c>
      <c r="H292" s="38">
        <f>'GF + UG Iteration 7'!H292</f>
        <v>2009</v>
      </c>
      <c r="I292" s="35">
        <f t="shared" si="30"/>
        <v>53.87</v>
      </c>
      <c r="J292" s="36">
        <f t="shared" si="31"/>
        <v>29.305445166740153</v>
      </c>
      <c r="K292" s="38">
        <f t="shared" si="32"/>
        <v>2009</v>
      </c>
      <c r="M292" s="21">
        <f t="shared" si="33"/>
        <v>3.9865737366924425</v>
      </c>
      <c r="N292" s="21">
        <f t="shared" si="34"/>
        <v>3.3777733406248256</v>
      </c>
    </row>
    <row r="294" spans="1:20" s="9" customFormat="1" x14ac:dyDescent="0.2">
      <c r="A294" s="26" t="s">
        <v>29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43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8" activePane="bottomLeft" state="frozen"/>
      <selection activeCell="A4" sqref="A4"/>
      <selection pane="bottomLeft" activeCell="A8" sqref="A8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54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G - Point of Delivery Cost Function Workbook</v>
      </c>
    </row>
    <row r="4" spans="1:20" s="1" customFormat="1" x14ac:dyDescent="0.2">
      <c r="A4" s="1" t="s">
        <v>977</v>
      </c>
      <c r="B4" s="42"/>
    </row>
    <row r="5" spans="1:20" s="1" customFormat="1" x14ac:dyDescent="0.2">
      <c r="A5" s="43" t="str">
        <f>TableDate</f>
        <v>August 17, 2018</v>
      </c>
      <c r="B5" s="44"/>
    </row>
    <row r="6" spans="1:20" x14ac:dyDescent="0.2">
      <c r="E6" s="28"/>
    </row>
    <row r="7" spans="1:20" ht="25.5" x14ac:dyDescent="0.2">
      <c r="A7" s="10" t="s">
        <v>0</v>
      </c>
      <c r="B7" s="11" t="s">
        <v>7</v>
      </c>
      <c r="C7" s="12" t="s">
        <v>8</v>
      </c>
      <c r="D7" s="13" t="s">
        <v>30</v>
      </c>
      <c r="E7" s="14" t="s">
        <v>10</v>
      </c>
      <c r="F7" s="12" t="s">
        <v>11</v>
      </c>
      <c r="G7" s="13" t="s">
        <v>12</v>
      </c>
      <c r="H7" s="14" t="s">
        <v>13</v>
      </c>
      <c r="I7" s="12" t="s">
        <v>2</v>
      </c>
      <c r="J7" s="13" t="s">
        <v>14</v>
      </c>
      <c r="K7" s="14" t="s">
        <v>15</v>
      </c>
      <c r="M7" s="11" t="s">
        <v>16</v>
      </c>
      <c r="N7" s="11" t="s">
        <v>17</v>
      </c>
      <c r="P7" s="41" t="s">
        <v>53</v>
      </c>
      <c r="Q7" s="15"/>
      <c r="T7" s="3"/>
    </row>
    <row r="8" spans="1:20" x14ac:dyDescent="0.2">
      <c r="A8" s="25">
        <f>'GF + UG Iteration 8'!A8</f>
        <v>476</v>
      </c>
      <c r="B8" s="25" t="str">
        <f>'GF + UG Iteration 8'!B8</f>
        <v>GF</v>
      </c>
      <c r="C8" s="18">
        <f>'GF + UG Iteration 8'!C8</f>
        <v>14</v>
      </c>
      <c r="D8" s="19">
        <f>'GF + UG Iteration 8'!D8</f>
        <v>16.861812370959647</v>
      </c>
      <c r="E8" s="30">
        <f>'GF + UG Iteration 8'!E8</f>
        <v>2003</v>
      </c>
      <c r="F8" s="18"/>
      <c r="G8" s="19"/>
      <c r="H8" s="20"/>
      <c r="I8" s="18">
        <f>C8+F8</f>
        <v>14</v>
      </c>
      <c r="J8" s="19">
        <f>D8+G8</f>
        <v>16.861812370959647</v>
      </c>
      <c r="K8" s="20">
        <f>MAX(E8,H8)</f>
        <v>2003</v>
      </c>
      <c r="M8" s="21">
        <f>LN(I8)</f>
        <v>2.6390573296152584</v>
      </c>
      <c r="N8" s="21">
        <f>LN(J8)</f>
        <v>2.8250514421084625</v>
      </c>
      <c r="O8" s="3" t="s">
        <v>19</v>
      </c>
      <c r="P8" s="22">
        <f t="array" ref="P8:Q12">LINEST(N8:N292,M8:M292,TRUE,TRUE)</f>
        <v>0.5725372663283359</v>
      </c>
      <c r="Q8" s="22">
        <v>0.93797036442706005</v>
      </c>
      <c r="R8" s="5" t="s">
        <v>20</v>
      </c>
    </row>
    <row r="9" spans="1:20" x14ac:dyDescent="0.2">
      <c r="A9" s="25">
        <f>'GF + UG Iteration 8'!A9</f>
        <v>478</v>
      </c>
      <c r="B9" s="25" t="str">
        <f>'GF + UG Iteration 8'!B9</f>
        <v>GF</v>
      </c>
      <c r="C9" s="18">
        <f>'GF + UG Iteration 8'!C9</f>
        <v>8.5</v>
      </c>
      <c r="D9" s="19">
        <f>'GF + UG Iteration 8'!D9</f>
        <v>6.0182252638842719</v>
      </c>
      <c r="E9" s="30">
        <f>'GF + UG Iteration 8'!E9</f>
        <v>2003</v>
      </c>
      <c r="F9" s="18"/>
      <c r="G9" s="19"/>
      <c r="H9" s="20"/>
      <c r="I9" s="18">
        <f t="shared" ref="I9:I71" si="0">C9+F9</f>
        <v>8.5</v>
      </c>
      <c r="J9" s="19">
        <f t="shared" ref="J9:J71" si="1">D9+G9</f>
        <v>6.0182252638842719</v>
      </c>
      <c r="K9" s="20">
        <f t="shared" ref="K9:K71" si="2">MAX(E9,H9)</f>
        <v>2003</v>
      </c>
      <c r="M9" s="21">
        <f t="shared" ref="M9:M71" si="3">LN(I9)</f>
        <v>2.1400661634962708</v>
      </c>
      <c r="N9" s="21">
        <f t="shared" ref="N9:N71" si="4">LN(J9)</f>
        <v>1.7947924091929603</v>
      </c>
      <c r="O9" s="3" t="s">
        <v>21</v>
      </c>
      <c r="P9" s="22">
        <v>3.2093667054894463E-2</v>
      </c>
      <c r="Q9" s="22">
        <v>0.10233768787127308</v>
      </c>
      <c r="R9" s="5" t="s">
        <v>22</v>
      </c>
    </row>
    <row r="10" spans="1:20" x14ac:dyDescent="0.2">
      <c r="A10" s="25">
        <f>'GF + UG Iteration 8'!A10</f>
        <v>473</v>
      </c>
      <c r="B10" s="25" t="str">
        <f>'GF + UG Iteration 8'!B10</f>
        <v>GF</v>
      </c>
      <c r="C10" s="18">
        <f>'GF + UG Iteration 8'!C10</f>
        <v>30</v>
      </c>
      <c r="D10" s="19">
        <f>'GF + UG Iteration 8'!D10</f>
        <v>14.998991377977235</v>
      </c>
      <c r="E10" s="30">
        <f>'GF + UG Iteration 8'!E10</f>
        <v>2003</v>
      </c>
      <c r="F10" s="18"/>
      <c r="G10" s="19"/>
      <c r="H10" s="20"/>
      <c r="I10" s="18">
        <f t="shared" si="0"/>
        <v>30</v>
      </c>
      <c r="J10" s="19">
        <f t="shared" si="1"/>
        <v>14.998991377977235</v>
      </c>
      <c r="K10" s="20">
        <f t="shared" si="2"/>
        <v>2003</v>
      </c>
      <c r="M10" s="21">
        <f t="shared" si="3"/>
        <v>3.4011973816621555</v>
      </c>
      <c r="N10" s="21">
        <f t="shared" si="4"/>
        <v>2.707982957373217</v>
      </c>
      <c r="O10" s="3" t="s">
        <v>1</v>
      </c>
      <c r="P10" s="22">
        <v>0.52931417145465687</v>
      </c>
      <c r="Q10" s="22">
        <v>0.39315299632992567</v>
      </c>
      <c r="R10" s="5" t="s">
        <v>23</v>
      </c>
    </row>
    <row r="11" spans="1:20" x14ac:dyDescent="0.2">
      <c r="A11" s="25">
        <f>'GF + UG Iteration 8'!A11</f>
        <v>1042</v>
      </c>
      <c r="B11" s="25" t="str">
        <f>'GF + UG Iteration 8'!B11</f>
        <v>GF</v>
      </c>
      <c r="C11" s="18">
        <f>'GF + UG Iteration 8'!C11</f>
        <v>13</v>
      </c>
      <c r="D11" s="19">
        <f>'GF + UG Iteration 8'!D11</f>
        <v>11.164764224012115</v>
      </c>
      <c r="E11" s="30">
        <f>'GF + UG Iteration 8'!E11</f>
        <v>2011</v>
      </c>
      <c r="F11" s="18"/>
      <c r="G11" s="19"/>
      <c r="H11" s="20"/>
      <c r="I11" s="18">
        <f t="shared" si="0"/>
        <v>13</v>
      </c>
      <c r="J11" s="19">
        <f t="shared" si="1"/>
        <v>11.164764224012115</v>
      </c>
      <c r="K11" s="20">
        <f t="shared" si="2"/>
        <v>2011</v>
      </c>
      <c r="M11" s="21">
        <f t="shared" si="3"/>
        <v>2.5649493574615367</v>
      </c>
      <c r="N11" s="21">
        <f t="shared" si="4"/>
        <v>2.4127627676497201</v>
      </c>
      <c r="O11" s="3" t="s">
        <v>24</v>
      </c>
      <c r="P11" s="22">
        <v>318.25030930846776</v>
      </c>
      <c r="Q11" s="22">
        <v>283</v>
      </c>
      <c r="R11" s="5" t="s">
        <v>25</v>
      </c>
    </row>
    <row r="12" spans="1:20" x14ac:dyDescent="0.2">
      <c r="A12" s="25">
        <f>'GF + UG Iteration 8'!A12</f>
        <v>443</v>
      </c>
      <c r="B12" s="25" t="str">
        <f>'GF + UG Iteration 8'!B12</f>
        <v>GF</v>
      </c>
      <c r="C12" s="18">
        <f>'GF + UG Iteration 8'!C12</f>
        <v>24.3</v>
      </c>
      <c r="D12" s="19">
        <f>'GF + UG Iteration 8'!D12</f>
        <v>11.705577131494863</v>
      </c>
      <c r="E12" s="30">
        <f>'GF + UG Iteration 8'!E12</f>
        <v>2006</v>
      </c>
      <c r="F12" s="18"/>
      <c r="G12" s="19"/>
      <c r="H12" s="20"/>
      <c r="I12" s="18">
        <f t="shared" si="0"/>
        <v>24.3</v>
      </c>
      <c r="J12" s="19">
        <f t="shared" si="1"/>
        <v>11.705577131494863</v>
      </c>
      <c r="K12" s="20">
        <f t="shared" si="2"/>
        <v>2006</v>
      </c>
      <c r="M12" s="21">
        <f t="shared" si="3"/>
        <v>3.1904763503465028</v>
      </c>
      <c r="N12" s="21">
        <f t="shared" si="4"/>
        <v>2.4600654061344325</v>
      </c>
      <c r="O12" s="3" t="s">
        <v>26</v>
      </c>
      <c r="P12" s="22">
        <v>49.19172069959464</v>
      </c>
      <c r="Q12" s="22">
        <v>43.743105822065189</v>
      </c>
      <c r="R12" s="5" t="s">
        <v>27</v>
      </c>
    </row>
    <row r="13" spans="1:20" x14ac:dyDescent="0.2">
      <c r="A13" s="25">
        <f>'GF + UG Iteration 8'!A13</f>
        <v>1195</v>
      </c>
      <c r="B13" s="25" t="str">
        <f>'GF + UG Iteration 8'!B13</f>
        <v>GF</v>
      </c>
      <c r="C13" s="18">
        <f>'GF + UG Iteration 8'!C13</f>
        <v>18</v>
      </c>
      <c r="D13" s="19">
        <f>'GF + UG Iteration 8'!D13</f>
        <v>31.659927445331629</v>
      </c>
      <c r="E13" s="30">
        <f>'GF + UG Iteration 8'!E13</f>
        <v>2011</v>
      </c>
      <c r="F13" s="18"/>
      <c r="G13" s="19"/>
      <c r="H13" s="20"/>
      <c r="I13" s="18">
        <f t="shared" si="0"/>
        <v>18</v>
      </c>
      <c r="J13" s="19">
        <f t="shared" si="1"/>
        <v>31.659927445331629</v>
      </c>
      <c r="K13" s="20">
        <f t="shared" si="2"/>
        <v>2011</v>
      </c>
      <c r="M13" s="21">
        <f t="shared" si="3"/>
        <v>2.8903717578961645</v>
      </c>
      <c r="N13" s="21">
        <f t="shared" si="4"/>
        <v>3.4550517627677269</v>
      </c>
    </row>
    <row r="14" spans="1:20" x14ac:dyDescent="0.2">
      <c r="A14" s="25">
        <f>'GF + UG Iteration 8'!A14</f>
        <v>420</v>
      </c>
      <c r="B14" s="25" t="str">
        <f>'GF + UG Iteration 8'!B14</f>
        <v>GF</v>
      </c>
      <c r="C14" s="18">
        <f>'GF + UG Iteration 8'!C14</f>
        <v>6</v>
      </c>
      <c r="D14" s="19">
        <f>'GF + UG Iteration 8'!D14</f>
        <v>9.6396451057157435</v>
      </c>
      <c r="E14" s="30">
        <f>'GF + UG Iteration 8'!E14</f>
        <v>2007</v>
      </c>
      <c r="F14" s="18"/>
      <c r="G14" s="19"/>
      <c r="H14" s="20"/>
      <c r="I14" s="18">
        <f t="shared" si="0"/>
        <v>6</v>
      </c>
      <c r="J14" s="19">
        <f t="shared" si="1"/>
        <v>9.6396451057157435</v>
      </c>
      <c r="K14" s="20">
        <f t="shared" si="2"/>
        <v>2007</v>
      </c>
      <c r="M14" s="21">
        <f t="shared" si="3"/>
        <v>1.791759469228055</v>
      </c>
      <c r="N14" s="21">
        <f t="shared" si="4"/>
        <v>2.2658842931849965</v>
      </c>
      <c r="P14" s="15" t="s">
        <v>6</v>
      </c>
      <c r="Q14" s="15"/>
    </row>
    <row r="15" spans="1:20" x14ac:dyDescent="0.2">
      <c r="A15" s="25">
        <f>'GF + UG Iteration 8'!A15</f>
        <v>440</v>
      </c>
      <c r="B15" s="25" t="str">
        <f>'GF + UG Iteration 8'!B15</f>
        <v>GF</v>
      </c>
      <c r="C15" s="18">
        <f>'GF + UG Iteration 8'!C15</f>
        <v>10</v>
      </c>
      <c r="D15" s="19">
        <f>'GF + UG Iteration 8'!D15</f>
        <v>16.009559216092757</v>
      </c>
      <c r="E15" s="30">
        <f>'GF + UG Iteration 8'!E15</f>
        <v>2006</v>
      </c>
      <c r="F15" s="18"/>
      <c r="G15" s="19"/>
      <c r="H15" s="20"/>
      <c r="I15" s="18">
        <f t="shared" si="0"/>
        <v>10</v>
      </c>
      <c r="J15" s="19">
        <f t="shared" si="1"/>
        <v>16.009559216092757</v>
      </c>
      <c r="K15" s="20">
        <f t="shared" si="2"/>
        <v>2006</v>
      </c>
      <c r="M15" s="21">
        <f t="shared" si="3"/>
        <v>2.3025850929940459</v>
      </c>
      <c r="N15" s="21">
        <f t="shared" si="4"/>
        <v>2.7731859948427808</v>
      </c>
      <c r="O15" s="3" t="s">
        <v>19</v>
      </c>
      <c r="P15" s="23">
        <f>P8</f>
        <v>0.5725372663283359</v>
      </c>
      <c r="Q15" s="31">
        <f>(P15-'GF + UG Iteration 8'!P15)/'GF + UG Iteration 8'!P15</f>
        <v>1.8242112524160189E-4</v>
      </c>
      <c r="R15" s="32" t="s">
        <v>31</v>
      </c>
    </row>
    <row r="16" spans="1:20" x14ac:dyDescent="0.2">
      <c r="A16" s="25">
        <f>'GF + UG Iteration 8'!A16</f>
        <v>1102</v>
      </c>
      <c r="B16" s="25" t="str">
        <f>'GF + UG Iteration 8'!B16</f>
        <v>GF</v>
      </c>
      <c r="C16" s="18">
        <f>'GF + UG Iteration 8'!C16</f>
        <v>20</v>
      </c>
      <c r="D16" s="19">
        <f>'GF + UG Iteration 8'!D16</f>
        <v>16.293644713264708</v>
      </c>
      <c r="E16" s="30">
        <f>'GF + UG Iteration 8'!E16</f>
        <v>2011</v>
      </c>
      <c r="F16" s="18"/>
      <c r="G16" s="19"/>
      <c r="H16" s="20"/>
      <c r="I16" s="18">
        <f t="shared" si="0"/>
        <v>20</v>
      </c>
      <c r="J16" s="19">
        <f t="shared" si="1"/>
        <v>16.293644713264708</v>
      </c>
      <c r="K16" s="20">
        <f t="shared" si="2"/>
        <v>2011</v>
      </c>
      <c r="M16" s="21">
        <f t="shared" si="3"/>
        <v>2.9957322735539909</v>
      </c>
      <c r="N16" s="21">
        <f t="shared" si="4"/>
        <v>2.7907751368922047</v>
      </c>
      <c r="O16" s="3" t="s">
        <v>28</v>
      </c>
      <c r="P16" s="23">
        <f>EXP(Q8)</f>
        <v>2.5547908582311161</v>
      </c>
      <c r="Q16" s="31">
        <f>(P16-'GF + UG Iteration 8'!P16)/'GF + UG Iteration 8'!P16</f>
        <v>-3.178786498200778E-4</v>
      </c>
      <c r="R16" s="32" t="s">
        <v>32</v>
      </c>
    </row>
    <row r="17" spans="1:18" x14ac:dyDescent="0.2">
      <c r="A17" s="25">
        <f>'GF + UG Iteration 8'!A17</f>
        <v>324</v>
      </c>
      <c r="B17" s="25" t="str">
        <f>'GF + UG Iteration 8'!B17</f>
        <v>GF</v>
      </c>
      <c r="C17" s="18">
        <f>'GF + UG Iteration 8'!C17</f>
        <v>17.2</v>
      </c>
      <c r="D17" s="19">
        <f>'GF + UG Iteration 8'!D17</f>
        <v>8.9094125785416409</v>
      </c>
      <c r="E17" s="30">
        <f>'GF + UG Iteration 8'!E17</f>
        <v>2003</v>
      </c>
      <c r="F17" s="18"/>
      <c r="G17" s="19"/>
      <c r="H17" s="20"/>
      <c r="I17" s="18">
        <f t="shared" si="0"/>
        <v>17.2</v>
      </c>
      <c r="J17" s="19">
        <f t="shared" si="1"/>
        <v>8.9094125785416409</v>
      </c>
      <c r="K17" s="20">
        <f t="shared" si="2"/>
        <v>2003</v>
      </c>
      <c r="M17" s="21">
        <f t="shared" si="3"/>
        <v>2.8449093838194073</v>
      </c>
      <c r="N17" s="21">
        <f t="shared" si="4"/>
        <v>2.1871083109750784</v>
      </c>
      <c r="O17" s="3"/>
      <c r="P17" s="24"/>
      <c r="R17" s="32" t="s">
        <v>33</v>
      </c>
    </row>
    <row r="18" spans="1:18" x14ac:dyDescent="0.2">
      <c r="A18" s="25">
        <f>'GF + UG Iteration 8'!A18</f>
        <v>1103</v>
      </c>
      <c r="B18" s="25" t="str">
        <f>'GF + UG Iteration 8'!B18</f>
        <v>GF</v>
      </c>
      <c r="C18" s="18">
        <f>'GF + UG Iteration 8'!C18</f>
        <v>20</v>
      </c>
      <c r="D18" s="19">
        <f>'GF + UG Iteration 8'!D18</f>
        <v>17.299482978955592</v>
      </c>
      <c r="E18" s="30">
        <f>'GF + UG Iteration 8'!E18</f>
        <v>2011</v>
      </c>
      <c r="F18" s="18"/>
      <c r="G18" s="19"/>
      <c r="H18" s="20"/>
      <c r="I18" s="18">
        <f t="shared" si="0"/>
        <v>20</v>
      </c>
      <c r="J18" s="19">
        <f t="shared" si="1"/>
        <v>17.299482978955592</v>
      </c>
      <c r="K18" s="20">
        <f t="shared" si="2"/>
        <v>2011</v>
      </c>
      <c r="M18" s="21">
        <f t="shared" si="3"/>
        <v>2.9957322735539909</v>
      </c>
      <c r="N18" s="21">
        <f t="shared" si="4"/>
        <v>2.8506766154476462</v>
      </c>
      <c r="P18"/>
      <c r="Q18"/>
      <c r="R18" s="32" t="s">
        <v>34</v>
      </c>
    </row>
    <row r="19" spans="1:18" x14ac:dyDescent="0.2">
      <c r="A19" s="25">
        <f>'GF + UG Iteration 8'!A19</f>
        <v>386</v>
      </c>
      <c r="B19" s="25" t="str">
        <f>'GF + UG Iteration 8'!B19</f>
        <v>GF</v>
      </c>
      <c r="C19" s="18">
        <f>'GF + UG Iteration 8'!C19</f>
        <v>9</v>
      </c>
      <c r="D19" s="19">
        <f>'GF + UG Iteration 8'!D19</f>
        <v>9.9511250787738224</v>
      </c>
      <c r="E19" s="30">
        <f>'GF + UG Iteration 8'!E19</f>
        <v>2003</v>
      </c>
      <c r="F19" s="18"/>
      <c r="G19" s="19"/>
      <c r="H19" s="20"/>
      <c r="I19" s="18">
        <f t="shared" si="0"/>
        <v>9</v>
      </c>
      <c r="J19" s="19">
        <f t="shared" si="1"/>
        <v>9.9511250787738224</v>
      </c>
      <c r="K19" s="20">
        <f t="shared" si="2"/>
        <v>2003</v>
      </c>
      <c r="M19" s="21">
        <f t="shared" si="3"/>
        <v>2.1972245773362196</v>
      </c>
      <c r="N19" s="21">
        <f t="shared" si="4"/>
        <v>2.2976856180218044</v>
      </c>
      <c r="P19"/>
      <c r="Q19"/>
    </row>
    <row r="20" spans="1:18" x14ac:dyDescent="0.2">
      <c r="A20" s="25">
        <f>'GF + UG Iteration 8'!A20</f>
        <v>80</v>
      </c>
      <c r="B20" s="25" t="str">
        <f>'GF + UG Iteration 8'!B20</f>
        <v>GF</v>
      </c>
      <c r="C20" s="18">
        <f>'GF + UG Iteration 8'!C20</f>
        <v>8</v>
      </c>
      <c r="D20" s="19">
        <f>'GF + UG Iteration 8'!D20</f>
        <v>6.0754029342110369</v>
      </c>
      <c r="E20" s="30">
        <f>'GF + UG Iteration 8'!E20</f>
        <v>2001</v>
      </c>
      <c r="F20" s="18"/>
      <c r="G20" s="19"/>
      <c r="H20" s="20"/>
      <c r="I20" s="18">
        <f t="shared" si="0"/>
        <v>8</v>
      </c>
      <c r="J20" s="19">
        <f t="shared" si="1"/>
        <v>6.0754029342110369</v>
      </c>
      <c r="K20" s="20">
        <f t="shared" si="2"/>
        <v>2001</v>
      </c>
      <c r="M20" s="21">
        <f t="shared" si="3"/>
        <v>2.0794415416798357</v>
      </c>
      <c r="N20" s="21">
        <f t="shared" si="4"/>
        <v>1.8042483136462</v>
      </c>
      <c r="P20"/>
      <c r="Q20"/>
    </row>
    <row r="21" spans="1:18" x14ac:dyDescent="0.2">
      <c r="A21" s="25">
        <f>'GF + UG Iteration 8'!A21</f>
        <v>1052</v>
      </c>
      <c r="B21" s="25" t="str">
        <f>'GF + UG Iteration 8'!B21</f>
        <v>GF</v>
      </c>
      <c r="C21" s="18">
        <f>'GF + UG Iteration 8'!C21</f>
        <v>13.6</v>
      </c>
      <c r="D21" s="19">
        <f>'GF + UG Iteration 8'!D21</f>
        <v>10.90270245998838</v>
      </c>
      <c r="E21" s="30">
        <f>'GF + UG Iteration 8'!E21</f>
        <v>2011</v>
      </c>
      <c r="F21" s="18"/>
      <c r="G21" s="19"/>
      <c r="H21" s="20"/>
      <c r="I21" s="18">
        <f t="shared" si="0"/>
        <v>13.6</v>
      </c>
      <c r="J21" s="19">
        <f t="shared" si="1"/>
        <v>10.90270245998838</v>
      </c>
      <c r="K21" s="20">
        <f t="shared" si="2"/>
        <v>2011</v>
      </c>
      <c r="M21" s="21">
        <f t="shared" si="3"/>
        <v>2.6100697927420065</v>
      </c>
      <c r="N21" s="21">
        <f t="shared" si="4"/>
        <v>2.3890106906140374</v>
      </c>
      <c r="P21"/>
      <c r="Q21"/>
    </row>
    <row r="22" spans="1:18" x14ac:dyDescent="0.2">
      <c r="A22" s="25">
        <f>'GF + UG Iteration 8'!A22</f>
        <v>347</v>
      </c>
      <c r="B22" s="25" t="str">
        <f>'GF + UG Iteration 8'!B22</f>
        <v>GF</v>
      </c>
      <c r="C22" s="18">
        <f>'GF + UG Iteration 8'!C22</f>
        <v>10.548</v>
      </c>
      <c r="D22" s="19">
        <f>'GF + UG Iteration 8'!D22</f>
        <v>9.3004925979781259</v>
      </c>
      <c r="E22" s="30">
        <f>'GF + UG Iteration 8'!E22</f>
        <v>2003</v>
      </c>
      <c r="F22" s="18"/>
      <c r="G22" s="19"/>
      <c r="H22" s="20"/>
      <c r="I22" s="18">
        <f t="shared" si="0"/>
        <v>10.548</v>
      </c>
      <c r="J22" s="19">
        <f t="shared" si="1"/>
        <v>9.3004925979781259</v>
      </c>
      <c r="K22" s="20">
        <f t="shared" si="2"/>
        <v>2003</v>
      </c>
      <c r="M22" s="21">
        <f t="shared" si="3"/>
        <v>2.3559362684910403</v>
      </c>
      <c r="N22" s="21">
        <f t="shared" si="4"/>
        <v>2.23006736628101</v>
      </c>
    </row>
    <row r="23" spans="1:18" x14ac:dyDescent="0.2">
      <c r="A23" s="25">
        <f>'GF + UG Iteration 8'!A23</f>
        <v>1358</v>
      </c>
      <c r="B23" s="25" t="str">
        <f>'GF + UG Iteration 8'!B23</f>
        <v>GF</v>
      </c>
      <c r="C23" s="18">
        <f>'GF + UG Iteration 8'!C23</f>
        <v>27</v>
      </c>
      <c r="D23" s="19">
        <f>'GF + UG Iteration 8'!D23</f>
        <v>13.07265503282744</v>
      </c>
      <c r="E23" s="30">
        <f>'GF + UG Iteration 8'!E23</f>
        <v>2011</v>
      </c>
      <c r="F23" s="18"/>
      <c r="G23" s="19"/>
      <c r="H23" s="20"/>
      <c r="I23" s="18">
        <f t="shared" si="0"/>
        <v>27</v>
      </c>
      <c r="J23" s="19">
        <f t="shared" si="1"/>
        <v>13.07265503282744</v>
      </c>
      <c r="K23" s="20">
        <f t="shared" si="2"/>
        <v>2011</v>
      </c>
      <c r="M23" s="21">
        <f t="shared" si="3"/>
        <v>3.2958368660043291</v>
      </c>
      <c r="N23" s="21">
        <f t="shared" si="4"/>
        <v>2.5705226464726247</v>
      </c>
    </row>
    <row r="24" spans="1:18" x14ac:dyDescent="0.2">
      <c r="A24" s="25">
        <f>'GF + UG Iteration 8'!A24</f>
        <v>584</v>
      </c>
      <c r="B24" s="25" t="str">
        <f>'GF + UG Iteration 8'!B24</f>
        <v>GF</v>
      </c>
      <c r="C24" s="18">
        <f>'GF + UG Iteration 8'!C24</f>
        <v>28</v>
      </c>
      <c r="D24" s="19">
        <f>'GF + UG Iteration 8'!D24</f>
        <v>34.903749706800433</v>
      </c>
      <c r="E24" s="30">
        <f>'GF + UG Iteration 8'!E24</f>
        <v>2011</v>
      </c>
      <c r="F24" s="18"/>
      <c r="G24" s="19"/>
      <c r="H24" s="20"/>
      <c r="I24" s="18">
        <f t="shared" si="0"/>
        <v>28</v>
      </c>
      <c r="J24" s="19">
        <f t="shared" si="1"/>
        <v>34.903749706800433</v>
      </c>
      <c r="K24" s="20">
        <f t="shared" si="2"/>
        <v>2011</v>
      </c>
      <c r="M24" s="21">
        <f t="shared" si="3"/>
        <v>3.3322045101752038</v>
      </c>
      <c r="N24" s="21">
        <f t="shared" si="4"/>
        <v>3.5525942648925612</v>
      </c>
    </row>
    <row r="25" spans="1:18" x14ac:dyDescent="0.2">
      <c r="A25" s="25">
        <f>'GF + UG Iteration 8'!A25</f>
        <v>422</v>
      </c>
      <c r="B25" s="25" t="str">
        <f>'GF + UG Iteration 8'!B25</f>
        <v>GF</v>
      </c>
      <c r="C25" s="18">
        <f>'GF + UG Iteration 8'!C25</f>
        <v>24</v>
      </c>
      <c r="D25" s="19">
        <f>'GF + UG Iteration 8'!D25</f>
        <v>13.650794587226329</v>
      </c>
      <c r="E25" s="30">
        <f>'GF + UG Iteration 8'!E25</f>
        <v>2003</v>
      </c>
      <c r="F25" s="18"/>
      <c r="G25" s="19"/>
      <c r="H25" s="20"/>
      <c r="I25" s="18">
        <f t="shared" si="0"/>
        <v>24</v>
      </c>
      <c r="J25" s="19">
        <f t="shared" si="1"/>
        <v>13.650794587226329</v>
      </c>
      <c r="K25" s="20">
        <f t="shared" si="2"/>
        <v>2003</v>
      </c>
      <c r="M25" s="21">
        <f t="shared" si="3"/>
        <v>3.1780538303479458</v>
      </c>
      <c r="N25" s="21">
        <f t="shared" si="4"/>
        <v>2.6137977314551564</v>
      </c>
    </row>
    <row r="26" spans="1:18" x14ac:dyDescent="0.2">
      <c r="A26" s="25">
        <f>'GF + UG Iteration 8'!A26</f>
        <v>944</v>
      </c>
      <c r="B26" s="25" t="str">
        <f>'GF + UG Iteration 8'!B26</f>
        <v>GF</v>
      </c>
      <c r="C26" s="18">
        <f>'GF + UG Iteration 8'!C26</f>
        <v>43</v>
      </c>
      <c r="D26" s="19">
        <f>'GF + UG Iteration 8'!D26</f>
        <v>26.816090615909914</v>
      </c>
      <c r="E26" s="30">
        <f>'GF + UG Iteration 8'!E26</f>
        <v>2010</v>
      </c>
      <c r="F26" s="18"/>
      <c r="G26" s="19"/>
      <c r="H26" s="20"/>
      <c r="I26" s="18">
        <f t="shared" si="0"/>
        <v>43</v>
      </c>
      <c r="J26" s="19">
        <f t="shared" si="1"/>
        <v>26.816090615909914</v>
      </c>
      <c r="K26" s="20">
        <f t="shared" si="2"/>
        <v>2010</v>
      </c>
      <c r="M26" s="21">
        <f t="shared" si="3"/>
        <v>3.7612001156935624</v>
      </c>
      <c r="N26" s="21">
        <f t="shared" si="4"/>
        <v>3.2890021034672148</v>
      </c>
    </row>
    <row r="27" spans="1:18" x14ac:dyDescent="0.2">
      <c r="A27" s="25">
        <f>'GF + UG Iteration 8'!A27</f>
        <v>387</v>
      </c>
      <c r="B27" s="25" t="str">
        <f>'GF + UG Iteration 8'!B27</f>
        <v>GF</v>
      </c>
      <c r="C27" s="18">
        <f>'GF + UG Iteration 8'!C27</f>
        <v>7.5</v>
      </c>
      <c r="D27" s="19">
        <f>'GF + UG Iteration 8'!D27</f>
        <v>9.5130592102135658</v>
      </c>
      <c r="E27" s="30">
        <f>'GF + UG Iteration 8'!E27</f>
        <v>2003</v>
      </c>
      <c r="F27" s="18"/>
      <c r="G27" s="19"/>
      <c r="H27" s="20"/>
      <c r="I27" s="18">
        <f t="shared" si="0"/>
        <v>7.5</v>
      </c>
      <c r="J27" s="19">
        <f t="shared" si="1"/>
        <v>9.5130592102135658</v>
      </c>
      <c r="K27" s="20">
        <f t="shared" si="2"/>
        <v>2003</v>
      </c>
      <c r="M27" s="21">
        <f t="shared" si="3"/>
        <v>2.0149030205422647</v>
      </c>
      <c r="N27" s="21">
        <f t="shared" si="4"/>
        <v>2.2526655083417699</v>
      </c>
    </row>
    <row r="28" spans="1:18" x14ac:dyDescent="0.2">
      <c r="A28" s="25">
        <f>'GF + UG Iteration 8'!A28</f>
        <v>587</v>
      </c>
      <c r="B28" s="25" t="str">
        <f>'GF + UG Iteration 8'!B28</f>
        <v>GF</v>
      </c>
      <c r="C28" s="18">
        <f>'GF + UG Iteration 8'!C28</f>
        <v>17.8</v>
      </c>
      <c r="D28" s="19">
        <f>'GF + UG Iteration 8'!D28</f>
        <v>13.152201549137706</v>
      </c>
      <c r="E28" s="30">
        <f>'GF + UG Iteration 8'!E28</f>
        <v>2006</v>
      </c>
      <c r="F28" s="18"/>
      <c r="G28" s="19"/>
      <c r="H28" s="20"/>
      <c r="I28" s="18">
        <f t="shared" si="0"/>
        <v>17.8</v>
      </c>
      <c r="J28" s="19">
        <f t="shared" si="1"/>
        <v>13.152201549137706</v>
      </c>
      <c r="K28" s="20">
        <f t="shared" si="2"/>
        <v>2006</v>
      </c>
      <c r="M28" s="21">
        <f t="shared" si="3"/>
        <v>2.8791984572980396</v>
      </c>
      <c r="N28" s="21">
        <f t="shared" si="4"/>
        <v>2.57658916279629</v>
      </c>
    </row>
    <row r="29" spans="1:18" x14ac:dyDescent="0.2">
      <c r="A29" s="25">
        <f>'GF + UG Iteration 8'!A29</f>
        <v>585</v>
      </c>
      <c r="B29" s="25" t="str">
        <f>'GF + UG Iteration 8'!B29</f>
        <v>GF</v>
      </c>
      <c r="C29" s="18">
        <f>'GF + UG Iteration 8'!C29</f>
        <v>20.6</v>
      </c>
      <c r="D29" s="19">
        <f>'GF + UG Iteration 8'!D29</f>
        <v>11.291169205189183</v>
      </c>
      <c r="E29" s="30">
        <f>'GF + UG Iteration 8'!E29</f>
        <v>2007</v>
      </c>
      <c r="F29" s="18"/>
      <c r="G29" s="19"/>
      <c r="H29" s="20"/>
      <c r="I29" s="18">
        <f t="shared" si="0"/>
        <v>20.6</v>
      </c>
      <c r="J29" s="19">
        <f t="shared" si="1"/>
        <v>11.291169205189183</v>
      </c>
      <c r="K29" s="20">
        <f t="shared" si="2"/>
        <v>2007</v>
      </c>
      <c r="M29" s="21">
        <f t="shared" si="3"/>
        <v>3.0252910757955354</v>
      </c>
      <c r="N29" s="21">
        <f t="shared" si="4"/>
        <v>2.4240209339322751</v>
      </c>
    </row>
    <row r="30" spans="1:18" x14ac:dyDescent="0.2">
      <c r="A30" s="25">
        <f>'GF + UG Iteration 8'!A30</f>
        <v>831</v>
      </c>
      <c r="B30" s="25" t="str">
        <f>'GF + UG Iteration 8'!B30</f>
        <v>GF</v>
      </c>
      <c r="C30" s="18">
        <f>'GF + UG Iteration 8'!C30</f>
        <v>19.600000000000001</v>
      </c>
      <c r="D30" s="19">
        <f>'GF + UG Iteration 8'!D30</f>
        <v>20.965601428070691</v>
      </c>
      <c r="E30" s="30">
        <f>'GF + UG Iteration 8'!E30</f>
        <v>2011</v>
      </c>
      <c r="F30" s="18"/>
      <c r="G30" s="19"/>
      <c r="H30" s="20"/>
      <c r="I30" s="18">
        <f t="shared" si="0"/>
        <v>19.600000000000001</v>
      </c>
      <c r="J30" s="19">
        <f t="shared" si="1"/>
        <v>20.965601428070691</v>
      </c>
      <c r="K30" s="20">
        <f t="shared" si="2"/>
        <v>2011</v>
      </c>
      <c r="M30" s="21">
        <f t="shared" si="3"/>
        <v>2.9755295662364718</v>
      </c>
      <c r="N30" s="21">
        <f t="shared" si="4"/>
        <v>3.042883067455266</v>
      </c>
    </row>
    <row r="31" spans="1:18" x14ac:dyDescent="0.2">
      <c r="A31" s="25">
        <f>'GF + UG Iteration 8'!A31</f>
        <v>340</v>
      </c>
      <c r="B31" s="25" t="str">
        <f>'GF + UG Iteration 8'!B31</f>
        <v>GF</v>
      </c>
      <c r="C31" s="18">
        <f>'GF + UG Iteration 8'!C31</f>
        <v>22</v>
      </c>
      <c r="D31" s="19">
        <f>'GF + UG Iteration 8'!D31</f>
        <v>13.309615571039751</v>
      </c>
      <c r="E31" s="30">
        <f>'GF + UG Iteration 8'!E31</f>
        <v>2003</v>
      </c>
      <c r="F31" s="18"/>
      <c r="G31" s="19"/>
      <c r="H31" s="20"/>
      <c r="I31" s="18">
        <f t="shared" si="0"/>
        <v>22</v>
      </c>
      <c r="J31" s="19">
        <f t="shared" si="1"/>
        <v>13.309615571039751</v>
      </c>
      <c r="K31" s="20">
        <f t="shared" si="2"/>
        <v>2003</v>
      </c>
      <c r="M31" s="21">
        <f t="shared" si="3"/>
        <v>3.0910424533583161</v>
      </c>
      <c r="N31" s="21">
        <f t="shared" si="4"/>
        <v>2.5884867492731334</v>
      </c>
    </row>
    <row r="32" spans="1:18" x14ac:dyDescent="0.2">
      <c r="A32" s="25">
        <f>'GF + UG Iteration 8'!A32</f>
        <v>334</v>
      </c>
      <c r="B32" s="25" t="str">
        <f>'GF + UG Iteration 8'!B32</f>
        <v>GF</v>
      </c>
      <c r="C32" s="18">
        <f>'GF + UG Iteration 8'!C32</f>
        <v>18.8</v>
      </c>
      <c r="D32" s="19">
        <f>'GF + UG Iteration 8'!D32</f>
        <v>7.9463711126733889</v>
      </c>
      <c r="E32" s="30">
        <f>'GF + UG Iteration 8'!E32</f>
        <v>2003</v>
      </c>
      <c r="F32" s="18"/>
      <c r="G32" s="19"/>
      <c r="H32" s="20"/>
      <c r="I32" s="18">
        <f t="shared" si="0"/>
        <v>18.8</v>
      </c>
      <c r="J32" s="19">
        <f t="shared" si="1"/>
        <v>7.9463711126733889</v>
      </c>
      <c r="K32" s="20">
        <f t="shared" si="2"/>
        <v>2003</v>
      </c>
      <c r="M32" s="21">
        <f t="shared" si="3"/>
        <v>2.9338568698359038</v>
      </c>
      <c r="N32" s="21">
        <f t="shared" si="4"/>
        <v>2.072715360640252</v>
      </c>
    </row>
    <row r="33" spans="1:14" x14ac:dyDescent="0.2">
      <c r="A33" s="25">
        <f>'GF + UG Iteration 8'!A33</f>
        <v>343</v>
      </c>
      <c r="B33" s="25" t="str">
        <f>'GF + UG Iteration 8'!B33</f>
        <v>GF</v>
      </c>
      <c r="C33" s="18">
        <f>'GF + UG Iteration 8'!C33</f>
        <v>15.6</v>
      </c>
      <c r="D33" s="19">
        <f>'GF + UG Iteration 8'!D33</f>
        <v>13.99971574022935</v>
      </c>
      <c r="E33" s="30">
        <f>'GF + UG Iteration 8'!E33</f>
        <v>2003</v>
      </c>
      <c r="F33" s="18"/>
      <c r="G33" s="19"/>
      <c r="H33" s="20"/>
      <c r="I33" s="18">
        <f t="shared" si="0"/>
        <v>15.6</v>
      </c>
      <c r="J33" s="19">
        <f t="shared" si="1"/>
        <v>13.99971574022935</v>
      </c>
      <c r="K33" s="20">
        <f t="shared" si="2"/>
        <v>2003</v>
      </c>
      <c r="M33" s="21">
        <f t="shared" si="3"/>
        <v>2.7472709142554912</v>
      </c>
      <c r="N33" s="21">
        <f t="shared" si="4"/>
        <v>2.6390370251397921</v>
      </c>
    </row>
    <row r="34" spans="1:14" x14ac:dyDescent="0.2">
      <c r="A34" s="25">
        <f>'GF + UG Iteration 8'!A34</f>
        <v>358</v>
      </c>
      <c r="B34" s="25" t="str">
        <f>'GF + UG Iteration 8'!B34</f>
        <v>GF</v>
      </c>
      <c r="C34" s="18">
        <f>'GF + UG Iteration 8'!C34</f>
        <v>19.8</v>
      </c>
      <c r="D34" s="19">
        <f>'GF + UG Iteration 8'!D34</f>
        <v>7.2248521864398549</v>
      </c>
      <c r="E34" s="30">
        <f>'GF + UG Iteration 8'!E34</f>
        <v>2003</v>
      </c>
      <c r="F34" s="18"/>
      <c r="G34" s="19"/>
      <c r="H34" s="20"/>
      <c r="I34" s="18">
        <f t="shared" si="0"/>
        <v>19.8</v>
      </c>
      <c r="J34" s="19">
        <f t="shared" si="1"/>
        <v>7.2248521864398549</v>
      </c>
      <c r="K34" s="20">
        <f t="shared" si="2"/>
        <v>2003</v>
      </c>
      <c r="M34" s="21">
        <f t="shared" si="3"/>
        <v>2.9856819377004897</v>
      </c>
      <c r="N34" s="21">
        <f t="shared" si="4"/>
        <v>1.9775267751649739</v>
      </c>
    </row>
    <row r="35" spans="1:14" x14ac:dyDescent="0.2">
      <c r="A35" s="25">
        <f>'GF + UG Iteration 8'!A35</f>
        <v>702</v>
      </c>
      <c r="B35" s="25" t="str">
        <f>'GF + UG Iteration 8'!B35</f>
        <v>GF</v>
      </c>
      <c r="C35" s="18">
        <f>'GF + UG Iteration 8'!C35</f>
        <v>28.4</v>
      </c>
      <c r="D35" s="19">
        <f>'GF + UG Iteration 8'!D35</f>
        <v>5.2101531080390755</v>
      </c>
      <c r="E35" s="30">
        <f>'GF + UG Iteration 8'!E35</f>
        <v>2007</v>
      </c>
      <c r="F35" s="18"/>
      <c r="G35" s="19"/>
      <c r="H35" s="20"/>
      <c r="I35" s="18">
        <f t="shared" si="0"/>
        <v>28.4</v>
      </c>
      <c r="J35" s="19">
        <f t="shared" si="1"/>
        <v>5.2101531080390755</v>
      </c>
      <c r="K35" s="20">
        <f t="shared" si="2"/>
        <v>2007</v>
      </c>
      <c r="M35" s="21">
        <f t="shared" si="3"/>
        <v>3.3463891451671604</v>
      </c>
      <c r="N35" s="21">
        <f t="shared" si="4"/>
        <v>1.6506092426730299</v>
      </c>
    </row>
    <row r="36" spans="1:14" x14ac:dyDescent="0.2">
      <c r="A36" s="25">
        <f>'GF + UG Iteration 8'!A36</f>
        <v>526</v>
      </c>
      <c r="B36" s="25" t="str">
        <f>'GF + UG Iteration 8'!B36</f>
        <v>GF</v>
      </c>
      <c r="C36" s="18">
        <f>'GF + UG Iteration 8'!C36</f>
        <v>19</v>
      </c>
      <c r="D36" s="19">
        <f>'GF + UG Iteration 8'!D36</f>
        <v>13.758834109767626</v>
      </c>
      <c r="E36" s="30">
        <f>'GF + UG Iteration 8'!E36</f>
        <v>2007</v>
      </c>
      <c r="F36" s="18"/>
      <c r="G36" s="19"/>
      <c r="H36" s="20"/>
      <c r="I36" s="18">
        <f t="shared" si="0"/>
        <v>19</v>
      </c>
      <c r="J36" s="19">
        <f t="shared" si="1"/>
        <v>13.758834109767626</v>
      </c>
      <c r="K36" s="20">
        <f t="shared" si="2"/>
        <v>2007</v>
      </c>
      <c r="M36" s="21">
        <f t="shared" si="3"/>
        <v>2.9444389791664403</v>
      </c>
      <c r="N36" s="21">
        <f t="shared" si="4"/>
        <v>2.6216810985205803</v>
      </c>
    </row>
    <row r="37" spans="1:14" x14ac:dyDescent="0.2">
      <c r="A37" s="25">
        <f>'GF + UG Iteration 8'!A37</f>
        <v>288</v>
      </c>
      <c r="B37" s="25" t="str">
        <f>'GF + UG Iteration 8'!B37</f>
        <v>GF</v>
      </c>
      <c r="C37" s="18">
        <f>'GF + UG Iteration 8'!C37</f>
        <v>12</v>
      </c>
      <c r="D37" s="19">
        <f>'GF + UG Iteration 8'!D37</f>
        <v>4.4533584840568787</v>
      </c>
      <c r="E37" s="30">
        <f>'GF + UG Iteration 8'!E37</f>
        <v>2001</v>
      </c>
      <c r="F37" s="18"/>
      <c r="G37" s="19"/>
      <c r="H37" s="20"/>
      <c r="I37" s="18">
        <f t="shared" si="0"/>
        <v>12</v>
      </c>
      <c r="J37" s="19">
        <f t="shared" si="1"/>
        <v>4.4533584840568787</v>
      </c>
      <c r="K37" s="20">
        <f t="shared" si="2"/>
        <v>2001</v>
      </c>
      <c r="M37" s="21">
        <f t="shared" si="3"/>
        <v>2.4849066497880004</v>
      </c>
      <c r="N37" s="21">
        <f t="shared" si="4"/>
        <v>1.4936585270420049</v>
      </c>
    </row>
    <row r="38" spans="1:14" x14ac:dyDescent="0.2">
      <c r="A38" s="25">
        <f>'GF + UG Iteration 8'!A38</f>
        <v>851</v>
      </c>
      <c r="B38" s="25" t="str">
        <f>'GF + UG Iteration 8'!B38</f>
        <v>GF</v>
      </c>
      <c r="C38" s="18">
        <f>'GF + UG Iteration 8'!C38</f>
        <v>25</v>
      </c>
      <c r="D38" s="19">
        <f>'GF + UG Iteration 8'!D38</f>
        <v>12.931754132918639</v>
      </c>
      <c r="E38" s="30">
        <f>'GF + UG Iteration 8'!E38</f>
        <v>2007</v>
      </c>
      <c r="F38" s="18"/>
      <c r="G38" s="19"/>
      <c r="H38" s="20"/>
      <c r="I38" s="18">
        <f t="shared" si="0"/>
        <v>25</v>
      </c>
      <c r="J38" s="19">
        <f t="shared" si="1"/>
        <v>12.931754132918639</v>
      </c>
      <c r="K38" s="20">
        <f t="shared" si="2"/>
        <v>2007</v>
      </c>
      <c r="M38" s="21">
        <f t="shared" si="3"/>
        <v>3.2188758248682006</v>
      </c>
      <c r="N38" s="21">
        <f t="shared" si="4"/>
        <v>2.5596858473810773</v>
      </c>
    </row>
    <row r="39" spans="1:14" x14ac:dyDescent="0.2">
      <c r="A39" s="25">
        <f>'GF + UG Iteration 8'!A39</f>
        <v>648</v>
      </c>
      <c r="B39" s="25" t="str">
        <f>'GF + UG Iteration 8'!B39</f>
        <v>GF</v>
      </c>
      <c r="C39" s="18">
        <f>'GF + UG Iteration 8'!C39</f>
        <v>15</v>
      </c>
      <c r="D39" s="19">
        <f>'GF + UG Iteration 8'!D39</f>
        <v>14.973718181093032</v>
      </c>
      <c r="E39" s="30">
        <f>'GF + UG Iteration 8'!E39</f>
        <v>2007</v>
      </c>
      <c r="F39" s="18"/>
      <c r="G39" s="19"/>
      <c r="H39" s="20"/>
      <c r="I39" s="18">
        <f t="shared" si="0"/>
        <v>15</v>
      </c>
      <c r="J39" s="19">
        <f t="shared" si="1"/>
        <v>14.973718181093032</v>
      </c>
      <c r="K39" s="20">
        <f t="shared" si="2"/>
        <v>2007</v>
      </c>
      <c r="M39" s="21">
        <f t="shared" si="3"/>
        <v>2.7080502011022101</v>
      </c>
      <c r="N39" s="21">
        <f t="shared" si="4"/>
        <v>2.7062965430819679</v>
      </c>
    </row>
    <row r="40" spans="1:14" x14ac:dyDescent="0.2">
      <c r="A40" s="25">
        <f>'GF + UG Iteration 8'!A40</f>
        <v>855</v>
      </c>
      <c r="B40" s="25" t="str">
        <f>'GF + UG Iteration 8'!B40</f>
        <v>GF</v>
      </c>
      <c r="C40" s="18">
        <f>'GF + UG Iteration 8'!C40</f>
        <v>23</v>
      </c>
      <c r="D40" s="19">
        <f>'GF + UG Iteration 8'!D40</f>
        <v>28.66706963950903</v>
      </c>
      <c r="E40" s="30">
        <f>'GF + UG Iteration 8'!E40</f>
        <v>2011</v>
      </c>
      <c r="F40" s="18"/>
      <c r="G40" s="19"/>
      <c r="H40" s="20"/>
      <c r="I40" s="18">
        <f t="shared" si="0"/>
        <v>23</v>
      </c>
      <c r="J40" s="19">
        <f t="shared" si="1"/>
        <v>28.66706963950903</v>
      </c>
      <c r="K40" s="20">
        <f t="shared" si="2"/>
        <v>2011</v>
      </c>
      <c r="M40" s="21">
        <f t="shared" si="3"/>
        <v>3.1354942159291497</v>
      </c>
      <c r="N40" s="21">
        <f t="shared" si="4"/>
        <v>3.355749064678772</v>
      </c>
    </row>
    <row r="41" spans="1:14" x14ac:dyDescent="0.2">
      <c r="A41" s="25">
        <f>'GF + UG Iteration 8'!A41</f>
        <v>700</v>
      </c>
      <c r="B41" s="25" t="str">
        <f>'GF + UG Iteration 8'!B41</f>
        <v>GF</v>
      </c>
      <c r="C41" s="18">
        <f>'GF + UG Iteration 8'!C41</f>
        <v>9.8000000000000007</v>
      </c>
      <c r="D41" s="19">
        <f>'GF + UG Iteration 8'!D41</f>
        <v>7.0657947644327148</v>
      </c>
      <c r="E41" s="30">
        <f>'GF + UG Iteration 8'!E41</f>
        <v>2007</v>
      </c>
      <c r="F41" s="18"/>
      <c r="G41" s="19"/>
      <c r="H41" s="20"/>
      <c r="I41" s="18">
        <f t="shared" si="0"/>
        <v>9.8000000000000007</v>
      </c>
      <c r="J41" s="19">
        <f t="shared" si="1"/>
        <v>7.0657947644327148</v>
      </c>
      <c r="K41" s="20">
        <f t="shared" si="2"/>
        <v>2007</v>
      </c>
      <c r="M41" s="21">
        <f t="shared" si="3"/>
        <v>2.2823823856765264</v>
      </c>
      <c r="N41" s="21">
        <f t="shared" si="4"/>
        <v>1.9552655030060266</v>
      </c>
    </row>
    <row r="42" spans="1:14" x14ac:dyDescent="0.2">
      <c r="A42" s="25">
        <f>'GF + UG Iteration 8'!A42</f>
        <v>683</v>
      </c>
      <c r="B42" s="25" t="str">
        <f>'GF + UG Iteration 8'!B42</f>
        <v>GF</v>
      </c>
      <c r="C42" s="18">
        <f>'GF + UG Iteration 8'!C42</f>
        <v>30</v>
      </c>
      <c r="D42" s="19">
        <f>'GF + UG Iteration 8'!D42</f>
        <v>16.03232257186292</v>
      </c>
      <c r="E42" s="30">
        <f>'GF + UG Iteration 8'!E42</f>
        <v>2011</v>
      </c>
      <c r="F42" s="18"/>
      <c r="G42" s="19"/>
      <c r="H42" s="20"/>
      <c r="I42" s="18">
        <f t="shared" si="0"/>
        <v>30</v>
      </c>
      <c r="J42" s="19">
        <f t="shared" si="1"/>
        <v>16.03232257186292</v>
      </c>
      <c r="K42" s="20">
        <f t="shared" si="2"/>
        <v>2011</v>
      </c>
      <c r="M42" s="21">
        <f t="shared" si="3"/>
        <v>3.4011973816621555</v>
      </c>
      <c r="N42" s="21">
        <f t="shared" si="4"/>
        <v>2.7746068452004713</v>
      </c>
    </row>
    <row r="43" spans="1:14" x14ac:dyDescent="0.2">
      <c r="A43" s="25">
        <f>'GF + UG Iteration 8'!A43</f>
        <v>559</v>
      </c>
      <c r="B43" s="25" t="str">
        <f>'GF + UG Iteration 8'!B43</f>
        <v>GF</v>
      </c>
      <c r="C43" s="18">
        <f>'GF + UG Iteration 8'!C43</f>
        <v>115</v>
      </c>
      <c r="D43" s="19">
        <f>'GF + UG Iteration 8'!D43</f>
        <v>56.859498956472109</v>
      </c>
      <c r="E43" s="30">
        <f>'GF + UG Iteration 8'!E43</f>
        <v>2011</v>
      </c>
      <c r="F43" s="18"/>
      <c r="G43" s="19"/>
      <c r="H43" s="20"/>
      <c r="I43" s="18">
        <f t="shared" si="0"/>
        <v>115</v>
      </c>
      <c r="J43" s="19">
        <f t="shared" si="1"/>
        <v>56.859498956472109</v>
      </c>
      <c r="K43" s="20">
        <f t="shared" si="2"/>
        <v>2011</v>
      </c>
      <c r="M43" s="21">
        <f t="shared" si="3"/>
        <v>4.7449321283632502</v>
      </c>
      <c r="N43" s="21">
        <f t="shared" si="4"/>
        <v>4.0405832943034818</v>
      </c>
    </row>
    <row r="44" spans="1:14" x14ac:dyDescent="0.2">
      <c r="A44" s="25">
        <f>'GF + UG Iteration 8'!A44</f>
        <v>1074</v>
      </c>
      <c r="B44" s="25" t="str">
        <f>'GF + UG Iteration 8'!B44</f>
        <v>GF</v>
      </c>
      <c r="C44" s="18">
        <f>'GF + UG Iteration 8'!C44</f>
        <v>67</v>
      </c>
      <c r="D44" s="19">
        <f>'GF + UG Iteration 8'!D44</f>
        <v>43.13883453102715</v>
      </c>
      <c r="E44" s="30">
        <f>'GF + UG Iteration 8'!E44</f>
        <v>2011</v>
      </c>
      <c r="F44" s="18"/>
      <c r="G44" s="19"/>
      <c r="H44" s="20"/>
      <c r="I44" s="18">
        <f t="shared" si="0"/>
        <v>67</v>
      </c>
      <c r="J44" s="19">
        <f t="shared" si="1"/>
        <v>43.13883453102715</v>
      </c>
      <c r="K44" s="20">
        <f t="shared" si="2"/>
        <v>2011</v>
      </c>
      <c r="M44" s="21">
        <f t="shared" si="3"/>
        <v>4.2046926193909657</v>
      </c>
      <c r="N44" s="21">
        <f t="shared" si="4"/>
        <v>3.7644236246254454</v>
      </c>
    </row>
    <row r="45" spans="1:14" x14ac:dyDescent="0.2">
      <c r="A45" s="25">
        <f>'GF + UG Iteration 8'!A45</f>
        <v>34</v>
      </c>
      <c r="B45" s="25" t="str">
        <f>'GF + UG Iteration 8'!B45</f>
        <v>GF</v>
      </c>
      <c r="C45" s="18">
        <f>'GF + UG Iteration 8'!C45</f>
        <v>16</v>
      </c>
      <c r="D45" s="19">
        <f>'GF + UG Iteration 8'!D45</f>
        <v>7.5134124542159286</v>
      </c>
      <c r="E45" s="30">
        <f>'GF + UG Iteration 8'!E45</f>
        <v>2000</v>
      </c>
      <c r="F45" s="18"/>
      <c r="G45" s="19"/>
      <c r="H45" s="20"/>
      <c r="I45" s="18">
        <f t="shared" si="0"/>
        <v>16</v>
      </c>
      <c r="J45" s="19">
        <f t="shared" si="1"/>
        <v>7.5134124542159286</v>
      </c>
      <c r="K45" s="20">
        <f t="shared" si="2"/>
        <v>2000</v>
      </c>
      <c r="M45" s="21">
        <f t="shared" si="3"/>
        <v>2.7725887222397811</v>
      </c>
      <c r="N45" s="21">
        <f t="shared" si="4"/>
        <v>2.0166897506177883</v>
      </c>
    </row>
    <row r="46" spans="1:14" x14ac:dyDescent="0.2">
      <c r="A46" s="25">
        <f>'GF + UG Iteration 8'!A46</f>
        <v>433</v>
      </c>
      <c r="B46" s="25" t="str">
        <f>'GF + UG Iteration 8'!B46</f>
        <v>GF</v>
      </c>
      <c r="C46" s="18">
        <f>'GF + UG Iteration 8'!C46</f>
        <v>25</v>
      </c>
      <c r="D46" s="19">
        <f>'GF + UG Iteration 8'!D46</f>
        <v>22.308265318441425</v>
      </c>
      <c r="E46" s="30">
        <f>'GF + UG Iteration 8'!E46</f>
        <v>2003</v>
      </c>
      <c r="F46" s="18"/>
      <c r="G46" s="19"/>
      <c r="H46" s="20"/>
      <c r="I46" s="18">
        <f t="shared" si="0"/>
        <v>25</v>
      </c>
      <c r="J46" s="19">
        <f t="shared" si="1"/>
        <v>22.308265318441425</v>
      </c>
      <c r="K46" s="20">
        <f t="shared" si="2"/>
        <v>2003</v>
      </c>
      <c r="M46" s="21">
        <f t="shared" si="3"/>
        <v>3.2188758248682006</v>
      </c>
      <c r="N46" s="21">
        <f t="shared" si="4"/>
        <v>3.1049572518778392</v>
      </c>
    </row>
    <row r="47" spans="1:14" x14ac:dyDescent="0.2">
      <c r="A47" s="25" t="str">
        <f>'GF + UG Iteration 8'!A47</f>
        <v>79A</v>
      </c>
      <c r="B47" s="25" t="str">
        <f>'GF + UG Iteration 8'!B47</f>
        <v>GF</v>
      </c>
      <c r="C47" s="18">
        <f>'GF + UG Iteration 8'!C47</f>
        <v>8</v>
      </c>
      <c r="D47" s="19">
        <f>'GF + UG Iteration 8'!D47</f>
        <v>5.0823375539699818</v>
      </c>
      <c r="E47" s="30">
        <f>'GF + UG Iteration 8'!E47</f>
        <v>2000</v>
      </c>
      <c r="F47" s="18"/>
      <c r="G47" s="19"/>
      <c r="H47" s="20"/>
      <c r="I47" s="18">
        <f t="shared" si="0"/>
        <v>8</v>
      </c>
      <c r="J47" s="19">
        <f t="shared" si="1"/>
        <v>5.0823375539699818</v>
      </c>
      <c r="K47" s="20">
        <f t="shared" si="2"/>
        <v>2000</v>
      </c>
      <c r="M47" s="21">
        <f t="shared" si="3"/>
        <v>2.0794415416798357</v>
      </c>
      <c r="N47" s="21">
        <f t="shared" si="4"/>
        <v>1.62577130417386</v>
      </c>
    </row>
    <row r="48" spans="1:14" x14ac:dyDescent="0.2">
      <c r="A48" s="25" t="str">
        <f>'GF + UG Iteration 8'!A48</f>
        <v>10A</v>
      </c>
      <c r="B48" s="25" t="str">
        <f>'GF + UG Iteration 8'!B48</f>
        <v>GF</v>
      </c>
      <c r="C48" s="18">
        <f>'GF + UG Iteration 8'!C48</f>
        <v>6.2</v>
      </c>
      <c r="D48" s="19">
        <f>'GF + UG Iteration 8'!D48</f>
        <v>8.9160103759227685</v>
      </c>
      <c r="E48" s="30">
        <f>'GF + UG Iteration 8'!E48</f>
        <v>2001</v>
      </c>
      <c r="F48" s="18"/>
      <c r="G48" s="19"/>
      <c r="H48" s="20"/>
      <c r="I48" s="18">
        <f t="shared" si="0"/>
        <v>6.2</v>
      </c>
      <c r="J48" s="19">
        <f t="shared" si="1"/>
        <v>8.9160103759227685</v>
      </c>
      <c r="K48" s="20">
        <f t="shared" si="2"/>
        <v>2001</v>
      </c>
      <c r="M48" s="21">
        <f t="shared" si="3"/>
        <v>1.824549292051046</v>
      </c>
      <c r="N48" s="21">
        <f t="shared" si="4"/>
        <v>2.1878485792648439</v>
      </c>
    </row>
    <row r="49" spans="1:14" x14ac:dyDescent="0.2">
      <c r="A49" s="25">
        <f>'GF + UG Iteration 8'!A49</f>
        <v>345</v>
      </c>
      <c r="B49" s="25" t="str">
        <f>'GF + UG Iteration 8'!B49</f>
        <v>GF</v>
      </c>
      <c r="C49" s="18">
        <f>'GF + UG Iteration 8'!C49</f>
        <v>35</v>
      </c>
      <c r="D49" s="19">
        <f>'GF + UG Iteration 8'!D49</f>
        <v>8.3689831482940882</v>
      </c>
      <c r="E49" s="30">
        <f>'GF + UG Iteration 8'!E49</f>
        <v>2003</v>
      </c>
      <c r="F49" s="18"/>
      <c r="G49" s="19"/>
      <c r="H49" s="20"/>
      <c r="I49" s="18">
        <f t="shared" si="0"/>
        <v>35</v>
      </c>
      <c r="J49" s="19">
        <f t="shared" si="1"/>
        <v>8.3689831482940882</v>
      </c>
      <c r="K49" s="20">
        <f t="shared" si="2"/>
        <v>2003</v>
      </c>
      <c r="M49" s="21">
        <f t="shared" si="3"/>
        <v>3.5553480614894135</v>
      </c>
      <c r="N49" s="21">
        <f t="shared" si="4"/>
        <v>2.1245323894621508</v>
      </c>
    </row>
    <row r="50" spans="1:14" x14ac:dyDescent="0.2">
      <c r="A50" s="25">
        <f>'GF + UG Iteration 8'!A50</f>
        <v>1049</v>
      </c>
      <c r="B50" s="25" t="str">
        <f>'GF + UG Iteration 8'!B50</f>
        <v>GF</v>
      </c>
      <c r="C50" s="18">
        <f>'GF + UG Iteration 8'!C50</f>
        <v>15.2</v>
      </c>
      <c r="D50" s="19">
        <f>'GF + UG Iteration 8'!D50</f>
        <v>54.551770509232071</v>
      </c>
      <c r="E50" s="30">
        <f>'GF + UG Iteration 8'!E50</f>
        <v>2011</v>
      </c>
      <c r="F50" s="18"/>
      <c r="G50" s="19"/>
      <c r="H50" s="20"/>
      <c r="I50" s="18">
        <f t="shared" si="0"/>
        <v>15.2</v>
      </c>
      <c r="J50" s="19">
        <f t="shared" si="1"/>
        <v>54.551770509232071</v>
      </c>
      <c r="K50" s="20">
        <f t="shared" si="2"/>
        <v>2011</v>
      </c>
      <c r="M50" s="21">
        <f t="shared" si="3"/>
        <v>2.7212954278522306</v>
      </c>
      <c r="N50" s="21">
        <f t="shared" si="4"/>
        <v>3.9991501683835766</v>
      </c>
    </row>
    <row r="51" spans="1:14" x14ac:dyDescent="0.2">
      <c r="A51" s="25">
        <f>'GF + UG Iteration 8'!A51</f>
        <v>230</v>
      </c>
      <c r="B51" s="25" t="str">
        <f>'GF + UG Iteration 8'!B51</f>
        <v>GF</v>
      </c>
      <c r="C51" s="18">
        <f>'GF + UG Iteration 8'!C51</f>
        <v>17</v>
      </c>
      <c r="D51" s="19">
        <f>'GF + UG Iteration 8'!D51</f>
        <v>10.739901169983137</v>
      </c>
      <c r="E51" s="30">
        <f>'GF + UG Iteration 8'!E51</f>
        <v>2003</v>
      </c>
      <c r="F51" s="18"/>
      <c r="G51" s="19"/>
      <c r="H51" s="20"/>
      <c r="I51" s="18">
        <f t="shared" si="0"/>
        <v>17</v>
      </c>
      <c r="J51" s="19">
        <f t="shared" si="1"/>
        <v>10.739901169983137</v>
      </c>
      <c r="K51" s="20">
        <f t="shared" si="2"/>
        <v>2003</v>
      </c>
      <c r="M51" s="21">
        <f t="shared" si="3"/>
        <v>2.8332133440562162</v>
      </c>
      <c r="N51" s="21">
        <f t="shared" si="4"/>
        <v>2.3739658869883922</v>
      </c>
    </row>
    <row r="52" spans="1:14" x14ac:dyDescent="0.2">
      <c r="A52" s="25" t="str">
        <f>'GF + UG Iteration 8'!A52</f>
        <v>79B</v>
      </c>
      <c r="B52" s="25" t="str">
        <f>'GF + UG Iteration 8'!B52</f>
        <v>GF</v>
      </c>
      <c r="C52" s="18">
        <f>'GF + UG Iteration 8'!C52</f>
        <v>8</v>
      </c>
      <c r="D52" s="19">
        <f>'GF + UG Iteration 8'!D52</f>
        <v>3.3788339951362953</v>
      </c>
      <c r="E52" s="30">
        <f>'GF + UG Iteration 8'!E52</f>
        <v>2000</v>
      </c>
      <c r="F52" s="18"/>
      <c r="G52" s="19"/>
      <c r="H52" s="20"/>
      <c r="I52" s="18">
        <f t="shared" si="0"/>
        <v>8</v>
      </c>
      <c r="J52" s="19">
        <f t="shared" si="1"/>
        <v>3.3788339951362953</v>
      </c>
      <c r="K52" s="20">
        <f t="shared" si="2"/>
        <v>2000</v>
      </c>
      <c r="M52" s="21">
        <f t="shared" si="3"/>
        <v>2.0794415416798357</v>
      </c>
      <c r="N52" s="21">
        <f t="shared" si="4"/>
        <v>1.2175306781252826</v>
      </c>
    </row>
    <row r="53" spans="1:14" x14ac:dyDescent="0.2">
      <c r="A53" s="25" t="str">
        <f>'GF + UG Iteration 8'!A53</f>
        <v>10B</v>
      </c>
      <c r="B53" s="25" t="str">
        <f>'GF + UG Iteration 8'!B53</f>
        <v>GF</v>
      </c>
      <c r="C53" s="18">
        <f>'GF + UG Iteration 8'!C53</f>
        <v>9.4060000000000006</v>
      </c>
      <c r="D53" s="19">
        <f>'GF + UG Iteration 8'!D53</f>
        <v>9.7991326901064184</v>
      </c>
      <c r="E53" s="30">
        <f>'GF + UG Iteration 8'!E53</f>
        <v>2001</v>
      </c>
      <c r="F53" s="18"/>
      <c r="G53" s="19"/>
      <c r="H53" s="20"/>
      <c r="I53" s="18">
        <f t="shared" si="0"/>
        <v>9.4060000000000006</v>
      </c>
      <c r="J53" s="19">
        <f t="shared" si="1"/>
        <v>9.7991326901064184</v>
      </c>
      <c r="K53" s="20">
        <f t="shared" si="2"/>
        <v>2001</v>
      </c>
      <c r="M53" s="21">
        <f t="shared" si="3"/>
        <v>2.2413477835228561</v>
      </c>
      <c r="N53" s="21">
        <f t="shared" si="4"/>
        <v>2.2822938807505317</v>
      </c>
    </row>
    <row r="54" spans="1:14" x14ac:dyDescent="0.2">
      <c r="A54" s="25">
        <f>'GF + UG Iteration 8'!A54</f>
        <v>8</v>
      </c>
      <c r="B54" s="25" t="str">
        <f>'GF + UG Iteration 8'!B54</f>
        <v>GF</v>
      </c>
      <c r="C54" s="18">
        <f>'GF + UG Iteration 8'!C54</f>
        <v>18</v>
      </c>
      <c r="D54" s="19">
        <f>'GF + UG Iteration 8'!D54</f>
        <v>11.984110505191126</v>
      </c>
      <c r="E54" s="30">
        <f>'GF + UG Iteration 8'!E54</f>
        <v>2000</v>
      </c>
      <c r="F54" s="18"/>
      <c r="G54" s="19"/>
      <c r="H54" s="20"/>
      <c r="I54" s="18">
        <f t="shared" si="0"/>
        <v>18</v>
      </c>
      <c r="J54" s="19">
        <f t="shared" si="1"/>
        <v>11.984110505191126</v>
      </c>
      <c r="K54" s="20">
        <f t="shared" si="2"/>
        <v>2000</v>
      </c>
      <c r="M54" s="21">
        <f t="shared" si="3"/>
        <v>2.8903717578961645</v>
      </c>
      <c r="N54" s="21">
        <f t="shared" si="4"/>
        <v>2.4835816477930246</v>
      </c>
    </row>
    <row r="55" spans="1:14" x14ac:dyDescent="0.2">
      <c r="A55" s="25">
        <f>'GF + UG Iteration 8'!A55</f>
        <v>487</v>
      </c>
      <c r="B55" s="25" t="str">
        <f>'GF + UG Iteration 8'!B55</f>
        <v>GF</v>
      </c>
      <c r="C55" s="18">
        <f>'GF + UG Iteration 8'!C55</f>
        <v>22</v>
      </c>
      <c r="D55" s="19">
        <f>'GF + UG Iteration 8'!D55</f>
        <v>16.606728766354362</v>
      </c>
      <c r="E55" s="30">
        <f>'GF + UG Iteration 8'!E55</f>
        <v>2007</v>
      </c>
      <c r="F55" s="18"/>
      <c r="G55" s="19"/>
      <c r="H55" s="20"/>
      <c r="I55" s="18">
        <f t="shared" si="0"/>
        <v>22</v>
      </c>
      <c r="J55" s="19">
        <f t="shared" si="1"/>
        <v>16.606728766354362</v>
      </c>
      <c r="K55" s="20">
        <f t="shared" si="2"/>
        <v>2007</v>
      </c>
      <c r="M55" s="21">
        <f t="shared" si="3"/>
        <v>3.0910424533583161</v>
      </c>
      <c r="N55" s="21">
        <f t="shared" si="4"/>
        <v>2.8098079606021904</v>
      </c>
    </row>
    <row r="56" spans="1:14" x14ac:dyDescent="0.2">
      <c r="A56" s="25">
        <f>'GF + UG Iteration 8'!A56</f>
        <v>385</v>
      </c>
      <c r="B56" s="25" t="str">
        <f>'GF + UG Iteration 8'!B56</f>
        <v>GF</v>
      </c>
      <c r="C56" s="18">
        <f>'GF + UG Iteration 8'!C56</f>
        <v>7.5</v>
      </c>
      <c r="D56" s="19">
        <f>'GF + UG Iteration 8'!D56</f>
        <v>8.5880709825089685</v>
      </c>
      <c r="E56" s="30">
        <f>'GF + UG Iteration 8'!E56</f>
        <v>2003</v>
      </c>
      <c r="F56" s="18"/>
      <c r="G56" s="19"/>
      <c r="H56" s="20"/>
      <c r="I56" s="18">
        <f t="shared" si="0"/>
        <v>7.5</v>
      </c>
      <c r="J56" s="19">
        <f t="shared" si="1"/>
        <v>8.5880709825089685</v>
      </c>
      <c r="K56" s="20">
        <f t="shared" si="2"/>
        <v>2003</v>
      </c>
      <c r="M56" s="21">
        <f t="shared" si="3"/>
        <v>2.0149030205422647</v>
      </c>
      <c r="N56" s="21">
        <f t="shared" si="4"/>
        <v>2.1503741452954848</v>
      </c>
    </row>
    <row r="57" spans="1:14" x14ac:dyDescent="0.2">
      <c r="A57" s="25">
        <f>'GF + UG Iteration 8'!A57</f>
        <v>865</v>
      </c>
      <c r="B57" s="25" t="str">
        <f>'GF + UG Iteration 8'!B57</f>
        <v>GF</v>
      </c>
      <c r="C57" s="18">
        <f>'GF + UG Iteration 8'!C57</f>
        <v>25</v>
      </c>
      <c r="D57" s="19">
        <f>'GF + UG Iteration 8'!D57</f>
        <v>8.6091983279462436</v>
      </c>
      <c r="E57" s="30">
        <f>'GF + UG Iteration 8'!E57</f>
        <v>2007</v>
      </c>
      <c r="F57" s="18"/>
      <c r="G57" s="19"/>
      <c r="H57" s="20"/>
      <c r="I57" s="18">
        <f t="shared" si="0"/>
        <v>25</v>
      </c>
      <c r="J57" s="19">
        <f t="shared" si="1"/>
        <v>8.6091983279462436</v>
      </c>
      <c r="K57" s="20">
        <f t="shared" si="2"/>
        <v>2007</v>
      </c>
      <c r="M57" s="21">
        <f t="shared" si="3"/>
        <v>3.2188758248682006</v>
      </c>
      <c r="N57" s="21">
        <f t="shared" si="4"/>
        <v>2.1528312046907798</v>
      </c>
    </row>
    <row r="58" spans="1:14" x14ac:dyDescent="0.2">
      <c r="A58" s="25">
        <f>'GF + UG Iteration 8'!A58</f>
        <v>863</v>
      </c>
      <c r="B58" s="25" t="str">
        <f>'GF + UG Iteration 8'!B58</f>
        <v>GF</v>
      </c>
      <c r="C58" s="18">
        <f>'GF + UG Iteration 8'!C58</f>
        <v>25</v>
      </c>
      <c r="D58" s="19">
        <f>'GF + UG Iteration 8'!D58</f>
        <v>8.2434360504581008</v>
      </c>
      <c r="E58" s="30">
        <f>'GF + UG Iteration 8'!E58</f>
        <v>2007</v>
      </c>
      <c r="F58" s="18"/>
      <c r="G58" s="19"/>
      <c r="H58" s="20"/>
      <c r="I58" s="18">
        <f t="shared" si="0"/>
        <v>25</v>
      </c>
      <c r="J58" s="19">
        <f t="shared" si="1"/>
        <v>8.2434360504581008</v>
      </c>
      <c r="K58" s="20">
        <f t="shared" si="2"/>
        <v>2007</v>
      </c>
      <c r="M58" s="21">
        <f t="shared" si="3"/>
        <v>3.2188758248682006</v>
      </c>
      <c r="N58" s="21">
        <f t="shared" si="4"/>
        <v>2.1094172534173556</v>
      </c>
    </row>
    <row r="59" spans="1:14" x14ac:dyDescent="0.2">
      <c r="A59" s="25">
        <f>'GF + UG Iteration 8'!A59</f>
        <v>527</v>
      </c>
      <c r="B59" s="25" t="str">
        <f>'GF + UG Iteration 8'!B59</f>
        <v>GF</v>
      </c>
      <c r="C59" s="18">
        <f>'GF + UG Iteration 8'!C59</f>
        <v>17</v>
      </c>
      <c r="D59" s="19">
        <f>'GF + UG Iteration 8'!D59</f>
        <v>6.9318595783251213</v>
      </c>
      <c r="E59" s="30">
        <f>'GF + UG Iteration 8'!E59</f>
        <v>2007</v>
      </c>
      <c r="F59" s="18"/>
      <c r="G59" s="19"/>
      <c r="H59" s="20"/>
      <c r="I59" s="18">
        <f t="shared" si="0"/>
        <v>17</v>
      </c>
      <c r="J59" s="19">
        <f t="shared" si="1"/>
        <v>6.9318595783251213</v>
      </c>
      <c r="K59" s="20">
        <f t="shared" si="2"/>
        <v>2007</v>
      </c>
      <c r="M59" s="21">
        <f t="shared" si="3"/>
        <v>2.8332133440562162</v>
      </c>
      <c r="N59" s="21">
        <f t="shared" si="4"/>
        <v>1.936128114626418</v>
      </c>
    </row>
    <row r="60" spans="1:14" x14ac:dyDescent="0.2">
      <c r="A60" s="25">
        <f>'GF + UG Iteration 8'!A60</f>
        <v>595</v>
      </c>
      <c r="B60" s="25" t="str">
        <f>'GF + UG Iteration 8'!B60</f>
        <v>GF</v>
      </c>
      <c r="C60" s="18">
        <f>'GF + UG Iteration 8'!C60</f>
        <v>11</v>
      </c>
      <c r="D60" s="19">
        <f>'GF + UG Iteration 8'!D60</f>
        <v>19.087371326529755</v>
      </c>
      <c r="E60" s="30">
        <f>'GF + UG Iteration 8'!E60</f>
        <v>2007</v>
      </c>
      <c r="F60" s="18"/>
      <c r="G60" s="19"/>
      <c r="H60" s="20"/>
      <c r="I60" s="18">
        <f t="shared" si="0"/>
        <v>11</v>
      </c>
      <c r="J60" s="19">
        <f t="shared" si="1"/>
        <v>19.087371326529755</v>
      </c>
      <c r="K60" s="20">
        <f t="shared" si="2"/>
        <v>2007</v>
      </c>
      <c r="M60" s="21">
        <f t="shared" si="3"/>
        <v>2.3978952727983707</v>
      </c>
      <c r="N60" s="21">
        <f t="shared" si="4"/>
        <v>2.9490269292793174</v>
      </c>
    </row>
    <row r="61" spans="1:14" x14ac:dyDescent="0.2">
      <c r="A61" s="25">
        <f>'GF + UG Iteration 8'!A61</f>
        <v>528</v>
      </c>
      <c r="B61" s="25" t="str">
        <f>'GF + UG Iteration 8'!B61</f>
        <v>GF</v>
      </c>
      <c r="C61" s="18">
        <f>'GF + UG Iteration 8'!C61</f>
        <v>17</v>
      </c>
      <c r="D61" s="19">
        <f>'GF + UG Iteration 8'!D61</f>
        <v>5.2657663175025586</v>
      </c>
      <c r="E61" s="30">
        <f>'GF + UG Iteration 8'!E61</f>
        <v>2007</v>
      </c>
      <c r="F61" s="18"/>
      <c r="G61" s="19"/>
      <c r="H61" s="20"/>
      <c r="I61" s="18">
        <f t="shared" si="0"/>
        <v>17</v>
      </c>
      <c r="J61" s="19">
        <f t="shared" si="1"/>
        <v>5.2657663175025586</v>
      </c>
      <c r="K61" s="20">
        <f t="shared" si="2"/>
        <v>2007</v>
      </c>
      <c r="M61" s="21">
        <f t="shared" si="3"/>
        <v>2.8332133440562162</v>
      </c>
      <c r="N61" s="21">
        <f t="shared" si="4"/>
        <v>1.6612266843778571</v>
      </c>
    </row>
    <row r="62" spans="1:14" x14ac:dyDescent="0.2">
      <c r="A62" s="25">
        <f>'GF + UG Iteration 8'!A62</f>
        <v>529</v>
      </c>
      <c r="B62" s="25" t="str">
        <f>'GF + UG Iteration 8'!B62</f>
        <v>GF</v>
      </c>
      <c r="C62" s="18">
        <f>'GF + UG Iteration 8'!C62</f>
        <v>17</v>
      </c>
      <c r="D62" s="19">
        <f>'GF + UG Iteration 8'!D62</f>
        <v>7.7921694439597555</v>
      </c>
      <c r="E62" s="30">
        <f>'GF + UG Iteration 8'!E62</f>
        <v>2007</v>
      </c>
      <c r="F62" s="18"/>
      <c r="G62" s="19"/>
      <c r="H62" s="20"/>
      <c r="I62" s="18">
        <f t="shared" si="0"/>
        <v>17</v>
      </c>
      <c r="J62" s="19">
        <f t="shared" si="1"/>
        <v>7.7921694439597555</v>
      </c>
      <c r="K62" s="20">
        <f t="shared" si="2"/>
        <v>2007</v>
      </c>
      <c r="M62" s="21">
        <f t="shared" si="3"/>
        <v>2.8332133440562162</v>
      </c>
      <c r="N62" s="21">
        <f t="shared" si="4"/>
        <v>2.0531193119918547</v>
      </c>
    </row>
    <row r="63" spans="1:14" x14ac:dyDescent="0.2">
      <c r="A63" s="25">
        <f>'GF + UG Iteration 8'!A63</f>
        <v>1095</v>
      </c>
      <c r="B63" s="25" t="str">
        <f>'GF + UG Iteration 8'!B63</f>
        <v>GF</v>
      </c>
      <c r="C63" s="18">
        <f>'GF + UG Iteration 8'!C63</f>
        <v>18</v>
      </c>
      <c r="D63" s="19">
        <f>'GF + UG Iteration 8'!D63</f>
        <v>11.923356574074873</v>
      </c>
      <c r="E63" s="30">
        <f>'GF + UG Iteration 8'!E63</f>
        <v>2011</v>
      </c>
      <c r="F63" s="18"/>
      <c r="G63" s="19"/>
      <c r="H63" s="20"/>
      <c r="I63" s="18">
        <f t="shared" si="0"/>
        <v>18</v>
      </c>
      <c r="J63" s="19">
        <f t="shared" si="1"/>
        <v>11.923356574074873</v>
      </c>
      <c r="K63" s="20">
        <f t="shared" si="2"/>
        <v>2011</v>
      </c>
      <c r="M63" s="21">
        <f t="shared" si="3"/>
        <v>2.8903717578961645</v>
      </c>
      <c r="N63" s="21">
        <f t="shared" si="4"/>
        <v>2.4784992137824831</v>
      </c>
    </row>
    <row r="64" spans="1:14" x14ac:dyDescent="0.2">
      <c r="A64" s="25">
        <f>'GF + UG Iteration 8'!A64</f>
        <v>561</v>
      </c>
      <c r="B64" s="25" t="str">
        <f>'GF + UG Iteration 8'!B64</f>
        <v>GF</v>
      </c>
      <c r="C64" s="18">
        <f>'GF + UG Iteration 8'!C64</f>
        <v>46</v>
      </c>
      <c r="D64" s="19">
        <f>'GF + UG Iteration 8'!D64</f>
        <v>58.100097147658744</v>
      </c>
      <c r="E64" s="30">
        <f>'GF + UG Iteration 8'!E64</f>
        <v>2011</v>
      </c>
      <c r="F64" s="18"/>
      <c r="G64" s="19"/>
      <c r="H64" s="20"/>
      <c r="I64" s="18">
        <f t="shared" si="0"/>
        <v>46</v>
      </c>
      <c r="J64" s="19">
        <f t="shared" si="1"/>
        <v>58.100097147658744</v>
      </c>
      <c r="K64" s="20">
        <f t="shared" si="2"/>
        <v>2011</v>
      </c>
      <c r="M64" s="21">
        <f t="shared" si="3"/>
        <v>3.8286413964890951</v>
      </c>
      <c r="N64" s="21">
        <f t="shared" si="4"/>
        <v>4.0621673359332098</v>
      </c>
    </row>
    <row r="65" spans="1:14" x14ac:dyDescent="0.2">
      <c r="A65" s="25">
        <f>'GF + UG Iteration 8'!A65</f>
        <v>1018</v>
      </c>
      <c r="B65" s="25" t="str">
        <f>'GF + UG Iteration 8'!B65</f>
        <v>GF</v>
      </c>
      <c r="C65" s="18">
        <f>'GF + UG Iteration 8'!C65</f>
        <v>3</v>
      </c>
      <c r="D65" s="19">
        <f>'GF + UG Iteration 8'!D65</f>
        <v>10.634643135603309</v>
      </c>
      <c r="E65" s="30">
        <f>'GF + UG Iteration 8'!E65</f>
        <v>2011</v>
      </c>
      <c r="F65" s="18"/>
      <c r="G65" s="19"/>
      <c r="H65" s="20"/>
      <c r="I65" s="18">
        <f t="shared" si="0"/>
        <v>3</v>
      </c>
      <c r="J65" s="19">
        <f t="shared" si="1"/>
        <v>10.634643135603309</v>
      </c>
      <c r="K65" s="20">
        <f t="shared" si="2"/>
        <v>2011</v>
      </c>
      <c r="M65" s="21">
        <f t="shared" si="3"/>
        <v>1.0986122886681098</v>
      </c>
      <c r="N65" s="21">
        <f t="shared" si="4"/>
        <v>2.3641168924336546</v>
      </c>
    </row>
    <row r="66" spans="1:14" x14ac:dyDescent="0.2">
      <c r="A66" s="25">
        <f>'GF + UG Iteration 8'!A66</f>
        <v>360</v>
      </c>
      <c r="B66" s="25" t="str">
        <f>'GF + UG Iteration 8'!B66</f>
        <v>GF</v>
      </c>
      <c r="C66" s="18">
        <f>'GF + UG Iteration 8'!C66</f>
        <v>22</v>
      </c>
      <c r="D66" s="19">
        <f>'GF + UG Iteration 8'!D66</f>
        <v>7.1174715515965792</v>
      </c>
      <c r="E66" s="30">
        <f>'GF + UG Iteration 8'!E66</f>
        <v>2003</v>
      </c>
      <c r="F66" s="18"/>
      <c r="G66" s="19"/>
      <c r="H66" s="20"/>
      <c r="I66" s="18">
        <f t="shared" si="0"/>
        <v>22</v>
      </c>
      <c r="J66" s="19">
        <f t="shared" si="1"/>
        <v>7.1174715515965792</v>
      </c>
      <c r="K66" s="20">
        <f t="shared" si="2"/>
        <v>2003</v>
      </c>
      <c r="M66" s="21">
        <f t="shared" si="3"/>
        <v>3.0910424533583161</v>
      </c>
      <c r="N66" s="21">
        <f t="shared" si="4"/>
        <v>1.9625525431963604</v>
      </c>
    </row>
    <row r="67" spans="1:14" x14ac:dyDescent="0.2">
      <c r="A67" s="25">
        <f>'GF + UG Iteration 8'!A67</f>
        <v>1106</v>
      </c>
      <c r="B67" s="25" t="str">
        <f>'GF + UG Iteration 8'!B67</f>
        <v>GF</v>
      </c>
      <c r="C67" s="18">
        <f>'GF + UG Iteration 8'!C67</f>
        <v>12</v>
      </c>
      <c r="D67" s="19">
        <f>'GF + UG Iteration 8'!D67</f>
        <v>20.217898457447252</v>
      </c>
      <c r="E67" s="30">
        <f>'GF + UG Iteration 8'!E67</f>
        <v>2011</v>
      </c>
      <c r="F67" s="18"/>
      <c r="G67" s="19"/>
      <c r="H67" s="20"/>
      <c r="I67" s="18">
        <f t="shared" si="0"/>
        <v>12</v>
      </c>
      <c r="J67" s="19">
        <f t="shared" si="1"/>
        <v>20.217898457447252</v>
      </c>
      <c r="K67" s="20">
        <f t="shared" si="2"/>
        <v>2011</v>
      </c>
      <c r="M67" s="21">
        <f t="shared" si="3"/>
        <v>2.4849066497880004</v>
      </c>
      <c r="N67" s="21">
        <f t="shared" si="4"/>
        <v>3.0065682743355979</v>
      </c>
    </row>
    <row r="68" spans="1:14" x14ac:dyDescent="0.2">
      <c r="A68" s="25">
        <f>'GF + UG Iteration 8'!A68</f>
        <v>899</v>
      </c>
      <c r="B68" s="25" t="str">
        <f>'GF + UG Iteration 8'!B68</f>
        <v>GF</v>
      </c>
      <c r="C68" s="18">
        <f>'GF + UG Iteration 8'!C68</f>
        <v>25</v>
      </c>
      <c r="D68" s="19">
        <f>'GF + UG Iteration 8'!D68</f>
        <v>15.17251837286627</v>
      </c>
      <c r="E68" s="30">
        <f>'GF + UG Iteration 8'!E68</f>
        <v>2010</v>
      </c>
      <c r="F68" s="18"/>
      <c r="G68" s="19"/>
      <c r="H68" s="20"/>
      <c r="I68" s="18">
        <f t="shared" si="0"/>
        <v>25</v>
      </c>
      <c r="J68" s="19">
        <f t="shared" si="1"/>
        <v>15.17251837286627</v>
      </c>
      <c r="K68" s="20">
        <f t="shared" si="2"/>
        <v>2010</v>
      </c>
      <c r="M68" s="21">
        <f t="shared" si="3"/>
        <v>3.2188758248682006</v>
      </c>
      <c r="N68" s="21">
        <f t="shared" si="4"/>
        <v>2.7194857896591729</v>
      </c>
    </row>
    <row r="69" spans="1:14" x14ac:dyDescent="0.2">
      <c r="A69" s="25">
        <f>'GF + UG Iteration 8'!A69</f>
        <v>1191</v>
      </c>
      <c r="B69" s="25" t="str">
        <f>'GF + UG Iteration 8'!B69</f>
        <v>GF</v>
      </c>
      <c r="C69" s="18">
        <f>'GF + UG Iteration 8'!C69</f>
        <v>11</v>
      </c>
      <c r="D69" s="19">
        <f>'GF + UG Iteration 8'!D69</f>
        <v>12.628076471206382</v>
      </c>
      <c r="E69" s="30">
        <f>'GF + UG Iteration 8'!E69</f>
        <v>2011</v>
      </c>
      <c r="F69" s="18"/>
      <c r="G69" s="19"/>
      <c r="H69" s="20"/>
      <c r="I69" s="18">
        <f t="shared" si="0"/>
        <v>11</v>
      </c>
      <c r="J69" s="19">
        <f t="shared" si="1"/>
        <v>12.628076471206382</v>
      </c>
      <c r="K69" s="20">
        <f t="shared" si="2"/>
        <v>2011</v>
      </c>
      <c r="M69" s="21">
        <f t="shared" si="3"/>
        <v>2.3978952727983707</v>
      </c>
      <c r="N69" s="21">
        <f t="shared" si="4"/>
        <v>2.5359226263636927</v>
      </c>
    </row>
    <row r="70" spans="1:14" x14ac:dyDescent="0.2">
      <c r="A70" s="25">
        <f>'GF + UG Iteration 8'!A70</f>
        <v>1115</v>
      </c>
      <c r="B70" s="25" t="str">
        <f>'GF + UG Iteration 8'!B70</f>
        <v>GF</v>
      </c>
      <c r="C70" s="18">
        <f>'GF + UG Iteration 8'!C70</f>
        <v>10</v>
      </c>
      <c r="D70" s="19">
        <f>'GF + UG Iteration 8'!D70</f>
        <v>24.362790290493837</v>
      </c>
      <c r="E70" s="30">
        <f>'GF + UG Iteration 8'!E70</f>
        <v>2011</v>
      </c>
      <c r="F70" s="18"/>
      <c r="G70" s="19"/>
      <c r="H70" s="20"/>
      <c r="I70" s="18">
        <f t="shared" si="0"/>
        <v>10</v>
      </c>
      <c r="J70" s="19">
        <f t="shared" si="1"/>
        <v>24.362790290493837</v>
      </c>
      <c r="K70" s="20">
        <f t="shared" si="2"/>
        <v>2011</v>
      </c>
      <c r="M70" s="21">
        <f t="shared" si="3"/>
        <v>2.3025850929940459</v>
      </c>
      <c r="N70" s="21">
        <f t="shared" si="4"/>
        <v>3.1930569802267783</v>
      </c>
    </row>
    <row r="71" spans="1:14" x14ac:dyDescent="0.2">
      <c r="A71" s="25">
        <f>'GF + UG Iteration 8'!A71</f>
        <v>1053</v>
      </c>
      <c r="B71" s="25" t="str">
        <f>'GF + UG Iteration 8'!B71</f>
        <v>GF</v>
      </c>
      <c r="C71" s="18">
        <f>'GF + UG Iteration 8'!C71</f>
        <v>9</v>
      </c>
      <c r="D71" s="19">
        <f>'GF + UG Iteration 8'!D71</f>
        <v>14.71443826778331</v>
      </c>
      <c r="E71" s="30">
        <f>'GF + UG Iteration 8'!E71</f>
        <v>2011</v>
      </c>
      <c r="F71" s="18"/>
      <c r="G71" s="19"/>
      <c r="H71" s="20"/>
      <c r="I71" s="18">
        <f t="shared" si="0"/>
        <v>9</v>
      </c>
      <c r="J71" s="19">
        <f t="shared" si="1"/>
        <v>14.71443826778331</v>
      </c>
      <c r="K71" s="20">
        <f t="shared" si="2"/>
        <v>2011</v>
      </c>
      <c r="M71" s="21">
        <f t="shared" si="3"/>
        <v>2.1972245773362196</v>
      </c>
      <c r="N71" s="21">
        <f t="shared" si="4"/>
        <v>2.6888292068340069</v>
      </c>
    </row>
    <row r="72" spans="1:14" x14ac:dyDescent="0.2">
      <c r="A72" s="25">
        <f>'GF + UG Iteration 8'!A72</f>
        <v>864</v>
      </c>
      <c r="B72" s="25" t="str">
        <f>'GF + UG Iteration 8'!B72</f>
        <v>GF</v>
      </c>
      <c r="C72" s="18">
        <f>'GF + UG Iteration 8'!C72</f>
        <v>25</v>
      </c>
      <c r="D72" s="19">
        <f>'GF + UG Iteration 8'!D72</f>
        <v>9.825778201045452</v>
      </c>
      <c r="E72" s="30">
        <f>'GF + UG Iteration 8'!E72</f>
        <v>2007</v>
      </c>
      <c r="F72" s="18"/>
      <c r="G72" s="19"/>
      <c r="H72" s="20"/>
      <c r="I72" s="18">
        <f t="shared" ref="I72:I117" si="5">C72+F72</f>
        <v>25</v>
      </c>
      <c r="J72" s="19">
        <f t="shared" ref="J72:J117" si="6">D72+G72</f>
        <v>9.825778201045452</v>
      </c>
      <c r="K72" s="20">
        <f t="shared" ref="K72:K117" si="7">MAX(E72,H72)</f>
        <v>2007</v>
      </c>
      <c r="M72" s="21">
        <f t="shared" ref="M72:M135" si="8">LN(I72)</f>
        <v>3.2188758248682006</v>
      </c>
      <c r="N72" s="21">
        <f t="shared" ref="N72:N135" si="9">LN(J72)</f>
        <v>2.2850093608319559</v>
      </c>
    </row>
    <row r="73" spans="1:14" x14ac:dyDescent="0.2">
      <c r="A73" s="25">
        <f>'GF + UG Iteration 8'!A73</f>
        <v>834</v>
      </c>
      <c r="B73" s="25" t="str">
        <f>'GF + UG Iteration 8'!B73</f>
        <v>GF</v>
      </c>
      <c r="C73" s="18">
        <f>'GF + UG Iteration 8'!C73</f>
        <v>45</v>
      </c>
      <c r="D73" s="19">
        <f>'GF + UG Iteration 8'!D73</f>
        <v>25.798393978216257</v>
      </c>
      <c r="E73" s="30">
        <f>'GF + UG Iteration 8'!E73</f>
        <v>2010</v>
      </c>
      <c r="F73" s="18"/>
      <c r="G73" s="19"/>
      <c r="H73" s="20"/>
      <c r="I73" s="18">
        <f t="shared" si="5"/>
        <v>45</v>
      </c>
      <c r="J73" s="19">
        <f t="shared" si="6"/>
        <v>25.798393978216257</v>
      </c>
      <c r="K73" s="20">
        <f t="shared" si="7"/>
        <v>2010</v>
      </c>
      <c r="M73" s="21">
        <f t="shared" si="8"/>
        <v>3.8066624897703196</v>
      </c>
      <c r="N73" s="21">
        <f t="shared" si="9"/>
        <v>3.2503122410836816</v>
      </c>
    </row>
    <row r="74" spans="1:14" x14ac:dyDescent="0.2">
      <c r="A74" s="25">
        <f>'GF + UG Iteration 8'!A74</f>
        <v>722</v>
      </c>
      <c r="B74" s="25" t="str">
        <f>'GF + UG Iteration 8'!B74</f>
        <v>GF</v>
      </c>
      <c r="C74" s="18">
        <f>'GF + UG Iteration 8'!C74</f>
        <v>10.5</v>
      </c>
      <c r="D74" s="19">
        <f>'GF + UG Iteration 8'!D74</f>
        <v>13.501544643115857</v>
      </c>
      <c r="E74" s="30">
        <f>'GF + UG Iteration 8'!E74</f>
        <v>2010</v>
      </c>
      <c r="F74" s="18"/>
      <c r="G74" s="19"/>
      <c r="H74" s="20"/>
      <c r="I74" s="18">
        <f t="shared" si="5"/>
        <v>10.5</v>
      </c>
      <c r="J74" s="19">
        <f t="shared" si="6"/>
        <v>13.501544643115857</v>
      </c>
      <c r="K74" s="20">
        <f t="shared" si="7"/>
        <v>2010</v>
      </c>
      <c r="M74" s="21">
        <f t="shared" si="8"/>
        <v>2.3513752571634776</v>
      </c>
      <c r="N74" s="21">
        <f t="shared" si="9"/>
        <v>2.6028040969077249</v>
      </c>
    </row>
    <row r="75" spans="1:14" x14ac:dyDescent="0.2">
      <c r="A75" s="25">
        <f>'GF + UG Iteration 8'!A75</f>
        <v>927</v>
      </c>
      <c r="B75" s="25" t="str">
        <f>'GF + UG Iteration 8'!B75</f>
        <v>GF</v>
      </c>
      <c r="C75" s="18">
        <f>'GF + UG Iteration 8'!C75</f>
        <v>60</v>
      </c>
      <c r="D75" s="19">
        <f>'GF + UG Iteration 8'!D75</f>
        <v>25.887106037100622</v>
      </c>
      <c r="E75" s="30">
        <f>'GF + UG Iteration 8'!E75</f>
        <v>2011</v>
      </c>
      <c r="F75" s="18"/>
      <c r="G75" s="19"/>
      <c r="H75" s="20"/>
      <c r="I75" s="18">
        <f t="shared" si="5"/>
        <v>60</v>
      </c>
      <c r="J75" s="19">
        <f t="shared" si="6"/>
        <v>25.887106037100622</v>
      </c>
      <c r="K75" s="20">
        <f t="shared" si="7"/>
        <v>2011</v>
      </c>
      <c r="M75" s="21">
        <f t="shared" si="8"/>
        <v>4.0943445622221004</v>
      </c>
      <c r="N75" s="21">
        <f t="shared" si="9"/>
        <v>3.2537450083384241</v>
      </c>
    </row>
    <row r="76" spans="1:14" x14ac:dyDescent="0.2">
      <c r="A76" s="25">
        <f>'GF + UG Iteration 8'!A76</f>
        <v>1068</v>
      </c>
      <c r="B76" s="25" t="str">
        <f>'GF + UG Iteration 8'!B76</f>
        <v>GF</v>
      </c>
      <c r="C76" s="18">
        <f>'GF + UG Iteration 8'!C76</f>
        <v>11.2</v>
      </c>
      <c r="D76" s="19">
        <f>'GF + UG Iteration 8'!D76</f>
        <v>26.918199168374588</v>
      </c>
      <c r="E76" s="30">
        <f>'GF + UG Iteration 8'!E76</f>
        <v>2011</v>
      </c>
      <c r="F76" s="18"/>
      <c r="G76" s="19"/>
      <c r="H76" s="20"/>
      <c r="I76" s="18">
        <f t="shared" si="5"/>
        <v>11.2</v>
      </c>
      <c r="J76" s="19">
        <f t="shared" si="6"/>
        <v>26.918199168374588</v>
      </c>
      <c r="K76" s="20">
        <f t="shared" si="7"/>
        <v>2011</v>
      </c>
      <c r="M76" s="21">
        <f t="shared" si="8"/>
        <v>2.4159137783010487</v>
      </c>
      <c r="N76" s="21">
        <f t="shared" si="9"/>
        <v>3.2928026068618901</v>
      </c>
    </row>
    <row r="77" spans="1:14" x14ac:dyDescent="0.2">
      <c r="A77" s="25">
        <f>'GF + UG Iteration 8'!A77</f>
        <v>506</v>
      </c>
      <c r="B77" s="25" t="str">
        <f>'GF + UG Iteration 8'!B77</f>
        <v>GF</v>
      </c>
      <c r="C77" s="18">
        <f>'GF + UG Iteration 8'!C77</f>
        <v>20</v>
      </c>
      <c r="D77" s="19">
        <f>'GF + UG Iteration 8'!D77</f>
        <v>13.969254162639503</v>
      </c>
      <c r="E77" s="30">
        <f>'GF + UG Iteration 8'!E77</f>
        <v>2003</v>
      </c>
      <c r="F77" s="18"/>
      <c r="G77" s="19"/>
      <c r="H77" s="20"/>
      <c r="I77" s="18">
        <f t="shared" si="5"/>
        <v>20</v>
      </c>
      <c r="J77" s="19">
        <f t="shared" si="6"/>
        <v>13.969254162639503</v>
      </c>
      <c r="K77" s="20">
        <f t="shared" si="7"/>
        <v>2003</v>
      </c>
      <c r="M77" s="21">
        <f t="shared" si="8"/>
        <v>2.9957322735539909</v>
      </c>
      <c r="N77" s="21">
        <f t="shared" si="9"/>
        <v>2.6368587833425443</v>
      </c>
    </row>
    <row r="78" spans="1:14" x14ac:dyDescent="0.2">
      <c r="A78" s="25">
        <f>'GF + UG Iteration 8'!A78</f>
        <v>456</v>
      </c>
      <c r="B78" s="25" t="str">
        <f>'GF + UG Iteration 8'!B78</f>
        <v>GF</v>
      </c>
      <c r="C78" s="18">
        <f>'GF + UG Iteration 8'!C78</f>
        <v>16</v>
      </c>
      <c r="D78" s="19">
        <f>'GF + UG Iteration 8'!D78</f>
        <v>17.647037003819346</v>
      </c>
      <c r="E78" s="30">
        <f>'GF + UG Iteration 8'!E78</f>
        <v>2007</v>
      </c>
      <c r="F78" s="18"/>
      <c r="G78" s="19"/>
      <c r="H78" s="20"/>
      <c r="I78" s="18">
        <f t="shared" si="5"/>
        <v>16</v>
      </c>
      <c r="J78" s="19">
        <f t="shared" si="6"/>
        <v>17.647037003819346</v>
      </c>
      <c r="K78" s="20">
        <f t="shared" si="7"/>
        <v>2007</v>
      </c>
      <c r="M78" s="21">
        <f t="shared" si="8"/>
        <v>2.7725887222397811</v>
      </c>
      <c r="N78" s="21">
        <f t="shared" si="9"/>
        <v>2.8705678941489836</v>
      </c>
    </row>
    <row r="79" spans="1:14" x14ac:dyDescent="0.2">
      <c r="A79" s="25">
        <f>'GF + UG Iteration 8'!A79</f>
        <v>130</v>
      </c>
      <c r="B79" s="25" t="str">
        <f>'GF + UG Iteration 8'!B79</f>
        <v>GF</v>
      </c>
      <c r="C79" s="18">
        <f>'GF + UG Iteration 8'!C79</f>
        <v>18</v>
      </c>
      <c r="D79" s="19">
        <f>'GF + UG Iteration 8'!D79</f>
        <v>8.4369732753123952</v>
      </c>
      <c r="E79" s="30">
        <f>'GF + UG Iteration 8'!E79</f>
        <v>2001</v>
      </c>
      <c r="F79" s="18"/>
      <c r="G79" s="19"/>
      <c r="H79" s="20"/>
      <c r="I79" s="18">
        <f t="shared" si="5"/>
        <v>18</v>
      </c>
      <c r="J79" s="19">
        <f t="shared" si="6"/>
        <v>8.4369732753123952</v>
      </c>
      <c r="K79" s="20">
        <f t="shared" si="7"/>
        <v>2001</v>
      </c>
      <c r="M79" s="21">
        <f t="shared" si="8"/>
        <v>2.8903717578961645</v>
      </c>
      <c r="N79" s="21">
        <f t="shared" si="9"/>
        <v>2.1326236276203829</v>
      </c>
    </row>
    <row r="80" spans="1:14" x14ac:dyDescent="0.2">
      <c r="A80" s="25">
        <f>'GF + UG Iteration 8'!A80</f>
        <v>308</v>
      </c>
      <c r="B80" s="25" t="str">
        <f>'GF + UG Iteration 8'!B80</f>
        <v>GF</v>
      </c>
      <c r="C80" s="18">
        <f>'GF + UG Iteration 8'!C80</f>
        <v>10</v>
      </c>
      <c r="D80" s="19">
        <f>'GF + UG Iteration 8'!D80</f>
        <v>8.8753762889293544</v>
      </c>
      <c r="E80" s="30">
        <f>'GF + UG Iteration 8'!E80</f>
        <v>2003</v>
      </c>
      <c r="F80" s="18"/>
      <c r="G80" s="19"/>
      <c r="H80" s="20"/>
      <c r="I80" s="18">
        <f t="shared" si="5"/>
        <v>10</v>
      </c>
      <c r="J80" s="19">
        <f t="shared" si="6"/>
        <v>8.8753762889293544</v>
      </c>
      <c r="K80" s="20">
        <f t="shared" si="7"/>
        <v>2003</v>
      </c>
      <c r="M80" s="21">
        <f t="shared" si="8"/>
        <v>2.3025850929940459</v>
      </c>
      <c r="N80" s="21">
        <f t="shared" si="9"/>
        <v>2.1832807332152813</v>
      </c>
    </row>
    <row r="81" spans="1:14" x14ac:dyDescent="0.2">
      <c r="A81" s="25">
        <f>'GF + UG Iteration 8'!A81</f>
        <v>829</v>
      </c>
      <c r="B81" s="25" t="str">
        <f>'GF + UG Iteration 8'!B81</f>
        <v>GF</v>
      </c>
      <c r="C81" s="18">
        <f>'GF + UG Iteration 8'!C81</f>
        <v>20</v>
      </c>
      <c r="D81" s="19">
        <f>'GF + UG Iteration 8'!D81</f>
        <v>27.761077137379147</v>
      </c>
      <c r="E81" s="30">
        <f>'GF + UG Iteration 8'!E81</f>
        <v>2011</v>
      </c>
      <c r="F81" s="18"/>
      <c r="G81" s="19"/>
      <c r="H81" s="20"/>
      <c r="I81" s="18">
        <f t="shared" si="5"/>
        <v>20</v>
      </c>
      <c r="J81" s="19">
        <f t="shared" si="6"/>
        <v>27.761077137379147</v>
      </c>
      <c r="K81" s="20">
        <f t="shared" si="7"/>
        <v>2011</v>
      </c>
      <c r="M81" s="21">
        <f t="shared" si="8"/>
        <v>2.9957322735539909</v>
      </c>
      <c r="N81" s="21">
        <f t="shared" si="9"/>
        <v>3.3236349366646221</v>
      </c>
    </row>
    <row r="82" spans="1:14" x14ac:dyDescent="0.2">
      <c r="A82" s="25">
        <f>'GF + UG Iteration 8'!A82</f>
        <v>425</v>
      </c>
      <c r="B82" s="25" t="str">
        <f>'GF + UG Iteration 8'!B82</f>
        <v>GF</v>
      </c>
      <c r="C82" s="18">
        <f>'GF + UG Iteration 8'!C82</f>
        <v>17</v>
      </c>
      <c r="D82" s="19">
        <f>'GF + UG Iteration 8'!D82</f>
        <v>11.725448588458148</v>
      </c>
      <c r="E82" s="30">
        <f>'GF + UG Iteration 8'!E82</f>
        <v>2006</v>
      </c>
      <c r="F82" s="18"/>
      <c r="G82" s="19"/>
      <c r="H82" s="20"/>
      <c r="I82" s="18">
        <f t="shared" si="5"/>
        <v>17</v>
      </c>
      <c r="J82" s="19">
        <f t="shared" si="6"/>
        <v>11.725448588458148</v>
      </c>
      <c r="K82" s="20">
        <f t="shared" si="7"/>
        <v>2006</v>
      </c>
      <c r="M82" s="21">
        <f t="shared" si="8"/>
        <v>2.8332133440562162</v>
      </c>
      <c r="N82" s="21">
        <f t="shared" si="9"/>
        <v>2.4617615727440327</v>
      </c>
    </row>
    <row r="83" spans="1:14" x14ac:dyDescent="0.2">
      <c r="A83" s="25">
        <f>'GF + UG Iteration 8'!A83</f>
        <v>333</v>
      </c>
      <c r="B83" s="25" t="str">
        <f>'GF + UG Iteration 8'!B83</f>
        <v>GF</v>
      </c>
      <c r="C83" s="18">
        <f>'GF + UG Iteration 8'!C83</f>
        <v>12</v>
      </c>
      <c r="D83" s="19">
        <f>'GF + UG Iteration 8'!D83</f>
        <v>7.5607136656563343</v>
      </c>
      <c r="E83" s="30">
        <f>'GF + UG Iteration 8'!E83</f>
        <v>2003</v>
      </c>
      <c r="F83" s="18"/>
      <c r="G83" s="19"/>
      <c r="H83" s="20"/>
      <c r="I83" s="18">
        <f t="shared" si="5"/>
        <v>12</v>
      </c>
      <c r="J83" s="19">
        <f t="shared" si="6"/>
        <v>7.5607136656563343</v>
      </c>
      <c r="K83" s="20">
        <f t="shared" si="7"/>
        <v>2003</v>
      </c>
      <c r="M83" s="21">
        <f t="shared" si="8"/>
        <v>2.4849066497880004</v>
      </c>
      <c r="N83" s="21">
        <f t="shared" si="9"/>
        <v>2.022965585955113</v>
      </c>
    </row>
    <row r="84" spans="1:14" x14ac:dyDescent="0.2">
      <c r="A84" s="25">
        <f>'GF + UG Iteration 8'!A84</f>
        <v>769</v>
      </c>
      <c r="B84" s="25" t="str">
        <f>'GF + UG Iteration 8'!B84</f>
        <v>GF</v>
      </c>
      <c r="C84" s="18">
        <f>'GF + UG Iteration 8'!C84</f>
        <v>40</v>
      </c>
      <c r="D84" s="19">
        <f>'GF + UG Iteration 8'!D84</f>
        <v>26.381292343151443</v>
      </c>
      <c r="E84" s="30">
        <f>'GF + UG Iteration 8'!E84</f>
        <v>2007</v>
      </c>
      <c r="F84" s="18"/>
      <c r="G84" s="19"/>
      <c r="H84" s="20"/>
      <c r="I84" s="18">
        <f t="shared" si="5"/>
        <v>40</v>
      </c>
      <c r="J84" s="19">
        <f t="shared" si="6"/>
        <v>26.381292343151443</v>
      </c>
      <c r="K84" s="20">
        <f t="shared" si="7"/>
        <v>2007</v>
      </c>
      <c r="M84" s="21">
        <f t="shared" si="8"/>
        <v>3.6888794541139363</v>
      </c>
      <c r="N84" s="21">
        <f t="shared" si="9"/>
        <v>3.2726551355945839</v>
      </c>
    </row>
    <row r="85" spans="1:14" x14ac:dyDescent="0.2">
      <c r="A85" s="25">
        <f>'GF + UG Iteration 8'!A85</f>
        <v>948</v>
      </c>
      <c r="B85" s="25" t="str">
        <f>'GF + UG Iteration 8'!B85</f>
        <v>GF</v>
      </c>
      <c r="C85" s="18">
        <f>'GF + UG Iteration 8'!C85</f>
        <v>57</v>
      </c>
      <c r="D85" s="19">
        <f>'GF + UG Iteration 8'!D85</f>
        <v>12.653662771089085</v>
      </c>
      <c r="E85" s="30">
        <f>'GF + UG Iteration 8'!E85</f>
        <v>2014</v>
      </c>
      <c r="F85" s="18"/>
      <c r="G85" s="19"/>
      <c r="H85" s="20"/>
      <c r="I85" s="18">
        <f t="shared" si="5"/>
        <v>57</v>
      </c>
      <c r="J85" s="19">
        <f t="shared" si="6"/>
        <v>12.653662771089085</v>
      </c>
      <c r="K85" s="20">
        <f t="shared" si="7"/>
        <v>2014</v>
      </c>
      <c r="M85" s="21">
        <f t="shared" si="8"/>
        <v>4.0430512678345503</v>
      </c>
      <c r="N85" s="21">
        <f t="shared" si="9"/>
        <v>2.5379467203845181</v>
      </c>
    </row>
    <row r="86" spans="1:14" x14ac:dyDescent="0.2">
      <c r="A86" s="25">
        <f>'GF + UG Iteration 8'!A86</f>
        <v>1128</v>
      </c>
      <c r="B86" s="25" t="str">
        <f>'GF + UG Iteration 8'!B86</f>
        <v>GF</v>
      </c>
      <c r="C86" s="18">
        <f>'GF + UG Iteration 8'!C86</f>
        <v>45</v>
      </c>
      <c r="D86" s="19">
        <f>'GF + UG Iteration 8'!D86</f>
        <v>63.556235718349399</v>
      </c>
      <c r="E86" s="30">
        <f>'GF + UG Iteration 8'!E86</f>
        <v>2013</v>
      </c>
      <c r="F86" s="18"/>
      <c r="G86" s="19"/>
      <c r="H86" s="20"/>
      <c r="I86" s="18">
        <f t="shared" si="5"/>
        <v>45</v>
      </c>
      <c r="J86" s="19">
        <f t="shared" si="6"/>
        <v>63.556235718349399</v>
      </c>
      <c r="K86" s="20">
        <f t="shared" si="7"/>
        <v>2013</v>
      </c>
      <c r="M86" s="21">
        <f t="shared" si="8"/>
        <v>3.8066624897703196</v>
      </c>
      <c r="N86" s="21">
        <f t="shared" si="9"/>
        <v>4.1519251158484547</v>
      </c>
    </row>
    <row r="87" spans="1:14" x14ac:dyDescent="0.2">
      <c r="A87" s="25">
        <f>'GF + UG Iteration 8'!A87</f>
        <v>1214</v>
      </c>
      <c r="B87" s="25" t="str">
        <f>'GF + UG Iteration 8'!B87</f>
        <v>GF</v>
      </c>
      <c r="C87" s="18">
        <f>'GF + UG Iteration 8'!C87</f>
        <v>52</v>
      </c>
      <c r="D87" s="19">
        <f>'GF + UG Iteration 8'!D87</f>
        <v>22.631695273294461</v>
      </c>
      <c r="E87" s="30">
        <f>'GF + UG Iteration 8'!E87</f>
        <v>2013</v>
      </c>
      <c r="F87" s="18"/>
      <c r="G87" s="19"/>
      <c r="H87" s="20"/>
      <c r="I87" s="18">
        <f t="shared" si="5"/>
        <v>52</v>
      </c>
      <c r="J87" s="19">
        <f t="shared" si="6"/>
        <v>22.631695273294461</v>
      </c>
      <c r="K87" s="20">
        <f t="shared" si="7"/>
        <v>2013</v>
      </c>
      <c r="M87" s="21">
        <f t="shared" si="8"/>
        <v>3.9512437185814275</v>
      </c>
      <c r="N87" s="21">
        <f t="shared" si="9"/>
        <v>3.1193513694907367</v>
      </c>
    </row>
    <row r="88" spans="1:14" x14ac:dyDescent="0.2">
      <c r="A88" s="25">
        <f>'GF + UG Iteration 8'!A88</f>
        <v>1225</v>
      </c>
      <c r="B88" s="25" t="str">
        <f>'GF + UG Iteration 8'!B88</f>
        <v>GF</v>
      </c>
      <c r="C88" s="18">
        <f>'GF + UG Iteration 8'!C88</f>
        <v>20</v>
      </c>
      <c r="D88" s="19">
        <f>'GF + UG Iteration 8'!D88</f>
        <v>18.636695744675041</v>
      </c>
      <c r="E88" s="30">
        <f>'GF + UG Iteration 8'!E88</f>
        <v>2013</v>
      </c>
      <c r="F88" s="18"/>
      <c r="G88" s="19"/>
      <c r="H88" s="20"/>
      <c r="I88" s="18">
        <f t="shared" si="5"/>
        <v>20</v>
      </c>
      <c r="J88" s="19">
        <f t="shared" si="6"/>
        <v>18.636695744675041</v>
      </c>
      <c r="K88" s="20">
        <f t="shared" si="7"/>
        <v>2013</v>
      </c>
      <c r="M88" s="21">
        <f t="shared" si="8"/>
        <v>2.9957322735539909</v>
      </c>
      <c r="N88" s="21">
        <f t="shared" si="9"/>
        <v>2.925132526627233</v>
      </c>
    </row>
    <row r="89" spans="1:14" x14ac:dyDescent="0.2">
      <c r="A89" s="25">
        <f>'GF + UG Iteration 8'!A89</f>
        <v>1263</v>
      </c>
      <c r="B89" s="25" t="str">
        <f>'GF + UG Iteration 8'!B89</f>
        <v>GF</v>
      </c>
      <c r="C89" s="18">
        <f>'GF + UG Iteration 8'!C89</f>
        <v>8</v>
      </c>
      <c r="D89" s="19">
        <f>'GF + UG Iteration 8'!D89</f>
        <v>19.611656992669992</v>
      </c>
      <c r="E89" s="30">
        <f>'GF + UG Iteration 8'!E89</f>
        <v>2013</v>
      </c>
      <c r="F89" s="18"/>
      <c r="G89" s="19"/>
      <c r="H89" s="20"/>
      <c r="I89" s="18">
        <f t="shared" si="5"/>
        <v>8</v>
      </c>
      <c r="J89" s="19">
        <f t="shared" si="6"/>
        <v>19.611656992669992</v>
      </c>
      <c r="K89" s="20">
        <f t="shared" si="7"/>
        <v>2013</v>
      </c>
      <c r="M89" s="21">
        <f t="shared" si="8"/>
        <v>2.0794415416798357</v>
      </c>
      <c r="N89" s="21">
        <f t="shared" si="9"/>
        <v>2.9761241339700195</v>
      </c>
    </row>
    <row r="90" spans="1:14" x14ac:dyDescent="0.2">
      <c r="A90" s="25">
        <f>'GF + UG Iteration 8'!A90</f>
        <v>1309</v>
      </c>
      <c r="B90" s="25" t="str">
        <f>'GF + UG Iteration 8'!B90</f>
        <v>GF</v>
      </c>
      <c r="C90" s="18">
        <f>'GF + UG Iteration 8'!C90</f>
        <v>15</v>
      </c>
      <c r="D90" s="19">
        <f>'GF + UG Iteration 8'!D90</f>
        <v>16.109333942693336</v>
      </c>
      <c r="E90" s="30">
        <f>'GF + UG Iteration 8'!E90</f>
        <v>2013</v>
      </c>
      <c r="F90" s="18"/>
      <c r="G90" s="19"/>
      <c r="H90" s="20"/>
      <c r="I90" s="18">
        <f t="shared" si="5"/>
        <v>15</v>
      </c>
      <c r="J90" s="19">
        <f t="shared" si="6"/>
        <v>16.109333942693336</v>
      </c>
      <c r="K90" s="20">
        <f t="shared" si="7"/>
        <v>2013</v>
      </c>
      <c r="M90" s="21">
        <f t="shared" si="8"/>
        <v>2.7080502011022101</v>
      </c>
      <c r="N90" s="21">
        <f t="shared" si="9"/>
        <v>2.7793988519948485</v>
      </c>
    </row>
    <row r="91" spans="1:14" x14ac:dyDescent="0.2">
      <c r="A91" s="25">
        <f>'GF + UG Iteration 8'!A91</f>
        <v>1349</v>
      </c>
      <c r="B91" s="25" t="str">
        <f>'GF + UG Iteration 8'!B91</f>
        <v>GF</v>
      </c>
      <c r="C91" s="18">
        <f>'GF + UG Iteration 8'!C91</f>
        <v>34</v>
      </c>
      <c r="D91" s="19">
        <f>'GF + UG Iteration 8'!D91</f>
        <v>8.9679522578977586</v>
      </c>
      <c r="E91" s="30">
        <f>'GF + UG Iteration 8'!E91</f>
        <v>2013</v>
      </c>
      <c r="F91" s="18"/>
      <c r="G91" s="19"/>
      <c r="H91" s="20"/>
      <c r="I91" s="18">
        <f t="shared" si="5"/>
        <v>34</v>
      </c>
      <c r="J91" s="19">
        <f t="shared" si="6"/>
        <v>8.9679522578977586</v>
      </c>
      <c r="K91" s="20">
        <f t="shared" si="7"/>
        <v>2013</v>
      </c>
      <c r="M91" s="21">
        <f t="shared" si="8"/>
        <v>3.5263605246161616</v>
      </c>
      <c r="N91" s="21">
        <f t="shared" si="9"/>
        <v>2.193657362149283</v>
      </c>
    </row>
    <row r="92" spans="1:14" x14ac:dyDescent="0.2">
      <c r="A92" s="25">
        <f>'GF + UG Iteration 8'!A92</f>
        <v>1358</v>
      </c>
      <c r="B92" s="25" t="str">
        <f>'GF + UG Iteration 8'!B92</f>
        <v>GF</v>
      </c>
      <c r="C92" s="18">
        <f>'GF + UG Iteration 8'!C92</f>
        <v>27</v>
      </c>
      <c r="D92" s="19">
        <f>'GF + UG Iteration 8'!D92</f>
        <v>13.07265503282744</v>
      </c>
      <c r="E92" s="30">
        <f>'GF + UG Iteration 8'!E92</f>
        <v>2013</v>
      </c>
      <c r="F92" s="18"/>
      <c r="G92" s="19"/>
      <c r="H92" s="20"/>
      <c r="I92" s="18">
        <f t="shared" si="5"/>
        <v>27</v>
      </c>
      <c r="J92" s="19">
        <f t="shared" si="6"/>
        <v>13.07265503282744</v>
      </c>
      <c r="K92" s="20">
        <f t="shared" si="7"/>
        <v>2013</v>
      </c>
      <c r="M92" s="21">
        <f t="shared" si="8"/>
        <v>3.2958368660043291</v>
      </c>
      <c r="N92" s="21">
        <f t="shared" si="9"/>
        <v>2.5705226464726247</v>
      </c>
    </row>
    <row r="93" spans="1:14" x14ac:dyDescent="0.2">
      <c r="A93" s="25">
        <f>'GF + UG Iteration 8'!A93</f>
        <v>1404</v>
      </c>
      <c r="B93" s="25" t="str">
        <f>'GF + UG Iteration 8'!B93</f>
        <v>GF</v>
      </c>
      <c r="C93" s="18">
        <f>'GF + UG Iteration 8'!C93</f>
        <v>35</v>
      </c>
      <c r="D93" s="19">
        <f>'GF + UG Iteration 8'!D93</f>
        <v>35.276341164894447</v>
      </c>
      <c r="E93" s="30">
        <f>'GF + UG Iteration 8'!E93</f>
        <v>2013</v>
      </c>
      <c r="F93" s="18"/>
      <c r="G93" s="19"/>
      <c r="H93" s="20"/>
      <c r="I93" s="18">
        <f t="shared" si="5"/>
        <v>35</v>
      </c>
      <c r="J93" s="19">
        <f t="shared" si="6"/>
        <v>35.276341164894447</v>
      </c>
      <c r="K93" s="20">
        <f t="shared" si="7"/>
        <v>2013</v>
      </c>
      <c r="M93" s="21">
        <f t="shared" si="8"/>
        <v>3.5553480614894135</v>
      </c>
      <c r="N93" s="21">
        <f t="shared" si="9"/>
        <v>3.5632125172824458</v>
      </c>
    </row>
    <row r="94" spans="1:14" x14ac:dyDescent="0.2">
      <c r="A94" s="25">
        <f>'GF + UG Iteration 8'!A94</f>
        <v>1482</v>
      </c>
      <c r="B94" s="25" t="str">
        <f>'GF + UG Iteration 8'!B94</f>
        <v>GF</v>
      </c>
      <c r="C94" s="18">
        <f>'GF + UG Iteration 8'!C94</f>
        <v>18.399999999999999</v>
      </c>
      <c r="D94" s="19">
        <f>'GF + UG Iteration 8'!D94</f>
        <v>18.765793673519447</v>
      </c>
      <c r="E94" s="30">
        <f>'GF + UG Iteration 8'!E94</f>
        <v>2013</v>
      </c>
      <c r="F94" s="18"/>
      <c r="G94" s="19"/>
      <c r="H94" s="20"/>
      <c r="I94" s="18">
        <f t="shared" si="5"/>
        <v>18.399999999999999</v>
      </c>
      <c r="J94" s="19">
        <f t="shared" si="6"/>
        <v>18.765793673519447</v>
      </c>
      <c r="K94" s="20">
        <f t="shared" si="7"/>
        <v>2013</v>
      </c>
      <c r="M94" s="21">
        <f t="shared" si="8"/>
        <v>2.91235066461494</v>
      </c>
      <c r="N94" s="21">
        <f t="shared" si="9"/>
        <v>2.9320357271105943</v>
      </c>
    </row>
    <row r="95" spans="1:14" x14ac:dyDescent="0.2">
      <c r="A95" s="25">
        <f>'GF + UG Iteration 8'!A95</f>
        <v>1515</v>
      </c>
      <c r="B95" s="25" t="str">
        <f>'GF + UG Iteration 8'!B95</f>
        <v>GF</v>
      </c>
      <c r="C95" s="18">
        <f>'GF + UG Iteration 8'!C95</f>
        <v>7.2</v>
      </c>
      <c r="D95" s="19">
        <f>'GF + UG Iteration 8'!D95</f>
        <v>12.99271394051414</v>
      </c>
      <c r="E95" s="30">
        <f>'GF + UG Iteration 8'!E95</f>
        <v>2013</v>
      </c>
      <c r="F95" s="18"/>
      <c r="G95" s="19"/>
      <c r="H95" s="20"/>
      <c r="I95" s="18">
        <f t="shared" si="5"/>
        <v>7.2</v>
      </c>
      <c r="J95" s="19">
        <f t="shared" si="6"/>
        <v>12.99271394051414</v>
      </c>
      <c r="K95" s="20">
        <f t="shared" si="7"/>
        <v>2013</v>
      </c>
      <c r="M95" s="21">
        <f t="shared" si="8"/>
        <v>1.9740810260220096</v>
      </c>
      <c r="N95" s="21">
        <f t="shared" si="9"/>
        <v>2.5643887342273977</v>
      </c>
    </row>
    <row r="96" spans="1:14" x14ac:dyDescent="0.2">
      <c r="A96" s="25">
        <f>'GF + UG Iteration 8'!A96</f>
        <v>1618</v>
      </c>
      <c r="B96" s="25" t="str">
        <f>'GF + UG Iteration 8'!B96</f>
        <v>GF</v>
      </c>
      <c r="C96" s="18">
        <f>'GF + UG Iteration 8'!C96</f>
        <v>21</v>
      </c>
      <c r="D96" s="19">
        <f>'GF + UG Iteration 8'!D96</f>
        <v>15.965955598995766</v>
      </c>
      <c r="E96" s="30">
        <f>'GF + UG Iteration 8'!E96</f>
        <v>2016</v>
      </c>
      <c r="F96" s="18"/>
      <c r="G96" s="19"/>
      <c r="H96" s="20"/>
      <c r="I96" s="18">
        <f t="shared" si="5"/>
        <v>21</v>
      </c>
      <c r="J96" s="19">
        <f t="shared" si="6"/>
        <v>15.965955598995766</v>
      </c>
      <c r="K96" s="20">
        <f t="shared" si="7"/>
        <v>2016</v>
      </c>
      <c r="M96" s="21">
        <f t="shared" si="8"/>
        <v>3.044522437723423</v>
      </c>
      <c r="N96" s="21">
        <f t="shared" si="9"/>
        <v>2.7704586802474096</v>
      </c>
    </row>
    <row r="97" spans="1:14" x14ac:dyDescent="0.2">
      <c r="A97" s="25">
        <f>'GF + UG Iteration 8'!A97</f>
        <v>1634</v>
      </c>
      <c r="B97" s="25" t="str">
        <f>'GF + UG Iteration 8'!B97</f>
        <v>GF</v>
      </c>
      <c r="C97" s="18">
        <f>'GF + UG Iteration 8'!C97</f>
        <v>17.899999999999999</v>
      </c>
      <c r="D97" s="19">
        <f>'GF + UG Iteration 8'!D97</f>
        <v>17.172783979023848</v>
      </c>
      <c r="E97" s="30">
        <f>'GF + UG Iteration 8'!E97</f>
        <v>2015</v>
      </c>
      <c r="F97" s="18"/>
      <c r="G97" s="19"/>
      <c r="H97" s="20"/>
      <c r="I97" s="18">
        <f t="shared" si="5"/>
        <v>17.899999999999999</v>
      </c>
      <c r="J97" s="19">
        <f t="shared" si="6"/>
        <v>17.172783979023848</v>
      </c>
      <c r="K97" s="20">
        <f t="shared" si="7"/>
        <v>2015</v>
      </c>
      <c r="M97" s="21">
        <f t="shared" si="8"/>
        <v>2.884800712846709</v>
      </c>
      <c r="N97" s="21">
        <f t="shared" si="9"/>
        <v>2.8433258038172586</v>
      </c>
    </row>
    <row r="98" spans="1:14" x14ac:dyDescent="0.2">
      <c r="A98" s="25">
        <f>'GF + UG Iteration 8'!A98</f>
        <v>1258</v>
      </c>
      <c r="B98" s="25" t="str">
        <f>'GF + UG Iteration 8'!B98</f>
        <v>GF</v>
      </c>
      <c r="C98" s="18">
        <f>'GF + UG Iteration 8'!C98</f>
        <v>46</v>
      </c>
      <c r="D98" s="19">
        <f>'GF + UG Iteration 8'!D98</f>
        <v>53.518330212347877</v>
      </c>
      <c r="E98" s="30">
        <f>'GF + UG Iteration 8'!E98</f>
        <v>2017</v>
      </c>
      <c r="F98" s="18"/>
      <c r="G98" s="19"/>
      <c r="H98" s="20"/>
      <c r="I98" s="18">
        <f t="shared" si="5"/>
        <v>46</v>
      </c>
      <c r="J98" s="19">
        <f t="shared" si="6"/>
        <v>53.518330212347877</v>
      </c>
      <c r="K98" s="20">
        <f t="shared" si="7"/>
        <v>2017</v>
      </c>
      <c r="M98" s="21">
        <f t="shared" si="8"/>
        <v>3.8286413964890951</v>
      </c>
      <c r="N98" s="21">
        <f t="shared" si="9"/>
        <v>3.98002421601241</v>
      </c>
    </row>
    <row r="99" spans="1:14" x14ac:dyDescent="0.2">
      <c r="A99" s="25">
        <f>'GF + UG Iteration 8'!A99</f>
        <v>1284</v>
      </c>
      <c r="B99" s="25" t="str">
        <f>'GF + UG Iteration 8'!B99</f>
        <v>GF</v>
      </c>
      <c r="C99" s="18">
        <f>'GF + UG Iteration 8'!C99</f>
        <v>24.1</v>
      </c>
      <c r="D99" s="19">
        <f>'GF + UG Iteration 8'!D99</f>
        <v>7.0843108002972475</v>
      </c>
      <c r="E99" s="30">
        <f>'GF + UG Iteration 8'!E99</f>
        <v>2013</v>
      </c>
      <c r="F99" s="18"/>
      <c r="G99" s="19"/>
      <c r="H99" s="20"/>
      <c r="I99" s="18">
        <f t="shared" si="5"/>
        <v>24.1</v>
      </c>
      <c r="J99" s="19">
        <f t="shared" si="6"/>
        <v>7.0843108002972475</v>
      </c>
      <c r="K99" s="20">
        <f t="shared" si="7"/>
        <v>2013</v>
      </c>
      <c r="M99" s="21">
        <f t="shared" si="8"/>
        <v>3.1822118404966093</v>
      </c>
      <c r="N99" s="21">
        <f t="shared" si="9"/>
        <v>1.9578825925179175</v>
      </c>
    </row>
    <row r="100" spans="1:14" x14ac:dyDescent="0.2">
      <c r="A100" s="25" t="str">
        <f>'GF + UG Iteration 8'!A100</f>
        <v>Pre-01</v>
      </c>
      <c r="B100" s="25" t="str">
        <f>'GF + UG Iteration 8'!B100</f>
        <v>GF</v>
      </c>
      <c r="C100" s="18">
        <f>'GF + UG Iteration 8'!C100</f>
        <v>2.2000000000000002</v>
      </c>
      <c r="D100" s="19">
        <f>'GF + UG Iteration 8'!D100</f>
        <v>2.4933711786255444</v>
      </c>
      <c r="E100" s="30">
        <f>'GF + UG Iteration 8'!E100</f>
        <v>1990</v>
      </c>
      <c r="F100" s="18"/>
      <c r="G100" s="19"/>
      <c r="H100" s="20"/>
      <c r="I100" s="18">
        <f t="shared" si="5"/>
        <v>2.2000000000000002</v>
      </c>
      <c r="J100" s="19">
        <f t="shared" si="6"/>
        <v>2.4933711786255444</v>
      </c>
      <c r="K100" s="20">
        <f t="shared" si="7"/>
        <v>1990</v>
      </c>
      <c r="M100" s="21">
        <f t="shared" si="8"/>
        <v>0.78845736036427028</v>
      </c>
      <c r="N100" s="21">
        <f t="shared" si="9"/>
        <v>0.91363568179621524</v>
      </c>
    </row>
    <row r="101" spans="1:14" x14ac:dyDescent="0.2">
      <c r="A101" s="25" t="str">
        <f>'GF + UG Iteration 8'!A101</f>
        <v>Pre-02</v>
      </c>
      <c r="B101" s="25" t="str">
        <f>'GF + UG Iteration 8'!B101</f>
        <v>GF</v>
      </c>
      <c r="C101" s="18">
        <f>'GF + UG Iteration 8'!C101</f>
        <v>1.464</v>
      </c>
      <c r="D101" s="19">
        <f>'GF + UG Iteration 8'!D101</f>
        <v>1.4940223849019025</v>
      </c>
      <c r="E101" s="30">
        <f>'GF + UG Iteration 8'!E101</f>
        <v>1987</v>
      </c>
      <c r="F101" s="18"/>
      <c r="G101" s="19"/>
      <c r="H101" s="20"/>
      <c r="I101" s="18">
        <f t="shared" si="5"/>
        <v>1.464</v>
      </c>
      <c r="J101" s="19">
        <f t="shared" si="6"/>
        <v>1.4940223849019025</v>
      </c>
      <c r="K101" s="20">
        <f t="shared" si="7"/>
        <v>1987</v>
      </c>
      <c r="M101" s="21">
        <f t="shared" si="8"/>
        <v>0.38117241553911979</v>
      </c>
      <c r="N101" s="21">
        <f t="shared" si="9"/>
        <v>0.40147206979911648</v>
      </c>
    </row>
    <row r="102" spans="1:14" x14ac:dyDescent="0.2">
      <c r="A102" s="25" t="str">
        <f>'GF + UG Iteration 8'!A102</f>
        <v>Pre-03</v>
      </c>
      <c r="B102" s="25" t="str">
        <f>'GF + UG Iteration 8'!B102</f>
        <v>GF</v>
      </c>
      <c r="C102" s="18">
        <f>'GF + UG Iteration 8'!C102</f>
        <v>4.0750000000000002</v>
      </c>
      <c r="D102" s="19">
        <f>'GF + UG Iteration 8'!D102</f>
        <v>1.9369408873503524</v>
      </c>
      <c r="E102" s="30">
        <f>'GF + UG Iteration 8'!E102</f>
        <v>1990</v>
      </c>
      <c r="F102" s="18"/>
      <c r="G102" s="19"/>
      <c r="H102" s="20"/>
      <c r="I102" s="18">
        <f t="shared" si="5"/>
        <v>4.0750000000000002</v>
      </c>
      <c r="J102" s="19">
        <f t="shared" si="6"/>
        <v>1.9369408873503524</v>
      </c>
      <c r="K102" s="20">
        <f t="shared" si="7"/>
        <v>1990</v>
      </c>
      <c r="M102" s="21">
        <f t="shared" si="8"/>
        <v>1.4048707466928261</v>
      </c>
      <c r="N102" s="21">
        <f t="shared" si="9"/>
        <v>0.66110986632901214</v>
      </c>
    </row>
    <row r="103" spans="1:14" x14ac:dyDescent="0.2">
      <c r="A103" s="25" t="str">
        <f>'GF + UG Iteration 8'!A103</f>
        <v>Pre-04</v>
      </c>
      <c r="B103" s="25" t="str">
        <f>'GF + UG Iteration 8'!B103</f>
        <v>GF</v>
      </c>
      <c r="C103" s="18">
        <f>'GF + UG Iteration 8'!C103</f>
        <v>10</v>
      </c>
      <c r="D103" s="19">
        <f>'GF + UG Iteration 8'!D103</f>
        <v>8.526519330793306</v>
      </c>
      <c r="E103" s="30">
        <f>'GF + UG Iteration 8'!E103</f>
        <v>1991</v>
      </c>
      <c r="F103" s="18"/>
      <c r="G103" s="19"/>
      <c r="H103" s="20"/>
      <c r="I103" s="18">
        <f t="shared" si="5"/>
        <v>10</v>
      </c>
      <c r="J103" s="19">
        <f t="shared" si="6"/>
        <v>8.526519330793306</v>
      </c>
      <c r="K103" s="20">
        <f t="shared" si="7"/>
        <v>1991</v>
      </c>
      <c r="M103" s="21">
        <f t="shared" si="8"/>
        <v>2.3025850929940459</v>
      </c>
      <c r="N103" s="21">
        <f t="shared" si="9"/>
        <v>2.143181227911088</v>
      </c>
    </row>
    <row r="104" spans="1:14" x14ac:dyDescent="0.2">
      <c r="A104" s="25" t="str">
        <f>'GF + UG Iteration 8'!A104</f>
        <v>Pre-05</v>
      </c>
      <c r="B104" s="25" t="str">
        <f>'GF + UG Iteration 8'!B104</f>
        <v>GF</v>
      </c>
      <c r="C104" s="18">
        <f>'GF + UG Iteration 8'!C104</f>
        <v>4.8</v>
      </c>
      <c r="D104" s="19">
        <f>'GF + UG Iteration 8'!D104</f>
        <v>4.0521826998299986</v>
      </c>
      <c r="E104" s="30">
        <f>'GF + UG Iteration 8'!E104</f>
        <v>1988</v>
      </c>
      <c r="F104" s="18"/>
      <c r="G104" s="19"/>
      <c r="H104" s="20"/>
      <c r="I104" s="18">
        <f t="shared" si="5"/>
        <v>4.8</v>
      </c>
      <c r="J104" s="19">
        <f t="shared" si="6"/>
        <v>4.0521826998299986</v>
      </c>
      <c r="K104" s="20">
        <f t="shared" si="7"/>
        <v>1988</v>
      </c>
      <c r="M104" s="21">
        <f t="shared" si="8"/>
        <v>1.5686159179138452</v>
      </c>
      <c r="N104" s="21">
        <f t="shared" si="9"/>
        <v>1.3992556741730273</v>
      </c>
    </row>
    <row r="105" spans="1:14" x14ac:dyDescent="0.2">
      <c r="A105" s="25" t="str">
        <f>'GF + UG Iteration 8'!A105</f>
        <v>Pre-06</v>
      </c>
      <c r="B105" s="25" t="str">
        <f>'GF + UG Iteration 8'!B105</f>
        <v>GF</v>
      </c>
      <c r="C105" s="18">
        <f>'GF + UG Iteration 8'!C105</f>
        <v>5.0999999999999996</v>
      </c>
      <c r="D105" s="19">
        <f>'GF + UG Iteration 8'!D105</f>
        <v>9.6482174286466869</v>
      </c>
      <c r="E105" s="30">
        <f>'GF + UG Iteration 8'!E105</f>
        <v>1989</v>
      </c>
      <c r="F105" s="18"/>
      <c r="G105" s="19"/>
      <c r="H105" s="20"/>
      <c r="I105" s="18">
        <f t="shared" si="5"/>
        <v>5.0999999999999996</v>
      </c>
      <c r="J105" s="19">
        <f t="shared" si="6"/>
        <v>9.6482174286466869</v>
      </c>
      <c r="K105" s="20">
        <f t="shared" si="7"/>
        <v>1989</v>
      </c>
      <c r="M105" s="21">
        <f t="shared" si="8"/>
        <v>1.62924053973028</v>
      </c>
      <c r="N105" s="21">
        <f t="shared" si="9"/>
        <v>2.2667731758675744</v>
      </c>
    </row>
    <row r="106" spans="1:14" x14ac:dyDescent="0.2">
      <c r="A106" s="25" t="str">
        <f>'GF + UG Iteration 8'!A106</f>
        <v>Pre-07</v>
      </c>
      <c r="B106" s="25" t="str">
        <f>'GF + UG Iteration 8'!B106</f>
        <v>GF</v>
      </c>
      <c r="C106" s="18">
        <f>'GF + UG Iteration 8'!C106</f>
        <v>6.9</v>
      </c>
      <c r="D106" s="19">
        <f>'GF + UG Iteration 8'!D106</f>
        <v>5.029432718717521</v>
      </c>
      <c r="E106" s="30">
        <f>'GF + UG Iteration 8'!E106</f>
        <v>1997</v>
      </c>
      <c r="F106" s="18"/>
      <c r="G106" s="19"/>
      <c r="H106" s="20"/>
      <c r="I106" s="18">
        <f t="shared" si="5"/>
        <v>6.9</v>
      </c>
      <c r="J106" s="19">
        <f t="shared" si="6"/>
        <v>5.029432718717521</v>
      </c>
      <c r="K106" s="20">
        <f t="shared" si="7"/>
        <v>1997</v>
      </c>
      <c r="M106" s="21">
        <f t="shared" si="8"/>
        <v>1.9315214116032138</v>
      </c>
      <c r="N106" s="21">
        <f t="shared" si="9"/>
        <v>1.6153071981725313</v>
      </c>
    </row>
    <row r="107" spans="1:14" x14ac:dyDescent="0.2">
      <c r="A107" s="25" t="str">
        <f>'GF + UG Iteration 8'!A107</f>
        <v>Pre-08</v>
      </c>
      <c r="B107" s="25" t="str">
        <f>'GF + UG Iteration 8'!B107</f>
        <v>GF</v>
      </c>
      <c r="C107" s="18">
        <f>'GF + UG Iteration 8'!C107</f>
        <v>11.8</v>
      </c>
      <c r="D107" s="19">
        <f>'GF + UG Iteration 8'!D107</f>
        <v>6.372939235597177</v>
      </c>
      <c r="E107" s="30">
        <f>'GF + UG Iteration 8'!E107</f>
        <v>1987</v>
      </c>
      <c r="F107" s="18"/>
      <c r="G107" s="19"/>
      <c r="H107" s="20"/>
      <c r="I107" s="18">
        <f t="shared" si="5"/>
        <v>11.8</v>
      </c>
      <c r="J107" s="19">
        <f t="shared" si="6"/>
        <v>6.372939235597177</v>
      </c>
      <c r="K107" s="20">
        <f t="shared" si="7"/>
        <v>1987</v>
      </c>
      <c r="M107" s="21">
        <f t="shared" si="8"/>
        <v>2.4680995314716192</v>
      </c>
      <c r="N107" s="21">
        <f t="shared" si="9"/>
        <v>1.8520607816244041</v>
      </c>
    </row>
    <row r="108" spans="1:14" x14ac:dyDescent="0.2">
      <c r="A108" s="25" t="str">
        <f>'GF + UG Iteration 8'!A108</f>
        <v>Pre-09</v>
      </c>
      <c r="B108" s="25" t="str">
        <f>'GF + UG Iteration 8'!B108</f>
        <v>GF</v>
      </c>
      <c r="C108" s="18">
        <f>'GF + UG Iteration 8'!C108</f>
        <v>9.6999999999999993</v>
      </c>
      <c r="D108" s="19">
        <f>'GF + UG Iteration 8'!D108</f>
        <v>2.9443376052628771</v>
      </c>
      <c r="E108" s="30">
        <f>'GF + UG Iteration 8'!E108</f>
        <v>1997</v>
      </c>
      <c r="F108" s="18"/>
      <c r="G108" s="19"/>
      <c r="H108" s="20"/>
      <c r="I108" s="18">
        <f t="shared" si="5"/>
        <v>9.6999999999999993</v>
      </c>
      <c r="J108" s="19">
        <f t="shared" si="6"/>
        <v>2.9443376052628771</v>
      </c>
      <c r="K108" s="20">
        <f t="shared" si="7"/>
        <v>1997</v>
      </c>
      <c r="M108" s="21">
        <f t="shared" si="8"/>
        <v>2.2721258855093369</v>
      </c>
      <c r="N108" s="21">
        <f t="shared" si="9"/>
        <v>1.0798838699925799</v>
      </c>
    </row>
    <row r="109" spans="1:14" x14ac:dyDescent="0.2">
      <c r="A109" s="25" t="str">
        <f>'GF + UG Iteration 8'!A109</f>
        <v>Pre-10</v>
      </c>
      <c r="B109" s="25" t="str">
        <f>'GF + UG Iteration 8'!B109</f>
        <v>GF</v>
      </c>
      <c r="C109" s="18">
        <f>'GF + UG Iteration 8'!C109</f>
        <v>6.12</v>
      </c>
      <c r="D109" s="19">
        <f>'GF + UG Iteration 8'!D109</f>
        <v>13.481108575958453</v>
      </c>
      <c r="E109" s="30">
        <f>'GF + UG Iteration 8'!E109</f>
        <v>1990</v>
      </c>
      <c r="F109" s="18"/>
      <c r="G109" s="19"/>
      <c r="H109" s="20"/>
      <c r="I109" s="18">
        <f t="shared" si="5"/>
        <v>6.12</v>
      </c>
      <c r="J109" s="19">
        <f t="shared" si="6"/>
        <v>13.481108575958453</v>
      </c>
      <c r="K109" s="20">
        <f t="shared" si="7"/>
        <v>1990</v>
      </c>
      <c r="M109" s="21">
        <f t="shared" si="8"/>
        <v>1.8115620965242347</v>
      </c>
      <c r="N109" s="21">
        <f t="shared" si="9"/>
        <v>2.6012893406753403</v>
      </c>
    </row>
    <row r="110" spans="1:14" x14ac:dyDescent="0.2">
      <c r="A110" s="25" t="str">
        <f>'GF + UG Iteration 8'!A110</f>
        <v>Pre-11</v>
      </c>
      <c r="B110" s="25" t="str">
        <f>'GF + UG Iteration 8'!B110</f>
        <v>GF</v>
      </c>
      <c r="C110" s="18">
        <f>'GF + UG Iteration 8'!C110</f>
        <v>6.2671999999999999</v>
      </c>
      <c r="D110" s="19">
        <f>'GF + UG Iteration 8'!D110</f>
        <v>2.9102311039234974</v>
      </c>
      <c r="E110" s="30">
        <f>'GF + UG Iteration 8'!E110</f>
        <v>1987</v>
      </c>
      <c r="F110" s="18"/>
      <c r="G110" s="19"/>
      <c r="H110" s="20"/>
      <c r="I110" s="18">
        <f t="shared" si="5"/>
        <v>6.2671999999999999</v>
      </c>
      <c r="J110" s="19">
        <f t="shared" si="6"/>
        <v>2.9102311039234974</v>
      </c>
      <c r="K110" s="20">
        <f t="shared" si="7"/>
        <v>1987</v>
      </c>
      <c r="M110" s="21">
        <f t="shared" si="8"/>
        <v>1.8353296839294297</v>
      </c>
      <c r="N110" s="21">
        <f t="shared" si="9"/>
        <v>1.0682324951858668</v>
      </c>
    </row>
    <row r="111" spans="1:14" x14ac:dyDescent="0.2">
      <c r="A111" s="25" t="str">
        <f>'GF + UG Iteration 8'!A111</f>
        <v>Pre-12</v>
      </c>
      <c r="B111" s="25" t="str">
        <f>'GF + UG Iteration 8'!B111</f>
        <v>GF</v>
      </c>
      <c r="C111" s="18">
        <f>'GF + UG Iteration 8'!C111</f>
        <v>6.3659999999999997</v>
      </c>
      <c r="D111" s="19">
        <f>'GF + UG Iteration 8'!D111</f>
        <v>9.8906921245327926</v>
      </c>
      <c r="E111" s="30">
        <f>'GF + UG Iteration 8'!E111</f>
        <v>1993</v>
      </c>
      <c r="F111" s="18"/>
      <c r="G111" s="19"/>
      <c r="H111" s="20"/>
      <c r="I111" s="18">
        <f t="shared" si="5"/>
        <v>6.3659999999999997</v>
      </c>
      <c r="J111" s="19">
        <f t="shared" si="6"/>
        <v>9.8906921245327926</v>
      </c>
      <c r="K111" s="20">
        <f t="shared" si="7"/>
        <v>1993</v>
      </c>
      <c r="M111" s="21">
        <f t="shared" si="8"/>
        <v>1.850971328859901</v>
      </c>
      <c r="N111" s="21">
        <f t="shared" si="9"/>
        <v>2.2915941254440955</v>
      </c>
    </row>
    <row r="112" spans="1:14" x14ac:dyDescent="0.2">
      <c r="A112" s="25" t="str">
        <f>'GF + UG Iteration 8'!A112</f>
        <v>Pre-13</v>
      </c>
      <c r="B112" s="25" t="str">
        <f>'GF + UG Iteration 8'!B112</f>
        <v>GF</v>
      </c>
      <c r="C112" s="18">
        <f>'GF + UG Iteration 8'!C112</f>
        <v>8.5</v>
      </c>
      <c r="D112" s="19">
        <f>'GF + UG Iteration 8'!D112</f>
        <v>5.9446476688134462</v>
      </c>
      <c r="E112" s="30">
        <f>'GF + UG Iteration 8'!E112</f>
        <v>1990</v>
      </c>
      <c r="F112" s="18"/>
      <c r="G112" s="19"/>
      <c r="H112" s="20"/>
      <c r="I112" s="18">
        <f t="shared" si="5"/>
        <v>8.5</v>
      </c>
      <c r="J112" s="19">
        <f t="shared" si="6"/>
        <v>5.9446476688134462</v>
      </c>
      <c r="K112" s="20">
        <f t="shared" si="7"/>
        <v>1990</v>
      </c>
      <c r="M112" s="21">
        <f t="shared" si="8"/>
        <v>2.1400661634962708</v>
      </c>
      <c r="N112" s="21">
        <f t="shared" si="9"/>
        <v>1.7824912632583982</v>
      </c>
    </row>
    <row r="113" spans="1:14" x14ac:dyDescent="0.2">
      <c r="A113" s="25" t="str">
        <f>'GF + UG Iteration 8'!A113</f>
        <v>Pre-14</v>
      </c>
      <c r="B113" s="25" t="str">
        <f>'GF + UG Iteration 8'!B113</f>
        <v>GF</v>
      </c>
      <c r="C113" s="18">
        <f>'GF + UG Iteration 8'!C113</f>
        <v>46.55</v>
      </c>
      <c r="D113" s="19">
        <f>'GF + UG Iteration 8'!D113</f>
        <v>7.1936227504100643</v>
      </c>
      <c r="E113" s="30">
        <f>'GF + UG Iteration 8'!E113</f>
        <v>1991</v>
      </c>
      <c r="F113" s="18"/>
      <c r="G113" s="19"/>
      <c r="H113" s="20"/>
      <c r="I113" s="18">
        <f t="shared" si="5"/>
        <v>46.55</v>
      </c>
      <c r="J113" s="19">
        <f t="shared" si="6"/>
        <v>7.1936227504100643</v>
      </c>
      <c r="K113" s="20">
        <f t="shared" si="7"/>
        <v>1991</v>
      </c>
      <c r="M113" s="21">
        <f t="shared" si="8"/>
        <v>3.8405270037230759</v>
      </c>
      <c r="N113" s="21">
        <f t="shared" si="9"/>
        <v>1.9731949044224915</v>
      </c>
    </row>
    <row r="114" spans="1:14" x14ac:dyDescent="0.2">
      <c r="A114" s="25" t="str">
        <f>'GF + UG Iteration 8'!A114</f>
        <v>Pre-15</v>
      </c>
      <c r="B114" s="25" t="str">
        <f>'GF + UG Iteration 8'!B114</f>
        <v>GF</v>
      </c>
      <c r="C114" s="18">
        <f>'GF + UG Iteration 8'!C114</f>
        <v>56.8</v>
      </c>
      <c r="D114" s="19">
        <f>'GF + UG Iteration 8'!D114</f>
        <v>17.594466678549747</v>
      </c>
      <c r="E114" s="30">
        <f>'GF + UG Iteration 8'!E114</f>
        <v>1990</v>
      </c>
      <c r="F114" s="18"/>
      <c r="G114" s="19"/>
      <c r="H114" s="20"/>
      <c r="I114" s="18">
        <f t="shared" si="5"/>
        <v>56.8</v>
      </c>
      <c r="J114" s="19">
        <f t="shared" si="6"/>
        <v>17.594466678549747</v>
      </c>
      <c r="K114" s="20">
        <f t="shared" si="7"/>
        <v>1990</v>
      </c>
      <c r="M114" s="21">
        <f t="shared" si="8"/>
        <v>4.0395363257271057</v>
      </c>
      <c r="N114" s="21">
        <f t="shared" si="9"/>
        <v>2.867584459347964</v>
      </c>
    </row>
    <row r="115" spans="1:14" x14ac:dyDescent="0.2">
      <c r="A115" s="25" t="str">
        <f>'GF + UG Iteration 8'!A115</f>
        <v>Pre-16</v>
      </c>
      <c r="B115" s="25" t="str">
        <f>'GF + UG Iteration 8'!B115</f>
        <v>GF</v>
      </c>
      <c r="C115" s="18">
        <f>'GF + UG Iteration 8'!C115</f>
        <v>81.575999999999993</v>
      </c>
      <c r="D115" s="19">
        <f>'GF + UG Iteration 8'!D115</f>
        <v>14.026199251012313</v>
      </c>
      <c r="E115" s="30">
        <f>'GF + UG Iteration 8'!E115</f>
        <v>1988</v>
      </c>
      <c r="F115" s="18"/>
      <c r="G115" s="19"/>
      <c r="H115" s="20"/>
      <c r="I115" s="18">
        <f t="shared" si="5"/>
        <v>81.575999999999993</v>
      </c>
      <c r="J115" s="19">
        <f t="shared" si="6"/>
        <v>14.026199251012313</v>
      </c>
      <c r="K115" s="20">
        <f t="shared" si="7"/>
        <v>1988</v>
      </c>
      <c r="M115" s="21">
        <f t="shared" si="8"/>
        <v>4.4015351010619241</v>
      </c>
      <c r="N115" s="21">
        <f t="shared" si="9"/>
        <v>2.6409269558467208</v>
      </c>
    </row>
    <row r="116" spans="1:14" x14ac:dyDescent="0.2">
      <c r="A116" s="25" t="str">
        <f>'GF + UG Iteration 8'!A116</f>
        <v>Pre-17</v>
      </c>
      <c r="B116" s="25" t="str">
        <f>'GF + UG Iteration 8'!B116</f>
        <v>GF</v>
      </c>
      <c r="C116" s="18">
        <f>'GF + UG Iteration 8'!C116</f>
        <v>95.2</v>
      </c>
      <c r="D116" s="19">
        <f>'GF + UG Iteration 8'!D116</f>
        <v>14.219904176944949</v>
      </c>
      <c r="E116" s="30">
        <f>'GF + UG Iteration 8'!E116</f>
        <v>1999</v>
      </c>
      <c r="F116" s="18"/>
      <c r="G116" s="19"/>
      <c r="H116" s="20"/>
      <c r="I116" s="18">
        <f t="shared" si="5"/>
        <v>95.2</v>
      </c>
      <c r="J116" s="19">
        <f t="shared" si="6"/>
        <v>14.219904176944949</v>
      </c>
      <c r="K116" s="20">
        <f t="shared" si="7"/>
        <v>1999</v>
      </c>
      <c r="M116" s="21">
        <f t="shared" si="8"/>
        <v>4.5559799417973199</v>
      </c>
      <c r="N116" s="21">
        <f t="shared" si="9"/>
        <v>2.654642685740924</v>
      </c>
    </row>
    <row r="117" spans="1:14" x14ac:dyDescent="0.2">
      <c r="A117" s="25" t="str">
        <f>'GF + UG Iteration 8'!A117</f>
        <v>Pre-18</v>
      </c>
      <c r="B117" s="25" t="str">
        <f>'GF + UG Iteration 8'!B117</f>
        <v>GF</v>
      </c>
      <c r="C117" s="18">
        <f>'GF + UG Iteration 8'!C117</f>
        <v>122.77200000000001</v>
      </c>
      <c r="D117" s="19">
        <f>'GF + UG Iteration 8'!D117</f>
        <v>23.447549869052086</v>
      </c>
      <c r="E117" s="30">
        <f>'GF + UG Iteration 8'!E117</f>
        <v>1990</v>
      </c>
      <c r="F117" s="18"/>
      <c r="G117" s="19"/>
      <c r="H117" s="20"/>
      <c r="I117" s="18">
        <f t="shared" si="5"/>
        <v>122.77200000000001</v>
      </c>
      <c r="J117" s="19">
        <f t="shared" si="6"/>
        <v>23.447549869052086</v>
      </c>
      <c r="K117" s="20">
        <f t="shared" si="7"/>
        <v>1990</v>
      </c>
      <c r="M117" s="21">
        <f t="shared" si="8"/>
        <v>4.8103289766848034</v>
      </c>
      <c r="N117" s="21">
        <f t="shared" si="9"/>
        <v>3.1547660062374661</v>
      </c>
    </row>
    <row r="118" spans="1:14" x14ac:dyDescent="0.2">
      <c r="A118" s="33">
        <f>'GF + UG Iteration 8'!A118</f>
        <v>1184</v>
      </c>
      <c r="B118" s="34" t="str">
        <f>'GF + UG Iteration 8'!B118</f>
        <v>UG</v>
      </c>
      <c r="C118" s="35">
        <f>'GF + UG Iteration 8'!C118</f>
        <v>30</v>
      </c>
      <c r="D118" s="36">
        <f>'GF + UG Iteration 8'!P$16*(C118^'GF + UG Iteration 8'!P$15)</f>
        <v>17.907961287780697</v>
      </c>
      <c r="E118" s="37">
        <f>'GF + UG Iteration 8'!E118</f>
        <v>2013</v>
      </c>
      <c r="F118" s="35">
        <f>'GF + UG Iteration 8'!F118</f>
        <v>18.200000000000003</v>
      </c>
      <c r="G118" s="36">
        <f>'GF + UG Iteration 8'!G118</f>
        <v>18.869341885211266</v>
      </c>
      <c r="H118" s="38">
        <f>'GF + UG Iteration 8'!H118</f>
        <v>2012</v>
      </c>
      <c r="I118" s="35">
        <f>C118+F118</f>
        <v>48.2</v>
      </c>
      <c r="J118" s="36">
        <f>D118+G118</f>
        <v>36.777303172991964</v>
      </c>
      <c r="K118" s="38">
        <f>MAX(E118,H118)</f>
        <v>2013</v>
      </c>
      <c r="M118" s="21">
        <f t="shared" si="8"/>
        <v>3.8753590210565547</v>
      </c>
      <c r="N118" s="21">
        <f t="shared" si="9"/>
        <v>3.6048808932957277</v>
      </c>
    </row>
    <row r="119" spans="1:14" x14ac:dyDescent="0.2">
      <c r="A119" s="33">
        <f>'GF + UG Iteration 8'!A119</f>
        <v>1481</v>
      </c>
      <c r="B119" s="34" t="str">
        <f>'GF + UG Iteration 8'!B119</f>
        <v>UG</v>
      </c>
      <c r="C119" s="35">
        <f>'GF + UG Iteration 8'!C119</f>
        <v>48.2</v>
      </c>
      <c r="D119" s="36">
        <f>'GF + UG Iteration 8'!P$16*(C119^'GF + UG Iteration 8'!P$15)</f>
        <v>23.492261608940737</v>
      </c>
      <c r="E119" s="37">
        <f>'GF + UG Iteration 8'!E119</f>
        <v>2013</v>
      </c>
      <c r="F119" s="35">
        <f>'GF + UG Iteration 8'!F119</f>
        <v>0</v>
      </c>
      <c r="G119" s="36">
        <f>'GF + UG Iteration 8'!G119</f>
        <v>1.1114331301697908</v>
      </c>
      <c r="H119" s="38">
        <f>'GF + UG Iteration 8'!H119</f>
        <v>2014</v>
      </c>
      <c r="I119" s="35">
        <f t="shared" ref="I119:I183" si="10">C119+F119</f>
        <v>48.2</v>
      </c>
      <c r="J119" s="36">
        <f t="shared" ref="J119:J183" si="11">D119+G119</f>
        <v>24.603694739110527</v>
      </c>
      <c r="K119" s="38">
        <f t="shared" ref="K119:K183" si="12">MAX(E119,H119)</f>
        <v>2014</v>
      </c>
      <c r="M119" s="21">
        <f t="shared" si="8"/>
        <v>3.8753590210565547</v>
      </c>
      <c r="N119" s="21">
        <f t="shared" si="9"/>
        <v>3.2028966243073</v>
      </c>
    </row>
    <row r="120" spans="1:14" x14ac:dyDescent="0.2">
      <c r="A120" s="33">
        <f>'GF + UG Iteration 8'!A120</f>
        <v>457</v>
      </c>
      <c r="B120" s="34" t="str">
        <f>'GF + UG Iteration 8'!B120</f>
        <v>UG</v>
      </c>
      <c r="C120" s="35">
        <f>'GF + UG Iteration 8'!C120</f>
        <v>10.77</v>
      </c>
      <c r="D120" s="36">
        <f>'GF + UG Iteration 8'!P$16*(C120^'GF + UG Iteration 8'!P$15)</f>
        <v>9.9624830945659824</v>
      </c>
      <c r="E120" s="37">
        <f>'GF + UG Iteration 8'!E120</f>
        <v>1990</v>
      </c>
      <c r="F120" s="35">
        <f>'GF + UG Iteration 8'!F120</f>
        <v>10</v>
      </c>
      <c r="G120" s="36">
        <f>'GF + UG Iteration 8'!G120</f>
        <v>3.289132084924363</v>
      </c>
      <c r="H120" s="38">
        <f>'GF + UG Iteration 8'!H120</f>
        <v>2006</v>
      </c>
      <c r="I120" s="35">
        <f t="shared" si="10"/>
        <v>20.77</v>
      </c>
      <c r="J120" s="36">
        <f t="shared" si="11"/>
        <v>13.251615179490345</v>
      </c>
      <c r="K120" s="38">
        <f t="shared" si="12"/>
        <v>2006</v>
      </c>
      <c r="M120" s="21">
        <f t="shared" si="8"/>
        <v>3.0335096378880211</v>
      </c>
      <c r="N120" s="21">
        <f t="shared" si="9"/>
        <v>2.5841194453418828</v>
      </c>
    </row>
    <row r="121" spans="1:14" x14ac:dyDescent="0.2">
      <c r="A121" s="33">
        <f>'GF + UG Iteration 8'!A121</f>
        <v>407</v>
      </c>
      <c r="B121" s="34" t="str">
        <f>'GF + UG Iteration 8'!B121</f>
        <v>UG</v>
      </c>
      <c r="C121" s="35">
        <f>'GF + UG Iteration 8'!C121</f>
        <v>25.4</v>
      </c>
      <c r="D121" s="36">
        <f>'GF + UG Iteration 8'!P$16*(C121^'GF + UG Iteration 8'!P$15)</f>
        <v>16.280449292681276</v>
      </c>
      <c r="E121" s="37">
        <f>'GF + UG Iteration 8'!E121</f>
        <v>1982</v>
      </c>
      <c r="F121" s="35">
        <f>'GF + UG Iteration 8'!F121</f>
        <v>2</v>
      </c>
      <c r="G121" s="36">
        <f>'GF + UG Iteration 8'!G121</f>
        <v>0.60106525862386018</v>
      </c>
      <c r="H121" s="38">
        <f>'GF + UG Iteration 8'!H121</f>
        <v>2004</v>
      </c>
      <c r="I121" s="35">
        <f t="shared" si="10"/>
        <v>27.4</v>
      </c>
      <c r="J121" s="36">
        <f t="shared" si="11"/>
        <v>16.881514551305134</v>
      </c>
      <c r="K121" s="38">
        <f t="shared" si="12"/>
        <v>2004</v>
      </c>
      <c r="M121" s="21">
        <f t="shared" si="8"/>
        <v>3.3105430133940246</v>
      </c>
      <c r="N121" s="21">
        <f t="shared" si="9"/>
        <v>2.8262192097461845</v>
      </c>
    </row>
    <row r="122" spans="1:14" x14ac:dyDescent="0.2">
      <c r="A122" s="33">
        <f>'GF + UG Iteration 8'!A122</f>
        <v>706</v>
      </c>
      <c r="B122" s="34" t="str">
        <f>'GF + UG Iteration 8'!B122</f>
        <v>UG</v>
      </c>
      <c r="C122" s="35">
        <f>'GF + UG Iteration 8'!C122</f>
        <v>14.85</v>
      </c>
      <c r="D122" s="36">
        <f>'GF + UG Iteration 8'!P$16*(C122^'GF + UG Iteration 8'!P$15)</f>
        <v>11.97369338566633</v>
      </c>
      <c r="E122" s="37">
        <f>'GF + UG Iteration 8'!E122</f>
        <v>1984</v>
      </c>
      <c r="F122" s="35">
        <f>'GF + UG Iteration 8'!F122</f>
        <v>14.250000000000002</v>
      </c>
      <c r="G122" s="36">
        <f>'GF + UG Iteration 8'!G122</f>
        <v>5.8346214151737739</v>
      </c>
      <c r="H122" s="38">
        <f>'GF + UG Iteration 8'!H122</f>
        <v>2008</v>
      </c>
      <c r="I122" s="35">
        <f t="shared" si="10"/>
        <v>29.1</v>
      </c>
      <c r="J122" s="36">
        <f t="shared" si="11"/>
        <v>17.808314800840105</v>
      </c>
      <c r="K122" s="38">
        <f t="shared" si="12"/>
        <v>2008</v>
      </c>
      <c r="M122" s="21">
        <f t="shared" si="8"/>
        <v>3.3707381741774469</v>
      </c>
      <c r="N122" s="21">
        <f t="shared" si="9"/>
        <v>2.8796654718724572</v>
      </c>
    </row>
    <row r="123" spans="1:14" x14ac:dyDescent="0.2">
      <c r="A123" s="33">
        <f>'GF + UG Iteration 8'!A123</f>
        <v>1070</v>
      </c>
      <c r="B123" s="34" t="str">
        <f>'GF + UG Iteration 8'!B123</f>
        <v>UG</v>
      </c>
      <c r="C123" s="35">
        <f>'GF + UG Iteration 8'!C123</f>
        <v>34</v>
      </c>
      <c r="D123" s="36">
        <f>'GF + UG Iteration 8'!P$16*(C123^'GF + UG Iteration 8'!P$15)</f>
        <v>19.23810355100311</v>
      </c>
      <c r="E123" s="37">
        <f>'GF + UG Iteration 8'!E123</f>
        <v>1984</v>
      </c>
      <c r="F123" s="35">
        <f>'GF + UG Iteration 8'!F123</f>
        <v>4.8999999999999986</v>
      </c>
      <c r="G123" s="36">
        <f>'GF + UG Iteration 8'!G123</f>
        <v>0.83607952853202894</v>
      </c>
      <c r="H123" s="38">
        <f>'GF + UG Iteration 8'!H123</f>
        <v>2011</v>
      </c>
      <c r="I123" s="35">
        <f t="shared" si="10"/>
        <v>38.9</v>
      </c>
      <c r="J123" s="36">
        <f t="shared" si="11"/>
        <v>20.074183079535139</v>
      </c>
      <c r="K123" s="38">
        <f t="shared" si="12"/>
        <v>2011</v>
      </c>
      <c r="M123" s="21">
        <f t="shared" si="8"/>
        <v>3.6609942506244004</v>
      </c>
      <c r="N123" s="21">
        <f t="shared" si="9"/>
        <v>2.9994345655819186</v>
      </c>
    </row>
    <row r="124" spans="1:14" x14ac:dyDescent="0.2">
      <c r="A124" s="33">
        <f>'GF + UG Iteration 8'!A124</f>
        <v>1264</v>
      </c>
      <c r="B124" s="34" t="str">
        <f>'GF + UG Iteration 8'!B124</f>
        <v>UG</v>
      </c>
      <c r="C124" s="35">
        <f>'GF + UG Iteration 8'!C124</f>
        <v>38.9</v>
      </c>
      <c r="D124" s="36">
        <f>'GF + UG Iteration 8'!P$16*(C124^'GF + UG Iteration 8'!P$15)</f>
        <v>20.779390181330438</v>
      </c>
      <c r="E124" s="37">
        <f>'GF + UG Iteration 8'!E124</f>
        <v>1984</v>
      </c>
      <c r="F124" s="35">
        <f>'GF + UG Iteration 8'!F124</f>
        <v>7.2000000000000028</v>
      </c>
      <c r="G124" s="36">
        <f>'GF + UG Iteration 8'!G124</f>
        <v>8.0578720930203094</v>
      </c>
      <c r="H124" s="38">
        <f>'GF + UG Iteration 8'!H124</f>
        <v>2013</v>
      </c>
      <c r="I124" s="35">
        <f t="shared" si="10"/>
        <v>46.1</v>
      </c>
      <c r="J124" s="36">
        <f t="shared" si="11"/>
        <v>28.837262274350749</v>
      </c>
      <c r="K124" s="38">
        <f t="shared" si="12"/>
        <v>2013</v>
      </c>
      <c r="M124" s="21">
        <f t="shared" si="8"/>
        <v>3.8308129500026027</v>
      </c>
      <c r="N124" s="21">
        <f t="shared" si="9"/>
        <v>3.361668379836964</v>
      </c>
    </row>
    <row r="125" spans="1:14" x14ac:dyDescent="0.2">
      <c r="A125" s="33">
        <f>'GF + UG Iteration 8'!A125</f>
        <v>1208</v>
      </c>
      <c r="B125" s="34" t="str">
        <f>'GF + UG Iteration 8'!B125</f>
        <v>UG</v>
      </c>
      <c r="C125" s="35">
        <f>'GF + UG Iteration 8'!C125</f>
        <v>14.1</v>
      </c>
      <c r="D125" s="36">
        <f>'GF + UG Iteration 8'!P$16*(C125^'GF + UG Iteration 8'!P$15)</f>
        <v>11.623694622026479</v>
      </c>
      <c r="E125" s="37">
        <f>'GF + UG Iteration 8'!E125</f>
        <v>1961</v>
      </c>
      <c r="F125" s="35">
        <f>'GF + UG Iteration 8'!F125</f>
        <v>11.500000000000002</v>
      </c>
      <c r="G125" s="36">
        <f>'GF + UG Iteration 8'!G125</f>
        <v>2.7992110812000917</v>
      </c>
      <c r="H125" s="38">
        <f>'GF + UG Iteration 8'!H125</f>
        <v>2012</v>
      </c>
      <c r="I125" s="35">
        <f t="shared" si="10"/>
        <v>25.6</v>
      </c>
      <c r="J125" s="36">
        <f t="shared" si="11"/>
        <v>14.42290570322657</v>
      </c>
      <c r="K125" s="38">
        <f t="shared" si="12"/>
        <v>2012</v>
      </c>
      <c r="M125" s="21">
        <f t="shared" si="8"/>
        <v>3.2425923514855168</v>
      </c>
      <c r="N125" s="21">
        <f t="shared" si="9"/>
        <v>2.6688176166355073</v>
      </c>
    </row>
    <row r="126" spans="1:14" x14ac:dyDescent="0.2">
      <c r="A126" s="33">
        <f>'GF + UG Iteration 8'!A126</f>
        <v>655</v>
      </c>
      <c r="B126" s="34" t="str">
        <f>'GF + UG Iteration 8'!B126</f>
        <v>UG</v>
      </c>
      <c r="C126" s="35">
        <f>'GF + UG Iteration 8'!C126</f>
        <v>12.052999999999999</v>
      </c>
      <c r="D126" s="36">
        <f>'GF + UG Iteration 8'!P$16*(C126^'GF + UG Iteration 8'!P$15)</f>
        <v>10.625461495001675</v>
      </c>
      <c r="E126" s="37">
        <f>'GF + UG Iteration 8'!E126</f>
        <v>1974</v>
      </c>
      <c r="F126" s="35">
        <f>'GF + UG Iteration 8'!F126</f>
        <v>2.3390000000000004</v>
      </c>
      <c r="G126" s="36">
        <f>'GF + UG Iteration 8'!G126</f>
        <v>0.59464786373478107</v>
      </c>
      <c r="H126" s="38">
        <f>'GF + UG Iteration 8'!H126</f>
        <v>2007</v>
      </c>
      <c r="I126" s="35">
        <f t="shared" si="10"/>
        <v>14.391999999999999</v>
      </c>
      <c r="J126" s="36">
        <f t="shared" si="11"/>
        <v>11.220109358736456</v>
      </c>
      <c r="K126" s="38">
        <f t="shared" si="12"/>
        <v>2007</v>
      </c>
      <c r="M126" s="21">
        <f t="shared" si="8"/>
        <v>2.666672496648232</v>
      </c>
      <c r="N126" s="21">
        <f t="shared" si="9"/>
        <v>2.4177076468150061</v>
      </c>
    </row>
    <row r="127" spans="1:14" x14ac:dyDescent="0.2">
      <c r="A127" s="33">
        <f>'GF + UG Iteration 8'!A127</f>
        <v>733</v>
      </c>
      <c r="B127" s="34" t="str">
        <f>'GF + UG Iteration 8'!B127</f>
        <v>UG</v>
      </c>
      <c r="C127" s="35">
        <f>'GF + UG Iteration 8'!C127</f>
        <v>24.3</v>
      </c>
      <c r="D127" s="36">
        <f>'GF + UG Iteration 8'!P$16*(C127^'GF + UG Iteration 8'!P$15)</f>
        <v>15.873034716371347</v>
      </c>
      <c r="E127" s="37">
        <f>'GF + UG Iteration 8'!E127</f>
        <v>2007</v>
      </c>
      <c r="F127" s="35">
        <f>'GF + UG Iteration 8'!F127</f>
        <v>17.099999999999998</v>
      </c>
      <c r="G127" s="36">
        <f>'GF + UG Iteration 8'!G127</f>
        <v>6.7726080218724345</v>
      </c>
      <c r="H127" s="38">
        <f>'GF + UG Iteration 8'!H127</f>
        <v>2009</v>
      </c>
      <c r="I127" s="35">
        <f t="shared" si="10"/>
        <v>41.4</v>
      </c>
      <c r="J127" s="36">
        <f t="shared" si="11"/>
        <v>22.645642738243779</v>
      </c>
      <c r="K127" s="38">
        <f t="shared" si="12"/>
        <v>2009</v>
      </c>
      <c r="M127" s="21">
        <f t="shared" si="8"/>
        <v>3.7232808808312687</v>
      </c>
      <c r="N127" s="21">
        <f t="shared" si="9"/>
        <v>3.1199674598353999</v>
      </c>
    </row>
    <row r="128" spans="1:14" x14ac:dyDescent="0.2">
      <c r="A128" s="33">
        <f>'GF + UG Iteration 8'!A128</f>
        <v>1700</v>
      </c>
      <c r="B128" s="34" t="str">
        <f>'GF + UG Iteration 8'!B128</f>
        <v>UG</v>
      </c>
      <c r="C128" s="35">
        <f>'GF + UG Iteration 8'!C128</f>
        <v>13.4</v>
      </c>
      <c r="D128" s="36">
        <f>'GF + UG Iteration 8'!P$16*(C128^'GF + UG Iteration 8'!P$15)</f>
        <v>11.289773573706039</v>
      </c>
      <c r="E128" s="37">
        <f>'GF + UG Iteration 8'!E128</f>
        <v>0</v>
      </c>
      <c r="F128" s="35">
        <f>'GF + UG Iteration 8'!F128</f>
        <v>0</v>
      </c>
      <c r="G128" s="36">
        <f>'GF + UG Iteration 8'!G128</f>
        <v>4.0238803148956235</v>
      </c>
      <c r="H128" s="38">
        <f>'GF + UG Iteration 8'!H128</f>
        <v>2016</v>
      </c>
      <c r="I128" s="35">
        <f t="shared" ref="I128" si="13">C128+F128</f>
        <v>13.4</v>
      </c>
      <c r="J128" s="36">
        <f t="shared" ref="J128" si="14">D128+G128</f>
        <v>15.313653888601664</v>
      </c>
      <c r="K128" s="38">
        <f t="shared" ref="K128" si="15">MAX(E128,H128)</f>
        <v>2016</v>
      </c>
      <c r="M128" s="21">
        <f t="shared" ref="M128" si="16">LN(I128)</f>
        <v>2.5952547069568657</v>
      </c>
      <c r="N128" s="21">
        <f t="shared" ref="N128" si="17">LN(J128)</f>
        <v>2.7287448414561384</v>
      </c>
    </row>
    <row r="129" spans="1:14" x14ac:dyDescent="0.2">
      <c r="A129" s="33">
        <f>'GF + UG Iteration 8'!A129</f>
        <v>1569</v>
      </c>
      <c r="B129" s="34" t="str">
        <f>'GF + UG Iteration 8'!B129</f>
        <v>UG</v>
      </c>
      <c r="C129" s="35">
        <f>'GF + UG Iteration 8'!C129</f>
        <v>17.7</v>
      </c>
      <c r="D129" s="36">
        <f>'GF + UG Iteration 8'!P$16*(C129^'GF + UG Iteration 8'!P$15)</f>
        <v>13.239583182252112</v>
      </c>
      <c r="E129" s="37">
        <f>'GF + UG Iteration 8'!E129</f>
        <v>1997</v>
      </c>
      <c r="F129" s="35">
        <f>'GF + UG Iteration 8'!F129</f>
        <v>0</v>
      </c>
      <c r="G129" s="36">
        <f>'GF + UG Iteration 8'!G129</f>
        <v>3.7372730134616279</v>
      </c>
      <c r="H129" s="38">
        <f>'GF + UG Iteration 8'!H129</f>
        <v>2015</v>
      </c>
      <c r="I129" s="35">
        <f t="shared" si="10"/>
        <v>17.7</v>
      </c>
      <c r="J129" s="36">
        <f t="shared" si="11"/>
        <v>16.97685619571374</v>
      </c>
      <c r="K129" s="38">
        <f t="shared" si="12"/>
        <v>2015</v>
      </c>
      <c r="M129" s="21">
        <f t="shared" si="8"/>
        <v>2.8735646395797834</v>
      </c>
      <c r="N129" s="21">
        <f t="shared" si="9"/>
        <v>2.8318510162568225</v>
      </c>
    </row>
    <row r="130" spans="1:14" x14ac:dyDescent="0.2">
      <c r="A130" s="33">
        <f>'GF + UG Iteration 8'!A130</f>
        <v>401</v>
      </c>
      <c r="B130" s="34" t="str">
        <f>'GF + UG Iteration 8'!B130</f>
        <v>UG</v>
      </c>
      <c r="C130" s="35">
        <f>'GF + UG Iteration 8'!C130</f>
        <v>2</v>
      </c>
      <c r="D130" s="36">
        <f>'GF + UG Iteration 8'!P$16*(C130^'GF + UG Iteration 8'!P$15)</f>
        <v>3.8002562719281507</v>
      </c>
      <c r="E130" s="37">
        <f>'GF + UG Iteration 8'!E130</f>
        <v>1986</v>
      </c>
      <c r="F130" s="35">
        <f>'GF + UG Iteration 8'!F130</f>
        <v>1.5</v>
      </c>
      <c r="G130" s="36">
        <f>'GF + UG Iteration 8'!G130</f>
        <v>0.36204281296556784</v>
      </c>
      <c r="H130" s="38">
        <f>'GF + UG Iteration 8'!H130</f>
        <v>2004</v>
      </c>
      <c r="I130" s="35">
        <f t="shared" si="10"/>
        <v>3.5</v>
      </c>
      <c r="J130" s="36">
        <f t="shared" si="11"/>
        <v>4.1622990848937187</v>
      </c>
      <c r="K130" s="38">
        <f t="shared" si="12"/>
        <v>2004</v>
      </c>
      <c r="M130" s="21">
        <f t="shared" si="8"/>
        <v>1.2527629684953681</v>
      </c>
      <c r="N130" s="21">
        <f t="shared" si="9"/>
        <v>1.426067586248229</v>
      </c>
    </row>
    <row r="131" spans="1:14" x14ac:dyDescent="0.2">
      <c r="A131" s="33">
        <f>'GF + UG Iteration 8'!A131</f>
        <v>1412</v>
      </c>
      <c r="B131" s="34" t="str">
        <f>'GF + UG Iteration 8'!B131</f>
        <v>UG</v>
      </c>
      <c r="C131" s="35">
        <f>'GF + UG Iteration 8'!C131</f>
        <v>3.5</v>
      </c>
      <c r="D131" s="36">
        <f>'GF + UG Iteration 8'!P$16*(C131^'GF + UG Iteration 8'!P$15)</f>
        <v>5.2352309539477222</v>
      </c>
      <c r="E131" s="37">
        <f>'GF + UG Iteration 8'!E131</f>
        <v>1986</v>
      </c>
      <c r="F131" s="35">
        <f>'GF + UG Iteration 8'!F131</f>
        <v>11</v>
      </c>
      <c r="G131" s="36">
        <f>'GF + UG Iteration 8'!G131</f>
        <v>4.3574845496482366</v>
      </c>
      <c r="H131" s="38">
        <f>'GF + UG Iteration 8'!H131</f>
        <v>2015</v>
      </c>
      <c r="I131" s="35">
        <f t="shared" si="10"/>
        <v>14.5</v>
      </c>
      <c r="J131" s="36">
        <f t="shared" si="11"/>
        <v>9.5927155035959579</v>
      </c>
      <c r="K131" s="38">
        <f t="shared" si="12"/>
        <v>2015</v>
      </c>
      <c r="M131" s="21">
        <f t="shared" si="8"/>
        <v>2.6741486494265287</v>
      </c>
      <c r="N131" s="21">
        <f t="shared" si="9"/>
        <v>2.2610040087293024</v>
      </c>
    </row>
    <row r="132" spans="1:14" x14ac:dyDescent="0.2">
      <c r="A132" s="33">
        <f>'GF + UG Iteration 8'!A132</f>
        <v>1318</v>
      </c>
      <c r="B132" s="34" t="str">
        <f>'GF + UG Iteration 8'!B132</f>
        <v>UG</v>
      </c>
      <c r="C132" s="35">
        <f>'GF + UG Iteration 8'!C132</f>
        <v>22.3</v>
      </c>
      <c r="D132" s="36">
        <f>'GF + UG Iteration 8'!P$16*(C132^'GF + UG Iteration 8'!P$15)</f>
        <v>15.111494368607875</v>
      </c>
      <c r="E132" s="37">
        <f>'GF + UG Iteration 8'!E132</f>
        <v>1997</v>
      </c>
      <c r="F132" s="35">
        <f>'GF + UG Iteration 8'!F132</f>
        <v>28.900000000000002</v>
      </c>
      <c r="G132" s="36">
        <f>'GF + UG Iteration 8'!G132</f>
        <v>1.6878206182928517</v>
      </c>
      <c r="H132" s="38">
        <f>'GF + UG Iteration 8'!H132</f>
        <v>2013</v>
      </c>
      <c r="I132" s="35">
        <f t="shared" si="10"/>
        <v>51.2</v>
      </c>
      <c r="J132" s="36">
        <f t="shared" si="11"/>
        <v>16.799314986900725</v>
      </c>
      <c r="K132" s="38">
        <f t="shared" si="12"/>
        <v>2013</v>
      </c>
      <c r="M132" s="21">
        <f t="shared" si="8"/>
        <v>3.9357395320454622</v>
      </c>
      <c r="N132" s="21">
        <f t="shared" si="9"/>
        <v>2.8213381109886644</v>
      </c>
    </row>
    <row r="133" spans="1:14" x14ac:dyDescent="0.2">
      <c r="A133" s="33">
        <f>'GF + UG Iteration 8'!A133</f>
        <v>1194</v>
      </c>
      <c r="B133" s="34" t="str">
        <f>'GF + UG Iteration 8'!B133</f>
        <v>UG</v>
      </c>
      <c r="C133" s="35">
        <f>'GF + UG Iteration 8'!C133</f>
        <v>5.8</v>
      </c>
      <c r="D133" s="36">
        <f>'GF + UG Iteration 8'!P$16*(C133^'GF + UG Iteration 8'!P$15)</f>
        <v>6.9904427731678656</v>
      </c>
      <c r="E133" s="37">
        <f>'GF + UG Iteration 8'!E133</f>
        <v>1980</v>
      </c>
      <c r="F133" s="35">
        <f>'GF + UG Iteration 8'!F133</f>
        <v>9.6000000000000014</v>
      </c>
      <c r="G133" s="36">
        <f>'GF + UG Iteration 8'!G133</f>
        <v>1.6086060831571487</v>
      </c>
      <c r="H133" s="38">
        <f>'GF + UG Iteration 8'!H133</f>
        <v>2011</v>
      </c>
      <c r="I133" s="35">
        <f t="shared" si="10"/>
        <v>15.400000000000002</v>
      </c>
      <c r="J133" s="36">
        <f t="shared" si="11"/>
        <v>8.5990488563250143</v>
      </c>
      <c r="K133" s="38">
        <f t="shared" si="12"/>
        <v>2011</v>
      </c>
      <c r="M133" s="21">
        <f t="shared" si="8"/>
        <v>2.7343675094195836</v>
      </c>
      <c r="N133" s="21">
        <f t="shared" si="9"/>
        <v>2.1516515990412985</v>
      </c>
    </row>
    <row r="134" spans="1:14" x14ac:dyDescent="0.2">
      <c r="A134" s="33">
        <f>'GF + UG Iteration 8'!A134</f>
        <v>801</v>
      </c>
      <c r="B134" s="34" t="str">
        <f>'GF + UG Iteration 8'!B134</f>
        <v>UG</v>
      </c>
      <c r="C134" s="35">
        <f>'GF + UG Iteration 8'!C134</f>
        <v>10</v>
      </c>
      <c r="D134" s="36">
        <f>'GF + UG Iteration 8'!P$16*(C134^'GF + UG Iteration 8'!P$15)</f>
        <v>9.548304729099252</v>
      </c>
      <c r="E134" s="37">
        <f>'GF + UG Iteration 8'!E134</f>
        <v>2008</v>
      </c>
      <c r="F134" s="35">
        <f>'GF + UG Iteration 8'!F134</f>
        <v>0</v>
      </c>
      <c r="G134" s="36">
        <f>'GF + UG Iteration 8'!G134</f>
        <v>6.3106495854024782</v>
      </c>
      <c r="H134" s="38">
        <f>'GF + UG Iteration 8'!H134</f>
        <v>2009</v>
      </c>
      <c r="I134" s="35">
        <f t="shared" si="10"/>
        <v>10</v>
      </c>
      <c r="J134" s="36">
        <f t="shared" si="11"/>
        <v>15.85895431450173</v>
      </c>
      <c r="K134" s="38">
        <f t="shared" si="12"/>
        <v>2009</v>
      </c>
      <c r="M134" s="21">
        <f t="shared" si="8"/>
        <v>2.3025850929940459</v>
      </c>
      <c r="N134" s="21">
        <f t="shared" si="9"/>
        <v>2.7637342817822388</v>
      </c>
    </row>
    <row r="135" spans="1:14" x14ac:dyDescent="0.2">
      <c r="A135" s="33">
        <f>'GF + UG Iteration 8'!A135</f>
        <v>804</v>
      </c>
      <c r="B135" s="34" t="str">
        <f>'GF + UG Iteration 8'!B135</f>
        <v>UG</v>
      </c>
      <c r="C135" s="35">
        <f>'GF + UG Iteration 8'!C135</f>
        <v>14.429</v>
      </c>
      <c r="D135" s="36">
        <f>'GF + UG Iteration 8'!P$16*(C135^'GF + UG Iteration 8'!P$15)</f>
        <v>11.778183618262918</v>
      </c>
      <c r="E135" s="37">
        <f>'GF + UG Iteration 8'!E135</f>
        <v>1982</v>
      </c>
      <c r="F135" s="35">
        <f>'GF + UG Iteration 8'!F135</f>
        <v>9.8710000000000004</v>
      </c>
      <c r="G135" s="36">
        <f>'GF + UG Iteration 8'!G135</f>
        <v>9.1566982400815444</v>
      </c>
      <c r="H135" s="38">
        <f>'GF + UG Iteration 8'!H135</f>
        <v>2009</v>
      </c>
      <c r="I135" s="35">
        <f t="shared" si="10"/>
        <v>24.3</v>
      </c>
      <c r="J135" s="36">
        <f t="shared" si="11"/>
        <v>20.934881858344461</v>
      </c>
      <c r="K135" s="38">
        <f t="shared" si="12"/>
        <v>2009</v>
      </c>
      <c r="M135" s="21">
        <f t="shared" si="8"/>
        <v>3.1904763503465028</v>
      </c>
      <c r="N135" s="21">
        <f t="shared" si="9"/>
        <v>3.041416756194828</v>
      </c>
    </row>
    <row r="136" spans="1:14" x14ac:dyDescent="0.2">
      <c r="A136" s="33">
        <f>'GF + UG Iteration 8'!A136</f>
        <v>365</v>
      </c>
      <c r="B136" s="34" t="str">
        <f>'GF + UG Iteration 8'!B136</f>
        <v>UG</v>
      </c>
      <c r="C136" s="35">
        <f>'GF + UG Iteration 8'!C136</f>
        <v>15.9</v>
      </c>
      <c r="D136" s="36">
        <f>'GF + UG Iteration 8'!P$16*(C136^'GF + UG Iteration 8'!P$15)</f>
        <v>12.451239852844523</v>
      </c>
      <c r="E136" s="37">
        <f>'GF + UG Iteration 8'!E136</f>
        <v>1982</v>
      </c>
      <c r="F136" s="35">
        <f>'GF + UG Iteration 8'!F136</f>
        <v>0.26900000000000013</v>
      </c>
      <c r="G136" s="36">
        <f>'GF + UG Iteration 8'!G136</f>
        <v>0.59607313292480213</v>
      </c>
      <c r="H136" s="38">
        <f>'GF + UG Iteration 8'!H136</f>
        <v>2003</v>
      </c>
      <c r="I136" s="35">
        <f t="shared" si="10"/>
        <v>16.169</v>
      </c>
      <c r="J136" s="36">
        <f t="shared" si="11"/>
        <v>13.047312985769326</v>
      </c>
      <c r="K136" s="38">
        <f t="shared" si="12"/>
        <v>2003</v>
      </c>
      <c r="M136" s="21">
        <f t="shared" ref="M136:M183" si="18">LN(I136)</f>
        <v>2.7830958287576775</v>
      </c>
      <c r="N136" s="21">
        <f t="shared" ref="N136:N183" si="19">LN(J136)</f>
        <v>2.5685822110944687</v>
      </c>
    </row>
    <row r="137" spans="1:14" x14ac:dyDescent="0.2">
      <c r="A137" s="33">
        <f>'GF + UG Iteration 8'!A137</f>
        <v>708</v>
      </c>
      <c r="B137" s="34" t="str">
        <f>'GF + UG Iteration 8'!B137</f>
        <v>UG</v>
      </c>
      <c r="C137" s="35">
        <f>'GF + UG Iteration 8'!C137</f>
        <v>16.2</v>
      </c>
      <c r="D137" s="36">
        <f>'GF + UG Iteration 8'!P$16*(C137^'GF + UG Iteration 8'!P$15)</f>
        <v>12.585183324149972</v>
      </c>
      <c r="E137" s="37">
        <f>'GF + UG Iteration 8'!E137</f>
        <v>1982</v>
      </c>
      <c r="F137" s="35">
        <f>'GF + UG Iteration 8'!F137</f>
        <v>11.5</v>
      </c>
      <c r="G137" s="36">
        <f>'GF + UG Iteration 8'!G137</f>
        <v>6.8374623210633541</v>
      </c>
      <c r="H137" s="38">
        <f>'GF + UG Iteration 8'!H137</f>
        <v>2007</v>
      </c>
      <c r="I137" s="35">
        <f t="shared" si="10"/>
        <v>27.7</v>
      </c>
      <c r="J137" s="36">
        <f t="shared" si="11"/>
        <v>19.422645645213326</v>
      </c>
      <c r="K137" s="38">
        <f t="shared" si="12"/>
        <v>2007</v>
      </c>
      <c r="M137" s="21">
        <f t="shared" si="18"/>
        <v>3.3214324131932926</v>
      </c>
      <c r="N137" s="21">
        <f t="shared" si="19"/>
        <v>2.9664396866024978</v>
      </c>
    </row>
    <row r="138" spans="1:14" x14ac:dyDescent="0.2">
      <c r="A138" s="33">
        <f>'GF + UG Iteration 8'!A138</f>
        <v>1568</v>
      </c>
      <c r="B138" s="34" t="str">
        <f>'GF + UG Iteration 8'!B138</f>
        <v>UG</v>
      </c>
      <c r="C138" s="35">
        <f>'GF + UG Iteration 8'!C138</f>
        <v>27.7</v>
      </c>
      <c r="D138" s="36">
        <f>'GF + UG Iteration 8'!P$16*(C138^'GF + UG Iteration 8'!P$15)</f>
        <v>17.108668947044023</v>
      </c>
      <c r="E138" s="37">
        <f>'GF + UG Iteration 8'!E138</f>
        <v>1997</v>
      </c>
      <c r="F138" s="35">
        <f>'GF + UG Iteration 8'!F138</f>
        <v>8.0999999999999979</v>
      </c>
      <c r="G138" s="36">
        <f>'GF + UG Iteration 8'!G138</f>
        <v>3.5848996641236104</v>
      </c>
      <c r="H138" s="38">
        <f>'GF + UG Iteration 8'!H138</f>
        <v>2015</v>
      </c>
      <c r="I138" s="35">
        <f t="shared" si="10"/>
        <v>35.799999999999997</v>
      </c>
      <c r="J138" s="36">
        <f t="shared" si="11"/>
        <v>20.693568611167635</v>
      </c>
      <c r="K138" s="38">
        <f t="shared" si="12"/>
        <v>2015</v>
      </c>
      <c r="M138" s="21">
        <f t="shared" si="18"/>
        <v>3.5779478934066544</v>
      </c>
      <c r="N138" s="21">
        <f t="shared" si="19"/>
        <v>3.0298229568829225</v>
      </c>
    </row>
    <row r="139" spans="1:14" x14ac:dyDescent="0.2">
      <c r="A139" s="33">
        <f>'GF + UG Iteration 8'!A139</f>
        <v>398</v>
      </c>
      <c r="B139" s="34" t="str">
        <f>'GF + UG Iteration 8'!B139</f>
        <v>UG</v>
      </c>
      <c r="C139" s="35">
        <f>'GF + UG Iteration 8'!C139</f>
        <v>27.329000000000001</v>
      </c>
      <c r="D139" s="36">
        <f>'GF + UG Iteration 8'!P$16*(C139^'GF + UG Iteration 8'!P$15)</f>
        <v>16.977120835818443</v>
      </c>
      <c r="E139" s="37">
        <f>'GF + UG Iteration 8'!E139</f>
        <v>1981</v>
      </c>
      <c r="F139" s="35">
        <f>'GF + UG Iteration 8'!F139</f>
        <v>2</v>
      </c>
      <c r="G139" s="36">
        <f>'GF + UG Iteration 8'!G139</f>
        <v>1.454685054931611</v>
      </c>
      <c r="H139" s="38">
        <f>'GF + UG Iteration 8'!H139</f>
        <v>2004</v>
      </c>
      <c r="I139" s="35">
        <f t="shared" si="10"/>
        <v>29.329000000000001</v>
      </c>
      <c r="J139" s="36">
        <f t="shared" si="11"/>
        <v>18.431805890750056</v>
      </c>
      <c r="K139" s="38">
        <f t="shared" si="12"/>
        <v>2004</v>
      </c>
      <c r="M139" s="21">
        <f t="shared" si="18"/>
        <v>3.3785767876246213</v>
      </c>
      <c r="N139" s="21">
        <f t="shared" si="19"/>
        <v>2.9140777533572284</v>
      </c>
    </row>
    <row r="140" spans="1:14" x14ac:dyDescent="0.2">
      <c r="A140" s="33">
        <f>'GF + UG Iteration 8'!A140</f>
        <v>1642</v>
      </c>
      <c r="B140" s="34" t="str">
        <f>'GF + UG Iteration 8'!B140</f>
        <v>UG</v>
      </c>
      <c r="C140" s="35">
        <f>'GF + UG Iteration 8'!C140</f>
        <v>16.12</v>
      </c>
      <c r="D140" s="36">
        <f>'GF + UG Iteration 8'!P$16*(C140^'GF + UG Iteration 8'!P$15)</f>
        <v>12.549569517788116</v>
      </c>
      <c r="E140" s="37" t="str">
        <f>'GF + UG Iteration 8'!E140</f>
        <v>unknown</v>
      </c>
      <c r="F140" s="35">
        <f>'GF + UG Iteration 8'!F140</f>
        <v>2.7799999999999976</v>
      </c>
      <c r="G140" s="36">
        <f>'GF + UG Iteration 8'!G140</f>
        <v>10.134123990225088</v>
      </c>
      <c r="H140" s="38">
        <f>'GF + UG Iteration 8'!H140</f>
        <v>2015</v>
      </c>
      <c r="I140" s="35">
        <f t="shared" si="10"/>
        <v>18.899999999999999</v>
      </c>
      <c r="J140" s="36">
        <f t="shared" si="11"/>
        <v>22.683693508013206</v>
      </c>
      <c r="K140" s="38">
        <f t="shared" si="12"/>
        <v>2015</v>
      </c>
      <c r="M140" s="21">
        <f t="shared" si="18"/>
        <v>2.9391619220655967</v>
      </c>
      <c r="N140" s="21">
        <f t="shared" si="19"/>
        <v>3.121646318687429</v>
      </c>
    </row>
    <row r="141" spans="1:14" x14ac:dyDescent="0.2">
      <c r="A141" s="33">
        <f>'GF + UG Iteration 8'!A141</f>
        <v>522</v>
      </c>
      <c r="B141" s="34" t="str">
        <f>'GF + UG Iteration 8'!B141</f>
        <v>UG</v>
      </c>
      <c r="C141" s="35">
        <f>'GF + UG Iteration 8'!C141</f>
        <v>38.700000000000003</v>
      </c>
      <c r="D141" s="36">
        <f>'GF + UG Iteration 8'!P$16*(C141^'GF + UG Iteration 8'!P$15)</f>
        <v>20.718166985537948</v>
      </c>
      <c r="E141" s="37">
        <f>'GF + UG Iteration 8'!E141</f>
        <v>1981</v>
      </c>
      <c r="F141" s="35">
        <f>'GF + UG Iteration 8'!F141</f>
        <v>2.2999999999999972</v>
      </c>
      <c r="G141" s="36">
        <f>'GF + UG Iteration 8'!G141</f>
        <v>0.49326793696611254</v>
      </c>
      <c r="H141" s="38">
        <f>'GF + UG Iteration 8'!H141</f>
        <v>2006</v>
      </c>
      <c r="I141" s="35">
        <f t="shared" si="10"/>
        <v>41</v>
      </c>
      <c r="J141" s="36">
        <f t="shared" si="11"/>
        <v>21.211434922504061</v>
      </c>
      <c r="K141" s="38">
        <f t="shared" si="12"/>
        <v>2006</v>
      </c>
      <c r="M141" s="21">
        <f t="shared" si="18"/>
        <v>3.713572066704308</v>
      </c>
      <c r="N141" s="21">
        <f t="shared" si="19"/>
        <v>3.0545404194001535</v>
      </c>
    </row>
    <row r="142" spans="1:14" x14ac:dyDescent="0.2">
      <c r="A142" s="33">
        <f>'GF + UG Iteration 8'!A142</f>
        <v>170</v>
      </c>
      <c r="B142" s="34" t="str">
        <f>'GF + UG Iteration 8'!B142</f>
        <v>UG</v>
      </c>
      <c r="C142" s="35">
        <f>'GF + UG Iteration 8'!C142</f>
        <v>20.399999999999999</v>
      </c>
      <c r="D142" s="36">
        <f>'GF + UG Iteration 8'!P$16*(C142^'GF + UG Iteration 8'!P$15)</f>
        <v>14.360473096522123</v>
      </c>
      <c r="E142" s="37" t="str">
        <f>'GF + UG Iteration 8'!E142</f>
        <v>unknown</v>
      </c>
      <c r="F142" s="35">
        <f>'GF + UG Iteration 8'!F142</f>
        <v>5.6000000000000014</v>
      </c>
      <c r="G142" s="36">
        <f>'GF + UG Iteration 8'!G142</f>
        <v>4.433742547698083</v>
      </c>
      <c r="H142" s="38">
        <f>'GF + UG Iteration 8'!H142</f>
        <v>2001</v>
      </c>
      <c r="I142" s="35">
        <f t="shared" si="10"/>
        <v>26</v>
      </c>
      <c r="J142" s="36">
        <f t="shared" si="11"/>
        <v>18.794215644220206</v>
      </c>
      <c r="K142" s="38">
        <f t="shared" si="12"/>
        <v>2001</v>
      </c>
      <c r="M142" s="21">
        <f t="shared" si="18"/>
        <v>3.2580965380214821</v>
      </c>
      <c r="N142" s="21">
        <f t="shared" si="19"/>
        <v>2.9335491439942376</v>
      </c>
    </row>
    <row r="143" spans="1:14" x14ac:dyDescent="0.2">
      <c r="A143" s="33">
        <f>'GF + UG Iteration 8'!A143</f>
        <v>1312</v>
      </c>
      <c r="B143" s="34" t="str">
        <f>'GF + UG Iteration 8'!B143</f>
        <v>UG</v>
      </c>
      <c r="C143" s="35">
        <f>'GF + UG Iteration 8'!C143</f>
        <v>23.63</v>
      </c>
      <c r="D143" s="36">
        <f>'GF + UG Iteration 8'!P$16*(C143^'GF + UG Iteration 8'!P$15)</f>
        <v>15.621012163838989</v>
      </c>
      <c r="E143" s="37" t="str">
        <f>'GF + UG Iteration 8'!E143</f>
        <v>unknown</v>
      </c>
      <c r="F143" s="35">
        <f>'GF + UG Iteration 8'!F143</f>
        <v>0</v>
      </c>
      <c r="G143" s="36">
        <f>'GF + UG Iteration 8'!G143</f>
        <v>6.0245111186360631</v>
      </c>
      <c r="H143" s="38">
        <f>'GF + UG Iteration 8'!H143</f>
        <v>2013</v>
      </c>
      <c r="I143" s="35">
        <f t="shared" si="10"/>
        <v>23.63</v>
      </c>
      <c r="J143" s="36">
        <f t="shared" si="11"/>
        <v>21.645523282475054</v>
      </c>
      <c r="K143" s="38">
        <f t="shared" si="12"/>
        <v>2013</v>
      </c>
      <c r="M143" s="21">
        <f t="shared" si="18"/>
        <v>3.1625170911988163</v>
      </c>
      <c r="N143" s="21">
        <f t="shared" si="19"/>
        <v>3.0747986562762399</v>
      </c>
    </row>
    <row r="144" spans="1:14" x14ac:dyDescent="0.2">
      <c r="A144" s="33">
        <f>'GF + UG Iteration 8'!A144</f>
        <v>170</v>
      </c>
      <c r="B144" s="34" t="str">
        <f>'GF + UG Iteration 8'!B144</f>
        <v>UG</v>
      </c>
      <c r="C144" s="35">
        <f>'GF + UG Iteration 8'!C144</f>
        <v>21.6</v>
      </c>
      <c r="D144" s="36">
        <f>'GF + UG Iteration 8'!P$16*(C144^'GF + UG Iteration 8'!P$15)</f>
        <v>14.838109861799353</v>
      </c>
      <c r="E144" s="37" t="str">
        <f>'GF + UG Iteration 8'!E144</f>
        <v>unknown</v>
      </c>
      <c r="F144" s="35">
        <f>'GF + UG Iteration 8'!F144</f>
        <v>1</v>
      </c>
      <c r="G144" s="36">
        <f>'GF + UG Iteration 8'!G144</f>
        <v>4.8829870198591019</v>
      </c>
      <c r="H144" s="38">
        <f>'GF + UG Iteration 8'!H144</f>
        <v>2001</v>
      </c>
      <c r="I144" s="35">
        <f t="shared" si="10"/>
        <v>22.6</v>
      </c>
      <c r="J144" s="36">
        <f t="shared" si="11"/>
        <v>19.721096881658454</v>
      </c>
      <c r="K144" s="38">
        <f t="shared" si="12"/>
        <v>2001</v>
      </c>
      <c r="M144" s="21">
        <f t="shared" si="18"/>
        <v>3.1179499062782403</v>
      </c>
      <c r="N144" s="21">
        <f t="shared" si="19"/>
        <v>2.9816889704297513</v>
      </c>
    </row>
    <row r="145" spans="1:14" x14ac:dyDescent="0.2">
      <c r="A145" s="33">
        <f>'GF + UG Iteration 8'!A145</f>
        <v>1366</v>
      </c>
      <c r="B145" s="34" t="str">
        <f>'GF + UG Iteration 8'!B145</f>
        <v>UG</v>
      </c>
      <c r="C145" s="35">
        <f>'GF + UG Iteration 8'!C145</f>
        <v>25.5</v>
      </c>
      <c r="D145" s="36">
        <f>'GF + UG Iteration 8'!P$16*(C145^'GF + UG Iteration 8'!P$15)</f>
        <v>16.317109271557474</v>
      </c>
      <c r="E145" s="37">
        <f>'GF + UG Iteration 8'!E145</f>
        <v>0</v>
      </c>
      <c r="F145" s="35">
        <f>'GF + UG Iteration 8'!F145</f>
        <v>14</v>
      </c>
      <c r="G145" s="36">
        <f>'GF + UG Iteration 8'!G145</f>
        <v>5.5737060104438019</v>
      </c>
      <c r="H145" s="38">
        <f>'GF + UG Iteration 8'!H145</f>
        <v>2013</v>
      </c>
      <c r="I145" s="35">
        <f t="shared" si="10"/>
        <v>39.5</v>
      </c>
      <c r="J145" s="36">
        <f t="shared" si="11"/>
        <v>21.890815282001277</v>
      </c>
      <c r="K145" s="38">
        <f t="shared" si="12"/>
        <v>2013</v>
      </c>
      <c r="M145" s="21">
        <f t="shared" si="18"/>
        <v>3.6763006719070761</v>
      </c>
      <c r="N145" s="21">
        <f t="shared" si="19"/>
        <v>3.0860671553364742</v>
      </c>
    </row>
    <row r="146" spans="1:14" x14ac:dyDescent="0.2">
      <c r="A146" s="33">
        <f>'GF + UG Iteration 8'!A146</f>
        <v>170</v>
      </c>
      <c r="B146" s="34" t="str">
        <f>'GF + UG Iteration 8'!B146</f>
        <v>UG</v>
      </c>
      <c r="C146" s="35">
        <f>'GF + UG Iteration 8'!C146</f>
        <v>5.4</v>
      </c>
      <c r="D146" s="36">
        <f>'GF + UG Iteration 8'!P$16*(C146^'GF + UG Iteration 8'!P$15)</f>
        <v>6.7102649776530949</v>
      </c>
      <c r="E146" s="37" t="str">
        <f>'GF + UG Iteration 8'!E146</f>
        <v>unknown</v>
      </c>
      <c r="F146" s="35">
        <f>'GF + UG Iteration 8'!F146</f>
        <v>10.6</v>
      </c>
      <c r="G146" s="36">
        <f>'GF + UG Iteration 8'!G146</f>
        <v>5.2097107088088661</v>
      </c>
      <c r="H146" s="38">
        <f>'GF + UG Iteration 8'!H146</f>
        <v>2001</v>
      </c>
      <c r="I146" s="35">
        <f t="shared" si="10"/>
        <v>16</v>
      </c>
      <c r="J146" s="36">
        <f t="shared" si="11"/>
        <v>11.91997568646196</v>
      </c>
      <c r="K146" s="38">
        <f t="shared" si="12"/>
        <v>2001</v>
      </c>
      <c r="M146" s="21">
        <f t="shared" si="18"/>
        <v>2.7725887222397811</v>
      </c>
      <c r="N146" s="21">
        <f t="shared" si="19"/>
        <v>2.4782156219087779</v>
      </c>
    </row>
    <row r="147" spans="1:14" x14ac:dyDescent="0.2">
      <c r="A147" s="33">
        <f>'GF + UG Iteration 8'!A147</f>
        <v>1350</v>
      </c>
      <c r="B147" s="34" t="str">
        <f>'GF + UG Iteration 8'!B147</f>
        <v>UG</v>
      </c>
      <c r="C147" s="35">
        <f>'GF + UG Iteration 8'!C147</f>
        <v>16</v>
      </c>
      <c r="D147" s="36">
        <f>'GF + UG Iteration 8'!P$16*(C147^'GF + UG Iteration 8'!P$15)</f>
        <v>12.496006795670086</v>
      </c>
      <c r="E147" s="37">
        <f>'GF + UG Iteration 8'!E147</f>
        <v>0</v>
      </c>
      <c r="F147" s="35">
        <f>'GF + UG Iteration 8'!F147</f>
        <v>20</v>
      </c>
      <c r="G147" s="36">
        <f>'GF + UG Iteration 8'!G147</f>
        <v>6.5300342953877131</v>
      </c>
      <c r="H147" s="38">
        <f>'GF + UG Iteration 8'!H147</f>
        <v>2013</v>
      </c>
      <c r="I147" s="35">
        <f t="shared" si="10"/>
        <v>36</v>
      </c>
      <c r="J147" s="36">
        <f t="shared" si="11"/>
        <v>19.026041091057799</v>
      </c>
      <c r="K147" s="38">
        <f t="shared" si="12"/>
        <v>2013</v>
      </c>
      <c r="M147" s="21">
        <f t="shared" si="18"/>
        <v>3.5835189384561099</v>
      </c>
      <c r="N147" s="21">
        <f t="shared" si="19"/>
        <v>2.9458086245137629</v>
      </c>
    </row>
    <row r="148" spans="1:14" x14ac:dyDescent="0.2">
      <c r="A148" s="33">
        <f>'GF + UG Iteration 8'!A148</f>
        <v>658</v>
      </c>
      <c r="B148" s="34" t="str">
        <f>'GF + UG Iteration 8'!B148</f>
        <v>UG</v>
      </c>
      <c r="C148" s="35">
        <f>'GF + UG Iteration 8'!C148</f>
        <v>1.6</v>
      </c>
      <c r="D148" s="36">
        <f>'GF + UG Iteration 8'!P$16*(C148^'GF + UG Iteration 8'!P$15)</f>
        <v>3.3445555241847456</v>
      </c>
      <c r="E148" s="37">
        <f>'GF + UG Iteration 8'!E148</f>
        <v>1996</v>
      </c>
      <c r="F148" s="35">
        <f>'GF + UG Iteration 8'!F148</f>
        <v>13.200000000000001</v>
      </c>
      <c r="G148" s="36">
        <f>'GF + UG Iteration 8'!G148</f>
        <v>7.1146692323992218</v>
      </c>
      <c r="H148" s="38">
        <f>'GF + UG Iteration 8'!H148</f>
        <v>2008</v>
      </c>
      <c r="I148" s="35">
        <f t="shared" si="10"/>
        <v>14.8</v>
      </c>
      <c r="J148" s="36">
        <f t="shared" si="11"/>
        <v>10.459224756583968</v>
      </c>
      <c r="K148" s="38">
        <f t="shared" si="12"/>
        <v>2008</v>
      </c>
      <c r="M148" s="21">
        <f t="shared" si="18"/>
        <v>2.6946271807700692</v>
      </c>
      <c r="N148" s="21">
        <f t="shared" si="19"/>
        <v>2.3474843408407868</v>
      </c>
    </row>
    <row r="149" spans="1:14" x14ac:dyDescent="0.2">
      <c r="A149" s="33">
        <f>'GF + UG Iteration 8'!A149</f>
        <v>897</v>
      </c>
      <c r="B149" s="34" t="str">
        <f>'GF + UG Iteration 8'!B149</f>
        <v>UG</v>
      </c>
      <c r="C149" s="35">
        <f>'GF + UG Iteration 8'!C149</f>
        <v>14.8</v>
      </c>
      <c r="D149" s="36">
        <f>'GF + UG Iteration 8'!P$16*(C149^'GF + UG Iteration 8'!P$15)</f>
        <v>11.950598850527857</v>
      </c>
      <c r="E149" s="37">
        <f>'GF + UG Iteration 8'!E149</f>
        <v>1996</v>
      </c>
      <c r="F149" s="35">
        <f>'GF + UG Iteration 8'!F149</f>
        <v>3</v>
      </c>
      <c r="G149" s="36">
        <f>'GF + UG Iteration 8'!G149</f>
        <v>6.2372112776035529</v>
      </c>
      <c r="H149" s="38">
        <f>'GF + UG Iteration 8'!H149</f>
        <v>2010</v>
      </c>
      <c r="I149" s="35">
        <f t="shared" si="10"/>
        <v>17.8</v>
      </c>
      <c r="J149" s="36">
        <f t="shared" si="11"/>
        <v>18.18781012813141</v>
      </c>
      <c r="K149" s="38">
        <f t="shared" si="12"/>
        <v>2010</v>
      </c>
      <c r="M149" s="21">
        <f t="shared" si="18"/>
        <v>2.8791984572980396</v>
      </c>
      <c r="N149" s="21">
        <f t="shared" si="19"/>
        <v>2.900751596504898</v>
      </c>
    </row>
    <row r="150" spans="1:14" x14ac:dyDescent="0.2">
      <c r="A150" s="33">
        <f>'GF + UG Iteration 8'!A150</f>
        <v>483</v>
      </c>
      <c r="B150" s="34" t="str">
        <f>'GF + UG Iteration 8'!B150</f>
        <v>UG</v>
      </c>
      <c r="C150" s="35">
        <f>'GF + UG Iteration 8'!C150</f>
        <v>20.7</v>
      </c>
      <c r="D150" s="36">
        <f>'GF + UG Iteration 8'!P$16*(C150^'GF + UG Iteration 8'!P$15)</f>
        <v>14.480984004596031</v>
      </c>
      <c r="E150" s="37">
        <f>'GF + UG Iteration 8'!E150</f>
        <v>1986</v>
      </c>
      <c r="F150" s="35">
        <f>'GF + UG Iteration 8'!F150</f>
        <v>18.099999999999998</v>
      </c>
      <c r="G150" s="36">
        <f>'GF + UG Iteration 8'!G150</f>
        <v>3.6200694377675466</v>
      </c>
      <c r="H150" s="38">
        <f>'GF + UG Iteration 8'!H150</f>
        <v>2005</v>
      </c>
      <c r="I150" s="35">
        <f t="shared" si="10"/>
        <v>38.799999999999997</v>
      </c>
      <c r="J150" s="36">
        <f t="shared" si="11"/>
        <v>18.101053442363579</v>
      </c>
      <c r="K150" s="38">
        <f t="shared" si="12"/>
        <v>2005</v>
      </c>
      <c r="M150" s="21">
        <f t="shared" si="18"/>
        <v>3.6584202466292277</v>
      </c>
      <c r="N150" s="21">
        <f t="shared" si="19"/>
        <v>2.8959701378137108</v>
      </c>
    </row>
    <row r="151" spans="1:14" x14ac:dyDescent="0.2">
      <c r="A151" s="33">
        <f>'GF + UG Iteration 8'!A151</f>
        <v>1494</v>
      </c>
      <c r="B151" s="34" t="str">
        <f>'GF + UG Iteration 8'!B151</f>
        <v>UG</v>
      </c>
      <c r="C151" s="35">
        <f>'GF + UG Iteration 8'!C151</f>
        <v>13.3</v>
      </c>
      <c r="D151" s="36">
        <f>'GF + UG Iteration 8'!P$16*(C151^'GF + UG Iteration 8'!P$15)</f>
        <v>11.241467719608718</v>
      </c>
      <c r="E151" s="37">
        <f>'GF + UG Iteration 8'!E151</f>
        <v>0</v>
      </c>
      <c r="F151" s="35">
        <f>'GF + UG Iteration 8'!F151</f>
        <v>6</v>
      </c>
      <c r="G151" s="36">
        <f>'GF + UG Iteration 8'!G151</f>
        <v>6.4297485673579153</v>
      </c>
      <c r="H151" s="38">
        <f>'GF + UG Iteration 8'!H151</f>
        <v>2014</v>
      </c>
      <c r="I151" s="35">
        <f t="shared" si="10"/>
        <v>19.3</v>
      </c>
      <c r="J151" s="36">
        <f t="shared" si="11"/>
        <v>17.671216286966633</v>
      </c>
      <c r="K151" s="38">
        <f t="shared" si="12"/>
        <v>2014</v>
      </c>
      <c r="M151" s="21">
        <f t="shared" si="18"/>
        <v>2.9601050959108397</v>
      </c>
      <c r="N151" s="21">
        <f t="shared" si="19"/>
        <v>2.8719371174073234</v>
      </c>
    </row>
    <row r="152" spans="1:14" x14ac:dyDescent="0.2">
      <c r="A152" s="33">
        <f>'GF + UG Iteration 8'!A152</f>
        <v>488</v>
      </c>
      <c r="B152" s="34" t="str">
        <f>'GF + UG Iteration 8'!B152</f>
        <v>UG</v>
      </c>
      <c r="C152" s="35">
        <f>'GF + UG Iteration 8'!C152</f>
        <v>41.3</v>
      </c>
      <c r="D152" s="36">
        <f>'GF + UG Iteration 8'!P$16*(C152^'GF + UG Iteration 8'!P$15)</f>
        <v>21.503854345784138</v>
      </c>
      <c r="E152" s="37">
        <f>'GF + UG Iteration 8'!E152</f>
        <v>1982</v>
      </c>
      <c r="F152" s="35">
        <f>'GF + UG Iteration 8'!F152</f>
        <v>24.200000000000003</v>
      </c>
      <c r="G152" s="36">
        <f>'GF + UG Iteration 8'!G152</f>
        <v>0.40462675342078769</v>
      </c>
      <c r="H152" s="38">
        <f>'GF + UG Iteration 8'!H152</f>
        <v>2006</v>
      </c>
      <c r="I152" s="35">
        <f t="shared" si="10"/>
        <v>65.5</v>
      </c>
      <c r="J152" s="36">
        <f t="shared" si="11"/>
        <v>21.908481099204927</v>
      </c>
      <c r="K152" s="38">
        <f t="shared" si="12"/>
        <v>2006</v>
      </c>
      <c r="M152" s="21">
        <f t="shared" si="18"/>
        <v>4.1820501426412067</v>
      </c>
      <c r="N152" s="21">
        <f t="shared" si="19"/>
        <v>3.0868738266586733</v>
      </c>
    </row>
    <row r="153" spans="1:14" x14ac:dyDescent="0.2">
      <c r="A153" s="33">
        <f>'GF + UG Iteration 8'!A153</f>
        <v>1692</v>
      </c>
      <c r="B153" s="34" t="str">
        <f>'GF + UG Iteration 8'!B153</f>
        <v>UG</v>
      </c>
      <c r="C153" s="35">
        <f>'GF + UG Iteration 8'!C153</f>
        <v>65.5</v>
      </c>
      <c r="D153" s="36">
        <f>'GF + UG Iteration 8'!P$16*(C153^'GF + UG Iteration 8'!P$15)</f>
        <v>28.000745762017033</v>
      </c>
      <c r="E153" s="37">
        <f>'GF + UG Iteration 8'!E153</f>
        <v>0</v>
      </c>
      <c r="F153" s="35">
        <f>'GF + UG Iteration 8'!F153</f>
        <v>0</v>
      </c>
      <c r="G153" s="36">
        <f>'GF + UG Iteration 8'!G153</f>
        <v>2.2188176481219593</v>
      </c>
      <c r="H153" s="38">
        <f>'GF + UG Iteration 8'!H153</f>
        <v>2016</v>
      </c>
      <c r="I153" s="35">
        <f t="shared" si="10"/>
        <v>65.5</v>
      </c>
      <c r="J153" s="36">
        <f t="shared" si="11"/>
        <v>30.219563410138992</v>
      </c>
      <c r="K153" s="38">
        <f t="shared" si="12"/>
        <v>2016</v>
      </c>
      <c r="M153" s="21">
        <f t="shared" si="18"/>
        <v>4.1820501426412067</v>
      </c>
      <c r="N153" s="21">
        <f t="shared" si="19"/>
        <v>3.4084895096899026</v>
      </c>
    </row>
    <row r="154" spans="1:14" x14ac:dyDescent="0.2">
      <c r="A154" s="33">
        <f>'GF + UG Iteration 8'!A154</f>
        <v>318</v>
      </c>
      <c r="B154" s="34" t="str">
        <f>'GF + UG Iteration 8'!B154</f>
        <v>UG</v>
      </c>
      <c r="C154" s="35">
        <f>'GF + UG Iteration 8'!C154</f>
        <v>22.87</v>
      </c>
      <c r="D154" s="36">
        <f>'GF + UG Iteration 8'!P$16*(C154^'GF + UG Iteration 8'!P$15)</f>
        <v>15.331407343117066</v>
      </c>
      <c r="E154" s="37">
        <f>'GF + UG Iteration 8'!E154</f>
        <v>1996</v>
      </c>
      <c r="F154" s="35">
        <f>'GF + UG Iteration 8'!F154</f>
        <v>1</v>
      </c>
      <c r="G154" s="36">
        <f>'GF + UG Iteration 8'!G154</f>
        <v>0.76702040063252341</v>
      </c>
      <c r="H154" s="38">
        <f>'GF + UG Iteration 8'!H154</f>
        <v>2001</v>
      </c>
      <c r="I154" s="35">
        <f t="shared" si="10"/>
        <v>23.87</v>
      </c>
      <c r="J154" s="36">
        <f t="shared" si="11"/>
        <v>16.098427743749589</v>
      </c>
      <c r="K154" s="38">
        <f t="shared" si="12"/>
        <v>2001</v>
      </c>
      <c r="M154" s="21">
        <f t="shared" si="18"/>
        <v>3.1726224403507386</v>
      </c>
      <c r="N154" s="21">
        <f t="shared" si="19"/>
        <v>2.7787216115540647</v>
      </c>
    </row>
    <row r="155" spans="1:14" x14ac:dyDescent="0.2">
      <c r="A155" s="33">
        <f>'GF + UG Iteration 8'!A155</f>
        <v>806</v>
      </c>
      <c r="B155" s="34" t="str">
        <f>'GF + UG Iteration 8'!B155</f>
        <v>UG</v>
      </c>
      <c r="C155" s="35">
        <f>'GF + UG Iteration 8'!C155</f>
        <v>23.867000000000001</v>
      </c>
      <c r="D155" s="36">
        <f>'GF + UG Iteration 8'!P$16*(C155^'GF + UG Iteration 8'!P$15)</f>
        <v>15.710505472404151</v>
      </c>
      <c r="E155" s="37">
        <f>'GF + UG Iteration 8'!E155</f>
        <v>1996</v>
      </c>
      <c r="F155" s="35">
        <f>'GF + UG Iteration 8'!F155</f>
        <v>5.4329999999999998</v>
      </c>
      <c r="G155" s="36">
        <f>'GF + UG Iteration 8'!G155</f>
        <v>0.68947713107767894</v>
      </c>
      <c r="H155" s="38">
        <f>'GF + UG Iteration 8'!H155</f>
        <v>2008</v>
      </c>
      <c r="I155" s="35">
        <f t="shared" si="10"/>
        <v>29.3</v>
      </c>
      <c r="J155" s="36">
        <f t="shared" si="11"/>
        <v>16.399982603481831</v>
      </c>
      <c r="K155" s="38">
        <f t="shared" si="12"/>
        <v>2008</v>
      </c>
      <c r="M155" s="21">
        <f t="shared" si="18"/>
        <v>3.3775875160230218</v>
      </c>
      <c r="N155" s="21">
        <f t="shared" si="19"/>
        <v>2.7972802740662872</v>
      </c>
    </row>
    <row r="156" spans="1:14" x14ac:dyDescent="0.2">
      <c r="A156" s="33">
        <f>'GF + UG Iteration 8'!A156</f>
        <v>1495</v>
      </c>
      <c r="B156" s="34" t="str">
        <f>'GF + UG Iteration 8'!B156</f>
        <v>UG</v>
      </c>
      <c r="C156" s="35">
        <f>'GF + UG Iteration 8'!C156</f>
        <v>29.3</v>
      </c>
      <c r="D156" s="36">
        <f>'GF + UG Iteration 8'!P$16*(C156^'GF + UG Iteration 8'!P$15)</f>
        <v>17.667562235067912</v>
      </c>
      <c r="E156" s="37">
        <f>'GF + UG Iteration 8'!E156</f>
        <v>1996</v>
      </c>
      <c r="F156" s="35">
        <f>'GF + UG Iteration 8'!F156</f>
        <v>0</v>
      </c>
      <c r="G156" s="36">
        <f>'GF + UG Iteration 8'!G156</f>
        <v>5.142810508174632</v>
      </c>
      <c r="H156" s="38">
        <f>'GF + UG Iteration 8'!H156</f>
        <v>2014</v>
      </c>
      <c r="I156" s="35">
        <f t="shared" si="10"/>
        <v>29.3</v>
      </c>
      <c r="J156" s="36">
        <f t="shared" si="11"/>
        <v>22.810372743242546</v>
      </c>
      <c r="K156" s="38">
        <f t="shared" si="12"/>
        <v>2014</v>
      </c>
      <c r="M156" s="21">
        <f t="shared" si="18"/>
        <v>3.3775875160230218</v>
      </c>
      <c r="N156" s="21">
        <f t="shared" si="19"/>
        <v>3.1272153773834095</v>
      </c>
    </row>
    <row r="157" spans="1:14" x14ac:dyDescent="0.2">
      <c r="A157" s="33">
        <f>'GF + UG Iteration 8'!A157</f>
        <v>1386</v>
      </c>
      <c r="B157" s="34" t="str">
        <f>'GF + UG Iteration 8'!B157</f>
        <v>UG</v>
      </c>
      <c r="C157" s="35">
        <f>'GF + UG Iteration 8'!C157</f>
        <v>32.700000000000003</v>
      </c>
      <c r="D157" s="36">
        <f>'GF + UG Iteration 8'!P$16*(C157^'GF + UG Iteration 8'!P$15)</f>
        <v>18.813530572418532</v>
      </c>
      <c r="E157" s="37">
        <f>'GF + UG Iteration 8'!E157</f>
        <v>0</v>
      </c>
      <c r="F157" s="35">
        <f>'GF + UG Iteration 8'!F157</f>
        <v>13.5</v>
      </c>
      <c r="G157" s="36">
        <f>'GF + UG Iteration 8'!G157</f>
        <v>0.85934464632152285</v>
      </c>
      <c r="H157" s="38">
        <f>'GF + UG Iteration 8'!H157</f>
        <v>2013</v>
      </c>
      <c r="I157" s="35">
        <f t="shared" si="10"/>
        <v>46.2</v>
      </c>
      <c r="J157" s="36">
        <f t="shared" si="11"/>
        <v>19.672875218740057</v>
      </c>
      <c r="K157" s="38">
        <f t="shared" si="12"/>
        <v>2013</v>
      </c>
      <c r="M157" s="21">
        <f t="shared" si="18"/>
        <v>3.8329797980876932</v>
      </c>
      <c r="N157" s="21">
        <f t="shared" si="19"/>
        <v>2.9792407945067714</v>
      </c>
    </row>
    <row r="158" spans="1:14" x14ac:dyDescent="0.2">
      <c r="A158" s="33">
        <f>'GF + UG Iteration 8'!A158</f>
        <v>928</v>
      </c>
      <c r="B158" s="34" t="str">
        <f>'GF + UG Iteration 8'!B158</f>
        <v>UG</v>
      </c>
      <c r="C158" s="35">
        <f>'GF + UG Iteration 8'!C158</f>
        <v>18.02</v>
      </c>
      <c r="D158" s="36">
        <f>'GF + UG Iteration 8'!P$16*(C158^'GF + UG Iteration 8'!P$15)</f>
        <v>13.376075465990976</v>
      </c>
      <c r="E158" s="37">
        <f>'GF + UG Iteration 8'!E158</f>
        <v>1992</v>
      </c>
      <c r="F158" s="35">
        <f>'GF + UG Iteration 8'!F158</f>
        <v>3.4800000000000004</v>
      </c>
      <c r="G158" s="36">
        <f>'GF + UG Iteration 8'!G158</f>
        <v>10.364367944955573</v>
      </c>
      <c r="H158" s="38">
        <f>'GF + UG Iteration 8'!H158</f>
        <v>2010</v>
      </c>
      <c r="I158" s="35">
        <f t="shared" si="10"/>
        <v>21.5</v>
      </c>
      <c r="J158" s="36">
        <f t="shared" si="11"/>
        <v>23.740443410946547</v>
      </c>
      <c r="K158" s="38">
        <f t="shared" si="12"/>
        <v>2010</v>
      </c>
      <c r="M158" s="21">
        <f t="shared" si="18"/>
        <v>3.068052935133617</v>
      </c>
      <c r="N158" s="21">
        <f t="shared" si="19"/>
        <v>3.1671800668060217</v>
      </c>
    </row>
    <row r="159" spans="1:14" x14ac:dyDescent="0.2">
      <c r="A159" s="33">
        <f>'GF + UG Iteration 8'!A159</f>
        <v>1450</v>
      </c>
      <c r="B159" s="34" t="str">
        <f>'GF + UG Iteration 8'!B159</f>
        <v>UG</v>
      </c>
      <c r="C159" s="35">
        <f>'GF + UG Iteration 8'!C159</f>
        <v>21.5</v>
      </c>
      <c r="D159" s="36">
        <f>'GF + UG Iteration 8'!P$16*(C159^'GF + UG Iteration 8'!P$15)</f>
        <v>14.798747608826186</v>
      </c>
      <c r="E159" s="37">
        <f>'GF + UG Iteration 8'!E159</f>
        <v>1992</v>
      </c>
      <c r="F159" s="35">
        <f>'GF + UG Iteration 8'!F159</f>
        <v>16.299999999999997</v>
      </c>
      <c r="G159" s="36">
        <f>'GF + UG Iteration 8'!G159</f>
        <v>5.1529943993409928</v>
      </c>
      <c r="H159" s="38">
        <f>'GF + UG Iteration 8'!H159</f>
        <v>2014</v>
      </c>
      <c r="I159" s="35">
        <f t="shared" si="10"/>
        <v>37.799999999999997</v>
      </c>
      <c r="J159" s="36">
        <f t="shared" si="11"/>
        <v>19.95174200816718</v>
      </c>
      <c r="K159" s="38">
        <f t="shared" si="12"/>
        <v>2014</v>
      </c>
      <c r="M159" s="21">
        <f t="shared" si="18"/>
        <v>3.6323091026255421</v>
      </c>
      <c r="N159" s="21">
        <f t="shared" si="19"/>
        <v>2.993316458228938</v>
      </c>
    </row>
    <row r="160" spans="1:14" x14ac:dyDescent="0.2">
      <c r="A160" s="33">
        <f>'GF + UG Iteration 8'!A160</f>
        <v>170</v>
      </c>
      <c r="B160" s="34" t="str">
        <f>'GF + UG Iteration 8'!B160</f>
        <v>UG</v>
      </c>
      <c r="C160" s="35">
        <f>'GF + UG Iteration 8'!C160</f>
        <v>17.7</v>
      </c>
      <c r="D160" s="36">
        <f>'GF + UG Iteration 8'!P$16*(C160^'GF + UG Iteration 8'!P$15)</f>
        <v>13.239583182252112</v>
      </c>
      <c r="E160" s="37" t="str">
        <f>'GF + UG Iteration 8'!E160</f>
        <v>unknown</v>
      </c>
      <c r="F160" s="35">
        <f>'GF + UG Iteration 8'!F160</f>
        <v>8.8000000000000007</v>
      </c>
      <c r="G160" s="36">
        <f>'GF + UG Iteration 8'!G160</f>
        <v>1.1342290648673055</v>
      </c>
      <c r="H160" s="38">
        <f>'GF + UG Iteration 8'!H160</f>
        <v>2001</v>
      </c>
      <c r="I160" s="35">
        <f t="shared" si="10"/>
        <v>26.5</v>
      </c>
      <c r="J160" s="36">
        <f t="shared" si="11"/>
        <v>14.373812247119417</v>
      </c>
      <c r="K160" s="38">
        <f t="shared" si="12"/>
        <v>2001</v>
      </c>
      <c r="M160" s="21">
        <f t="shared" si="18"/>
        <v>3.2771447329921766</v>
      </c>
      <c r="N160" s="21">
        <f t="shared" si="19"/>
        <v>2.6654079569823295</v>
      </c>
    </row>
    <row r="161" spans="1:14" x14ac:dyDescent="0.2">
      <c r="A161" s="33">
        <f>'GF + UG Iteration 8'!A161</f>
        <v>649</v>
      </c>
      <c r="B161" s="34" t="str">
        <f>'GF + UG Iteration 8'!B161</f>
        <v>UG</v>
      </c>
      <c r="C161" s="35">
        <f>'GF + UG Iteration 8'!C161</f>
        <v>26.5</v>
      </c>
      <c r="D161" s="36">
        <f>'GF + UG Iteration 8'!P$16*(C161^'GF + UG Iteration 8'!P$15)</f>
        <v>16.68038650379923</v>
      </c>
      <c r="E161" s="37">
        <f>'GF + UG Iteration 8'!E161</f>
        <v>1997</v>
      </c>
      <c r="F161" s="35">
        <f>'GF + UG Iteration 8'!F161</f>
        <v>33.799999999999997</v>
      </c>
      <c r="G161" s="36">
        <f>'GF + UG Iteration 8'!G161</f>
        <v>5.0180795362586865</v>
      </c>
      <c r="H161" s="38">
        <f>'GF + UG Iteration 8'!H161</f>
        <v>2007</v>
      </c>
      <c r="I161" s="35">
        <f t="shared" si="10"/>
        <v>60.3</v>
      </c>
      <c r="J161" s="36">
        <f t="shared" si="11"/>
        <v>21.698466040057916</v>
      </c>
      <c r="K161" s="38">
        <f t="shared" si="12"/>
        <v>2007</v>
      </c>
      <c r="M161" s="21">
        <f t="shared" si="18"/>
        <v>4.0993321037331398</v>
      </c>
      <c r="N161" s="21">
        <f t="shared" si="19"/>
        <v>3.0772415686495478</v>
      </c>
    </row>
    <row r="162" spans="1:14" x14ac:dyDescent="0.2">
      <c r="A162" s="33">
        <f>'GF + UG Iteration 8'!A162</f>
        <v>1203</v>
      </c>
      <c r="B162" s="34" t="str">
        <f>'GF + UG Iteration 8'!B162</f>
        <v>UG</v>
      </c>
      <c r="C162" s="35">
        <f>'GF + UG Iteration 8'!C162</f>
        <v>20.5</v>
      </c>
      <c r="D162" s="36">
        <f>'GF + UG Iteration 8'!P$16*(C162^'GF + UG Iteration 8'!P$15)</f>
        <v>14.400727076044875</v>
      </c>
      <c r="E162" s="37">
        <f>'GF + UG Iteration 8'!E162</f>
        <v>1977</v>
      </c>
      <c r="F162" s="35">
        <f>'GF + UG Iteration 8'!F162</f>
        <v>4.1000000000000014</v>
      </c>
      <c r="G162" s="36">
        <f>'GF + UG Iteration 8'!G162</f>
        <v>12.443615523285567</v>
      </c>
      <c r="H162" s="38">
        <f>'GF + UG Iteration 8'!H162</f>
        <v>2012</v>
      </c>
      <c r="I162" s="35">
        <f t="shared" si="10"/>
        <v>24.6</v>
      </c>
      <c r="J162" s="36">
        <f t="shared" si="11"/>
        <v>26.844342599330442</v>
      </c>
      <c r="K162" s="38">
        <f t="shared" si="12"/>
        <v>2012</v>
      </c>
      <c r="M162" s="21">
        <f t="shared" si="18"/>
        <v>3.202746442938317</v>
      </c>
      <c r="N162" s="21">
        <f t="shared" si="19"/>
        <v>3.2900550948181295</v>
      </c>
    </row>
    <row r="163" spans="1:14" x14ac:dyDescent="0.2">
      <c r="A163" s="33">
        <f>'GF + UG Iteration 8'!A163</f>
        <v>170</v>
      </c>
      <c r="B163" s="34" t="str">
        <f>'GF + UG Iteration 8'!B163</f>
        <v>UG</v>
      </c>
      <c r="C163" s="35">
        <f>'GF + UG Iteration 8'!C163</f>
        <v>7.9</v>
      </c>
      <c r="D163" s="36">
        <f>'GF + UG Iteration 8'!P$16*(C163^'GF + UG Iteration 8'!P$15)</f>
        <v>8.3430463381747977</v>
      </c>
      <c r="E163" s="37">
        <f>'GF + UG Iteration 8'!E163</f>
        <v>1972</v>
      </c>
      <c r="F163" s="35">
        <f>'GF + UG Iteration 8'!F163</f>
        <v>6.1</v>
      </c>
      <c r="G163" s="36">
        <f>'GF + UG Iteration 8'!G163</f>
        <v>2.9004939377112939</v>
      </c>
      <c r="H163" s="38">
        <f>'GF + UG Iteration 8'!H163</f>
        <v>2001</v>
      </c>
      <c r="I163" s="35">
        <f t="shared" si="10"/>
        <v>14</v>
      </c>
      <c r="J163" s="36">
        <f t="shared" si="11"/>
        <v>11.243540275886092</v>
      </c>
      <c r="K163" s="38">
        <f t="shared" si="12"/>
        <v>2001</v>
      </c>
      <c r="M163" s="21">
        <f t="shared" si="18"/>
        <v>2.6390573296152584</v>
      </c>
      <c r="N163" s="21">
        <f t="shared" si="19"/>
        <v>2.4197937660367841</v>
      </c>
    </row>
    <row r="164" spans="1:14" x14ac:dyDescent="0.2">
      <c r="A164" s="33">
        <f>'GF + UG Iteration 8'!A164</f>
        <v>363</v>
      </c>
      <c r="B164" s="34" t="str">
        <f>'GF + UG Iteration 8'!B164</f>
        <v>UG</v>
      </c>
      <c r="C164" s="35">
        <f>'GF + UG Iteration 8'!C164</f>
        <v>21.225999999999999</v>
      </c>
      <c r="D164" s="36">
        <f>'GF + UG Iteration 8'!P$16*(C164^'GF + UG Iteration 8'!P$15)</f>
        <v>14.690491990143105</v>
      </c>
      <c r="E164" s="37">
        <f>'GF + UG Iteration 8'!E164</f>
        <v>1975</v>
      </c>
      <c r="F164" s="35">
        <f>'GF + UG Iteration 8'!F164</f>
        <v>4.1999999999999993</v>
      </c>
      <c r="G164" s="36">
        <f>'GF + UG Iteration 8'!G164</f>
        <v>0.82194253395528394</v>
      </c>
      <c r="H164" s="38">
        <f>'GF + UG Iteration 8'!H164</f>
        <v>2004</v>
      </c>
      <c r="I164" s="35">
        <f t="shared" si="10"/>
        <v>25.425999999999998</v>
      </c>
      <c r="J164" s="36">
        <f t="shared" si="11"/>
        <v>15.512434524098389</v>
      </c>
      <c r="K164" s="38">
        <f t="shared" si="12"/>
        <v>2004</v>
      </c>
      <c r="M164" s="21">
        <f t="shared" si="18"/>
        <v>3.2357722725279308</v>
      </c>
      <c r="N164" s="21">
        <f t="shared" si="19"/>
        <v>2.7416419296740107</v>
      </c>
    </row>
    <row r="165" spans="1:14" x14ac:dyDescent="0.2">
      <c r="A165" s="33">
        <f>'GF + UG Iteration 8'!A165</f>
        <v>493</v>
      </c>
      <c r="B165" s="34" t="str">
        <f>'GF + UG Iteration 8'!B165</f>
        <v>UG</v>
      </c>
      <c r="C165" s="35">
        <f>'GF + UG Iteration 8'!C165</f>
        <v>25.4</v>
      </c>
      <c r="D165" s="36">
        <f>'GF + UG Iteration 8'!P$16*(C165^'GF + UG Iteration 8'!P$15)</f>
        <v>16.280449292681276</v>
      </c>
      <c r="E165" s="37">
        <f>'GF + UG Iteration 8'!E165</f>
        <v>1975</v>
      </c>
      <c r="F165" s="35">
        <f>'GF + UG Iteration 8'!F165</f>
        <v>3.3000000000000007</v>
      </c>
      <c r="G165" s="36">
        <f>'GF + UG Iteration 8'!G165</f>
        <v>3.4002692913337142</v>
      </c>
      <c r="H165" s="38">
        <f>'GF + UG Iteration 8'!H165</f>
        <v>2006</v>
      </c>
      <c r="I165" s="35">
        <f t="shared" si="10"/>
        <v>28.7</v>
      </c>
      <c r="J165" s="36">
        <f t="shared" si="11"/>
        <v>19.68071858401499</v>
      </c>
      <c r="K165" s="38">
        <f t="shared" si="12"/>
        <v>2006</v>
      </c>
      <c r="M165" s="21">
        <f t="shared" si="18"/>
        <v>3.3568971227655755</v>
      </c>
      <c r="N165" s="21">
        <f t="shared" si="19"/>
        <v>2.9796394043729046</v>
      </c>
    </row>
    <row r="166" spans="1:14" x14ac:dyDescent="0.2">
      <c r="A166" s="33">
        <f>'GF + UG Iteration 8'!A166</f>
        <v>685</v>
      </c>
      <c r="B166" s="34" t="str">
        <f>'GF + UG Iteration 8'!B166</f>
        <v>UG</v>
      </c>
      <c r="C166" s="35">
        <f>'GF + UG Iteration 8'!C166</f>
        <v>28.7</v>
      </c>
      <c r="D166" s="36">
        <f>'GF + UG Iteration 8'!P$16*(C166^'GF + UG Iteration 8'!P$15)</f>
        <v>17.459544389239415</v>
      </c>
      <c r="E166" s="37">
        <f>'GF + UG Iteration 8'!E166</f>
        <v>1975</v>
      </c>
      <c r="F166" s="35">
        <f>'GF + UG Iteration 8'!F166</f>
        <v>4.1999999999999993</v>
      </c>
      <c r="G166" s="36">
        <f>'GF + UG Iteration 8'!G166</f>
        <v>0.94606982488538283</v>
      </c>
      <c r="H166" s="38">
        <f>'GF + UG Iteration 8'!H166</f>
        <v>2007</v>
      </c>
      <c r="I166" s="35">
        <f t="shared" si="10"/>
        <v>32.9</v>
      </c>
      <c r="J166" s="36">
        <f t="shared" si="11"/>
        <v>18.4056142141248</v>
      </c>
      <c r="K166" s="38">
        <f t="shared" si="12"/>
        <v>2007</v>
      </c>
      <c r="M166" s="21">
        <f t="shared" si="18"/>
        <v>3.493472657771326</v>
      </c>
      <c r="N166" s="21">
        <f t="shared" si="19"/>
        <v>2.9126557384080671</v>
      </c>
    </row>
    <row r="167" spans="1:14" x14ac:dyDescent="0.2">
      <c r="A167" s="33">
        <f>'GF + UG Iteration 8'!A167</f>
        <v>1574</v>
      </c>
      <c r="B167" s="34" t="str">
        <f>'GF + UG Iteration 8'!B167</f>
        <v>UG</v>
      </c>
      <c r="C167" s="35">
        <f>'GF + UG Iteration 8'!C167</f>
        <v>28</v>
      </c>
      <c r="D167" s="36">
        <f>'GF + UG Iteration 8'!P$16*(C167^'GF + UG Iteration 8'!P$15)</f>
        <v>17.214492101671073</v>
      </c>
      <c r="E167" s="37">
        <f>'GF + UG Iteration 8'!E167</f>
        <v>2013</v>
      </c>
      <c r="F167" s="35">
        <f>'GF + UG Iteration 8'!F167</f>
        <v>0</v>
      </c>
      <c r="G167" s="36">
        <f>'GF + UG Iteration 8'!G167</f>
        <v>6.2662260340537754</v>
      </c>
      <c r="H167" s="38">
        <f>'GF + UG Iteration 8'!H167</f>
        <v>2015</v>
      </c>
      <c r="I167" s="35">
        <f t="shared" si="10"/>
        <v>28</v>
      </c>
      <c r="J167" s="36">
        <f t="shared" si="11"/>
        <v>23.48071813572485</v>
      </c>
      <c r="K167" s="38">
        <f t="shared" si="12"/>
        <v>2015</v>
      </c>
      <c r="M167" s="21">
        <f t="shared" si="18"/>
        <v>3.3322045101752038</v>
      </c>
      <c r="N167" s="21">
        <f t="shared" si="19"/>
        <v>3.1561795794889838</v>
      </c>
    </row>
    <row r="168" spans="1:14" x14ac:dyDescent="0.2">
      <c r="A168" s="33">
        <f>'GF + UG Iteration 8'!A168</f>
        <v>435</v>
      </c>
      <c r="B168" s="34" t="str">
        <f>'GF + UG Iteration 8'!B168</f>
        <v>UG</v>
      </c>
      <c r="C168" s="35">
        <f>'GF + UG Iteration 8'!C168</f>
        <v>10.6</v>
      </c>
      <c r="D168" s="36">
        <f>'GF + UG Iteration 8'!P$16*(C168^'GF + UG Iteration 8'!P$15)</f>
        <v>9.8721598585927559</v>
      </c>
      <c r="E168" s="37">
        <f>'GF + UG Iteration 8'!E168</f>
        <v>1990</v>
      </c>
      <c r="F168" s="35">
        <f>'GF + UG Iteration 8'!F168</f>
        <v>8.4</v>
      </c>
      <c r="G168" s="36">
        <f>'GF + UG Iteration 8'!G168</f>
        <v>3.0773639102073269</v>
      </c>
      <c r="H168" s="38">
        <f>'GF + UG Iteration 8'!H168</f>
        <v>2004</v>
      </c>
      <c r="I168" s="35">
        <f t="shared" si="10"/>
        <v>19</v>
      </c>
      <c r="J168" s="36">
        <f t="shared" si="11"/>
        <v>12.949523768800082</v>
      </c>
      <c r="K168" s="38">
        <f t="shared" si="12"/>
        <v>2004</v>
      </c>
      <c r="M168" s="21">
        <f t="shared" si="18"/>
        <v>2.9444389791664403</v>
      </c>
      <c r="N168" s="21">
        <f t="shared" si="19"/>
        <v>2.561059012859312</v>
      </c>
    </row>
    <row r="169" spans="1:14" x14ac:dyDescent="0.2">
      <c r="A169" s="33">
        <f>'GF + UG Iteration 8'!A169</f>
        <v>652</v>
      </c>
      <c r="B169" s="34" t="str">
        <f>'GF + UG Iteration 8'!B169</f>
        <v>UG</v>
      </c>
      <c r="C169" s="35">
        <f>'GF + UG Iteration 8'!C169</f>
        <v>10.195</v>
      </c>
      <c r="D169" s="36">
        <f>'GF + UG Iteration 8'!P$16*(C169^'GF + UG Iteration 8'!P$15)</f>
        <v>9.654446868112835</v>
      </c>
      <c r="E169" s="37">
        <f>'GF + UG Iteration 8'!E169</f>
        <v>1986</v>
      </c>
      <c r="F169" s="35">
        <f>'GF + UG Iteration 8'!F169</f>
        <v>3.4049999999999994</v>
      </c>
      <c r="G169" s="36">
        <f>'GF + UG Iteration 8'!G169</f>
        <v>4.380227937072533</v>
      </c>
      <c r="H169" s="38">
        <f>'GF + UG Iteration 8'!H169</f>
        <v>2007</v>
      </c>
      <c r="I169" s="35">
        <f t="shared" si="10"/>
        <v>13.6</v>
      </c>
      <c r="J169" s="36">
        <f t="shared" si="11"/>
        <v>14.034674805185368</v>
      </c>
      <c r="K169" s="38">
        <f t="shared" si="12"/>
        <v>2007</v>
      </c>
      <c r="M169" s="21">
        <f t="shared" si="18"/>
        <v>2.6100697927420065</v>
      </c>
      <c r="N169" s="21">
        <f t="shared" si="19"/>
        <v>2.6415310392700539</v>
      </c>
    </row>
    <row r="170" spans="1:14" x14ac:dyDescent="0.2">
      <c r="A170" s="33">
        <f>'GF + UG Iteration 8'!A170</f>
        <v>366</v>
      </c>
      <c r="B170" s="34" t="str">
        <f>'GF + UG Iteration 8'!B170</f>
        <v>UG</v>
      </c>
      <c r="C170" s="35">
        <f>'GF + UG Iteration 8'!C170</f>
        <v>11.1</v>
      </c>
      <c r="D170" s="36">
        <f>'GF + UG Iteration 8'!P$16*(C170^'GF + UG Iteration 8'!P$15)</f>
        <v>10.136094069129006</v>
      </c>
      <c r="E170" s="37">
        <f>'GF + UG Iteration 8'!E170</f>
        <v>1981</v>
      </c>
      <c r="F170" s="35">
        <f>'GF + UG Iteration 8'!F170</f>
        <v>4.8000000000000007</v>
      </c>
      <c r="G170" s="36">
        <f>'GF + UG Iteration 8'!G170</f>
        <v>0.60207988766843201</v>
      </c>
      <c r="H170" s="38">
        <f>'GF + UG Iteration 8'!H170</f>
        <v>2003</v>
      </c>
      <c r="I170" s="35">
        <f t="shared" si="10"/>
        <v>15.9</v>
      </c>
      <c r="J170" s="36">
        <f t="shared" si="11"/>
        <v>10.738173956797439</v>
      </c>
      <c r="K170" s="38">
        <f t="shared" si="12"/>
        <v>2003</v>
      </c>
      <c r="M170" s="21">
        <f t="shared" si="18"/>
        <v>2.7663191092261861</v>
      </c>
      <c r="N170" s="21">
        <f t="shared" si="19"/>
        <v>2.3738050519806717</v>
      </c>
    </row>
    <row r="171" spans="1:14" x14ac:dyDescent="0.2">
      <c r="A171" s="33">
        <f>'GF + UG Iteration 8'!A171</f>
        <v>1640</v>
      </c>
      <c r="B171" s="34" t="str">
        <f>'GF + UG Iteration 8'!B171</f>
        <v>UG</v>
      </c>
      <c r="C171" s="35">
        <f>'GF + UG Iteration 8'!C171</f>
        <v>15.9</v>
      </c>
      <c r="D171" s="36">
        <f>'GF + UG Iteration 8'!P$16*(C171^'GF + UG Iteration 8'!P$15)</f>
        <v>12.451239852844523</v>
      </c>
      <c r="E171" s="37">
        <f>'GF + UG Iteration 8'!E171</f>
        <v>1981</v>
      </c>
      <c r="F171" s="35">
        <f>'GF + UG Iteration 8'!F171</f>
        <v>2.4999999999999982</v>
      </c>
      <c r="G171" s="36">
        <f>'GF + UG Iteration 8'!G171</f>
        <v>8.3244002844443177</v>
      </c>
      <c r="H171" s="38">
        <f>'GF + UG Iteration 8'!H171</f>
        <v>2015</v>
      </c>
      <c r="I171" s="35">
        <f t="shared" si="10"/>
        <v>18.399999999999999</v>
      </c>
      <c r="J171" s="36">
        <f t="shared" si="11"/>
        <v>20.775640137288839</v>
      </c>
      <c r="K171" s="38">
        <f t="shared" si="12"/>
        <v>2015</v>
      </c>
      <c r="M171" s="21">
        <f t="shared" si="18"/>
        <v>2.91235066461494</v>
      </c>
      <c r="N171" s="21">
        <f t="shared" si="19"/>
        <v>3.0337811531326939</v>
      </c>
    </row>
    <row r="172" spans="1:14" x14ac:dyDescent="0.2">
      <c r="A172" s="33">
        <f>'GF + UG Iteration 8'!A172</f>
        <v>367</v>
      </c>
      <c r="B172" s="34" t="str">
        <f>'GF + UG Iteration 8'!B172</f>
        <v>UG</v>
      </c>
      <c r="C172" s="35">
        <f>'GF + UG Iteration 8'!C172</f>
        <v>11.211</v>
      </c>
      <c r="D172" s="36">
        <f>'GF + UG Iteration 8'!P$16*(C172^'GF + UG Iteration 8'!P$15)</f>
        <v>10.193992945013454</v>
      </c>
      <c r="E172" s="37">
        <f>'GF + UG Iteration 8'!E172</f>
        <v>1988</v>
      </c>
      <c r="F172" s="35">
        <f>'GF + UG Iteration 8'!F172</f>
        <v>1</v>
      </c>
      <c r="G172" s="36">
        <f>'GF + UG Iteration 8'!G172</f>
        <v>0.55588557988620213</v>
      </c>
      <c r="H172" s="38">
        <f>'GF + UG Iteration 8'!H172</f>
        <v>2004</v>
      </c>
      <c r="I172" s="35">
        <f t="shared" si="10"/>
        <v>12.211</v>
      </c>
      <c r="J172" s="36">
        <f t="shared" si="11"/>
        <v>10.749878524899657</v>
      </c>
      <c r="K172" s="38">
        <f t="shared" si="12"/>
        <v>2004</v>
      </c>
      <c r="M172" s="21">
        <f t="shared" si="18"/>
        <v>2.5023371848508846</v>
      </c>
      <c r="N172" s="21">
        <f t="shared" si="19"/>
        <v>2.3748944545004922</v>
      </c>
    </row>
    <row r="173" spans="1:14" x14ac:dyDescent="0.2">
      <c r="A173" s="33">
        <f>'GF + UG Iteration 8'!A173</f>
        <v>650</v>
      </c>
      <c r="B173" s="34" t="str">
        <f>'GF + UG Iteration 8'!B173</f>
        <v>UG</v>
      </c>
      <c r="C173" s="35">
        <f>'GF + UG Iteration 8'!C173</f>
        <v>23</v>
      </c>
      <c r="D173" s="36">
        <f>'GF + UG Iteration 8'!P$16*(C173^'GF + UG Iteration 8'!P$15)</f>
        <v>15.381233466297861</v>
      </c>
      <c r="E173" s="37">
        <f>'GF + UG Iteration 8'!E173</f>
        <v>1981</v>
      </c>
      <c r="F173" s="35">
        <f>'GF + UG Iteration 8'!F173</f>
        <v>0</v>
      </c>
      <c r="G173" s="36">
        <f>'GF + UG Iteration 8'!G173</f>
        <v>5.9476879309059552</v>
      </c>
      <c r="H173" s="38">
        <f>'GF + UG Iteration 8'!H173</f>
        <v>2007</v>
      </c>
      <c r="I173" s="35">
        <f t="shared" si="10"/>
        <v>23</v>
      </c>
      <c r="J173" s="36">
        <f t="shared" si="11"/>
        <v>21.328921397203814</v>
      </c>
      <c r="K173" s="38">
        <f t="shared" si="12"/>
        <v>2007</v>
      </c>
      <c r="M173" s="21">
        <f t="shared" si="18"/>
        <v>3.1354942159291497</v>
      </c>
      <c r="N173" s="21">
        <f t="shared" si="19"/>
        <v>3.060063963797456</v>
      </c>
    </row>
    <row r="174" spans="1:14" x14ac:dyDescent="0.2">
      <c r="A174" s="33">
        <f>'GF + UG Iteration 8'!A174</f>
        <v>902</v>
      </c>
      <c r="B174" s="34" t="str">
        <f>'GF + UG Iteration 8'!B174</f>
        <v>UG</v>
      </c>
      <c r="C174" s="35">
        <f>'GF + UG Iteration 8'!C174</f>
        <v>19.2</v>
      </c>
      <c r="D174" s="36">
        <f>'GF + UG Iteration 8'!P$16*(C174^'GF + UG Iteration 8'!P$15)</f>
        <v>13.87066230276343</v>
      </c>
      <c r="E174" s="37">
        <f>'GF + UG Iteration 8'!E174</f>
        <v>2002</v>
      </c>
      <c r="F174" s="35">
        <f>'GF + UG Iteration 8'!F174</f>
        <v>13.500000000000004</v>
      </c>
      <c r="G174" s="36">
        <f>'GF + UG Iteration 8'!G174</f>
        <v>0.54699963688402187</v>
      </c>
      <c r="H174" s="38">
        <f>'GF + UG Iteration 8'!H174</f>
        <v>2009</v>
      </c>
      <c r="I174" s="35">
        <f t="shared" si="10"/>
        <v>32.700000000000003</v>
      </c>
      <c r="J174" s="36">
        <f t="shared" si="11"/>
        <v>14.417661939647452</v>
      </c>
      <c r="K174" s="38">
        <f t="shared" si="12"/>
        <v>2009</v>
      </c>
      <c r="M174" s="21">
        <f t="shared" si="18"/>
        <v>3.487375077903208</v>
      </c>
      <c r="N174" s="21">
        <f t="shared" si="19"/>
        <v>2.6684539786030084</v>
      </c>
    </row>
    <row r="175" spans="1:14" x14ac:dyDescent="0.2">
      <c r="A175" s="33">
        <f>'GF + UG Iteration 8'!A175</f>
        <v>1202</v>
      </c>
      <c r="B175" s="34" t="str">
        <f>'GF + UG Iteration 8'!B175</f>
        <v>UG</v>
      </c>
      <c r="C175" s="35">
        <f>'GF + UG Iteration 8'!C175</f>
        <v>19.399999999999999</v>
      </c>
      <c r="D175" s="36">
        <f>'GF + UG Iteration 8'!P$16*(C175^'GF + UG Iteration 8'!P$15)</f>
        <v>13.953187594538411</v>
      </c>
      <c r="E175" s="37">
        <f>'GF + UG Iteration 8'!E175</f>
        <v>1989</v>
      </c>
      <c r="F175" s="35">
        <f>'GF + UG Iteration 8'!F175</f>
        <v>1.6000000000000014</v>
      </c>
      <c r="G175" s="36">
        <f>'GF + UG Iteration 8'!G175</f>
        <v>10.745042225505973</v>
      </c>
      <c r="H175" s="38">
        <f>'GF + UG Iteration 8'!H175</f>
        <v>2012</v>
      </c>
      <c r="I175" s="35">
        <f t="shared" si="10"/>
        <v>21</v>
      </c>
      <c r="J175" s="36">
        <f t="shared" si="11"/>
        <v>24.698229820044382</v>
      </c>
      <c r="K175" s="38">
        <f t="shared" si="12"/>
        <v>2012</v>
      </c>
      <c r="M175" s="21">
        <f t="shared" si="18"/>
        <v>3.044522437723423</v>
      </c>
      <c r="N175" s="21">
        <f t="shared" si="19"/>
        <v>3.2067315738610338</v>
      </c>
    </row>
    <row r="176" spans="1:14" x14ac:dyDescent="0.2">
      <c r="A176" s="33">
        <f>'GF + UG Iteration 8'!A176</f>
        <v>1338</v>
      </c>
      <c r="B176" s="34" t="str">
        <f>'GF + UG Iteration 8'!B176</f>
        <v>UG</v>
      </c>
      <c r="C176" s="35">
        <f>'GF + UG Iteration 8'!C176</f>
        <v>7.5</v>
      </c>
      <c r="D176" s="36">
        <f>'GF + UG Iteration 8'!P$16*(C176^'GF + UG Iteration 8'!P$15)</f>
        <v>8.0985493819487093</v>
      </c>
      <c r="E176" s="37" t="str">
        <f>'GF + UG Iteration 8'!E176</f>
        <v>unknown</v>
      </c>
      <c r="F176" s="35">
        <f>'GF + UG Iteration 8'!F176</f>
        <v>2</v>
      </c>
      <c r="G176" s="36">
        <f>'GF + UG Iteration 8'!G176</f>
        <v>6.6635813355623759</v>
      </c>
      <c r="H176" s="38">
        <f>'GF + UG Iteration 8'!H176</f>
        <v>2013</v>
      </c>
      <c r="I176" s="35">
        <f t="shared" si="10"/>
        <v>9.5</v>
      </c>
      <c r="J176" s="36">
        <f t="shared" si="11"/>
        <v>14.762130717511084</v>
      </c>
      <c r="K176" s="38">
        <f t="shared" si="12"/>
        <v>2013</v>
      </c>
      <c r="M176" s="21">
        <f t="shared" si="18"/>
        <v>2.2512917986064953</v>
      </c>
      <c r="N176" s="21">
        <f t="shared" si="19"/>
        <v>2.6920651663087289</v>
      </c>
    </row>
    <row r="177" spans="1:14" x14ac:dyDescent="0.2">
      <c r="A177" s="33">
        <f>'GF + UG Iteration 8'!A177</f>
        <v>212</v>
      </c>
      <c r="B177" s="34" t="str">
        <f>'GF + UG Iteration 8'!B177</f>
        <v>UG</v>
      </c>
      <c r="C177" s="35">
        <f>'GF + UG Iteration 8'!C177</f>
        <v>36.549999999999997</v>
      </c>
      <c r="D177" s="36">
        <f>'GF + UG Iteration 8'!P$16*(C177^'GF + UG Iteration 8'!P$15)</f>
        <v>20.051251970511505</v>
      </c>
      <c r="E177" s="37">
        <f>'GF + UG Iteration 8'!E177</f>
        <v>1978</v>
      </c>
      <c r="F177" s="35">
        <f>'GF + UG Iteration 8'!F177</f>
        <v>28</v>
      </c>
      <c r="G177" s="36">
        <f>'GF + UG Iteration 8'!G177</f>
        <v>4.6264535731184777</v>
      </c>
      <c r="H177" s="38">
        <f>'GF + UG Iteration 8'!H177</f>
        <v>2003</v>
      </c>
      <c r="I177" s="35">
        <f t="shared" si="10"/>
        <v>64.55</v>
      </c>
      <c r="J177" s="36">
        <f t="shared" si="11"/>
        <v>24.677705543629983</v>
      </c>
      <c r="K177" s="38">
        <f t="shared" si="12"/>
        <v>2003</v>
      </c>
      <c r="M177" s="21">
        <f t="shared" si="18"/>
        <v>4.1674401172926512</v>
      </c>
      <c r="N177" s="21">
        <f t="shared" si="19"/>
        <v>3.2059002264669916</v>
      </c>
    </row>
    <row r="178" spans="1:14" x14ac:dyDescent="0.2">
      <c r="A178" s="33">
        <f>'GF + UG Iteration 8'!A178</f>
        <v>653</v>
      </c>
      <c r="B178" s="34" t="str">
        <f>'GF + UG Iteration 8'!B178</f>
        <v>UG</v>
      </c>
      <c r="C178" s="35">
        <f>'GF + UG Iteration 8'!C178</f>
        <v>64.55</v>
      </c>
      <c r="D178" s="36">
        <f>'GF + UG Iteration 8'!P$16*(C178^'GF + UG Iteration 8'!P$15)</f>
        <v>27.767544810674412</v>
      </c>
      <c r="E178" s="37">
        <f>'GF + UG Iteration 8'!E178</f>
        <v>1977</v>
      </c>
      <c r="F178" s="35">
        <f>'GF + UG Iteration 8'!F178</f>
        <v>1.3200000000000074</v>
      </c>
      <c r="G178" s="36">
        <f>'GF + UG Iteration 8'!G178</f>
        <v>0.56894692945086811</v>
      </c>
      <c r="H178" s="38">
        <f>'GF + UG Iteration 8'!H178</f>
        <v>2007</v>
      </c>
      <c r="I178" s="35">
        <f t="shared" si="10"/>
        <v>65.87</v>
      </c>
      <c r="J178" s="36">
        <f t="shared" si="11"/>
        <v>28.336491740125279</v>
      </c>
      <c r="K178" s="38">
        <f t="shared" si="12"/>
        <v>2007</v>
      </c>
      <c r="M178" s="21">
        <f t="shared" si="18"/>
        <v>4.1876831026526018</v>
      </c>
      <c r="N178" s="21">
        <f t="shared" si="19"/>
        <v>3.3441504347904258</v>
      </c>
    </row>
    <row r="179" spans="1:14" x14ac:dyDescent="0.2">
      <c r="A179" s="33">
        <f>'GF + UG Iteration 8'!A179</f>
        <v>1679</v>
      </c>
      <c r="B179" s="34" t="str">
        <f>'GF + UG Iteration 8'!B179</f>
        <v>UG</v>
      </c>
      <c r="C179" s="35">
        <f>'GF + UG Iteration 8'!C179</f>
        <v>65.87</v>
      </c>
      <c r="D179" s="36">
        <f>'GF + UG Iteration 8'!P$16*(C179^'GF + UG Iteration 8'!P$15)</f>
        <v>28.09117964670784</v>
      </c>
      <c r="E179" s="37">
        <f>'GF + UG Iteration 8'!E179</f>
        <v>1977</v>
      </c>
      <c r="F179" s="35">
        <f>'GF + UG Iteration 8'!F179</f>
        <v>0</v>
      </c>
      <c r="G179" s="36">
        <f>'GF + UG Iteration 8'!G179</f>
        <v>3.0359489017822221</v>
      </c>
      <c r="H179" s="38">
        <f>'GF + UG Iteration 8'!H179</f>
        <v>2016</v>
      </c>
      <c r="I179" s="35">
        <f t="shared" si="10"/>
        <v>65.87</v>
      </c>
      <c r="J179" s="36">
        <f t="shared" si="11"/>
        <v>31.127128548490063</v>
      </c>
      <c r="K179" s="38">
        <f t="shared" si="12"/>
        <v>2016</v>
      </c>
      <c r="M179" s="21">
        <f t="shared" si="18"/>
        <v>4.1876831026526018</v>
      </c>
      <c r="N179" s="21">
        <f t="shared" si="19"/>
        <v>3.4380797395466631</v>
      </c>
    </row>
    <row r="180" spans="1:14" x14ac:dyDescent="0.2">
      <c r="A180" s="33">
        <f>'GF + UG Iteration 8'!A180</f>
        <v>1382</v>
      </c>
      <c r="B180" s="34" t="str">
        <f>'GF + UG Iteration 8'!B180</f>
        <v>UG</v>
      </c>
      <c r="C180" s="35">
        <f>'GF + UG Iteration 8'!C180</f>
        <v>24.2</v>
      </c>
      <c r="D180" s="36">
        <f>'GF + UG Iteration 8'!P$16*(C180^'GF + UG Iteration 8'!P$15)</f>
        <v>15.835609795129605</v>
      </c>
      <c r="E180" s="37" t="str">
        <f>'GF + UG Iteration 8'!E180</f>
        <v>unknown</v>
      </c>
      <c r="F180" s="35">
        <f>'GF + UG Iteration 8'!F180</f>
        <v>11.900000000000002</v>
      </c>
      <c r="G180" s="36">
        <f>'GF + UG Iteration 8'!G180</f>
        <v>2.4484361075925429</v>
      </c>
      <c r="H180" s="38">
        <f>'GF + UG Iteration 8'!H180</f>
        <v>2013</v>
      </c>
      <c r="I180" s="35">
        <f t="shared" si="10"/>
        <v>36.1</v>
      </c>
      <c r="J180" s="36">
        <f t="shared" si="11"/>
        <v>18.284045902722148</v>
      </c>
      <c r="K180" s="38">
        <f t="shared" si="12"/>
        <v>2013</v>
      </c>
      <c r="M180" s="21">
        <f t="shared" si="18"/>
        <v>3.5862928653388351</v>
      </c>
      <c r="N180" s="21">
        <f t="shared" si="19"/>
        <v>2.9060288710068272</v>
      </c>
    </row>
    <row r="181" spans="1:14" x14ac:dyDescent="0.2">
      <c r="A181" s="33">
        <f>'GF + UG Iteration 8'!A181</f>
        <v>1638</v>
      </c>
      <c r="B181" s="34" t="str">
        <f>'GF + UG Iteration 8'!B181</f>
        <v>UG</v>
      </c>
      <c r="C181" s="35">
        <f>'GF + UG Iteration 8'!C181</f>
        <v>36.1</v>
      </c>
      <c r="D181" s="36">
        <f>'GF + UG Iteration 8'!P$16*(C181^'GF + UG Iteration 8'!P$15)</f>
        <v>19.909561873818205</v>
      </c>
      <c r="E181" s="37" t="str">
        <f>'GF + UG Iteration 8'!E181</f>
        <v>unknown</v>
      </c>
      <c r="F181" s="35">
        <f>'GF + UG Iteration 8'!F181</f>
        <v>0</v>
      </c>
      <c r="G181" s="36">
        <f>'GF + UG Iteration 8'!G181</f>
        <v>1.4307693737810239</v>
      </c>
      <c r="H181" s="38">
        <f>'GF + UG Iteration 8'!H181</f>
        <v>2015</v>
      </c>
      <c r="I181" s="35">
        <f t="shared" si="10"/>
        <v>36.1</v>
      </c>
      <c r="J181" s="36">
        <f t="shared" si="11"/>
        <v>21.340331247599231</v>
      </c>
      <c r="K181" s="38">
        <f t="shared" si="12"/>
        <v>2015</v>
      </c>
      <c r="M181" s="21">
        <f t="shared" si="18"/>
        <v>3.5862928653388351</v>
      </c>
      <c r="N181" s="21">
        <f t="shared" si="19"/>
        <v>3.0605987681336067</v>
      </c>
    </row>
    <row r="182" spans="1:14" x14ac:dyDescent="0.2">
      <c r="A182" s="33">
        <f>'GF + UG Iteration 8'!A182</f>
        <v>874</v>
      </c>
      <c r="B182" s="34" t="str">
        <f>'GF + UG Iteration 8'!B182</f>
        <v>UG</v>
      </c>
      <c r="C182" s="35">
        <f>'GF + UG Iteration 8'!C182</f>
        <v>6.4</v>
      </c>
      <c r="D182" s="36">
        <f>'GF + UG Iteration 8'!P$16*(C182^'GF + UG Iteration 8'!P$15)</f>
        <v>7.3956665604132539</v>
      </c>
      <c r="E182" s="37">
        <f>'GF + UG Iteration 8'!E182</f>
        <v>1997</v>
      </c>
      <c r="F182" s="35">
        <f>'GF + UG Iteration 8'!F182</f>
        <v>0.5</v>
      </c>
      <c r="G182" s="36">
        <f>'GF + UG Iteration 8'!G182</f>
        <v>3.6333602061432981</v>
      </c>
      <c r="H182" s="38">
        <f>'GF + UG Iteration 8'!H182</f>
        <v>2009</v>
      </c>
      <c r="I182" s="35">
        <f t="shared" si="10"/>
        <v>6.9</v>
      </c>
      <c r="J182" s="36">
        <f t="shared" si="11"/>
        <v>11.029026766556552</v>
      </c>
      <c r="K182" s="38">
        <f t="shared" si="12"/>
        <v>2009</v>
      </c>
      <c r="M182" s="21">
        <f t="shared" si="18"/>
        <v>1.9315214116032138</v>
      </c>
      <c r="N182" s="21">
        <f t="shared" si="19"/>
        <v>2.4005305942461308</v>
      </c>
    </row>
    <row r="183" spans="1:14" x14ac:dyDescent="0.2">
      <c r="A183" s="33">
        <f>'GF + UG Iteration 8'!A183</f>
        <v>491</v>
      </c>
      <c r="B183" s="34" t="str">
        <f>'GF + UG Iteration 8'!B183</f>
        <v>UG</v>
      </c>
      <c r="C183" s="35">
        <f>'GF + UG Iteration 8'!C183</f>
        <v>27.9</v>
      </c>
      <c r="D183" s="36">
        <f>'GF + UG Iteration 8'!P$16*(C183^'GF + UG Iteration 8'!P$15)</f>
        <v>17.179271825877041</v>
      </c>
      <c r="E183" s="37">
        <f>'GF + UG Iteration 8'!E183</f>
        <v>1984</v>
      </c>
      <c r="F183" s="35">
        <f>'GF + UG Iteration 8'!F183</f>
        <v>1</v>
      </c>
      <c r="G183" s="36">
        <f>'GF + UG Iteration 8'!G183</f>
        <v>0.19252271805052243</v>
      </c>
      <c r="H183" s="38">
        <f>'GF + UG Iteration 8'!H183</f>
        <v>2006</v>
      </c>
      <c r="I183" s="35">
        <f t="shared" si="10"/>
        <v>28.9</v>
      </c>
      <c r="J183" s="36">
        <f t="shared" si="11"/>
        <v>17.371794543927564</v>
      </c>
      <c r="K183" s="38">
        <f t="shared" si="12"/>
        <v>2006</v>
      </c>
      <c r="M183" s="21">
        <f t="shared" si="18"/>
        <v>3.3638415951183864</v>
      </c>
      <c r="N183" s="21">
        <f t="shared" si="19"/>
        <v>2.8548478877506671</v>
      </c>
    </row>
    <row r="184" spans="1:14" x14ac:dyDescent="0.2">
      <c r="A184" s="33">
        <f>'GF + UG Iteration 8'!A184</f>
        <v>1396</v>
      </c>
      <c r="B184" s="34" t="str">
        <f>'GF + UG Iteration 8'!B184</f>
        <v>UG</v>
      </c>
      <c r="C184" s="35">
        <f>'GF + UG Iteration 8'!C184</f>
        <v>20.6</v>
      </c>
      <c r="D184" s="36">
        <f>'GF + UG Iteration 8'!P$16*(C184^'GF + UG Iteration 8'!P$15)</f>
        <v>14.440897185196762</v>
      </c>
      <c r="E184" s="37">
        <f>'GF + UG Iteration 8'!E184</f>
        <v>2009</v>
      </c>
      <c r="F184" s="35">
        <f>'GF + UG Iteration 8'!F184</f>
        <v>5.3999999999999986</v>
      </c>
      <c r="G184" s="36">
        <f>'GF + UG Iteration 8'!G184</f>
        <v>0.37351117224616898</v>
      </c>
      <c r="H184" s="38">
        <f>'GF + UG Iteration 8'!H184</f>
        <v>2013</v>
      </c>
      <c r="I184" s="35">
        <f t="shared" ref="I184:I246" si="20">C184+F184</f>
        <v>26</v>
      </c>
      <c r="J184" s="36">
        <f t="shared" ref="J184:J246" si="21">D184+G184</f>
        <v>14.814408357442931</v>
      </c>
      <c r="K184" s="38">
        <f t="shared" ref="K184:K246" si="22">MAX(E184,H184)</f>
        <v>2013</v>
      </c>
      <c r="M184" s="21">
        <f>LN(I184)</f>
        <v>3.2580965380214821</v>
      </c>
      <c r="N184" s="21">
        <f>LN(J184)</f>
        <v>2.6956002448546803</v>
      </c>
    </row>
    <row r="185" spans="1:14" x14ac:dyDescent="0.2">
      <c r="A185" s="33">
        <f>'GF + UG Iteration 8'!A185</f>
        <v>1597</v>
      </c>
      <c r="B185" s="34" t="str">
        <f>'GF + UG Iteration 8'!B185</f>
        <v>UG</v>
      </c>
      <c r="C185" s="35">
        <f>'GF + UG Iteration 8'!C185</f>
        <v>26</v>
      </c>
      <c r="D185" s="36">
        <f>'GF + UG Iteration 8'!P$16*(C185^'GF + UG Iteration 8'!P$15)</f>
        <v>16.499494696143721</v>
      </c>
      <c r="E185" s="37">
        <f>'GF + UG Iteration 8'!E185</f>
        <v>2009</v>
      </c>
      <c r="F185" s="35">
        <f>'GF + UG Iteration 8'!F185</f>
        <v>27.299999999999997</v>
      </c>
      <c r="G185" s="36">
        <f>'GF + UG Iteration 8'!G185</f>
        <v>4.2355817632178319</v>
      </c>
      <c r="H185" s="38">
        <f>'GF + UG Iteration 8'!H185</f>
        <v>2015</v>
      </c>
      <c r="I185" s="35">
        <f t="shared" si="20"/>
        <v>53.3</v>
      </c>
      <c r="J185" s="36">
        <f t="shared" si="21"/>
        <v>20.735076459361551</v>
      </c>
      <c r="K185" s="38">
        <f t="shared" si="22"/>
        <v>2015</v>
      </c>
      <c r="M185" s="21">
        <f t="shared" ref="M185:M247" si="23">LN(I185)</f>
        <v>3.9759363311717988</v>
      </c>
      <c r="N185" s="21">
        <f t="shared" ref="N185:N247" si="24">LN(J185)</f>
        <v>3.0318267811456838</v>
      </c>
    </row>
    <row r="186" spans="1:14" x14ac:dyDescent="0.2">
      <c r="A186" s="33">
        <f>'GF + UG Iteration 8'!A186</f>
        <v>1292</v>
      </c>
      <c r="B186" s="34" t="str">
        <f>'GF + UG Iteration 8'!B186</f>
        <v>UG</v>
      </c>
      <c r="C186" s="35">
        <f>'GF + UG Iteration 8'!C186</f>
        <v>30.3</v>
      </c>
      <c r="D186" s="36">
        <f>'GF + UG Iteration 8'!P$16*(C186^'GF + UG Iteration 8'!P$15)</f>
        <v>18.010254224376713</v>
      </c>
      <c r="E186" s="37" t="str">
        <f>'GF + UG Iteration 8'!E186</f>
        <v>unknown</v>
      </c>
      <c r="F186" s="35">
        <f>'GF + UG Iteration 8'!F186</f>
        <v>2.4999999999999964</v>
      </c>
      <c r="G186" s="36">
        <f>'GF + UG Iteration 8'!G186</f>
        <v>4.47116983018676</v>
      </c>
      <c r="H186" s="38">
        <f>'GF + UG Iteration 8'!H186</f>
        <v>2013</v>
      </c>
      <c r="I186" s="35">
        <f t="shared" si="20"/>
        <v>32.799999999999997</v>
      </c>
      <c r="J186" s="36">
        <f t="shared" si="21"/>
        <v>22.481424054563472</v>
      </c>
      <c r="K186" s="38">
        <f t="shared" si="22"/>
        <v>2013</v>
      </c>
      <c r="M186" s="21">
        <f t="shared" si="23"/>
        <v>3.4904285153900978</v>
      </c>
      <c r="N186" s="21">
        <f t="shared" si="24"/>
        <v>3.1126893706420447</v>
      </c>
    </row>
    <row r="187" spans="1:14" x14ac:dyDescent="0.2">
      <c r="A187" s="33">
        <f>'GF + UG Iteration 8'!A187</f>
        <v>364</v>
      </c>
      <c r="B187" s="34" t="str">
        <f>'GF + UG Iteration 8'!B187</f>
        <v>UG</v>
      </c>
      <c r="C187" s="35">
        <f>'GF + UG Iteration 8'!C187</f>
        <v>44.904000000000003</v>
      </c>
      <c r="D187" s="36">
        <f>'GF + UG Iteration 8'!P$16*(C187^'GF + UG Iteration 8'!P$15)</f>
        <v>22.558781834839039</v>
      </c>
      <c r="E187" s="37">
        <f>'GF + UG Iteration 8'!E187</f>
        <v>1975</v>
      </c>
      <c r="F187" s="35">
        <f>'GF + UG Iteration 8'!F187</f>
        <v>2</v>
      </c>
      <c r="G187" s="36">
        <f>'GF + UG Iteration 8'!G187</f>
        <v>1.3174901179839253</v>
      </c>
      <c r="H187" s="38">
        <f>'GF + UG Iteration 8'!H187</f>
        <v>2004</v>
      </c>
      <c r="I187" s="35">
        <f t="shared" si="20"/>
        <v>46.904000000000003</v>
      </c>
      <c r="J187" s="36">
        <f t="shared" si="21"/>
        <v>23.876271952822965</v>
      </c>
      <c r="K187" s="38">
        <f t="shared" si="22"/>
        <v>2004</v>
      </c>
      <c r="M187" s="21">
        <f t="shared" si="23"/>
        <v>3.8481029596619138</v>
      </c>
      <c r="N187" s="21">
        <f t="shared" si="24"/>
        <v>3.1728851604586139</v>
      </c>
    </row>
    <row r="188" spans="1:14" x14ac:dyDescent="0.2">
      <c r="A188" s="33">
        <f>'GF + UG Iteration 8'!A188</f>
        <v>1306</v>
      </c>
      <c r="B188" s="34" t="str">
        <f>'GF + UG Iteration 8'!B188</f>
        <v>UG</v>
      </c>
      <c r="C188" s="35">
        <f>'GF + UG Iteration 8'!C188</f>
        <v>23.1</v>
      </c>
      <c r="D188" s="36">
        <f>'GF + UG Iteration 8'!P$16*(C188^'GF + UG Iteration 8'!P$15)</f>
        <v>15.41947936258372</v>
      </c>
      <c r="E188" s="37">
        <f>'GF + UG Iteration 8'!E188</f>
        <v>1985</v>
      </c>
      <c r="F188" s="35">
        <f>'GF + UG Iteration 8'!F188</f>
        <v>2.0999999999999979</v>
      </c>
      <c r="G188" s="36">
        <f>'GF + UG Iteration 8'!G188</f>
        <v>5.9848606370399509</v>
      </c>
      <c r="H188" s="38">
        <f>'GF + UG Iteration 8'!H188</f>
        <v>2013</v>
      </c>
      <c r="I188" s="35">
        <f t="shared" si="20"/>
        <v>25.2</v>
      </c>
      <c r="J188" s="36">
        <f t="shared" si="21"/>
        <v>21.404339999623673</v>
      </c>
      <c r="K188" s="38">
        <f t="shared" si="22"/>
        <v>2013</v>
      </c>
      <c r="M188" s="21">
        <f t="shared" si="23"/>
        <v>3.2268439945173775</v>
      </c>
      <c r="N188" s="21">
        <f t="shared" si="24"/>
        <v>3.0635937051866438</v>
      </c>
    </row>
    <row r="189" spans="1:14" x14ac:dyDescent="0.2">
      <c r="A189" s="33">
        <f>'GF + UG Iteration 8'!A189</f>
        <v>858</v>
      </c>
      <c r="B189" s="34" t="str">
        <f>'GF + UG Iteration 8'!B189</f>
        <v>UG</v>
      </c>
      <c r="C189" s="35">
        <f>'GF + UG Iteration 8'!C189</f>
        <v>28.4</v>
      </c>
      <c r="D189" s="36">
        <f>'GF + UG Iteration 8'!P$16*(C189^'GF + UG Iteration 8'!P$15)</f>
        <v>17.354838507730253</v>
      </c>
      <c r="E189" s="37">
        <f>'GF + UG Iteration 8'!E189</f>
        <v>2009</v>
      </c>
      <c r="F189" s="35">
        <f>'GF + UG Iteration 8'!F189</f>
        <v>13.300000000000004</v>
      </c>
      <c r="G189" s="36">
        <f>'GF + UG Iteration 8'!G189</f>
        <v>5.4358775042665943</v>
      </c>
      <c r="H189" s="38">
        <f>'GF + UG Iteration 8'!H189</f>
        <v>2010</v>
      </c>
      <c r="I189" s="35">
        <f t="shared" si="20"/>
        <v>41.7</v>
      </c>
      <c r="J189" s="36">
        <f t="shared" si="21"/>
        <v>22.790716011996849</v>
      </c>
      <c r="K189" s="38">
        <f t="shared" si="22"/>
        <v>2010</v>
      </c>
      <c r="M189" s="21">
        <f t="shared" si="23"/>
        <v>3.730501128804756</v>
      </c>
      <c r="N189" s="21">
        <f t="shared" si="24"/>
        <v>3.1263532605787567</v>
      </c>
    </row>
    <row r="190" spans="1:14" x14ac:dyDescent="0.2">
      <c r="A190" s="33">
        <f>'GF + UG Iteration 8'!A190</f>
        <v>1454</v>
      </c>
      <c r="B190" s="34" t="str">
        <f>'GF + UG Iteration 8'!B190</f>
        <v>UG</v>
      </c>
      <c r="C190" s="35">
        <f>'GF + UG Iteration 8'!C190</f>
        <v>41.7</v>
      </c>
      <c r="D190" s="36">
        <f>'GF + UG Iteration 8'!P$16*(C190^'GF + UG Iteration 8'!P$15)</f>
        <v>21.622829085451091</v>
      </c>
      <c r="E190" s="37">
        <f>'GF + UG Iteration 8'!E190</f>
        <v>2009</v>
      </c>
      <c r="F190" s="35">
        <f>'GF + UG Iteration 8'!F190</f>
        <v>5.6999999999999957</v>
      </c>
      <c r="G190" s="36">
        <f>'GF + UG Iteration 8'!G190</f>
        <v>0.45762240995573644</v>
      </c>
      <c r="H190" s="38">
        <f>'GF + UG Iteration 8'!H190</f>
        <v>2013</v>
      </c>
      <c r="I190" s="35">
        <f t="shared" si="20"/>
        <v>47.4</v>
      </c>
      <c r="J190" s="36">
        <f t="shared" si="21"/>
        <v>22.080451495406827</v>
      </c>
      <c r="K190" s="38">
        <f t="shared" si="22"/>
        <v>2013</v>
      </c>
      <c r="M190" s="21">
        <f t="shared" si="23"/>
        <v>3.858622228701031</v>
      </c>
      <c r="N190" s="21">
        <f t="shared" si="24"/>
        <v>3.094692669361375</v>
      </c>
    </row>
    <row r="191" spans="1:14" x14ac:dyDescent="0.2">
      <c r="A191" s="33">
        <f>'GF + UG Iteration 8'!A191</f>
        <v>637</v>
      </c>
      <c r="B191" s="34" t="str">
        <f>'GF + UG Iteration 8'!B191</f>
        <v>UG</v>
      </c>
      <c r="C191" s="35">
        <f>'GF + UG Iteration 8'!C191</f>
        <v>15.499999999999998</v>
      </c>
      <c r="D191" s="36">
        <f>'GF + UG Iteration 8'!P$16*(C191^'GF + UG Iteration 8'!P$15)</f>
        <v>12.270955631935786</v>
      </c>
      <c r="E191" s="37">
        <f>'GF + UG Iteration 8'!E191</f>
        <v>1989</v>
      </c>
      <c r="F191" s="35">
        <f>'GF + UG Iteration 8'!F191</f>
        <v>8.4</v>
      </c>
      <c r="G191" s="36">
        <f>'GF + UG Iteration 8'!G191</f>
        <v>5.068859840469166</v>
      </c>
      <c r="H191" s="38">
        <f>'GF + UG Iteration 8'!H191</f>
        <v>2007</v>
      </c>
      <c r="I191" s="35">
        <f t="shared" si="20"/>
        <v>23.9</v>
      </c>
      <c r="J191" s="36">
        <f t="shared" si="21"/>
        <v>17.33981547240495</v>
      </c>
      <c r="K191" s="38">
        <f t="shared" si="22"/>
        <v>2007</v>
      </c>
      <c r="M191" s="21">
        <f t="shared" si="23"/>
        <v>3.1738784589374651</v>
      </c>
      <c r="N191" s="21">
        <f t="shared" si="24"/>
        <v>2.8530053295659537</v>
      </c>
    </row>
    <row r="192" spans="1:14" x14ac:dyDescent="0.2">
      <c r="A192" s="33">
        <f>'GF + UG Iteration 8'!A192</f>
        <v>1254</v>
      </c>
      <c r="B192" s="34" t="str">
        <f>'GF + UG Iteration 8'!B192</f>
        <v>UG</v>
      </c>
      <c r="C192" s="35">
        <f>'GF + UG Iteration 8'!C192</f>
        <v>23.9</v>
      </c>
      <c r="D192" s="36">
        <f>'GF + UG Iteration 8'!P$16*(C192^'GF + UG Iteration 8'!P$15)</f>
        <v>15.722936370321026</v>
      </c>
      <c r="E192" s="37">
        <f>'GF + UG Iteration 8'!E192</f>
        <v>1989</v>
      </c>
      <c r="F192" s="35">
        <f>'GF + UG Iteration 8'!F192</f>
        <v>15.399999999999999</v>
      </c>
      <c r="G192" s="36">
        <f>'GF + UG Iteration 8'!G192</f>
        <v>6.528436764593768</v>
      </c>
      <c r="H192" s="38">
        <f>'GF + UG Iteration 8'!H192</f>
        <v>2012</v>
      </c>
      <c r="I192" s="35">
        <f t="shared" si="20"/>
        <v>39.299999999999997</v>
      </c>
      <c r="J192" s="36">
        <f t="shared" si="21"/>
        <v>22.251373134914793</v>
      </c>
      <c r="K192" s="38">
        <f t="shared" si="22"/>
        <v>2012</v>
      </c>
      <c r="M192" s="21">
        <f t="shared" si="23"/>
        <v>3.6712245188752153</v>
      </c>
      <c r="N192" s="21">
        <f t="shared" si="24"/>
        <v>3.1024037206367776</v>
      </c>
    </row>
    <row r="193" spans="1:14" x14ac:dyDescent="0.2">
      <c r="A193" s="33">
        <f>'GF + UG Iteration 8'!A193</f>
        <v>734</v>
      </c>
      <c r="B193" s="34" t="str">
        <f>'GF + UG Iteration 8'!B193</f>
        <v>UG</v>
      </c>
      <c r="C193" s="35">
        <f>'GF + UG Iteration 8'!C193</f>
        <v>20</v>
      </c>
      <c r="D193" s="36">
        <f>'GF + UG Iteration 8'!P$16*(C193^'GF + UG Iteration 8'!P$15)</f>
        <v>14.198606617803879</v>
      </c>
      <c r="E193" s="37">
        <f>'GF + UG Iteration 8'!E193</f>
        <v>1974</v>
      </c>
      <c r="F193" s="35">
        <f>'GF + UG Iteration 8'!F193</f>
        <v>4.3999999999999986</v>
      </c>
      <c r="G193" s="36">
        <f>'GF + UG Iteration 8'!G193</f>
        <v>11.261124599264825</v>
      </c>
      <c r="H193" s="38">
        <f>'GF + UG Iteration 8'!H193</f>
        <v>2011</v>
      </c>
      <c r="I193" s="35">
        <f t="shared" ref="I193" si="25">C193+F193</f>
        <v>24.4</v>
      </c>
      <c r="J193" s="36">
        <f t="shared" ref="J193" si="26">D193+G193</f>
        <v>25.459731217068704</v>
      </c>
      <c r="K193" s="38">
        <f t="shared" ref="K193" si="27">MAX(E193,H193)</f>
        <v>2011</v>
      </c>
      <c r="M193" s="21">
        <f t="shared" ref="M193" si="28">LN(I193)</f>
        <v>3.1945831322991562</v>
      </c>
      <c r="N193" s="21">
        <f t="shared" ref="N193" si="29">LN(J193)</f>
        <v>3.2370980360063193</v>
      </c>
    </row>
    <row r="194" spans="1:14" x14ac:dyDescent="0.2">
      <c r="A194" s="33">
        <f>'GF + UG Iteration 8'!A194</f>
        <v>1594</v>
      </c>
      <c r="B194" s="34" t="str">
        <f>'GF + UG Iteration 8'!B194</f>
        <v>UG</v>
      </c>
      <c r="C194" s="35">
        <f>'GF + UG Iteration 8'!C194</f>
        <v>24.4</v>
      </c>
      <c r="D194" s="36">
        <f>'GF + UG Iteration 8'!P$16*(C194^'GF + UG Iteration 8'!P$15)</f>
        <v>15.910393844804771</v>
      </c>
      <c r="E194" s="37">
        <f>'GF + UG Iteration 8'!E194</f>
        <v>1974</v>
      </c>
      <c r="F194" s="35">
        <f>'GF + UG Iteration 8'!F194</f>
        <v>0</v>
      </c>
      <c r="G194" s="36">
        <f>'GF + UG Iteration 8'!G194</f>
        <v>17.2334453477478</v>
      </c>
      <c r="H194" s="38">
        <f>'GF + UG Iteration 8'!H194</f>
        <v>2017</v>
      </c>
      <c r="I194" s="35">
        <f t="shared" si="20"/>
        <v>24.4</v>
      </c>
      <c r="J194" s="36">
        <f t="shared" si="21"/>
        <v>33.143839192552569</v>
      </c>
      <c r="K194" s="38">
        <f t="shared" si="22"/>
        <v>2017</v>
      </c>
      <c r="M194" s="21">
        <f t="shared" si="23"/>
        <v>3.1945831322991562</v>
      </c>
      <c r="N194" s="21">
        <f t="shared" si="24"/>
        <v>3.5008568529817885</v>
      </c>
    </row>
    <row r="195" spans="1:14" x14ac:dyDescent="0.2">
      <c r="A195" s="33">
        <f>'GF + UG Iteration 8'!A195</f>
        <v>1674</v>
      </c>
      <c r="B195" s="34" t="str">
        <f>'GF + UG Iteration 8'!B195</f>
        <v>UG</v>
      </c>
      <c r="C195" s="35">
        <f>'GF + UG Iteration 8'!C195</f>
        <v>17.399999999999999</v>
      </c>
      <c r="D195" s="36">
        <f>'GF + UG Iteration 8'!P$16*(C195^'GF + UG Iteration 8'!P$15)</f>
        <v>13.110660176651681</v>
      </c>
      <c r="E195" s="37">
        <f>'GF + UG Iteration 8'!E195</f>
        <v>0</v>
      </c>
      <c r="F195" s="35">
        <f>'GF + UG Iteration 8'!F195</f>
        <v>3.7000000000000028</v>
      </c>
      <c r="G195" s="36">
        <f>'GF + UG Iteration 8'!G195</f>
        <v>10.327278566796926</v>
      </c>
      <c r="H195" s="38">
        <f>'GF + UG Iteration 8'!H195</f>
        <v>2016</v>
      </c>
      <c r="I195" s="35">
        <f t="shared" si="20"/>
        <v>21.1</v>
      </c>
      <c r="J195" s="36">
        <f t="shared" si="21"/>
        <v>23.437938743448605</v>
      </c>
      <c r="K195" s="38">
        <f t="shared" si="22"/>
        <v>2016</v>
      </c>
      <c r="M195" s="21">
        <f t="shared" si="23"/>
        <v>3.0492730404820207</v>
      </c>
      <c r="N195" s="21">
        <f t="shared" si="24"/>
        <v>3.1543560232758918</v>
      </c>
    </row>
    <row r="196" spans="1:14" x14ac:dyDescent="0.2">
      <c r="A196" s="33">
        <f>'GF + UG Iteration 8'!A196</f>
        <v>711</v>
      </c>
      <c r="B196" s="34" t="str">
        <f>'GF + UG Iteration 8'!B196</f>
        <v>UG</v>
      </c>
      <c r="C196" s="35">
        <f>'GF + UG Iteration 8'!C196</f>
        <v>11.5</v>
      </c>
      <c r="D196" s="36">
        <f>'GF + UG Iteration 8'!P$16*(C196^'GF + UG Iteration 8'!P$15)</f>
        <v>10.343599777000323</v>
      </c>
      <c r="E196" s="37">
        <f>'GF + UG Iteration 8'!E196</f>
        <v>1976</v>
      </c>
      <c r="F196" s="35">
        <f>'GF + UG Iteration 8'!F196</f>
        <v>13.7</v>
      </c>
      <c r="G196" s="36">
        <f>'GF + UG Iteration 8'!G196</f>
        <v>9.2617881543087019</v>
      </c>
      <c r="H196" s="38">
        <f>'GF + UG Iteration 8'!H196</f>
        <v>2009</v>
      </c>
      <c r="I196" s="35">
        <f t="shared" si="20"/>
        <v>25.2</v>
      </c>
      <c r="J196" s="36">
        <f t="shared" si="21"/>
        <v>19.605387931309025</v>
      </c>
      <c r="K196" s="38">
        <f t="shared" si="22"/>
        <v>2009</v>
      </c>
      <c r="M196" s="21">
        <f t="shared" si="23"/>
        <v>3.2268439945173775</v>
      </c>
      <c r="N196" s="21">
        <f t="shared" si="24"/>
        <v>2.975804422914456</v>
      </c>
    </row>
    <row r="197" spans="1:14" x14ac:dyDescent="0.2">
      <c r="A197" s="33">
        <f>'GF + UG Iteration 8'!A197</f>
        <v>408</v>
      </c>
      <c r="B197" s="34" t="str">
        <f>'GF + UG Iteration 8'!B197</f>
        <v>UG</v>
      </c>
      <c r="C197" s="35">
        <f>'GF + UG Iteration 8'!C197</f>
        <v>37.700000000000003</v>
      </c>
      <c r="D197" s="36">
        <f>'GF + UG Iteration 8'!P$16*(C197^'GF + UG Iteration 8'!P$15)</f>
        <v>20.409999222628382</v>
      </c>
      <c r="E197" s="37">
        <f>'GF + UG Iteration 8'!E197</f>
        <v>1976</v>
      </c>
      <c r="F197" s="35">
        <f>'GF + UG Iteration 8'!F197</f>
        <v>2.0419999999999945</v>
      </c>
      <c r="G197" s="36">
        <f>'GF + UG Iteration 8'!G197</f>
        <v>0.58015876995711901</v>
      </c>
      <c r="H197" s="38">
        <f>'GF + UG Iteration 8'!H197</f>
        <v>2004</v>
      </c>
      <c r="I197" s="35">
        <f t="shared" si="20"/>
        <v>39.741999999999997</v>
      </c>
      <c r="J197" s="36">
        <f t="shared" si="21"/>
        <v>20.990157992585502</v>
      </c>
      <c r="K197" s="38">
        <f t="shared" si="22"/>
        <v>2004</v>
      </c>
      <c r="M197" s="21">
        <f t="shared" si="23"/>
        <v>3.6824085629836243</v>
      </c>
      <c r="N197" s="21">
        <f t="shared" si="24"/>
        <v>3.0440536608449711</v>
      </c>
    </row>
    <row r="198" spans="1:14" x14ac:dyDescent="0.2">
      <c r="A198" s="33">
        <f>'GF + UG Iteration 8'!A198</f>
        <v>698</v>
      </c>
      <c r="B198" s="34" t="str">
        <f>'GF + UG Iteration 8'!B198</f>
        <v>UG</v>
      </c>
      <c r="C198" s="35">
        <f>'GF + UG Iteration 8'!C198</f>
        <v>39.700000000000003</v>
      </c>
      <c r="D198" s="36">
        <f>'GF + UG Iteration 8'!P$16*(C198^'GF + UG Iteration 8'!P$15)</f>
        <v>21.022948318908284</v>
      </c>
      <c r="E198" s="37">
        <f>'GF + UG Iteration 8'!E198</f>
        <v>1976</v>
      </c>
      <c r="F198" s="35">
        <f>'GF + UG Iteration 8'!F198</f>
        <v>20.9</v>
      </c>
      <c r="G198" s="36">
        <f>'GF + UG Iteration 8'!G198</f>
        <v>1.4406821685518079</v>
      </c>
      <c r="H198" s="38">
        <f>'GF + UG Iteration 8'!H198</f>
        <v>2007</v>
      </c>
      <c r="I198" s="35">
        <f t="shared" si="20"/>
        <v>60.6</v>
      </c>
      <c r="J198" s="36">
        <f t="shared" si="21"/>
        <v>22.463630487460094</v>
      </c>
      <c r="K198" s="38">
        <f t="shared" si="22"/>
        <v>2007</v>
      </c>
      <c r="M198" s="21">
        <f t="shared" si="23"/>
        <v>4.1042948930752692</v>
      </c>
      <c r="N198" s="21">
        <f t="shared" si="24"/>
        <v>3.1118975786100043</v>
      </c>
    </row>
    <row r="199" spans="1:14" x14ac:dyDescent="0.2">
      <c r="A199" s="33">
        <f>'GF + UG Iteration 8'!A199</f>
        <v>696</v>
      </c>
      <c r="B199" s="34" t="str">
        <f>'GF + UG Iteration 8'!B199</f>
        <v>UG</v>
      </c>
      <c r="C199" s="35">
        <f>'GF + UG Iteration 8'!C199</f>
        <v>9.1370000000000005</v>
      </c>
      <c r="D199" s="36">
        <f>'GF + UG Iteration 8'!P$16*(C199^'GF + UG Iteration 8'!P$15)</f>
        <v>9.0675295261788271</v>
      </c>
      <c r="E199" s="37">
        <f>'GF + UG Iteration 8'!E199</f>
        <v>1981</v>
      </c>
      <c r="F199" s="35">
        <f>'GF + UG Iteration 8'!F199</f>
        <v>8.0629999999999988</v>
      </c>
      <c r="G199" s="36">
        <f>'GF + UG Iteration 8'!G199</f>
        <v>0.26810351472539734</v>
      </c>
      <c r="H199" s="38">
        <f>'GF + UG Iteration 8'!H199</f>
        <v>2007</v>
      </c>
      <c r="I199" s="35">
        <f t="shared" si="20"/>
        <v>17.2</v>
      </c>
      <c r="J199" s="36">
        <f t="shared" si="21"/>
        <v>9.3356330409042236</v>
      </c>
      <c r="K199" s="38">
        <f t="shared" si="22"/>
        <v>2007</v>
      </c>
      <c r="M199" s="21">
        <f t="shared" si="23"/>
        <v>2.8449093838194073</v>
      </c>
      <c r="N199" s="21">
        <f t="shared" si="24"/>
        <v>2.2338385883960181</v>
      </c>
    </row>
    <row r="200" spans="1:14" x14ac:dyDescent="0.2">
      <c r="A200" s="33">
        <f>'GF + UG Iteration 8'!A200</f>
        <v>1636</v>
      </c>
      <c r="B200" s="34" t="str">
        <f>'GF + UG Iteration 8'!B200</f>
        <v>UG</v>
      </c>
      <c r="C200" s="35">
        <f>'GF + UG Iteration 8'!C200</f>
        <v>17.2</v>
      </c>
      <c r="D200" s="36">
        <f>'GF + UG Iteration 8'!P$16*(C200^'GF + UG Iteration 8'!P$15)</f>
        <v>13.02418298253418</v>
      </c>
      <c r="E200" s="37">
        <f>'GF + UG Iteration 8'!E200</f>
        <v>1981</v>
      </c>
      <c r="F200" s="35">
        <f>'GF + UG Iteration 8'!F200</f>
        <v>0</v>
      </c>
      <c r="G200" s="36">
        <f>'GF + UG Iteration 8'!G200</f>
        <v>6.6058972937468434</v>
      </c>
      <c r="H200" s="38">
        <f>'GF + UG Iteration 8'!H200</f>
        <v>2015</v>
      </c>
      <c r="I200" s="35">
        <f t="shared" si="20"/>
        <v>17.2</v>
      </c>
      <c r="J200" s="36">
        <f t="shared" si="21"/>
        <v>19.630080276281024</v>
      </c>
      <c r="K200" s="38">
        <f t="shared" si="22"/>
        <v>2015</v>
      </c>
      <c r="M200" s="21">
        <f t="shared" si="23"/>
        <v>2.8449093838194073</v>
      </c>
      <c r="N200" s="21">
        <f t="shared" si="24"/>
        <v>2.9770630977492401</v>
      </c>
    </row>
    <row r="201" spans="1:14" x14ac:dyDescent="0.2">
      <c r="A201" s="33">
        <f>'GF + UG Iteration 8'!A201</f>
        <v>1185</v>
      </c>
      <c r="B201" s="34" t="str">
        <f>'GF + UG Iteration 8'!B201</f>
        <v>UG</v>
      </c>
      <c r="C201" s="35">
        <f>'GF + UG Iteration 8'!C201</f>
        <v>32.4</v>
      </c>
      <c r="D201" s="36">
        <f>'GF + UG Iteration 8'!P$16*(C201^'GF + UG Iteration 8'!P$15)</f>
        <v>18.71453334412044</v>
      </c>
      <c r="E201" s="37">
        <f>'GF + UG Iteration 8'!E201</f>
        <v>1988</v>
      </c>
      <c r="F201" s="35">
        <f>'GF + UG Iteration 8'!F201</f>
        <v>2.5</v>
      </c>
      <c r="G201" s="36">
        <f>'GF + UG Iteration 8'!G201</f>
        <v>2.8087836612562955</v>
      </c>
      <c r="H201" s="38">
        <f>'GF + UG Iteration 8'!H201</f>
        <v>2011</v>
      </c>
      <c r="I201" s="35">
        <f t="shared" si="20"/>
        <v>34.9</v>
      </c>
      <c r="J201" s="36">
        <f t="shared" si="21"/>
        <v>21.523317005376736</v>
      </c>
      <c r="K201" s="38">
        <f t="shared" si="22"/>
        <v>2011</v>
      </c>
      <c r="M201" s="21">
        <f t="shared" si="23"/>
        <v>3.5524868292083815</v>
      </c>
      <c r="N201" s="21">
        <f t="shared" si="24"/>
        <v>3.0691368593534412</v>
      </c>
    </row>
    <row r="202" spans="1:14" x14ac:dyDescent="0.2">
      <c r="A202" s="33">
        <f>'GF + UG Iteration 8'!A202</f>
        <v>568</v>
      </c>
      <c r="B202" s="34" t="str">
        <f>'GF + UG Iteration 8'!B202</f>
        <v>UG</v>
      </c>
      <c r="C202" s="35">
        <f>'GF + UG Iteration 8'!C202</f>
        <v>38.04</v>
      </c>
      <c r="D202" s="36">
        <f>'GF + UG Iteration 8'!P$16*(C202^'GF + UG Iteration 8'!P$15)</f>
        <v>20.515164056758525</v>
      </c>
      <c r="E202" s="37">
        <f>'GF + UG Iteration 8'!E202</f>
        <v>1978</v>
      </c>
      <c r="F202" s="35">
        <f>'GF + UG Iteration 8'!F202</f>
        <v>1</v>
      </c>
      <c r="G202" s="36">
        <f>'GF + UG Iteration 8'!G202</f>
        <v>2.8818936071529556E-2</v>
      </c>
      <c r="H202" s="38">
        <f>'GF + UG Iteration 8'!H202</f>
        <v>2006</v>
      </c>
      <c r="I202" s="35">
        <f t="shared" si="20"/>
        <v>39.04</v>
      </c>
      <c r="J202" s="36">
        <f t="shared" si="21"/>
        <v>20.543982992830056</v>
      </c>
      <c r="K202" s="38">
        <f t="shared" si="22"/>
        <v>2006</v>
      </c>
      <c r="M202" s="21">
        <f t="shared" si="23"/>
        <v>3.6645867615448919</v>
      </c>
      <c r="N202" s="21">
        <f t="shared" si="24"/>
        <v>3.022568099665992</v>
      </c>
    </row>
    <row r="203" spans="1:14" x14ac:dyDescent="0.2">
      <c r="A203" s="33">
        <f>'GF + UG Iteration 8'!A203</f>
        <v>853</v>
      </c>
      <c r="B203" s="34" t="str">
        <f>'GF + UG Iteration 8'!B203</f>
        <v>UG</v>
      </c>
      <c r="C203" s="35">
        <f>'GF + UG Iteration 8'!C203</f>
        <v>20</v>
      </c>
      <c r="D203" s="36">
        <f>'GF + UG Iteration 8'!P$16*(C203^'GF + UG Iteration 8'!P$15)</f>
        <v>14.198606617803879</v>
      </c>
      <c r="E203" s="37">
        <f>'GF + UG Iteration 8'!E203</f>
        <v>1991</v>
      </c>
      <c r="F203" s="35">
        <f>'GF + UG Iteration 8'!F203</f>
        <v>21.700000000000003</v>
      </c>
      <c r="G203" s="36">
        <f>'GF + UG Iteration 8'!G203</f>
        <v>4.2556245512411124</v>
      </c>
      <c r="H203" s="38">
        <f>'GF + UG Iteration 8'!H203</f>
        <v>2009</v>
      </c>
      <c r="I203" s="35">
        <f t="shared" si="20"/>
        <v>41.7</v>
      </c>
      <c r="J203" s="36">
        <f t="shared" si="21"/>
        <v>18.454231169044991</v>
      </c>
      <c r="K203" s="38">
        <f t="shared" si="22"/>
        <v>2009</v>
      </c>
      <c r="M203" s="21">
        <f t="shared" si="23"/>
        <v>3.730501128804756</v>
      </c>
      <c r="N203" s="21">
        <f t="shared" si="24"/>
        <v>2.9152936758496071</v>
      </c>
    </row>
    <row r="204" spans="1:14" x14ac:dyDescent="0.2">
      <c r="A204" s="33">
        <f>'GF + UG Iteration 8'!A204</f>
        <v>1201</v>
      </c>
      <c r="B204" s="34" t="str">
        <f>'GF + UG Iteration 8'!B204</f>
        <v>UG</v>
      </c>
      <c r="C204" s="35">
        <f>'GF + UG Iteration 8'!C204</f>
        <v>13.3</v>
      </c>
      <c r="D204" s="36">
        <f>'GF + UG Iteration 8'!P$16*(C204^'GF + UG Iteration 8'!P$15)</f>
        <v>11.241467719608718</v>
      </c>
      <c r="E204" s="37" t="str">
        <f>'GF + UG Iteration 8'!E204</f>
        <v>unknown</v>
      </c>
      <c r="F204" s="35">
        <f>'GF + UG Iteration 8'!F204</f>
        <v>10.599999999999998</v>
      </c>
      <c r="G204" s="36">
        <f>'GF + UG Iteration 8'!G204</f>
        <v>7.6364894321569698</v>
      </c>
      <c r="H204" s="38">
        <f>'GF + UG Iteration 8'!H204</f>
        <v>2012</v>
      </c>
      <c r="I204" s="35">
        <f t="shared" si="20"/>
        <v>23.9</v>
      </c>
      <c r="J204" s="36">
        <f t="shared" si="21"/>
        <v>18.877957151765688</v>
      </c>
      <c r="K204" s="38">
        <f t="shared" si="22"/>
        <v>2012</v>
      </c>
      <c r="M204" s="21">
        <f t="shared" si="23"/>
        <v>3.1738784589374651</v>
      </c>
      <c r="N204" s="21">
        <f t="shared" si="24"/>
        <v>2.9379949531558016</v>
      </c>
    </row>
    <row r="205" spans="1:14" x14ac:dyDescent="0.2">
      <c r="A205" s="33">
        <f>'GF + UG Iteration 8'!A205</f>
        <v>654</v>
      </c>
      <c r="B205" s="34" t="str">
        <f>'GF + UG Iteration 8'!B205</f>
        <v>UG</v>
      </c>
      <c r="C205" s="35">
        <f>'GF + UG Iteration 8'!C205</f>
        <v>7.29</v>
      </c>
      <c r="D205" s="36">
        <f>'GF + UG Iteration 8'!P$16*(C205^'GF + UG Iteration 8'!P$15)</f>
        <v>7.967957329752875</v>
      </c>
      <c r="E205" s="37">
        <f>'GF + UG Iteration 8'!E205</f>
        <v>1976</v>
      </c>
      <c r="F205" s="35">
        <f>'GF + UG Iteration 8'!F205</f>
        <v>4.4099999999999993</v>
      </c>
      <c r="G205" s="36">
        <f>'GF + UG Iteration 8'!G205</f>
        <v>0.73672544554632269</v>
      </c>
      <c r="H205" s="38">
        <f>'GF + UG Iteration 8'!H205</f>
        <v>2007</v>
      </c>
      <c r="I205" s="35">
        <f t="shared" si="20"/>
        <v>11.7</v>
      </c>
      <c r="J205" s="36">
        <f t="shared" si="21"/>
        <v>8.7046827752991973</v>
      </c>
      <c r="K205" s="38">
        <f t="shared" si="22"/>
        <v>2007</v>
      </c>
      <c r="M205" s="21">
        <f t="shared" si="23"/>
        <v>2.4595888418037104</v>
      </c>
      <c r="N205" s="21">
        <f t="shared" si="24"/>
        <v>2.163861130890337</v>
      </c>
    </row>
    <row r="206" spans="1:14" x14ac:dyDescent="0.2">
      <c r="A206" s="33">
        <f>'GF + UG Iteration 8'!A206</f>
        <v>1394</v>
      </c>
      <c r="B206" s="34" t="str">
        <f>'GF + UG Iteration 8'!B206</f>
        <v>UG</v>
      </c>
      <c r="C206" s="35">
        <f>'GF + UG Iteration 8'!C206</f>
        <v>11.7</v>
      </c>
      <c r="D206" s="36">
        <f>'GF + UG Iteration 8'!P$16*(C206^'GF + UG Iteration 8'!P$15)</f>
        <v>10.446194252020288</v>
      </c>
      <c r="E206" s="37">
        <f>'GF + UG Iteration 8'!E206</f>
        <v>1976</v>
      </c>
      <c r="F206" s="35">
        <f>'GF + UG Iteration 8'!F206</f>
        <v>10</v>
      </c>
      <c r="G206" s="36">
        <f>'GF + UG Iteration 8'!G206</f>
        <v>5.0057806862702598</v>
      </c>
      <c r="H206" s="38">
        <f>'GF + UG Iteration 8'!H206</f>
        <v>2014</v>
      </c>
      <c r="I206" s="35">
        <f t="shared" si="20"/>
        <v>21.7</v>
      </c>
      <c r="J206" s="36">
        <f t="shared" si="21"/>
        <v>15.451974938290547</v>
      </c>
      <c r="K206" s="38">
        <f t="shared" si="22"/>
        <v>2014</v>
      </c>
      <c r="M206" s="21">
        <f t="shared" si="23"/>
        <v>3.0773122605464138</v>
      </c>
      <c r="N206" s="21">
        <f t="shared" si="24"/>
        <v>2.7377368228955583</v>
      </c>
    </row>
    <row r="207" spans="1:14" x14ac:dyDescent="0.2">
      <c r="A207" s="33">
        <f>'GF + UG Iteration 8'!A207</f>
        <v>1294</v>
      </c>
      <c r="B207" s="34" t="str">
        <f>'GF + UG Iteration 8'!B207</f>
        <v>UG</v>
      </c>
      <c r="C207" s="35">
        <f>'GF + UG Iteration 8'!C207</f>
        <v>8.5</v>
      </c>
      <c r="D207" s="36">
        <f>'GF + UG Iteration 8'!P$16*(C207^'GF + UG Iteration 8'!P$15)</f>
        <v>8.7000819981194848</v>
      </c>
      <c r="E207" s="37">
        <f>'GF + UG Iteration 8'!E207</f>
        <v>0</v>
      </c>
      <c r="F207" s="35">
        <f>'GF + UG Iteration 8'!F207</f>
        <v>1.5999999999999996</v>
      </c>
      <c r="G207" s="36">
        <f>'GF + UG Iteration 8'!G207</f>
        <v>4.5619922667121129</v>
      </c>
      <c r="H207" s="38">
        <f>'GF + UG Iteration 8'!H207</f>
        <v>2014</v>
      </c>
      <c r="I207" s="35">
        <f t="shared" si="20"/>
        <v>10.1</v>
      </c>
      <c r="J207" s="36">
        <f t="shared" si="21"/>
        <v>13.262074264831597</v>
      </c>
      <c r="K207" s="38">
        <f t="shared" si="22"/>
        <v>2014</v>
      </c>
      <c r="M207" s="21">
        <f t="shared" si="23"/>
        <v>2.3125354238472138</v>
      </c>
      <c r="N207" s="21">
        <f t="shared" si="24"/>
        <v>2.5849084027524114</v>
      </c>
    </row>
    <row r="208" spans="1:14" x14ac:dyDescent="0.2">
      <c r="A208" s="33">
        <f>'GF + UG Iteration 8'!A208</f>
        <v>1670</v>
      </c>
      <c r="B208" s="34" t="str">
        <f>'GF + UG Iteration 8'!B208</f>
        <v>UG</v>
      </c>
      <c r="C208" s="35">
        <f>'GF + UG Iteration 8'!C208</f>
        <v>31.45</v>
      </c>
      <c r="D208" s="36">
        <f>'GF + UG Iteration 8'!P$16*(C208^'GF + UG Iteration 8'!P$15)</f>
        <v>18.398426148633117</v>
      </c>
      <c r="E208" s="37">
        <f>'GF + UG Iteration 8'!E208</f>
        <v>0</v>
      </c>
      <c r="F208" s="35">
        <f>'GF + UG Iteration 8'!F208</f>
        <v>24.250000000000004</v>
      </c>
      <c r="G208" s="36">
        <f>'GF + UG Iteration 8'!G208</f>
        <v>2.7943521582603679</v>
      </c>
      <c r="H208" s="38">
        <f>'GF + UG Iteration 8'!H208</f>
        <v>2016</v>
      </c>
      <c r="I208" s="35">
        <f t="shared" si="20"/>
        <v>55.7</v>
      </c>
      <c r="J208" s="36">
        <f t="shared" si="21"/>
        <v>21.192778306893484</v>
      </c>
      <c r="K208" s="38">
        <f t="shared" si="22"/>
        <v>2016</v>
      </c>
      <c r="M208" s="21">
        <f t="shared" si="23"/>
        <v>4.0199801469332384</v>
      </c>
      <c r="N208" s="21">
        <f t="shared" si="24"/>
        <v>3.0536604777437213</v>
      </c>
    </row>
    <row r="209" spans="1:14" x14ac:dyDescent="0.2">
      <c r="A209" s="33">
        <f>'GF + UG Iteration 8'!A209</f>
        <v>579</v>
      </c>
      <c r="B209" s="34" t="str">
        <f>'GF + UG Iteration 8'!B209</f>
        <v>UG</v>
      </c>
      <c r="C209" s="35">
        <f>'GF + UG Iteration 8'!C209</f>
        <v>17.100000000000001</v>
      </c>
      <c r="D209" s="36">
        <f>'GF + UG Iteration 8'!P$16*(C209^'GF + UG Iteration 8'!P$15)</f>
        <v>12.980783200996385</v>
      </c>
      <c r="E209" s="37" t="str">
        <f>'GF + UG Iteration 8'!E209</f>
        <v>unknown</v>
      </c>
      <c r="F209" s="35">
        <f>'GF + UG Iteration 8'!F209</f>
        <v>11</v>
      </c>
      <c r="G209" s="36">
        <f>'GF + UG Iteration 8'!G209</f>
        <v>3.6516230200538073</v>
      </c>
      <c r="H209" s="38">
        <f>'GF + UG Iteration 8'!H209</f>
        <v>2008</v>
      </c>
      <c r="I209" s="35">
        <f t="shared" si="20"/>
        <v>28.1</v>
      </c>
      <c r="J209" s="36">
        <f t="shared" si="21"/>
        <v>16.632406221050193</v>
      </c>
      <c r="K209" s="38">
        <f t="shared" si="22"/>
        <v>2008</v>
      </c>
      <c r="M209" s="21">
        <f t="shared" si="23"/>
        <v>3.3357695763396999</v>
      </c>
      <c r="N209" s="21">
        <f t="shared" si="24"/>
        <v>2.8113529743225163</v>
      </c>
    </row>
    <row r="210" spans="1:14" x14ac:dyDescent="0.2">
      <c r="A210" s="33">
        <f>'GF + UG Iteration 8'!A210</f>
        <v>1670</v>
      </c>
      <c r="B210" s="34" t="str">
        <f>'GF + UG Iteration 8'!B210</f>
        <v>UG</v>
      </c>
      <c r="C210" s="35">
        <f>'GF + UG Iteration 8'!C210</f>
        <v>18.79</v>
      </c>
      <c r="D210" s="36">
        <f>'GF + UG Iteration 8'!P$16*(C210^'GF + UG Iteration 8'!P$15)</f>
        <v>13.700327730635134</v>
      </c>
      <c r="E210" s="37">
        <f>'GF + UG Iteration 8'!E210</f>
        <v>0</v>
      </c>
      <c r="F210" s="35">
        <f>'GF + UG Iteration 8'!F210</f>
        <v>30.509999999999998</v>
      </c>
      <c r="G210" s="36">
        <f>'GF + UG Iteration 8'!G210</f>
        <v>18.363697996227653</v>
      </c>
      <c r="H210" s="38">
        <f>'GF + UG Iteration 8'!H210</f>
        <v>2016</v>
      </c>
      <c r="I210" s="35">
        <f t="shared" si="20"/>
        <v>49.3</v>
      </c>
      <c r="J210" s="36">
        <f t="shared" si="21"/>
        <v>32.064025726862788</v>
      </c>
      <c r="K210" s="38">
        <f t="shared" si="22"/>
        <v>2016</v>
      </c>
      <c r="M210" s="21">
        <f t="shared" si="23"/>
        <v>3.8979240810486444</v>
      </c>
      <c r="N210" s="21">
        <f t="shared" si="24"/>
        <v>3.4677347078218204</v>
      </c>
    </row>
    <row r="211" spans="1:14" x14ac:dyDescent="0.2">
      <c r="A211" s="33">
        <f>'GF + UG Iteration 8'!A211</f>
        <v>1083</v>
      </c>
      <c r="B211" s="34" t="str">
        <f>'GF + UG Iteration 8'!B211</f>
        <v>UG</v>
      </c>
      <c r="C211" s="35">
        <f>'GF + UG Iteration 8'!C211</f>
        <v>7.53</v>
      </c>
      <c r="D211" s="36">
        <f>'GF + UG Iteration 8'!P$16*(C211^'GF + UG Iteration 8'!P$15)</f>
        <v>8.1170770574440585</v>
      </c>
      <c r="E211" s="37">
        <f>'GF + UG Iteration 8'!E211</f>
        <v>1981</v>
      </c>
      <c r="F211" s="35">
        <f>'GF + UG Iteration 8'!F211</f>
        <v>5.87</v>
      </c>
      <c r="G211" s="36">
        <f>'GF + UG Iteration 8'!G211</f>
        <v>7.4125108979310461</v>
      </c>
      <c r="H211" s="38">
        <f>'GF + UG Iteration 8'!H211</f>
        <v>2011</v>
      </c>
      <c r="I211" s="35">
        <f t="shared" si="20"/>
        <v>13.4</v>
      </c>
      <c r="J211" s="36">
        <f t="shared" si="21"/>
        <v>15.529587955375105</v>
      </c>
      <c r="K211" s="38">
        <f t="shared" si="22"/>
        <v>2011</v>
      </c>
      <c r="M211" s="21">
        <f t="shared" si="23"/>
        <v>2.5952547069568657</v>
      </c>
      <c r="N211" s="21">
        <f t="shared" si="24"/>
        <v>2.7427471046370147</v>
      </c>
    </row>
    <row r="212" spans="1:14" x14ac:dyDescent="0.2">
      <c r="A212" s="33">
        <f>'GF + UG Iteration 8'!A212</f>
        <v>552</v>
      </c>
      <c r="B212" s="34" t="str">
        <f>'GF + UG Iteration 8'!B212</f>
        <v>UG</v>
      </c>
      <c r="C212" s="35">
        <f>'GF + UG Iteration 8'!C212</f>
        <v>20.229999999999997</v>
      </c>
      <c r="D212" s="36">
        <f>'GF + UG Iteration 8'!P$16*(C212^'GF + UG Iteration 8'!P$15)</f>
        <v>14.291847182334539</v>
      </c>
      <c r="E212" s="37">
        <f>'GF + UG Iteration 8'!E212</f>
        <v>1991</v>
      </c>
      <c r="F212" s="35">
        <f>'GF + UG Iteration 8'!F212</f>
        <v>10.470000000000002</v>
      </c>
      <c r="G212" s="36">
        <f>'GF + UG Iteration 8'!G212</f>
        <v>1.1457716756011658</v>
      </c>
      <c r="H212" s="38">
        <f>'GF + UG Iteration 8'!H212</f>
        <v>2006</v>
      </c>
      <c r="I212" s="35">
        <f t="shared" si="20"/>
        <v>30.7</v>
      </c>
      <c r="J212" s="36">
        <f t="shared" si="21"/>
        <v>15.437618857935705</v>
      </c>
      <c r="K212" s="38">
        <f t="shared" si="22"/>
        <v>2006</v>
      </c>
      <c r="M212" s="21">
        <f t="shared" si="23"/>
        <v>3.4242626545931514</v>
      </c>
      <c r="N212" s="21">
        <f t="shared" si="24"/>
        <v>2.7368073136580353</v>
      </c>
    </row>
    <row r="213" spans="1:14" x14ac:dyDescent="0.2">
      <c r="A213" s="33">
        <f>'GF + UG Iteration 8'!A213</f>
        <v>1311</v>
      </c>
      <c r="B213" s="34" t="str">
        <f>'GF + UG Iteration 8'!B213</f>
        <v>UG</v>
      </c>
      <c r="C213" s="35">
        <f>'GF + UG Iteration 8'!C213</f>
        <v>30.7</v>
      </c>
      <c r="D213" s="36">
        <f>'GF + UG Iteration 8'!P$16*(C213^'GF + UG Iteration 8'!P$15)</f>
        <v>18.14597364563701</v>
      </c>
      <c r="E213" s="37">
        <f>'GF + UG Iteration 8'!E213</f>
        <v>1991</v>
      </c>
      <c r="F213" s="35">
        <f>'GF + UG Iteration 8'!F213</f>
        <v>19.3</v>
      </c>
      <c r="G213" s="36">
        <f>'GF + UG Iteration 8'!G213</f>
        <v>5.9841430822776953</v>
      </c>
      <c r="H213" s="38">
        <f>'GF + UG Iteration 8'!H213</f>
        <v>2013</v>
      </c>
      <c r="I213" s="35">
        <f t="shared" si="20"/>
        <v>50</v>
      </c>
      <c r="J213" s="36">
        <f t="shared" si="21"/>
        <v>24.130116727914704</v>
      </c>
      <c r="K213" s="38">
        <f t="shared" si="22"/>
        <v>2013</v>
      </c>
      <c r="M213" s="21">
        <f t="shared" si="23"/>
        <v>3.912023005428146</v>
      </c>
      <c r="N213" s="21">
        <f t="shared" si="24"/>
        <v>3.1834607170854432</v>
      </c>
    </row>
    <row r="214" spans="1:14" x14ac:dyDescent="0.2">
      <c r="A214" s="33">
        <f>'GF + UG Iteration 8'!A214</f>
        <v>1078</v>
      </c>
      <c r="B214" s="34" t="str">
        <f>'GF + UG Iteration 8'!B214</f>
        <v>UG</v>
      </c>
      <c r="C214" s="35">
        <f>'GF + UG Iteration 8'!C214</f>
        <v>17.66</v>
      </c>
      <c r="D214" s="36">
        <f>'GF + UG Iteration 8'!P$16*(C214^'GF + UG Iteration 8'!P$15)</f>
        <v>13.222447729857276</v>
      </c>
      <c r="E214" s="37">
        <f>'GF + UG Iteration 8'!E214</f>
        <v>1957</v>
      </c>
      <c r="F214" s="35">
        <f>'GF + UG Iteration 8'!F214</f>
        <v>7.34</v>
      </c>
      <c r="G214" s="36">
        <f>'GF + UG Iteration 8'!G214</f>
        <v>1.0936387702296273</v>
      </c>
      <c r="H214" s="38">
        <f>'GF + UG Iteration 8'!H214</f>
        <v>2011</v>
      </c>
      <c r="I214" s="35">
        <f t="shared" si="20"/>
        <v>25</v>
      </c>
      <c r="J214" s="36">
        <f t="shared" si="21"/>
        <v>14.316086500086904</v>
      </c>
      <c r="K214" s="38">
        <f t="shared" si="22"/>
        <v>2011</v>
      </c>
      <c r="M214" s="21">
        <f t="shared" si="23"/>
        <v>3.2188758248682006</v>
      </c>
      <c r="N214" s="21">
        <f t="shared" si="24"/>
        <v>2.6613838350821517</v>
      </c>
    </row>
    <row r="215" spans="1:14" x14ac:dyDescent="0.2">
      <c r="A215" s="33">
        <f>'GF + UG Iteration 8'!A215</f>
        <v>495</v>
      </c>
      <c r="B215" s="34" t="str">
        <f>'GF + UG Iteration 8'!B215</f>
        <v>UG</v>
      </c>
      <c r="C215" s="35">
        <f>'GF + UG Iteration 8'!C215</f>
        <v>12.974</v>
      </c>
      <c r="D215" s="36">
        <f>'GF + UG Iteration 8'!P$16*(C215^'GF + UG Iteration 8'!P$15)</f>
        <v>11.082901697108142</v>
      </c>
      <c r="E215" s="37">
        <f>'GF + UG Iteration 8'!E215</f>
        <v>1982</v>
      </c>
      <c r="F215" s="35">
        <f>'GF + UG Iteration 8'!F215</f>
        <v>0</v>
      </c>
      <c r="G215" s="36">
        <f>'GF + UG Iteration 8'!G215</f>
        <v>3.5907902166068872</v>
      </c>
      <c r="H215" s="38">
        <f>'GF + UG Iteration 8'!H215</f>
        <v>2006</v>
      </c>
      <c r="I215" s="35">
        <f t="shared" si="20"/>
        <v>12.974</v>
      </c>
      <c r="J215" s="36">
        <f t="shared" si="21"/>
        <v>14.673691913715029</v>
      </c>
      <c r="K215" s="38">
        <f t="shared" si="22"/>
        <v>2006</v>
      </c>
      <c r="M215" s="21">
        <f t="shared" si="23"/>
        <v>2.5629473547908637</v>
      </c>
      <c r="N215" s="21">
        <f t="shared" si="24"/>
        <v>2.6860562246860229</v>
      </c>
    </row>
    <row r="216" spans="1:14" x14ac:dyDescent="0.2">
      <c r="A216" s="33">
        <f>'GF + UG Iteration 8'!A216</f>
        <v>383</v>
      </c>
      <c r="B216" s="34" t="str">
        <f>'GF + UG Iteration 8'!B216</f>
        <v>UG</v>
      </c>
      <c r="C216" s="35">
        <f>'GF + UG Iteration 8'!C216</f>
        <v>0.51</v>
      </c>
      <c r="D216" s="36">
        <f>'GF + UG Iteration 8'!P$16*(C216^'GF + UG Iteration 8'!P$15)</f>
        <v>1.7381889833114195</v>
      </c>
      <c r="E216" s="37">
        <f>'GF + UG Iteration 8'!E216</f>
        <v>1984</v>
      </c>
      <c r="F216" s="35">
        <f>'GF + UG Iteration 8'!F216</f>
        <v>8</v>
      </c>
      <c r="G216" s="36">
        <f>'GF + UG Iteration 8'!G216</f>
        <v>3.9501723720469593</v>
      </c>
      <c r="H216" s="38">
        <f>'GF + UG Iteration 8'!H216</f>
        <v>2005</v>
      </c>
      <c r="I216" s="35">
        <f t="shared" si="20"/>
        <v>8.51</v>
      </c>
      <c r="J216" s="36">
        <f t="shared" si="21"/>
        <v>5.6883613553583787</v>
      </c>
      <c r="K216" s="38">
        <f t="shared" si="22"/>
        <v>2005</v>
      </c>
      <c r="M216" s="21">
        <f t="shared" si="23"/>
        <v>2.1412419425852827</v>
      </c>
      <c r="N216" s="21">
        <f t="shared" si="24"/>
        <v>1.7384222199060937</v>
      </c>
    </row>
    <row r="217" spans="1:14" x14ac:dyDescent="0.2">
      <c r="A217" s="33">
        <f>'GF + UG Iteration 8'!A217</f>
        <v>1020</v>
      </c>
      <c r="B217" s="34" t="str">
        <f>'GF + UG Iteration 8'!B217</f>
        <v>UG</v>
      </c>
      <c r="C217" s="35">
        <f>'GF + UG Iteration 8'!C217</f>
        <v>13</v>
      </c>
      <c r="D217" s="36">
        <f>'GF + UG Iteration 8'!P$16*(C217^'GF + UG Iteration 8'!P$15)</f>
        <v>11.095610116938671</v>
      </c>
      <c r="E217" s="37">
        <f>'GF + UG Iteration 8'!E217</f>
        <v>1977</v>
      </c>
      <c r="F217" s="35">
        <f>'GF + UG Iteration 8'!F217</f>
        <v>9</v>
      </c>
      <c r="G217" s="36">
        <f>'GF + UG Iteration 8'!G217</f>
        <v>7.3449786888029998</v>
      </c>
      <c r="H217" s="38">
        <f>'GF + UG Iteration 8'!H217</f>
        <v>2010</v>
      </c>
      <c r="I217" s="35">
        <f t="shared" si="20"/>
        <v>22</v>
      </c>
      <c r="J217" s="36">
        <f t="shared" si="21"/>
        <v>18.440588805741669</v>
      </c>
      <c r="K217" s="38">
        <f t="shared" si="22"/>
        <v>2010</v>
      </c>
      <c r="M217" s="21">
        <f t="shared" si="23"/>
        <v>3.0910424533583161</v>
      </c>
      <c r="N217" s="21">
        <f t="shared" si="24"/>
        <v>2.9145541485157214</v>
      </c>
    </row>
    <row r="218" spans="1:14" x14ac:dyDescent="0.2">
      <c r="A218" s="33">
        <f>'GF + UG Iteration 8'!A218</f>
        <v>1364</v>
      </c>
      <c r="B218" s="34" t="str">
        <f>'GF + UG Iteration 8'!B218</f>
        <v>UG</v>
      </c>
      <c r="C218" s="35">
        <f>'GF + UG Iteration 8'!C218</f>
        <v>8.5</v>
      </c>
      <c r="D218" s="36">
        <f>'GF + UG Iteration 8'!P$16*(C218^'GF + UG Iteration 8'!P$15)</f>
        <v>8.7000819981194848</v>
      </c>
      <c r="E218" s="37">
        <f>'GF + UG Iteration 8'!E218</f>
        <v>0</v>
      </c>
      <c r="F218" s="35">
        <f>'GF + UG Iteration 8'!F218</f>
        <v>34</v>
      </c>
      <c r="G218" s="36">
        <f>'GF + UG Iteration 8'!G218</f>
        <v>8.7951197470845859</v>
      </c>
      <c r="H218" s="38">
        <f>'GF + UG Iteration 8'!H218</f>
        <v>2013</v>
      </c>
      <c r="I218" s="35">
        <f t="shared" si="20"/>
        <v>42.5</v>
      </c>
      <c r="J218" s="36">
        <f t="shared" si="21"/>
        <v>17.495201745204071</v>
      </c>
      <c r="K218" s="38">
        <f t="shared" si="22"/>
        <v>2013</v>
      </c>
      <c r="M218" s="21">
        <f t="shared" si="23"/>
        <v>3.7495040759303713</v>
      </c>
      <c r="N218" s="21">
        <f t="shared" si="24"/>
        <v>2.8619266573452791</v>
      </c>
    </row>
    <row r="219" spans="1:14" x14ac:dyDescent="0.2">
      <c r="A219" s="33">
        <f>'GF + UG Iteration 8'!A219</f>
        <v>503</v>
      </c>
      <c r="B219" s="34" t="str">
        <f>'GF + UG Iteration 8'!B219</f>
        <v>UG</v>
      </c>
      <c r="C219" s="35">
        <f>'GF + UG Iteration 8'!C219</f>
        <v>31</v>
      </c>
      <c r="D219" s="36">
        <f>'GF + UG Iteration 8'!P$16*(C219^'GF + UG Iteration 8'!P$15)</f>
        <v>18.247267633949662</v>
      </c>
      <c r="E219" s="37">
        <f>'GF + UG Iteration 8'!E219</f>
        <v>1972</v>
      </c>
      <c r="F219" s="35">
        <f>'GF + UG Iteration 8'!F219</f>
        <v>16</v>
      </c>
      <c r="G219" s="36">
        <f>'GF + UG Iteration 8'!G219</f>
        <v>3.8033222269089473</v>
      </c>
      <c r="H219" s="38">
        <f>'GF + UG Iteration 8'!H219</f>
        <v>2007</v>
      </c>
      <c r="I219" s="35">
        <f t="shared" si="20"/>
        <v>47</v>
      </c>
      <c r="J219" s="36">
        <f t="shared" si="21"/>
        <v>22.050589860858608</v>
      </c>
      <c r="K219" s="38">
        <f t="shared" si="22"/>
        <v>2007</v>
      </c>
      <c r="M219" s="21">
        <f t="shared" si="23"/>
        <v>3.8501476017100584</v>
      </c>
      <c r="N219" s="21">
        <f t="shared" si="24"/>
        <v>3.0933393525943993</v>
      </c>
    </row>
    <row r="220" spans="1:14" x14ac:dyDescent="0.2">
      <c r="A220" s="33">
        <f>'GF + UG Iteration 8'!A220</f>
        <v>925</v>
      </c>
      <c r="B220" s="34" t="str">
        <f>'GF + UG Iteration 8'!B220</f>
        <v>UG</v>
      </c>
      <c r="C220" s="35">
        <f>'GF + UG Iteration 8'!C220</f>
        <v>47</v>
      </c>
      <c r="D220" s="36">
        <f>'GF + UG Iteration 8'!P$16*(C220^'GF + UG Iteration 8'!P$15)</f>
        <v>23.155659679423451</v>
      </c>
      <c r="E220" s="37">
        <f>'GF + UG Iteration 8'!E220</f>
        <v>1972</v>
      </c>
      <c r="F220" s="35">
        <f>'GF + UG Iteration 8'!F220</f>
        <v>9</v>
      </c>
      <c r="G220" s="36">
        <f>'GF + UG Iteration 8'!G220</f>
        <v>3.3164697860941139</v>
      </c>
      <c r="H220" s="38">
        <f>'GF + UG Iteration 8'!H220</f>
        <v>2011</v>
      </c>
      <c r="I220" s="35">
        <f t="shared" si="20"/>
        <v>56</v>
      </c>
      <c r="J220" s="36">
        <f t="shared" si="21"/>
        <v>26.472129465517565</v>
      </c>
      <c r="K220" s="38">
        <f t="shared" si="22"/>
        <v>2011</v>
      </c>
      <c r="M220" s="21">
        <f t="shared" si="23"/>
        <v>4.0253516907351496</v>
      </c>
      <c r="N220" s="21">
        <f t="shared" si="24"/>
        <v>3.2760924612660691</v>
      </c>
    </row>
    <row r="221" spans="1:14" x14ac:dyDescent="0.2">
      <c r="A221" s="33">
        <f>'GF + UG Iteration 8'!A221</f>
        <v>821</v>
      </c>
      <c r="B221" s="34" t="str">
        <f>'GF + UG Iteration 8'!B221</f>
        <v>UG</v>
      </c>
      <c r="C221" s="35">
        <f>'GF + UG Iteration 8'!C221</f>
        <v>25</v>
      </c>
      <c r="D221" s="36">
        <f>'GF + UG Iteration 8'!P$16*(C221^'GF + UG Iteration 8'!P$15)</f>
        <v>16.133188240342459</v>
      </c>
      <c r="E221" s="37">
        <f>'GF + UG Iteration 8'!E221</f>
        <v>2006</v>
      </c>
      <c r="F221" s="35">
        <f>'GF + UG Iteration 8'!F221</f>
        <v>32</v>
      </c>
      <c r="G221" s="36">
        <f>'GF + UG Iteration 8'!G221</f>
        <v>9.4177371403666275</v>
      </c>
      <c r="H221" s="38">
        <f>'GF + UG Iteration 8'!H221</f>
        <v>2011</v>
      </c>
      <c r="I221" s="35">
        <f t="shared" si="20"/>
        <v>57</v>
      </c>
      <c r="J221" s="36">
        <f t="shared" si="21"/>
        <v>25.550925380709089</v>
      </c>
      <c r="K221" s="38">
        <f t="shared" si="22"/>
        <v>2011</v>
      </c>
      <c r="M221" s="21">
        <f t="shared" si="23"/>
        <v>4.0430512678345503</v>
      </c>
      <c r="N221" s="21">
        <f t="shared" si="24"/>
        <v>3.2406735344168984</v>
      </c>
    </row>
    <row r="222" spans="1:14" x14ac:dyDescent="0.2">
      <c r="A222" s="33">
        <f>'GF + UG Iteration 8'!A222</f>
        <v>486</v>
      </c>
      <c r="B222" s="34" t="str">
        <f>'GF + UG Iteration 8'!B222</f>
        <v>UG</v>
      </c>
      <c r="C222" s="35">
        <f>'GF + UG Iteration 8'!C222</f>
        <v>10.81</v>
      </c>
      <c r="D222" s="36">
        <f>'GF + UG Iteration 8'!P$16*(C222^'GF + UG Iteration 8'!P$15)</f>
        <v>9.9836468177052247</v>
      </c>
      <c r="E222" s="37">
        <f>'GF + UG Iteration 8'!E222</f>
        <v>1993</v>
      </c>
      <c r="F222" s="35">
        <f>'GF + UG Iteration 8'!F222</f>
        <v>3.1399999999999988</v>
      </c>
      <c r="G222" s="36">
        <f>'GF + UG Iteration 8'!G222</f>
        <v>0.34692120274319505</v>
      </c>
      <c r="H222" s="38">
        <f>'GF + UG Iteration 8'!H222</f>
        <v>2005</v>
      </c>
      <c r="I222" s="35">
        <f t="shared" si="20"/>
        <v>13.95</v>
      </c>
      <c r="J222" s="36">
        <f t="shared" si="21"/>
        <v>10.330568020448419</v>
      </c>
      <c r="K222" s="38">
        <f t="shared" si="22"/>
        <v>2005</v>
      </c>
      <c r="M222" s="21">
        <f t="shared" si="23"/>
        <v>2.6354795082673745</v>
      </c>
      <c r="N222" s="21">
        <f t="shared" si="24"/>
        <v>2.3351072690784971</v>
      </c>
    </row>
    <row r="223" spans="1:14" x14ac:dyDescent="0.2">
      <c r="A223" s="33">
        <f>'GF + UG Iteration 8'!A223</f>
        <v>779</v>
      </c>
      <c r="B223" s="34" t="str">
        <f>'GF + UG Iteration 8'!B223</f>
        <v>UG</v>
      </c>
      <c r="C223" s="35">
        <f>'GF + UG Iteration 8'!C223</f>
        <v>13.95</v>
      </c>
      <c r="D223" s="36">
        <f>'GF + UG Iteration 8'!P$16*(C223^'GF + UG Iteration 8'!P$15)</f>
        <v>11.552747873993463</v>
      </c>
      <c r="E223" s="37">
        <f>'GF + UG Iteration 8'!E223</f>
        <v>1993</v>
      </c>
      <c r="F223" s="35">
        <f>'GF + UG Iteration 8'!F223</f>
        <v>4.0500000000000007</v>
      </c>
      <c r="G223" s="36">
        <f>'GF + UG Iteration 8'!G223</f>
        <v>0.91575874480529229</v>
      </c>
      <c r="H223" s="38">
        <f>'GF + UG Iteration 8'!H223</f>
        <v>2008</v>
      </c>
      <c r="I223" s="35">
        <f t="shared" si="20"/>
        <v>18</v>
      </c>
      <c r="J223" s="36">
        <f t="shared" si="21"/>
        <v>12.468506618798754</v>
      </c>
      <c r="K223" s="38">
        <f t="shared" si="22"/>
        <v>2008</v>
      </c>
      <c r="M223" s="21">
        <f t="shared" si="23"/>
        <v>2.8903717578961645</v>
      </c>
      <c r="N223" s="21">
        <f t="shared" si="24"/>
        <v>2.5232059946052976</v>
      </c>
    </row>
    <row r="224" spans="1:14" x14ac:dyDescent="0.2">
      <c r="A224" s="33">
        <f>'GF + UG Iteration 8'!A224</f>
        <v>1416</v>
      </c>
      <c r="B224" s="34" t="str">
        <f>'GF + UG Iteration 8'!B224</f>
        <v>UG</v>
      </c>
      <c r="C224" s="35">
        <f>'GF + UG Iteration 8'!C224</f>
        <v>18</v>
      </c>
      <c r="D224" s="36">
        <f>'GF + UG Iteration 8'!P$16*(C224^'GF + UG Iteration 8'!P$15)</f>
        <v>13.367575218885092</v>
      </c>
      <c r="E224" s="37">
        <f>'GF + UG Iteration 8'!E224</f>
        <v>1993</v>
      </c>
      <c r="F224" s="35">
        <f>'GF + UG Iteration 8'!F224</f>
        <v>6</v>
      </c>
      <c r="G224" s="36">
        <f>'GF + UG Iteration 8'!G224</f>
        <v>1.4181567457767223</v>
      </c>
      <c r="H224" s="38">
        <f>'GF + UG Iteration 8'!H224</f>
        <v>2014</v>
      </c>
      <c r="I224" s="35">
        <f t="shared" si="20"/>
        <v>24</v>
      </c>
      <c r="J224" s="36">
        <f t="shared" si="21"/>
        <v>14.785731964661814</v>
      </c>
      <c r="K224" s="38">
        <f t="shared" si="22"/>
        <v>2014</v>
      </c>
      <c r="M224" s="21">
        <f t="shared" si="23"/>
        <v>3.1780538303479458</v>
      </c>
      <c r="N224" s="21">
        <f t="shared" si="24"/>
        <v>2.6936626593270061</v>
      </c>
    </row>
    <row r="225" spans="1:14" x14ac:dyDescent="0.2">
      <c r="A225" s="33">
        <f>'GF + UG Iteration 8'!A225</f>
        <v>554</v>
      </c>
      <c r="B225" s="34" t="str">
        <f>'GF + UG Iteration 8'!B225</f>
        <v>UG</v>
      </c>
      <c r="C225" s="35">
        <f>'GF + UG Iteration 8'!C225</f>
        <v>23</v>
      </c>
      <c r="D225" s="36">
        <f>'GF + UG Iteration 8'!P$16*(C225^'GF + UG Iteration 8'!P$15)</f>
        <v>15.381233466297861</v>
      </c>
      <c r="E225" s="37">
        <f>'GF + UG Iteration 8'!E225</f>
        <v>1968</v>
      </c>
      <c r="F225" s="35">
        <f>'GF + UG Iteration 8'!F225</f>
        <v>8.2600000000000016</v>
      </c>
      <c r="G225" s="36">
        <f>'GF + UG Iteration 8'!G225</f>
        <v>1.061095708813089</v>
      </c>
      <c r="H225" s="38">
        <f>'GF + UG Iteration 8'!H225</f>
        <v>2006</v>
      </c>
      <c r="I225" s="35">
        <f t="shared" si="20"/>
        <v>31.26</v>
      </c>
      <c r="J225" s="36">
        <f t="shared" si="21"/>
        <v>16.442329175110949</v>
      </c>
      <c r="K225" s="38">
        <f t="shared" si="22"/>
        <v>2006</v>
      </c>
      <c r="M225" s="21">
        <f t="shared" si="23"/>
        <v>3.4423393249933305</v>
      </c>
      <c r="N225" s="21">
        <f t="shared" si="24"/>
        <v>2.7998590569109347</v>
      </c>
    </row>
    <row r="226" spans="1:14" x14ac:dyDescent="0.2">
      <c r="A226" s="33">
        <f>'GF + UG Iteration 8'!A226</f>
        <v>1581</v>
      </c>
      <c r="B226" s="34" t="str">
        <f>'GF + UG Iteration 8'!B226</f>
        <v>UG</v>
      </c>
      <c r="C226" s="35">
        <f>'GF + UG Iteration 8'!C226</f>
        <v>7.44</v>
      </c>
      <c r="D226" s="36">
        <f>'GF + UG Iteration 8'!P$16*(C226^'GF + UG Iteration 8'!P$15)</f>
        <v>8.0613987054232776</v>
      </c>
      <c r="E226" s="37" t="str">
        <f>'GF + UG Iteration 8'!E226</f>
        <v>unknown</v>
      </c>
      <c r="F226" s="35">
        <f>'GF + UG Iteration 8'!F226</f>
        <v>9.36</v>
      </c>
      <c r="G226" s="36">
        <f>'GF + UG Iteration 8'!G226</f>
        <v>5.3848313505476417</v>
      </c>
      <c r="H226" s="38">
        <f>'GF + UG Iteration 8'!H226</f>
        <v>2015</v>
      </c>
      <c r="I226" s="35">
        <f t="shared" si="20"/>
        <v>16.8</v>
      </c>
      <c r="J226" s="36">
        <f t="shared" si="21"/>
        <v>13.446230055970918</v>
      </c>
      <c r="K226" s="38">
        <f t="shared" si="22"/>
        <v>2015</v>
      </c>
      <c r="M226" s="21">
        <f t="shared" si="23"/>
        <v>2.8213788864092133</v>
      </c>
      <c r="N226" s="21">
        <f t="shared" si="24"/>
        <v>2.5986987735219942</v>
      </c>
    </row>
    <row r="227" spans="1:14" x14ac:dyDescent="0.2">
      <c r="A227" s="33">
        <f>'GF + UG Iteration 8'!A227</f>
        <v>880</v>
      </c>
      <c r="B227" s="34" t="str">
        <f>'GF + UG Iteration 8'!B227</f>
        <v>UG</v>
      </c>
      <c r="C227" s="35">
        <f>'GF + UG Iteration 8'!C227</f>
        <v>8.9499999999999993</v>
      </c>
      <c r="D227" s="36">
        <f>'GF + UG Iteration 8'!P$16*(C227^'GF + UG Iteration 8'!P$15)</f>
        <v>8.9608290879241395</v>
      </c>
      <c r="E227" s="37">
        <f>'GF + UG Iteration 8'!E227</f>
        <v>1966</v>
      </c>
      <c r="F227" s="35">
        <f>'GF + UG Iteration 8'!F227</f>
        <v>2.0500000000000007</v>
      </c>
      <c r="G227" s="36">
        <f>'GF + UG Iteration 8'!G227</f>
        <v>4.5763928166345611</v>
      </c>
      <c r="H227" s="38">
        <f>'GF + UG Iteration 8'!H227</f>
        <v>2010</v>
      </c>
      <c r="I227" s="35">
        <f t="shared" si="20"/>
        <v>11</v>
      </c>
      <c r="J227" s="36">
        <f t="shared" si="21"/>
        <v>13.537221904558701</v>
      </c>
      <c r="K227" s="38">
        <f t="shared" si="22"/>
        <v>2010</v>
      </c>
      <c r="M227" s="21">
        <f t="shared" si="23"/>
        <v>2.3978952727983707</v>
      </c>
      <c r="N227" s="21">
        <f t="shared" si="24"/>
        <v>2.6054430695165651</v>
      </c>
    </row>
    <row r="228" spans="1:14" x14ac:dyDescent="0.2">
      <c r="A228" s="33">
        <f>'GF + UG Iteration 8'!A228</f>
        <v>1047</v>
      </c>
      <c r="B228" s="34" t="str">
        <f>'GF + UG Iteration 8'!B228</f>
        <v>UG</v>
      </c>
      <c r="C228" s="35">
        <f>'GF + UG Iteration 8'!C228</f>
        <v>10</v>
      </c>
      <c r="D228" s="36">
        <f>'GF + UG Iteration 8'!P$16*(C228^'GF + UG Iteration 8'!P$15)</f>
        <v>9.548304729099252</v>
      </c>
      <c r="E228" s="37">
        <f>'GF + UG Iteration 8'!E228</f>
        <v>1965</v>
      </c>
      <c r="F228" s="35">
        <f>'GF + UG Iteration 8'!F228</f>
        <v>5</v>
      </c>
      <c r="G228" s="36">
        <f>'GF + UG Iteration 8'!G228</f>
        <v>6.2586429220605622</v>
      </c>
      <c r="H228" s="38">
        <f>'GF + UG Iteration 8'!H228</f>
        <v>2012</v>
      </c>
      <c r="I228" s="35">
        <f t="shared" si="20"/>
        <v>15</v>
      </c>
      <c r="J228" s="36">
        <f t="shared" si="21"/>
        <v>15.806947651159813</v>
      </c>
      <c r="K228" s="38">
        <f t="shared" si="22"/>
        <v>2012</v>
      </c>
      <c r="M228" s="21">
        <f t="shared" si="23"/>
        <v>2.7080502011022101</v>
      </c>
      <c r="N228" s="21">
        <f t="shared" si="24"/>
        <v>2.7604495681392724</v>
      </c>
    </row>
    <row r="229" spans="1:14" x14ac:dyDescent="0.2">
      <c r="A229" s="33">
        <f>'GF + UG Iteration 8'!A229</f>
        <v>1045</v>
      </c>
      <c r="B229" s="34" t="str">
        <f>'GF + UG Iteration 8'!B229</f>
        <v>UG</v>
      </c>
      <c r="C229" s="35">
        <f>'GF + UG Iteration 8'!C229</f>
        <v>24.065999999999999</v>
      </c>
      <c r="D229" s="36">
        <f>'GF + UG Iteration 8'!P$16*(C229^'GF + UG Iteration 8'!P$15)</f>
        <v>15.785356572070906</v>
      </c>
      <c r="E229" s="37">
        <f>'GF + UG Iteration 8'!E229</f>
        <v>1971</v>
      </c>
      <c r="F229" s="35">
        <f>'GF + UG Iteration 8'!F229</f>
        <v>7.9340000000000011</v>
      </c>
      <c r="G229" s="36">
        <f>'GF + UG Iteration 8'!G229</f>
        <v>3.8009199870921253</v>
      </c>
      <c r="H229" s="38">
        <f>'GF + UG Iteration 8'!H229</f>
        <v>2011</v>
      </c>
      <c r="I229" s="35">
        <f t="shared" si="20"/>
        <v>32</v>
      </c>
      <c r="J229" s="36">
        <f t="shared" si="21"/>
        <v>19.586276559163032</v>
      </c>
      <c r="K229" s="38">
        <f t="shared" si="22"/>
        <v>2011</v>
      </c>
      <c r="M229" s="21">
        <f t="shared" si="23"/>
        <v>3.4657359027997265</v>
      </c>
      <c r="N229" s="21">
        <f t="shared" si="24"/>
        <v>2.9748291454461833</v>
      </c>
    </row>
    <row r="230" spans="1:14" x14ac:dyDescent="0.2">
      <c r="A230" s="33">
        <f>'GF + UG Iteration 8'!A230</f>
        <v>1616</v>
      </c>
      <c r="B230" s="34" t="str">
        <f>'GF + UG Iteration 8'!B230</f>
        <v>UG</v>
      </c>
      <c r="C230" s="35">
        <f>'GF + UG Iteration 8'!C230</f>
        <v>21.68</v>
      </c>
      <c r="D230" s="36">
        <f>'GF + UG Iteration 8'!P$16*(C230^'GF + UG Iteration 8'!P$15)</f>
        <v>14.869543594762382</v>
      </c>
      <c r="E230" s="37" t="str">
        <f>'GF + UG Iteration 8'!E230</f>
        <v>unknown</v>
      </c>
      <c r="F230" s="35">
        <f>'GF + UG Iteration 8'!F230</f>
        <v>25.75</v>
      </c>
      <c r="G230" s="36">
        <f>'GF + UG Iteration 8'!G230</f>
        <v>0.84818580502502572</v>
      </c>
      <c r="H230" s="38">
        <f>'GF + UG Iteration 8'!H230</f>
        <v>2015</v>
      </c>
      <c r="I230" s="35">
        <f t="shared" si="20"/>
        <v>47.43</v>
      </c>
      <c r="J230" s="36">
        <f t="shared" si="21"/>
        <v>15.717729399787407</v>
      </c>
      <c r="K230" s="38">
        <f t="shared" si="22"/>
        <v>2015</v>
      </c>
      <c r="M230" s="21">
        <f t="shared" si="23"/>
        <v>3.8592549398894902</v>
      </c>
      <c r="N230" s="21">
        <f t="shared" si="24"/>
        <v>2.7547893363514815</v>
      </c>
    </row>
    <row r="231" spans="1:14" x14ac:dyDescent="0.2">
      <c r="A231" s="33">
        <f>'GF + UG Iteration 8'!A231</f>
        <v>362</v>
      </c>
      <c r="B231" s="34" t="str">
        <f>'GF + UG Iteration 8'!B231</f>
        <v>UG</v>
      </c>
      <c r="C231" s="35">
        <f>'GF + UG Iteration 8'!C231</f>
        <v>51.8</v>
      </c>
      <c r="D231" s="36">
        <f>'GF + UG Iteration 8'!P$16*(C231^'GF + UG Iteration 8'!P$15)</f>
        <v>24.481165263701303</v>
      </c>
      <c r="E231" s="37">
        <f>'GF + UG Iteration 8'!E231</f>
        <v>1971</v>
      </c>
      <c r="F231" s="35">
        <f>'GF + UG Iteration 8'!F231</f>
        <v>1</v>
      </c>
      <c r="G231" s="36">
        <f>'GF + UG Iteration 8'!G231</f>
        <v>0.78848028183233532</v>
      </c>
      <c r="H231" s="38">
        <f>'GF + UG Iteration 8'!H231</f>
        <v>2004</v>
      </c>
      <c r="I231" s="35">
        <f t="shared" si="20"/>
        <v>52.8</v>
      </c>
      <c r="J231" s="36">
        <f t="shared" si="21"/>
        <v>25.269645545533638</v>
      </c>
      <c r="K231" s="38">
        <f t="shared" si="22"/>
        <v>2004</v>
      </c>
      <c r="M231" s="21">
        <f t="shared" si="23"/>
        <v>3.9665111907122159</v>
      </c>
      <c r="N231" s="21">
        <f t="shared" si="24"/>
        <v>3.2296038946113299</v>
      </c>
    </row>
    <row r="232" spans="1:14" x14ac:dyDescent="0.2">
      <c r="A232" s="33">
        <f>'GF + UG Iteration 8'!A232</f>
        <v>924</v>
      </c>
      <c r="B232" s="34" t="str">
        <f>'GF + UG Iteration 8'!B232</f>
        <v>UG</v>
      </c>
      <c r="C232" s="35">
        <f>'GF + UG Iteration 8'!C232</f>
        <v>45.94</v>
      </c>
      <c r="D232" s="36">
        <f>'GF + UG Iteration 8'!P$16*(C232^'GF + UG Iteration 8'!P$15)</f>
        <v>22.855258728553729</v>
      </c>
      <c r="E232" s="37">
        <f>'GF + UG Iteration 8'!E232</f>
        <v>1982</v>
      </c>
      <c r="F232" s="35">
        <f>'GF + UG Iteration 8'!F232</f>
        <v>6.0600000000000023</v>
      </c>
      <c r="G232" s="36">
        <f>'GF + UG Iteration 8'!G232</f>
        <v>1.4264307906682692</v>
      </c>
      <c r="H232" s="38">
        <f>'GF + UG Iteration 8'!H232</f>
        <v>2010</v>
      </c>
      <c r="I232" s="35">
        <f t="shared" si="20"/>
        <v>52</v>
      </c>
      <c r="J232" s="36">
        <f t="shared" si="21"/>
        <v>24.281689519221999</v>
      </c>
      <c r="K232" s="38">
        <f t="shared" si="22"/>
        <v>2010</v>
      </c>
      <c r="M232" s="21">
        <f t="shared" si="23"/>
        <v>3.9512437185814275</v>
      </c>
      <c r="N232" s="21">
        <f t="shared" si="24"/>
        <v>3.1897225485818366</v>
      </c>
    </row>
    <row r="233" spans="1:14" x14ac:dyDescent="0.2">
      <c r="A233" s="33">
        <f>'GF + UG Iteration 8'!A233</f>
        <v>1241</v>
      </c>
      <c r="B233" s="34" t="str">
        <f>'GF + UG Iteration 8'!B233</f>
        <v>UG</v>
      </c>
      <c r="C233" s="35">
        <f>'GF + UG Iteration 8'!C233</f>
        <v>20.29</v>
      </c>
      <c r="D233" s="36">
        <f>'GF + UG Iteration 8'!P$16*(C233^'GF + UG Iteration 8'!P$15)</f>
        <v>14.316096147336696</v>
      </c>
      <c r="E233" s="37" t="str">
        <f>'GF + UG Iteration 8'!E233</f>
        <v>unknown</v>
      </c>
      <c r="F233" s="35">
        <f>'GF + UG Iteration 8'!F233</f>
        <v>6</v>
      </c>
      <c r="G233" s="36">
        <f>'GF + UG Iteration 8'!G233</f>
        <v>2.625007735639064</v>
      </c>
      <c r="H233" s="38">
        <f>'GF + UG Iteration 8'!H233</f>
        <v>2012</v>
      </c>
      <c r="I233" s="35">
        <f t="shared" si="20"/>
        <v>26.29</v>
      </c>
      <c r="J233" s="36">
        <f t="shared" si="21"/>
        <v>16.94110388297576</v>
      </c>
      <c r="K233" s="38">
        <f t="shared" si="22"/>
        <v>2012</v>
      </c>
      <c r="M233" s="21">
        <f t="shared" si="23"/>
        <v>3.2691886387417899</v>
      </c>
      <c r="N233" s="21">
        <f t="shared" si="24"/>
        <v>2.8297428513850917</v>
      </c>
    </row>
    <row r="234" spans="1:14" x14ac:dyDescent="0.2">
      <c r="A234" s="33">
        <f>'GF + UG Iteration 8'!A234</f>
        <v>438</v>
      </c>
      <c r="B234" s="34" t="str">
        <f>'GF + UG Iteration 8'!B234</f>
        <v>UG</v>
      </c>
      <c r="C234" s="35">
        <f>'GF + UG Iteration 8'!C234</f>
        <v>8.2460000000000004</v>
      </c>
      <c r="D234" s="36">
        <f>'GF + UG Iteration 8'!P$16*(C234^'GF + UG Iteration 8'!P$15)</f>
        <v>8.5502970380161383</v>
      </c>
      <c r="E234" s="37">
        <f>'GF + UG Iteration 8'!E234</f>
        <v>1978</v>
      </c>
      <c r="F234" s="35">
        <f>'GF + UG Iteration 8'!F234</f>
        <v>1</v>
      </c>
      <c r="G234" s="36">
        <f>'GF + UG Iteration 8'!G234</f>
        <v>0.18095315250984781</v>
      </c>
      <c r="H234" s="38">
        <f>'GF + UG Iteration 8'!H234</f>
        <v>2004</v>
      </c>
      <c r="I234" s="35">
        <f t="shared" si="20"/>
        <v>9.2460000000000004</v>
      </c>
      <c r="J234" s="36">
        <f t="shared" si="21"/>
        <v>8.7312501905259854</v>
      </c>
      <c r="K234" s="38">
        <f t="shared" si="22"/>
        <v>2004</v>
      </c>
      <c r="M234" s="21">
        <f t="shared" si="23"/>
        <v>2.2241910255660335</v>
      </c>
      <c r="N234" s="21">
        <f t="shared" si="24"/>
        <v>2.1669085658442926</v>
      </c>
    </row>
    <row r="235" spans="1:14" x14ac:dyDescent="0.2">
      <c r="A235" s="33">
        <f>'GF + UG Iteration 8'!A235</f>
        <v>748</v>
      </c>
      <c r="B235" s="34" t="str">
        <f>'GF + UG Iteration 8'!B235</f>
        <v>UG</v>
      </c>
      <c r="C235" s="35">
        <f>'GF + UG Iteration 8'!C235</f>
        <v>25.541</v>
      </c>
      <c r="D235" s="36">
        <f>'GF + UG Iteration 8'!P$16*(C235^'GF + UG Iteration 8'!P$15)</f>
        <v>16.332122090578725</v>
      </c>
      <c r="E235" s="37">
        <f>'GF + UG Iteration 8'!E235</f>
        <v>1995</v>
      </c>
      <c r="F235" s="35">
        <f>'GF + UG Iteration 8'!F235</f>
        <v>1</v>
      </c>
      <c r="G235" s="36">
        <f>'GF + UG Iteration 8'!G235</f>
        <v>0.38858476644316492</v>
      </c>
      <c r="H235" s="38">
        <f>'GF + UG Iteration 8'!H235</f>
        <v>2008</v>
      </c>
      <c r="I235" s="35">
        <f t="shared" si="20"/>
        <v>26.541</v>
      </c>
      <c r="J235" s="36">
        <f t="shared" si="21"/>
        <v>16.720706857021892</v>
      </c>
      <c r="K235" s="38">
        <f t="shared" si="22"/>
        <v>2008</v>
      </c>
      <c r="M235" s="21">
        <f t="shared" si="23"/>
        <v>3.2786907071693587</v>
      </c>
      <c r="N235" s="21">
        <f t="shared" si="24"/>
        <v>2.8166478829006176</v>
      </c>
    </row>
    <row r="236" spans="1:14" x14ac:dyDescent="0.2">
      <c r="A236" s="33">
        <f>'GF + UG Iteration 8'!A236</f>
        <v>1319</v>
      </c>
      <c r="B236" s="34" t="str">
        <f>'GF + UG Iteration 8'!B236</f>
        <v>UG</v>
      </c>
      <c r="C236" s="35">
        <f>'GF + UG Iteration 8'!C236</f>
        <v>15.71</v>
      </c>
      <c r="D236" s="36">
        <f>'GF + UG Iteration 8'!P$16*(C236^'GF + UG Iteration 8'!P$15)</f>
        <v>12.365849656638595</v>
      </c>
      <c r="E236" s="37">
        <f>'GF + UG Iteration 8'!E236</f>
        <v>0</v>
      </c>
      <c r="F236" s="35">
        <f>'GF + UG Iteration 8'!F236</f>
        <v>4.2899999999999991</v>
      </c>
      <c r="G236" s="36">
        <f>'GF + UG Iteration 8'!G236</f>
        <v>3.2376779482440865</v>
      </c>
      <c r="H236" s="38">
        <f>'GF + UG Iteration 8'!H236</f>
        <v>2014</v>
      </c>
      <c r="I236" s="35">
        <f t="shared" si="20"/>
        <v>20</v>
      </c>
      <c r="J236" s="36">
        <f t="shared" si="21"/>
        <v>15.603527604882682</v>
      </c>
      <c r="K236" s="38">
        <f t="shared" si="22"/>
        <v>2014</v>
      </c>
      <c r="M236" s="21">
        <f t="shared" si="23"/>
        <v>2.9957322735539909</v>
      </c>
      <c r="N236" s="21">
        <f t="shared" si="24"/>
        <v>2.7474970172104123</v>
      </c>
    </row>
    <row r="237" spans="1:14" x14ac:dyDescent="0.2">
      <c r="A237" s="33">
        <f>'GF + UG Iteration 8'!A237</f>
        <v>892</v>
      </c>
      <c r="B237" s="34" t="str">
        <f>'GF + UG Iteration 8'!B237</f>
        <v>UG</v>
      </c>
      <c r="C237" s="35">
        <f>'GF + UG Iteration 8'!C237</f>
        <v>13.05</v>
      </c>
      <c r="D237" s="36">
        <f>'GF + UG Iteration 8'!P$16*(C237^'GF + UG Iteration 8'!P$15)</f>
        <v>11.120018881150477</v>
      </c>
      <c r="E237" s="37">
        <f>'GF + UG Iteration 8'!E237</f>
        <v>1972</v>
      </c>
      <c r="F237" s="35">
        <f>'GF + UG Iteration 8'!F237</f>
        <v>0</v>
      </c>
      <c r="G237" s="36">
        <f>'GF + UG Iteration 8'!G237</f>
        <v>3.2490818561124843</v>
      </c>
      <c r="H237" s="38">
        <f>'GF + UG Iteration 8'!H237</f>
        <v>2011</v>
      </c>
      <c r="I237" s="35">
        <f t="shared" si="20"/>
        <v>13.05</v>
      </c>
      <c r="J237" s="36">
        <f t="shared" si="21"/>
        <v>14.369100737262961</v>
      </c>
      <c r="K237" s="38">
        <f t="shared" si="22"/>
        <v>2011</v>
      </c>
      <c r="M237" s="21">
        <f t="shared" si="23"/>
        <v>2.5687881337687024</v>
      </c>
      <c r="N237" s="21">
        <f t="shared" si="24"/>
        <v>2.6650801189583118</v>
      </c>
    </row>
    <row r="238" spans="1:14" x14ac:dyDescent="0.2">
      <c r="A238" s="33">
        <f>'GF + UG Iteration 8'!A238</f>
        <v>504</v>
      </c>
      <c r="B238" s="34" t="str">
        <f>'GF + UG Iteration 8'!B238</f>
        <v>UG</v>
      </c>
      <c r="C238" s="35">
        <f>'GF + UG Iteration 8'!C238</f>
        <v>10.496</v>
      </c>
      <c r="D238" s="36">
        <f>'GF + UG Iteration 8'!P$16*(C238^'GF + UG Iteration 8'!P$15)</f>
        <v>9.8165977851920694</v>
      </c>
      <c r="E238" s="37">
        <f>'GF + UG Iteration 8'!E238</f>
        <v>2007</v>
      </c>
      <c r="F238" s="35">
        <f>'GF + UG Iteration 8'!F238</f>
        <v>0</v>
      </c>
      <c r="G238" s="36">
        <f>'GF + UG Iteration 8'!G238</f>
        <v>2.1923137026225539</v>
      </c>
      <c r="H238" s="38">
        <f>'GF + UG Iteration 8'!H238</f>
        <v>2006</v>
      </c>
      <c r="I238" s="35">
        <f t="shared" si="20"/>
        <v>10.496</v>
      </c>
      <c r="J238" s="36">
        <f t="shared" si="21"/>
        <v>12.008911487814624</v>
      </c>
      <c r="K238" s="38">
        <f t="shared" si="22"/>
        <v>2007</v>
      </c>
      <c r="M238" s="21">
        <f t="shared" si="23"/>
        <v>2.3509942322017334</v>
      </c>
      <c r="N238" s="21">
        <f t="shared" si="24"/>
        <v>2.4856489981638017</v>
      </c>
    </row>
    <row r="239" spans="1:14" x14ac:dyDescent="0.2">
      <c r="A239" s="33">
        <f>'GF + UG Iteration 8'!A239</f>
        <v>618</v>
      </c>
      <c r="B239" s="34" t="str">
        <f>'GF + UG Iteration 8'!B239</f>
        <v>UG</v>
      </c>
      <c r="C239" s="35">
        <f>'GF + UG Iteration 8'!C239</f>
        <v>11</v>
      </c>
      <c r="D239" s="36">
        <f>'GF + UG Iteration 8'!P$16*(C239^'GF + UG Iteration 8'!P$15)</f>
        <v>10.083720589086692</v>
      </c>
      <c r="E239" s="37">
        <f>'GF + UG Iteration 8'!E239</f>
        <v>1995</v>
      </c>
      <c r="F239" s="35">
        <f>'GF + UG Iteration 8'!F239</f>
        <v>11.5</v>
      </c>
      <c r="G239" s="36">
        <f>'GF + UG Iteration 8'!G239</f>
        <v>2.3464649770982668</v>
      </c>
      <c r="H239" s="38">
        <f>'GF + UG Iteration 8'!H239</f>
        <v>2006</v>
      </c>
      <c r="I239" s="35">
        <f t="shared" si="20"/>
        <v>22.5</v>
      </c>
      <c r="J239" s="36">
        <f t="shared" si="21"/>
        <v>12.430185566184958</v>
      </c>
      <c r="K239" s="38">
        <f t="shared" si="22"/>
        <v>2006</v>
      </c>
      <c r="M239" s="21">
        <f t="shared" si="23"/>
        <v>3.1135153092103742</v>
      </c>
      <c r="N239" s="21">
        <f t="shared" si="24"/>
        <v>2.5201278343078024</v>
      </c>
    </row>
    <row r="240" spans="1:14" x14ac:dyDescent="0.2">
      <c r="A240" s="33">
        <f>'GF + UG Iteration 8'!A240</f>
        <v>712</v>
      </c>
      <c r="B240" s="34" t="str">
        <f>'GF + UG Iteration 8'!B240</f>
        <v>UG</v>
      </c>
      <c r="C240" s="35">
        <f>'GF + UG Iteration 8'!C240</f>
        <v>7.5</v>
      </c>
      <c r="D240" s="36">
        <f>'GF + UG Iteration 8'!P$16*(C240^'GF + UG Iteration 8'!P$15)</f>
        <v>8.0985493819487093</v>
      </c>
      <c r="E240" s="37">
        <f>'GF + UG Iteration 8'!E240</f>
        <v>1980</v>
      </c>
      <c r="F240" s="35">
        <f>'GF + UG Iteration 8'!F240</f>
        <v>1</v>
      </c>
      <c r="G240" s="36">
        <f>'GF + UG Iteration 8'!G240</f>
        <v>7.8904141673966368</v>
      </c>
      <c r="H240" s="38">
        <f>'GF + UG Iteration 8'!H240</f>
        <v>2011</v>
      </c>
      <c r="I240" s="35">
        <f t="shared" si="20"/>
        <v>8.5</v>
      </c>
      <c r="J240" s="36">
        <f t="shared" si="21"/>
        <v>15.988963549345346</v>
      </c>
      <c r="K240" s="38">
        <f t="shared" si="22"/>
        <v>2011</v>
      </c>
      <c r="M240" s="21">
        <f t="shared" si="23"/>
        <v>2.1400661634962708</v>
      </c>
      <c r="N240" s="21">
        <f t="shared" si="24"/>
        <v>2.7718987060674523</v>
      </c>
    </row>
    <row r="241" spans="1:14" x14ac:dyDescent="0.2">
      <c r="A241" s="33">
        <f>'GF + UG Iteration 8'!A241</f>
        <v>726</v>
      </c>
      <c r="B241" s="34" t="str">
        <f>'GF + UG Iteration 8'!B241</f>
        <v>UG</v>
      </c>
      <c r="C241" s="35">
        <f>'GF + UG Iteration 8'!C241</f>
        <v>25.635400000000001</v>
      </c>
      <c r="D241" s="36">
        <f>'GF + UG Iteration 8'!P$16*(C241^'GF + UG Iteration 8'!P$15)</f>
        <v>16.366649068570542</v>
      </c>
      <c r="E241" s="37">
        <f>'GF + UG Iteration 8'!E241</f>
        <v>1982</v>
      </c>
      <c r="F241" s="35">
        <f>'GF + UG Iteration 8'!F241</f>
        <v>5.3645999999999994</v>
      </c>
      <c r="G241" s="36">
        <f>'GF + UG Iteration 8'!G241</f>
        <v>1.031633192087684</v>
      </c>
      <c r="H241" s="38">
        <f>'GF + UG Iteration 8'!H241</f>
        <v>2008</v>
      </c>
      <c r="I241" s="35">
        <f t="shared" si="20"/>
        <v>31</v>
      </c>
      <c r="J241" s="36">
        <f t="shared" si="21"/>
        <v>17.398282260658227</v>
      </c>
      <c r="K241" s="38">
        <f t="shared" si="22"/>
        <v>2008</v>
      </c>
      <c r="M241" s="21">
        <f t="shared" si="23"/>
        <v>3.4339872044851463</v>
      </c>
      <c r="N241" s="21">
        <f t="shared" si="24"/>
        <v>2.856371480695453</v>
      </c>
    </row>
    <row r="242" spans="1:14" x14ac:dyDescent="0.2">
      <c r="A242" s="33">
        <f>'GF + UG Iteration 8'!A242</f>
        <v>530</v>
      </c>
      <c r="B242" s="34" t="str">
        <f>'GF + UG Iteration 8'!B242</f>
        <v>UG</v>
      </c>
      <c r="C242" s="35">
        <f>'GF + UG Iteration 8'!C242</f>
        <v>25</v>
      </c>
      <c r="D242" s="36">
        <f>'GF + UG Iteration 8'!P$16*(C242^'GF + UG Iteration 8'!P$15)</f>
        <v>16.133188240342459</v>
      </c>
      <c r="E242" s="37">
        <f>'GF + UG Iteration 8'!E242</f>
        <v>1982</v>
      </c>
      <c r="F242" s="35">
        <f>'GF + UG Iteration 8'!F242</f>
        <v>20</v>
      </c>
      <c r="G242" s="36">
        <f>'GF + UG Iteration 8'!G242</f>
        <v>4.5022608459814819</v>
      </c>
      <c r="H242" s="38">
        <f>'GF + UG Iteration 8'!H242</f>
        <v>2006</v>
      </c>
      <c r="I242" s="35">
        <f t="shared" si="20"/>
        <v>45</v>
      </c>
      <c r="J242" s="36">
        <f t="shared" si="21"/>
        <v>20.635449086323941</v>
      </c>
      <c r="K242" s="38">
        <f t="shared" si="22"/>
        <v>2006</v>
      </c>
      <c r="M242" s="21">
        <f t="shared" si="23"/>
        <v>3.8066624897703196</v>
      </c>
      <c r="N242" s="21">
        <f t="shared" si="24"/>
        <v>3.0270104262981823</v>
      </c>
    </row>
    <row r="243" spans="1:14" x14ac:dyDescent="0.2">
      <c r="A243" s="33">
        <f>'GF + UG Iteration 8'!A243</f>
        <v>755</v>
      </c>
      <c r="B243" s="34" t="str">
        <f>'GF + UG Iteration 8'!B243</f>
        <v>UG</v>
      </c>
      <c r="C243" s="35">
        <f>'GF + UG Iteration 8'!C243</f>
        <v>8.6980000000000004</v>
      </c>
      <c r="D243" s="36">
        <f>'GF + UG Iteration 8'!P$16*(C243^'GF + UG Iteration 8'!P$15)</f>
        <v>8.815520256100168</v>
      </c>
      <c r="E243" s="37">
        <f>'GF + UG Iteration 8'!E243</f>
        <v>1983</v>
      </c>
      <c r="F243" s="35">
        <f>'GF + UG Iteration 8'!F243</f>
        <v>3.3019999999999996</v>
      </c>
      <c r="G243" s="36">
        <f>'GF + UG Iteration 8'!G243</f>
        <v>0.74649134624932623</v>
      </c>
      <c r="H243" s="38">
        <f>'GF + UG Iteration 8'!H243</f>
        <v>2008</v>
      </c>
      <c r="I243" s="35">
        <f t="shared" si="20"/>
        <v>12</v>
      </c>
      <c r="J243" s="36">
        <f t="shared" si="21"/>
        <v>9.5620116023494948</v>
      </c>
      <c r="K243" s="38">
        <f t="shared" si="22"/>
        <v>2008</v>
      </c>
      <c r="M243" s="21">
        <f t="shared" si="23"/>
        <v>2.4849066497880004</v>
      </c>
      <c r="N243" s="21">
        <f t="shared" si="24"/>
        <v>2.2577981235842146</v>
      </c>
    </row>
    <row r="244" spans="1:14" x14ac:dyDescent="0.2">
      <c r="A244" s="33">
        <f>'GF + UG Iteration 8'!A244</f>
        <v>1081</v>
      </c>
      <c r="B244" s="34" t="str">
        <f>'GF + UG Iteration 8'!B244</f>
        <v>UG</v>
      </c>
      <c r="C244" s="35">
        <f>'GF + UG Iteration 8'!C244</f>
        <v>12</v>
      </c>
      <c r="D244" s="36">
        <f>'GF + UG Iteration 8'!P$16*(C244^'GF + UG Iteration 8'!P$15)</f>
        <v>10.598690655890664</v>
      </c>
      <c r="E244" s="37">
        <f>'GF + UG Iteration 8'!E244</f>
        <v>1983</v>
      </c>
      <c r="F244" s="35">
        <f>'GF + UG Iteration 8'!F244</f>
        <v>4</v>
      </c>
      <c r="G244" s="36">
        <f>'GF + UG Iteration 8'!G244</f>
        <v>0.74615854172219498</v>
      </c>
      <c r="H244" s="38">
        <f>'GF + UG Iteration 8'!H244</f>
        <v>2010</v>
      </c>
      <c r="I244" s="35">
        <f t="shared" si="20"/>
        <v>16</v>
      </c>
      <c r="J244" s="36">
        <f t="shared" si="21"/>
        <v>11.344849197612859</v>
      </c>
      <c r="K244" s="38">
        <f t="shared" si="22"/>
        <v>2010</v>
      </c>
      <c r="M244" s="21">
        <f t="shared" si="23"/>
        <v>2.7725887222397811</v>
      </c>
      <c r="N244" s="21">
        <f t="shared" si="24"/>
        <v>2.42876382573384</v>
      </c>
    </row>
    <row r="245" spans="1:14" x14ac:dyDescent="0.2">
      <c r="A245" s="33">
        <f>'GF + UG Iteration 8'!A245</f>
        <v>307</v>
      </c>
      <c r="B245" s="34" t="str">
        <f>'GF + UG Iteration 8'!B245</f>
        <v>UG</v>
      </c>
      <c r="C245" s="35">
        <f>'GF + UG Iteration 8'!C245</f>
        <v>9.07</v>
      </c>
      <c r="D245" s="36">
        <f>'GF + UG Iteration 8'!P$16*(C245^'GF + UG Iteration 8'!P$15)</f>
        <v>9.0294082558319069</v>
      </c>
      <c r="E245" s="37">
        <f>'GF + UG Iteration 8'!E245</f>
        <v>1985</v>
      </c>
      <c r="F245" s="35">
        <f>'GF + UG Iteration 8'!F245</f>
        <v>1.0019999999999989</v>
      </c>
      <c r="G245" s="36">
        <f>'GF + UG Iteration 8'!G245</f>
        <v>2.5230801807757093</v>
      </c>
      <c r="H245" s="38">
        <f>'GF + UG Iteration 8'!H245</f>
        <v>2003</v>
      </c>
      <c r="I245" s="35">
        <f t="shared" si="20"/>
        <v>10.071999999999999</v>
      </c>
      <c r="J245" s="36">
        <f t="shared" si="21"/>
        <v>11.552488436607616</v>
      </c>
      <c r="K245" s="38">
        <f t="shared" si="22"/>
        <v>2003</v>
      </c>
      <c r="M245" s="21">
        <f t="shared" si="23"/>
        <v>2.3097592967420462</v>
      </c>
      <c r="N245" s="21">
        <f t="shared" si="24"/>
        <v>2.4469008628189242</v>
      </c>
    </row>
    <row r="246" spans="1:14" x14ac:dyDescent="0.2">
      <c r="A246" s="33">
        <f>'GF + UG Iteration 8'!A246</f>
        <v>1466</v>
      </c>
      <c r="B246" s="34" t="str">
        <f>'GF + UG Iteration 8'!B246</f>
        <v>UG</v>
      </c>
      <c r="C246" s="35">
        <f>'GF + UG Iteration 8'!C246</f>
        <v>10.07</v>
      </c>
      <c r="D246" s="36">
        <f>'GF + UG Iteration 8'!P$16*(C246^'GF + UG Iteration 8'!P$15)</f>
        <v>9.5865080055004714</v>
      </c>
      <c r="E246" s="37">
        <f>'GF + UG Iteration 8'!E246</f>
        <v>1985</v>
      </c>
      <c r="F246" s="35">
        <f>'GF + UG Iteration 8'!F246</f>
        <v>4.93</v>
      </c>
      <c r="G246" s="36">
        <f>'GF + UG Iteration 8'!G246</f>
        <v>4.634839878669343</v>
      </c>
      <c r="H246" s="38">
        <f>'GF + UG Iteration 8'!H246</f>
        <v>2015</v>
      </c>
      <c r="I246" s="35">
        <f t="shared" si="20"/>
        <v>15</v>
      </c>
      <c r="J246" s="36">
        <f t="shared" si="21"/>
        <v>14.221347884169814</v>
      </c>
      <c r="K246" s="38">
        <f t="shared" si="22"/>
        <v>2015</v>
      </c>
      <c r="M246" s="21">
        <f t="shared" si="23"/>
        <v>2.7080502011022101</v>
      </c>
      <c r="N246" s="21">
        <f t="shared" si="24"/>
        <v>2.6547442077993062</v>
      </c>
    </row>
    <row r="247" spans="1:14" x14ac:dyDescent="0.2">
      <c r="A247" s="33">
        <f>'GF + UG Iteration 8'!A247</f>
        <v>1091</v>
      </c>
      <c r="B247" s="34" t="str">
        <f>'GF + UG Iteration 8'!B247</f>
        <v>UG</v>
      </c>
      <c r="C247" s="35">
        <f>'GF + UG Iteration 8'!C247</f>
        <v>16.059999999999999</v>
      </c>
      <c r="D247" s="36">
        <f>'GF + UG Iteration 8'!P$16*(C247^'GF + UG Iteration 8'!P$15)</f>
        <v>12.522809546879136</v>
      </c>
      <c r="E247" s="37">
        <f>'GF + UG Iteration 8'!E247</f>
        <v>1982</v>
      </c>
      <c r="F247" s="35">
        <f>'GF + UG Iteration 8'!F247</f>
        <v>24.34</v>
      </c>
      <c r="G247" s="36">
        <f>'GF + UG Iteration 8'!G247</f>
        <v>7.6638380518522098</v>
      </c>
      <c r="H247" s="38">
        <f>'GF + UG Iteration 8'!H247</f>
        <v>2011</v>
      </c>
      <c r="I247" s="35">
        <f t="shared" ref="I247:I292" si="30">C247+F247</f>
        <v>40.4</v>
      </c>
      <c r="J247" s="36">
        <f t="shared" ref="J247:J292" si="31">D247+G247</f>
        <v>20.186647598731348</v>
      </c>
      <c r="K247" s="38">
        <f t="shared" ref="K247:K292" si="32">MAX(E247,H247)</f>
        <v>2011</v>
      </c>
      <c r="M247" s="21">
        <f t="shared" si="23"/>
        <v>3.6988297849671046</v>
      </c>
      <c r="N247" s="21">
        <f t="shared" si="24"/>
        <v>3.005021375879958</v>
      </c>
    </row>
    <row r="248" spans="1:14" x14ac:dyDescent="0.2">
      <c r="A248" s="33">
        <f>'GF + UG Iteration 8'!A248</f>
        <v>666</v>
      </c>
      <c r="B248" s="34" t="str">
        <f>'GF + UG Iteration 8'!B248</f>
        <v>UG</v>
      </c>
      <c r="C248" s="35">
        <f>'GF + UG Iteration 8'!C248</f>
        <v>25.92</v>
      </c>
      <c r="D248" s="36">
        <f>'GF + UG Iteration 8'!P$16*(C248^'GF + UG Iteration 8'!P$15)</f>
        <v>16.470414466774944</v>
      </c>
      <c r="E248" s="37">
        <f>'GF + UG Iteration 8'!E248</f>
        <v>1987</v>
      </c>
      <c r="F248" s="35">
        <f>'GF + UG Iteration 8'!F248</f>
        <v>14.079999999999998</v>
      </c>
      <c r="G248" s="36">
        <f>'GF + UG Iteration 8'!G248</f>
        <v>3.6887760601263184</v>
      </c>
      <c r="H248" s="38">
        <f>'GF + UG Iteration 8'!H248</f>
        <v>2008</v>
      </c>
      <c r="I248" s="35">
        <f t="shared" si="30"/>
        <v>40</v>
      </c>
      <c r="J248" s="36">
        <f t="shared" si="31"/>
        <v>20.159190526901263</v>
      </c>
      <c r="K248" s="38">
        <f t="shared" si="32"/>
        <v>2008</v>
      </c>
      <c r="M248" s="21">
        <f t="shared" ref="M248:M292" si="33">LN(I248)</f>
        <v>3.6888794541139363</v>
      </c>
      <c r="N248" s="21">
        <f t="shared" ref="N248:N292" si="34">LN(J248)</f>
        <v>3.0036602899615841</v>
      </c>
    </row>
    <row r="249" spans="1:14" x14ac:dyDescent="0.2">
      <c r="A249" s="33">
        <f>'GF + UG Iteration 8'!A249</f>
        <v>556</v>
      </c>
      <c r="B249" s="34" t="str">
        <f>'GF + UG Iteration 8'!B249</f>
        <v>UG</v>
      </c>
      <c r="C249" s="35">
        <f>'GF + UG Iteration 8'!C249</f>
        <v>8.6560000000000006</v>
      </c>
      <c r="D249" s="36">
        <f>'GF + UG Iteration 8'!P$16*(C249^'GF + UG Iteration 8'!P$15)</f>
        <v>8.7911280265263034</v>
      </c>
      <c r="E249" s="37">
        <f>'GF + UG Iteration 8'!E249</f>
        <v>1985</v>
      </c>
      <c r="F249" s="35">
        <f>'GF + UG Iteration 8'!F249</f>
        <v>4.3439999999999994</v>
      </c>
      <c r="G249" s="36">
        <f>'GF + UG Iteration 8'!G249</f>
        <v>3.2483692675760008</v>
      </c>
      <c r="H249" s="38">
        <f>'GF + UG Iteration 8'!H249</f>
        <v>2007</v>
      </c>
      <c r="I249" s="35">
        <f t="shared" si="30"/>
        <v>13</v>
      </c>
      <c r="J249" s="36">
        <f t="shared" si="31"/>
        <v>12.039497294102304</v>
      </c>
      <c r="K249" s="38">
        <f t="shared" si="32"/>
        <v>2007</v>
      </c>
      <c r="M249" s="21">
        <f t="shared" si="33"/>
        <v>2.5649493574615367</v>
      </c>
      <c r="N249" s="21">
        <f t="shared" si="34"/>
        <v>2.4881926860274586</v>
      </c>
    </row>
    <row r="250" spans="1:14" x14ac:dyDescent="0.2">
      <c r="A250" s="33">
        <f>'GF + UG Iteration 8'!A250</f>
        <v>452</v>
      </c>
      <c r="B250" s="34" t="str">
        <f>'GF + UG Iteration 8'!B250</f>
        <v>UG</v>
      </c>
      <c r="C250" s="35">
        <f>'GF + UG Iteration 8'!C250</f>
        <v>10.781000000000001</v>
      </c>
      <c r="D250" s="36">
        <f>'GF + UG Iteration 8'!P$16*(C250^'GF + UG Iteration 8'!P$15)</f>
        <v>9.9683064638317305</v>
      </c>
      <c r="E250" s="37">
        <f>'GF + UG Iteration 8'!E250</f>
        <v>1986</v>
      </c>
      <c r="F250" s="35">
        <f>'GF + UG Iteration 8'!F250</f>
        <v>3.6189999999999998</v>
      </c>
      <c r="G250" s="36">
        <f>'GF + UG Iteration 8'!G250</f>
        <v>3.4437072461958511</v>
      </c>
      <c r="H250" s="38">
        <f>'GF + UG Iteration 8'!H250</f>
        <v>2005</v>
      </c>
      <c r="I250" s="35">
        <f t="shared" si="30"/>
        <v>14.4</v>
      </c>
      <c r="J250" s="36">
        <f t="shared" si="31"/>
        <v>13.412013710027582</v>
      </c>
      <c r="K250" s="38">
        <f t="shared" si="32"/>
        <v>2005</v>
      </c>
      <c r="M250" s="21">
        <f t="shared" si="33"/>
        <v>2.6672282065819548</v>
      </c>
      <c r="N250" s="21">
        <f t="shared" si="34"/>
        <v>2.5961508508244244</v>
      </c>
    </row>
    <row r="251" spans="1:14" x14ac:dyDescent="0.2">
      <c r="A251" s="33">
        <f>'GF + UG Iteration 8'!A251</f>
        <v>613</v>
      </c>
      <c r="B251" s="34" t="str">
        <f>'GF + UG Iteration 8'!B251</f>
        <v>UG</v>
      </c>
      <c r="C251" s="35">
        <f>'GF + UG Iteration 8'!C251</f>
        <v>6.2</v>
      </c>
      <c r="D251" s="36">
        <f>'GF + UG Iteration 8'!P$16*(C251^'GF + UG Iteration 8'!P$15)</f>
        <v>7.2624717412020026</v>
      </c>
      <c r="E251" s="37">
        <f>'GF + UG Iteration 8'!E251</f>
        <v>1999</v>
      </c>
      <c r="F251" s="35">
        <f>'GF + UG Iteration 8'!F251</f>
        <v>2.2000000000000002</v>
      </c>
      <c r="G251" s="36">
        <f>'GF + UG Iteration 8'!G251</f>
        <v>0.43131820582676678</v>
      </c>
      <c r="H251" s="38">
        <f>'GF + UG Iteration 8'!H251</f>
        <v>2006</v>
      </c>
      <c r="I251" s="35">
        <f t="shared" si="30"/>
        <v>8.4</v>
      </c>
      <c r="J251" s="36">
        <f t="shared" si="31"/>
        <v>7.6937899470287689</v>
      </c>
      <c r="K251" s="38">
        <f t="shared" si="32"/>
        <v>2006</v>
      </c>
      <c r="M251" s="21">
        <f t="shared" si="33"/>
        <v>2.1282317058492679</v>
      </c>
      <c r="N251" s="21">
        <f t="shared" si="34"/>
        <v>2.0404135030773611</v>
      </c>
    </row>
    <row r="252" spans="1:14" x14ac:dyDescent="0.2">
      <c r="A252" s="33">
        <f>'GF + UG Iteration 8'!A252</f>
        <v>778</v>
      </c>
      <c r="B252" s="34" t="str">
        <f>'GF + UG Iteration 8'!B252</f>
        <v>UG</v>
      </c>
      <c r="C252" s="35">
        <f>'GF + UG Iteration 8'!C252</f>
        <v>0.1</v>
      </c>
      <c r="D252" s="36">
        <f>'GF + UG Iteration 8'!P$16*(C252^'GF + UG Iteration 8'!P$15)</f>
        <v>0.6840070624214335</v>
      </c>
      <c r="E252" s="37">
        <f>'GF + UG Iteration 8'!E252</f>
        <v>1988</v>
      </c>
      <c r="F252" s="35">
        <f>'GF + UG Iteration 8'!F252</f>
        <v>1.9</v>
      </c>
      <c r="G252" s="36">
        <f>'GF + UG Iteration 8'!G252</f>
        <v>0.48701021540648831</v>
      </c>
      <c r="H252" s="38">
        <f>'GF + UG Iteration 8'!H252</f>
        <v>2008</v>
      </c>
      <c r="I252" s="35">
        <f t="shared" si="30"/>
        <v>2</v>
      </c>
      <c r="J252" s="36">
        <f t="shared" si="31"/>
        <v>1.1710172778279218</v>
      </c>
      <c r="K252" s="38">
        <f t="shared" si="32"/>
        <v>2008</v>
      </c>
      <c r="M252" s="21">
        <f t="shared" si="33"/>
        <v>0.69314718055994529</v>
      </c>
      <c r="N252" s="21">
        <f t="shared" si="34"/>
        <v>0.15787283927011306</v>
      </c>
    </row>
    <row r="253" spans="1:14" x14ac:dyDescent="0.2">
      <c r="A253" s="33">
        <f>'GF + UG Iteration 8'!A253</f>
        <v>1571</v>
      </c>
      <c r="B253" s="34" t="str">
        <f>'GF + UG Iteration 8'!B253</f>
        <v>UG</v>
      </c>
      <c r="C253" s="35">
        <f>'GF + UG Iteration 8'!C253</f>
        <v>2</v>
      </c>
      <c r="D253" s="36">
        <f>'GF + UG Iteration 8'!P$16*(C253^'GF + UG Iteration 8'!P$15)</f>
        <v>3.8002562719281507</v>
      </c>
      <c r="E253" s="37">
        <f>'GF + UG Iteration 8'!E253</f>
        <v>1988</v>
      </c>
      <c r="F253" s="35">
        <f>'GF + UG Iteration 8'!F253</f>
        <v>11</v>
      </c>
      <c r="G253" s="36">
        <f>'GF + UG Iteration 8'!G253</f>
        <v>1.5920457896917759</v>
      </c>
      <c r="H253" s="38">
        <f>'GF + UG Iteration 8'!H253</f>
        <v>2016</v>
      </c>
      <c r="I253" s="35">
        <f t="shared" si="30"/>
        <v>13</v>
      </c>
      <c r="J253" s="36">
        <f t="shared" si="31"/>
        <v>5.3923020616199269</v>
      </c>
      <c r="K253" s="38">
        <f t="shared" si="32"/>
        <v>2016</v>
      </c>
      <c r="M253" s="21">
        <f t="shared" si="33"/>
        <v>2.5649493574615367</v>
      </c>
      <c r="N253" s="21">
        <f t="shared" si="34"/>
        <v>1.6849723923710309</v>
      </c>
    </row>
    <row r="254" spans="1:14" x14ac:dyDescent="0.2">
      <c r="A254" s="33">
        <f>'GF + UG Iteration 8'!A254</f>
        <v>525</v>
      </c>
      <c r="B254" s="34" t="str">
        <f>'GF + UG Iteration 8'!B254</f>
        <v>UG</v>
      </c>
      <c r="C254" s="35">
        <f>'GF + UG Iteration 8'!C254</f>
        <v>11.55</v>
      </c>
      <c r="D254" s="36">
        <f>'GF + UG Iteration 8'!P$16*(C254^'GF + UG Iteration 8'!P$15)</f>
        <v>10.369319446697844</v>
      </c>
      <c r="E254" s="37">
        <f>'GF + UG Iteration 8'!E254</f>
        <v>1995</v>
      </c>
      <c r="F254" s="35">
        <f>'GF + UG Iteration 8'!F254</f>
        <v>14</v>
      </c>
      <c r="G254" s="36">
        <f>'GF + UG Iteration 8'!G254</f>
        <v>2.107818995325883</v>
      </c>
      <c r="H254" s="38">
        <f>'GF + UG Iteration 8'!H254</f>
        <v>2006</v>
      </c>
      <c r="I254" s="35">
        <f t="shared" si="30"/>
        <v>25.55</v>
      </c>
      <c r="J254" s="36">
        <f t="shared" si="31"/>
        <v>12.477138442023726</v>
      </c>
      <c r="K254" s="38">
        <f t="shared" si="32"/>
        <v>2006</v>
      </c>
      <c r="M254" s="21">
        <f t="shared" si="33"/>
        <v>3.2406373166497136</v>
      </c>
      <c r="N254" s="21">
        <f t="shared" si="34"/>
        <v>2.5238980451454567</v>
      </c>
    </row>
    <row r="255" spans="1:14" x14ac:dyDescent="0.2">
      <c r="A255" s="33">
        <f>'GF + UG Iteration 8'!A255</f>
        <v>1324</v>
      </c>
      <c r="B255" s="34" t="str">
        <f>'GF + UG Iteration 8'!B255</f>
        <v>UG</v>
      </c>
      <c r="C255" s="35">
        <f>'GF + UG Iteration 8'!C255</f>
        <v>15.8</v>
      </c>
      <c r="D255" s="36">
        <f>'GF + UG Iteration 8'!P$16*(C255^'GF + UG Iteration 8'!P$15)</f>
        <v>12.406352364188537</v>
      </c>
      <c r="E255" s="37">
        <f>'GF + UG Iteration 8'!E255</f>
        <v>2012</v>
      </c>
      <c r="F255" s="35">
        <f>'GF + UG Iteration 8'!F255</f>
        <v>12.3</v>
      </c>
      <c r="G255" s="36">
        <f>'GF + UG Iteration 8'!G255</f>
        <v>2.2692987542218521</v>
      </c>
      <c r="H255" s="38">
        <f>'GF + UG Iteration 8'!H255</f>
        <v>2014</v>
      </c>
      <c r="I255" s="35">
        <f t="shared" si="30"/>
        <v>28.1</v>
      </c>
      <c r="J255" s="36">
        <f t="shared" si="31"/>
        <v>14.675651118410389</v>
      </c>
      <c r="K255" s="38">
        <f t="shared" si="32"/>
        <v>2014</v>
      </c>
      <c r="M255" s="21">
        <f t="shared" si="33"/>
        <v>3.3357695763396999</v>
      </c>
      <c r="N255" s="21">
        <f t="shared" si="34"/>
        <v>2.6861897339571588</v>
      </c>
    </row>
    <row r="256" spans="1:14" x14ac:dyDescent="0.2">
      <c r="A256" s="33">
        <f>'GF + UG Iteration 8'!A256</f>
        <v>511</v>
      </c>
      <c r="B256" s="34" t="str">
        <f>'GF + UG Iteration 8'!B256</f>
        <v>UG</v>
      </c>
      <c r="C256" s="35">
        <f>'GF + UG Iteration 8'!C256</f>
        <v>13.95</v>
      </c>
      <c r="D256" s="36">
        <f>'GF + UG Iteration 8'!P$16*(C256^'GF + UG Iteration 8'!P$15)</f>
        <v>11.552747873993463</v>
      </c>
      <c r="E256" s="37">
        <f>'GF + UG Iteration 8'!E256</f>
        <v>2004</v>
      </c>
      <c r="F256" s="35">
        <f>'GF + UG Iteration 8'!F256</f>
        <v>4.0500000000000007</v>
      </c>
      <c r="G256" s="36">
        <f>'GF + UG Iteration 8'!G256</f>
        <v>0.42903557118440139</v>
      </c>
      <c r="H256" s="38">
        <f>'GF + UG Iteration 8'!H256</f>
        <v>2004</v>
      </c>
      <c r="I256" s="35">
        <f t="shared" si="30"/>
        <v>18</v>
      </c>
      <c r="J256" s="36">
        <f t="shared" si="31"/>
        <v>11.981783445177864</v>
      </c>
      <c r="K256" s="38">
        <f t="shared" si="32"/>
        <v>2004</v>
      </c>
      <c r="M256" s="21">
        <f t="shared" si="33"/>
        <v>2.8903717578961645</v>
      </c>
      <c r="N256" s="21">
        <f t="shared" si="34"/>
        <v>2.4833874501532125</v>
      </c>
    </row>
    <row r="257" spans="1:14" x14ac:dyDescent="0.2">
      <c r="A257" s="33">
        <f>'GF + UG Iteration 8'!A257</f>
        <v>1094</v>
      </c>
      <c r="B257" s="34" t="str">
        <f>'GF + UG Iteration 8'!B257</f>
        <v>UG</v>
      </c>
      <c r="C257" s="35">
        <f>'GF + UG Iteration 8'!C257</f>
        <v>18</v>
      </c>
      <c r="D257" s="36">
        <f>'GF + UG Iteration 8'!P$16*(C257^'GF + UG Iteration 8'!P$15)</f>
        <v>13.367575218885092</v>
      </c>
      <c r="E257" s="37">
        <f>'GF + UG Iteration 8'!E257</f>
        <v>2004</v>
      </c>
      <c r="F257" s="35">
        <f>'GF + UG Iteration 8'!F257</f>
        <v>6</v>
      </c>
      <c r="G257" s="36">
        <f>'GF + UG Iteration 8'!G257</f>
        <v>1.0646458657975095</v>
      </c>
      <c r="H257" s="38">
        <f>'GF + UG Iteration 8'!H257</f>
        <v>2011</v>
      </c>
      <c r="I257" s="35">
        <f t="shared" si="30"/>
        <v>24</v>
      </c>
      <c r="J257" s="36">
        <f t="shared" si="31"/>
        <v>14.432221084682601</v>
      </c>
      <c r="K257" s="38">
        <f t="shared" si="32"/>
        <v>2011</v>
      </c>
      <c r="M257" s="21">
        <f t="shared" si="33"/>
        <v>3.1780538303479458</v>
      </c>
      <c r="N257" s="21">
        <f t="shared" si="34"/>
        <v>2.6694632822635338</v>
      </c>
    </row>
    <row r="258" spans="1:14" x14ac:dyDescent="0.2">
      <c r="A258" s="33">
        <f>'GF + UG Iteration 8'!A258</f>
        <v>775</v>
      </c>
      <c r="B258" s="34" t="str">
        <f>'GF + UG Iteration 8'!B258</f>
        <v>UG</v>
      </c>
      <c r="C258" s="35">
        <f>'GF + UG Iteration 8'!C258</f>
        <v>8</v>
      </c>
      <c r="D258" s="36">
        <f>'GF + UG Iteration 8'!P$16*(C258^'GF + UG Iteration 8'!P$15)</f>
        <v>8.4033373128558306</v>
      </c>
      <c r="E258" s="37">
        <f>'GF + UG Iteration 8'!E258</f>
        <v>2002</v>
      </c>
      <c r="F258" s="35">
        <f>'GF + UG Iteration 8'!F258</f>
        <v>7</v>
      </c>
      <c r="G258" s="36">
        <f>'GF + UG Iteration 8'!G258</f>
        <v>1.4058744428987999</v>
      </c>
      <c r="H258" s="38">
        <f>'GF + UG Iteration 8'!H258</f>
        <v>2008</v>
      </c>
      <c r="I258" s="35">
        <f t="shared" si="30"/>
        <v>15</v>
      </c>
      <c r="J258" s="36">
        <f t="shared" si="31"/>
        <v>9.8092117557546299</v>
      </c>
      <c r="K258" s="38">
        <f t="shared" si="32"/>
        <v>2008</v>
      </c>
      <c r="M258" s="21">
        <f t="shared" si="33"/>
        <v>2.7080502011022101</v>
      </c>
      <c r="N258" s="21">
        <f t="shared" si="34"/>
        <v>2.2833219192536007</v>
      </c>
    </row>
    <row r="259" spans="1:14" x14ac:dyDescent="0.2">
      <c r="A259" s="33">
        <f>'GF + UG Iteration 8'!A259</f>
        <v>1646</v>
      </c>
      <c r="B259" s="34" t="str">
        <f>'GF + UG Iteration 8'!B259</f>
        <v>UG</v>
      </c>
      <c r="C259" s="35">
        <f>'GF + UG Iteration 8'!C259</f>
        <v>2.88</v>
      </c>
      <c r="D259" s="36">
        <f>'GF + UG Iteration 8'!P$16*(C259^'GF + UG Iteration 8'!P$15)</f>
        <v>4.682359728950007</v>
      </c>
      <c r="E259" s="37" t="str">
        <f>'GF + UG Iteration 8'!E259</f>
        <v>unknown</v>
      </c>
      <c r="F259" s="35">
        <f>'GF + UG Iteration 8'!F259</f>
        <v>3.5200000000000005</v>
      </c>
      <c r="G259" s="36">
        <f>'GF + UG Iteration 8'!G259</f>
        <v>6.6895680450065891</v>
      </c>
      <c r="H259" s="38">
        <f>'GF + UG Iteration 8'!H259</f>
        <v>2016</v>
      </c>
      <c r="I259" s="35">
        <f t="shared" si="30"/>
        <v>6.4</v>
      </c>
      <c r="J259" s="36">
        <f t="shared" si="31"/>
        <v>11.371927773956596</v>
      </c>
      <c r="K259" s="38">
        <f t="shared" si="32"/>
        <v>2016</v>
      </c>
      <c r="M259" s="21">
        <f t="shared" si="33"/>
        <v>1.8562979903656263</v>
      </c>
      <c r="N259" s="21">
        <f t="shared" si="34"/>
        <v>2.4311478425512605</v>
      </c>
    </row>
    <row r="260" spans="1:14" x14ac:dyDescent="0.2">
      <c r="A260" s="33">
        <f>'GF + UG Iteration 8'!A260</f>
        <v>467</v>
      </c>
      <c r="B260" s="34" t="str">
        <f>'GF + UG Iteration 8'!B260</f>
        <v>UG</v>
      </c>
      <c r="C260" s="35">
        <f>'GF + UG Iteration 8'!C260</f>
        <v>5.7</v>
      </c>
      <c r="D260" s="36">
        <f>'GF + UG Iteration 8'!P$16*(C260^'GF + UG Iteration 8'!P$15)</f>
        <v>6.9211939669569231</v>
      </c>
      <c r="E260" s="37">
        <f>'GF + UG Iteration 8'!E260</f>
        <v>1996</v>
      </c>
      <c r="F260" s="35">
        <f>'GF + UG Iteration 8'!F260</f>
        <v>7.8999999999999995</v>
      </c>
      <c r="G260" s="36">
        <f>'GF + UG Iteration 8'!G260</f>
        <v>3.4855022233326953</v>
      </c>
      <c r="H260" s="38">
        <f>'GF + UG Iteration 8'!H260</f>
        <v>2005</v>
      </c>
      <c r="I260" s="35">
        <f t="shared" si="30"/>
        <v>13.6</v>
      </c>
      <c r="J260" s="36">
        <f t="shared" si="31"/>
        <v>10.406696190289619</v>
      </c>
      <c r="K260" s="38">
        <f t="shared" si="32"/>
        <v>2005</v>
      </c>
      <c r="M260" s="21">
        <f t="shared" si="33"/>
        <v>2.6100697927420065</v>
      </c>
      <c r="N260" s="21">
        <f t="shared" si="34"/>
        <v>2.3424494634064672</v>
      </c>
    </row>
    <row r="261" spans="1:14" x14ac:dyDescent="0.2">
      <c r="A261" s="33">
        <f>'GF + UG Iteration 8'!A261</f>
        <v>437</v>
      </c>
      <c r="B261" s="34" t="str">
        <f>'GF + UG Iteration 8'!B261</f>
        <v>UG</v>
      </c>
      <c r="C261" s="35">
        <f>'GF + UG Iteration 8'!C261</f>
        <v>23</v>
      </c>
      <c r="D261" s="36">
        <f>'GF + UG Iteration 8'!P$16*(C261^'GF + UG Iteration 8'!P$15)</f>
        <v>15.381233466297861</v>
      </c>
      <c r="E261" s="37">
        <f>'GF + UG Iteration 8'!E261</f>
        <v>2001</v>
      </c>
      <c r="F261" s="35">
        <f>'GF + UG Iteration 8'!F261</f>
        <v>17</v>
      </c>
      <c r="G261" s="36">
        <f>'GF + UG Iteration 8'!G261</f>
        <v>3.6313804067567292</v>
      </c>
      <c r="H261" s="38">
        <f>'GF + UG Iteration 8'!H261</f>
        <v>2008</v>
      </c>
      <c r="I261" s="35">
        <f t="shared" si="30"/>
        <v>40</v>
      </c>
      <c r="J261" s="36">
        <f t="shared" si="31"/>
        <v>19.01261387305459</v>
      </c>
      <c r="K261" s="38">
        <f t="shared" si="32"/>
        <v>2008</v>
      </c>
      <c r="M261" s="21">
        <f t="shared" si="33"/>
        <v>3.6888794541139363</v>
      </c>
      <c r="N261" s="21">
        <f t="shared" si="34"/>
        <v>2.9451026469457573</v>
      </c>
    </row>
    <row r="262" spans="1:14" x14ac:dyDescent="0.2">
      <c r="A262" s="33">
        <f>'GF + UG Iteration 8'!A262</f>
        <v>1233</v>
      </c>
      <c r="B262" s="34" t="str">
        <f>'GF + UG Iteration 8'!B262</f>
        <v>UG</v>
      </c>
      <c r="C262" s="35">
        <f>'GF + UG Iteration 8'!C262</f>
        <v>40</v>
      </c>
      <c r="D262" s="36">
        <f>'GF + UG Iteration 8'!P$16*(C262^'GF + UG Iteration 8'!P$15)</f>
        <v>21.113740669875149</v>
      </c>
      <c r="E262" s="37">
        <f>'GF + UG Iteration 8'!E262</f>
        <v>2001</v>
      </c>
      <c r="F262" s="35">
        <f>'GF + UG Iteration 8'!F262</f>
        <v>10</v>
      </c>
      <c r="G262" s="36">
        <f>'GF + UG Iteration 8'!G262</f>
        <v>3.8904117673360803</v>
      </c>
      <c r="H262" s="38">
        <f>'GF + UG Iteration 8'!H262</f>
        <v>2011</v>
      </c>
      <c r="I262" s="35">
        <f t="shared" si="30"/>
        <v>50</v>
      </c>
      <c r="J262" s="36">
        <f t="shared" si="31"/>
        <v>25.004152437211228</v>
      </c>
      <c r="K262" s="38">
        <f t="shared" si="32"/>
        <v>2011</v>
      </c>
      <c r="M262" s="21">
        <f t="shared" si="33"/>
        <v>3.912023005428146</v>
      </c>
      <c r="N262" s="21">
        <f t="shared" si="34"/>
        <v>3.2190419085639892</v>
      </c>
    </row>
    <row r="263" spans="1:14" x14ac:dyDescent="0.2">
      <c r="A263" s="33">
        <f>'GF + UG Iteration 8'!A263</f>
        <v>361</v>
      </c>
      <c r="B263" s="34" t="str">
        <f>'GF + UG Iteration 8'!B263</f>
        <v>UG</v>
      </c>
      <c r="C263" s="35">
        <f>'GF + UG Iteration 8'!C263</f>
        <v>12.22</v>
      </c>
      <c r="D263" s="36">
        <f>'GF + UG Iteration 8'!P$16*(C263^'GF + UG Iteration 8'!P$15)</f>
        <v>10.709487511377557</v>
      </c>
      <c r="E263" s="37">
        <f>'GF + UG Iteration 8'!E263</f>
        <v>1986</v>
      </c>
      <c r="F263" s="35">
        <f>'GF + UG Iteration 8'!F263</f>
        <v>12.999999999999998</v>
      </c>
      <c r="G263" s="36">
        <f>'GF + UG Iteration 8'!G263</f>
        <v>1.1719780512644304</v>
      </c>
      <c r="H263" s="38">
        <f>'GF + UG Iteration 8'!H263</f>
        <v>2002</v>
      </c>
      <c r="I263" s="35">
        <f t="shared" si="30"/>
        <v>25.22</v>
      </c>
      <c r="J263" s="36">
        <f t="shared" si="31"/>
        <v>11.881465562641987</v>
      </c>
      <c r="K263" s="38">
        <f t="shared" si="32"/>
        <v>2002</v>
      </c>
      <c r="M263" s="21">
        <f t="shared" si="33"/>
        <v>3.2276373305367736</v>
      </c>
      <c r="N263" s="21">
        <f t="shared" si="34"/>
        <v>2.474979670184557</v>
      </c>
    </row>
    <row r="264" spans="1:14" x14ac:dyDescent="0.2">
      <c r="A264" s="33">
        <f>'GF + UG Iteration 8'!A264</f>
        <v>645</v>
      </c>
      <c r="B264" s="34" t="str">
        <f>'GF + UG Iteration 8'!B264</f>
        <v>UG</v>
      </c>
      <c r="C264" s="35">
        <f>'GF + UG Iteration 8'!C264</f>
        <v>25.22</v>
      </c>
      <c r="D264" s="36">
        <f>'GF + UG Iteration 8'!P$16*(C264^'GF + UG Iteration 8'!P$15)</f>
        <v>16.214305453163785</v>
      </c>
      <c r="E264" s="37">
        <f>'GF + UG Iteration 8'!E264</f>
        <v>1986</v>
      </c>
      <c r="F264" s="35">
        <f>'GF + UG Iteration 8'!F264</f>
        <v>1</v>
      </c>
      <c r="G264" s="36">
        <f>'GF + UG Iteration 8'!G264</f>
        <v>0.22667756309168191</v>
      </c>
      <c r="H264" s="38">
        <f>'GF + UG Iteration 8'!H264</f>
        <v>2006</v>
      </c>
      <c r="I264" s="35">
        <f t="shared" si="30"/>
        <v>26.22</v>
      </c>
      <c r="J264" s="36">
        <f t="shared" si="31"/>
        <v>16.440983016255466</v>
      </c>
      <c r="K264" s="38">
        <f t="shared" si="32"/>
        <v>2006</v>
      </c>
      <c r="M264" s="21">
        <f t="shared" si="33"/>
        <v>3.2665224783355535</v>
      </c>
      <c r="N264" s="21">
        <f t="shared" si="34"/>
        <v>2.7997771820165567</v>
      </c>
    </row>
    <row r="265" spans="1:14" x14ac:dyDescent="0.2">
      <c r="A265" s="33">
        <f>'GF + UG Iteration 8'!A265</f>
        <v>720</v>
      </c>
      <c r="B265" s="34" t="str">
        <f>'GF + UG Iteration 8'!B265</f>
        <v>UG</v>
      </c>
      <c r="C265" s="35">
        <f>'GF + UG Iteration 8'!C265</f>
        <v>5.29</v>
      </c>
      <c r="D265" s="36">
        <f>'GF + UG Iteration 8'!P$16*(C265^'GF + UG Iteration 8'!P$15)</f>
        <v>6.6316747039015569</v>
      </c>
      <c r="E265" s="37">
        <f>'GF + UG Iteration 8'!E265</f>
        <v>1974</v>
      </c>
      <c r="F265" s="35">
        <f>'GF + UG Iteration 8'!F265</f>
        <v>3.9099999999999993</v>
      </c>
      <c r="G265" s="36">
        <f>'GF + UG Iteration 8'!G265</f>
        <v>3.214674226156069</v>
      </c>
      <c r="H265" s="38">
        <f>'GF + UG Iteration 8'!H265</f>
        <v>2009</v>
      </c>
      <c r="I265" s="35">
        <f t="shared" si="30"/>
        <v>9.1999999999999993</v>
      </c>
      <c r="J265" s="36">
        <f t="shared" si="31"/>
        <v>9.8463489300576263</v>
      </c>
      <c r="K265" s="38">
        <f t="shared" si="32"/>
        <v>2009</v>
      </c>
      <c r="M265" s="21">
        <f t="shared" si="33"/>
        <v>2.2192034840549946</v>
      </c>
      <c r="N265" s="21">
        <f t="shared" si="34"/>
        <v>2.2871007194707791</v>
      </c>
    </row>
    <row r="266" spans="1:14" x14ac:dyDescent="0.2">
      <c r="A266" s="33">
        <f>'GF + UG Iteration 8'!A266</f>
        <v>1554</v>
      </c>
      <c r="B266" s="34" t="str">
        <f>'GF + UG Iteration 8'!B266</f>
        <v>UG</v>
      </c>
      <c r="C266" s="35">
        <f>'GF + UG Iteration 8'!C266</f>
        <v>18</v>
      </c>
      <c r="D266" s="36">
        <f>'GF + UG Iteration 8'!P$16*(C266^'GF + UG Iteration 8'!P$15)</f>
        <v>13.367575218885092</v>
      </c>
      <c r="E266" s="37">
        <f>'GF + UG Iteration 8'!E266</f>
        <v>2013</v>
      </c>
      <c r="F266" s="35">
        <f>'GF + UG Iteration 8'!F266</f>
        <v>13</v>
      </c>
      <c r="G266" s="36">
        <f>'GF + UG Iteration 8'!G266</f>
        <v>4.0040929633677633</v>
      </c>
      <c r="H266" s="38">
        <f>'GF + UG Iteration 8'!H266</f>
        <v>2015</v>
      </c>
      <c r="I266" s="35">
        <f t="shared" si="30"/>
        <v>31</v>
      </c>
      <c r="J266" s="36">
        <f t="shared" si="31"/>
        <v>17.371668182252854</v>
      </c>
      <c r="K266" s="38">
        <f t="shared" si="32"/>
        <v>2015</v>
      </c>
      <c r="M266" s="21">
        <f t="shared" si="33"/>
        <v>3.4339872044851463</v>
      </c>
      <c r="N266" s="21">
        <f t="shared" si="34"/>
        <v>2.8548406137678919</v>
      </c>
    </row>
    <row r="267" spans="1:14" x14ac:dyDescent="0.2">
      <c r="A267" s="33">
        <f>'GF + UG Iteration 8'!A267</f>
        <v>1570</v>
      </c>
      <c r="B267" s="34" t="str">
        <f>'GF + UG Iteration 8'!B267</f>
        <v>UG</v>
      </c>
      <c r="C267" s="35">
        <f>'GF + UG Iteration 8'!C267</f>
        <v>12</v>
      </c>
      <c r="D267" s="36">
        <f>'GF + UG Iteration 8'!P$16*(C267^'GF + UG Iteration 8'!P$15)</f>
        <v>10.598690655890664</v>
      </c>
      <c r="E267" s="37">
        <f>'GF + UG Iteration 8'!E267</f>
        <v>0</v>
      </c>
      <c r="F267" s="35">
        <f>'GF + UG Iteration 8'!F267</f>
        <v>7</v>
      </c>
      <c r="G267" s="36">
        <f>'GF + UG Iteration 8'!G267</f>
        <v>5.7128729653456798</v>
      </c>
      <c r="H267" s="38">
        <f>'GF + UG Iteration 8'!H267</f>
        <v>2016</v>
      </c>
      <c r="I267" s="35">
        <f t="shared" si="30"/>
        <v>19</v>
      </c>
      <c r="J267" s="36">
        <f t="shared" si="31"/>
        <v>16.311563621236346</v>
      </c>
      <c r="K267" s="38">
        <f t="shared" si="32"/>
        <v>2016</v>
      </c>
      <c r="M267" s="21">
        <f t="shared" si="33"/>
        <v>2.9444389791664403</v>
      </c>
      <c r="N267" s="21">
        <f t="shared" si="34"/>
        <v>2.7918742809057511</v>
      </c>
    </row>
    <row r="268" spans="1:14" x14ac:dyDescent="0.2">
      <c r="A268" s="33">
        <f>'GF + UG Iteration 8'!A268</f>
        <v>1280</v>
      </c>
      <c r="B268" s="34" t="str">
        <f>'GF + UG Iteration 8'!B268</f>
        <v>UG</v>
      </c>
      <c r="C268" s="35">
        <f>'GF + UG Iteration 8'!C268</f>
        <v>10</v>
      </c>
      <c r="D268" s="36">
        <f>'GF + UG Iteration 8'!P$16*(C268^'GF + UG Iteration 8'!P$15)</f>
        <v>9.548304729099252</v>
      </c>
      <c r="E268" s="37">
        <f>'GF + UG Iteration 8'!E268</f>
        <v>0</v>
      </c>
      <c r="F268" s="35">
        <f>'GF + UG Iteration 8'!F268</f>
        <v>10</v>
      </c>
      <c r="G268" s="36">
        <f>'GF + UG Iteration 8'!G268</f>
        <v>3.9567117678399111</v>
      </c>
      <c r="H268" s="38">
        <f>'GF + UG Iteration 8'!H268</f>
        <v>2013</v>
      </c>
      <c r="I268" s="35">
        <f t="shared" si="30"/>
        <v>20</v>
      </c>
      <c r="J268" s="36">
        <f t="shared" si="31"/>
        <v>13.505016496939163</v>
      </c>
      <c r="K268" s="38">
        <f t="shared" si="32"/>
        <v>2013</v>
      </c>
      <c r="M268" s="21">
        <f t="shared" si="33"/>
        <v>2.9957322735539909</v>
      </c>
      <c r="N268" s="21">
        <f t="shared" si="34"/>
        <v>2.6030612087869032</v>
      </c>
    </row>
    <row r="269" spans="1:14" x14ac:dyDescent="0.2">
      <c r="A269" s="33">
        <f>'GF + UG Iteration 8'!A269</f>
        <v>659</v>
      </c>
      <c r="B269" s="34" t="str">
        <f>'GF + UG Iteration 8'!B269</f>
        <v>UG</v>
      </c>
      <c r="C269" s="35">
        <f>'GF + UG Iteration 8'!C269</f>
        <v>51</v>
      </c>
      <c r="D269" s="36">
        <f>'GF + UG Iteration 8'!P$16*(C269^'GF + UG Iteration 8'!P$15)</f>
        <v>24.264015682333671</v>
      </c>
      <c r="E269" s="37">
        <f>'GF + UG Iteration 8'!E269</f>
        <v>1974</v>
      </c>
      <c r="F269" s="35">
        <f>'GF + UG Iteration 8'!F269</f>
        <v>7</v>
      </c>
      <c r="G269" s="36">
        <f>'GF + UG Iteration 8'!G269</f>
        <v>0.19038861907506671</v>
      </c>
      <c r="H269" s="38">
        <f>'GF + UG Iteration 8'!H269</f>
        <v>2006</v>
      </c>
      <c r="I269" s="35">
        <f t="shared" si="30"/>
        <v>58</v>
      </c>
      <c r="J269" s="36">
        <f t="shared" si="31"/>
        <v>24.454404301408736</v>
      </c>
      <c r="K269" s="38">
        <f t="shared" si="32"/>
        <v>2006</v>
      </c>
      <c r="M269" s="21">
        <f t="shared" si="33"/>
        <v>4.0604430105464191</v>
      </c>
      <c r="N269" s="21">
        <f t="shared" si="34"/>
        <v>3.1968103347254573</v>
      </c>
    </row>
    <row r="270" spans="1:14" x14ac:dyDescent="0.2">
      <c r="A270" s="33">
        <f>'GF + UG Iteration 8'!A270</f>
        <v>1240</v>
      </c>
      <c r="B270" s="34" t="str">
        <f>'GF + UG Iteration 8'!B270</f>
        <v>UG</v>
      </c>
      <c r="C270" s="35">
        <f>'GF + UG Iteration 8'!C270</f>
        <v>9</v>
      </c>
      <c r="D270" s="36">
        <f>'GF + UG Iteration 8'!P$16*(C270^'GF + UG Iteration 8'!P$15)</f>
        <v>8.9894512267861124</v>
      </c>
      <c r="E270" s="37">
        <f>'GF + UG Iteration 8'!E270</f>
        <v>0</v>
      </c>
      <c r="F270" s="35">
        <f>'GF + UG Iteration 8'!F270</f>
        <v>12</v>
      </c>
      <c r="G270" s="36">
        <f>'GF + UG Iteration 8'!G270</f>
        <v>2.4762389627807444</v>
      </c>
      <c r="H270" s="38">
        <f>'GF + UG Iteration 8'!H270</f>
        <v>2013</v>
      </c>
      <c r="I270" s="35">
        <f t="shared" si="30"/>
        <v>21</v>
      </c>
      <c r="J270" s="36">
        <f t="shared" si="31"/>
        <v>11.465690189566857</v>
      </c>
      <c r="K270" s="38">
        <f t="shared" si="32"/>
        <v>2013</v>
      </c>
      <c r="M270" s="21">
        <f t="shared" si="33"/>
        <v>3.044522437723423</v>
      </c>
      <c r="N270" s="21">
        <f t="shared" si="34"/>
        <v>2.4393591141984929</v>
      </c>
    </row>
    <row r="271" spans="1:14" x14ac:dyDescent="0.2">
      <c r="A271" s="33">
        <f>'GF + UG Iteration 8'!A271</f>
        <v>317</v>
      </c>
      <c r="B271" s="34" t="str">
        <f>'GF + UG Iteration 8'!B271</f>
        <v>UG</v>
      </c>
      <c r="C271" s="35">
        <f>'GF + UG Iteration 8'!C271</f>
        <v>26.67</v>
      </c>
      <c r="D271" s="36">
        <f>'GF + UG Iteration 8'!P$16*(C271^'GF + UG Iteration 8'!P$15)</f>
        <v>16.741556646688906</v>
      </c>
      <c r="E271" s="37">
        <f>'GF + UG Iteration 8'!E271</f>
        <v>1978</v>
      </c>
      <c r="F271" s="35">
        <f>'GF + UG Iteration 8'!F271</f>
        <v>8.4600000000000009</v>
      </c>
      <c r="G271" s="36">
        <f>'GF + UG Iteration 8'!G271</f>
        <v>3.7336154837609361</v>
      </c>
      <c r="H271" s="38">
        <f>'GF + UG Iteration 8'!H271</f>
        <v>2002</v>
      </c>
      <c r="I271" s="35">
        <f t="shared" si="30"/>
        <v>35.130000000000003</v>
      </c>
      <c r="J271" s="36">
        <f t="shared" si="31"/>
        <v>20.475172130449842</v>
      </c>
      <c r="K271" s="38">
        <f t="shared" si="32"/>
        <v>2002</v>
      </c>
      <c r="M271" s="21">
        <f t="shared" si="33"/>
        <v>3.5590554662777358</v>
      </c>
      <c r="N271" s="21">
        <f t="shared" si="34"/>
        <v>3.0192130365633729</v>
      </c>
    </row>
    <row r="272" spans="1:14" x14ac:dyDescent="0.2">
      <c r="A272" s="33">
        <f>'GF + UG Iteration 8'!A272</f>
        <v>1510</v>
      </c>
      <c r="B272" s="34" t="str">
        <f>'GF + UG Iteration 8'!B272</f>
        <v>UG</v>
      </c>
      <c r="C272" s="35">
        <f>'GF + UG Iteration 8'!C272</f>
        <v>35.130000000000003</v>
      </c>
      <c r="D272" s="36">
        <f>'GF + UG Iteration 8'!P$16*(C272^'GF + UG Iteration 8'!P$15)</f>
        <v>19.601547765268819</v>
      </c>
      <c r="E272" s="37">
        <f>'GF + UG Iteration 8'!E272</f>
        <v>1978</v>
      </c>
      <c r="F272" s="35">
        <f>'GF + UG Iteration 8'!F272</f>
        <v>0</v>
      </c>
      <c r="G272" s="36">
        <f>'GF + UG Iteration 8'!G272</f>
        <v>1.0378442790997116</v>
      </c>
      <c r="H272" s="38">
        <f>'GF + UG Iteration 8'!H272</f>
        <v>2014</v>
      </c>
      <c r="I272" s="35">
        <f t="shared" si="30"/>
        <v>35.130000000000003</v>
      </c>
      <c r="J272" s="36">
        <f t="shared" si="31"/>
        <v>20.639392044368531</v>
      </c>
      <c r="K272" s="38">
        <f t="shared" si="32"/>
        <v>2014</v>
      </c>
      <c r="M272" s="21">
        <f t="shared" si="33"/>
        <v>3.5590554662777358</v>
      </c>
      <c r="N272" s="21">
        <f t="shared" si="34"/>
        <v>3.0272014849648459</v>
      </c>
    </row>
    <row r="273" spans="1:14" x14ac:dyDescent="0.2">
      <c r="A273" s="33">
        <f>'GF + UG Iteration 8'!A273</f>
        <v>1678</v>
      </c>
      <c r="B273" s="34" t="str">
        <f>'GF + UG Iteration 8'!B273</f>
        <v>UG</v>
      </c>
      <c r="C273" s="35">
        <f>'GF + UG Iteration 8'!C273</f>
        <v>71.19</v>
      </c>
      <c r="D273" s="36">
        <f>'GF + UG Iteration 8'!P$16*(C273^'GF + UG Iteration 8'!P$15)</f>
        <v>29.368306090913784</v>
      </c>
      <c r="E273" s="37">
        <f>'GF + UG Iteration 8'!E273</f>
        <v>0</v>
      </c>
      <c r="F273" s="35">
        <f>'GF + UG Iteration 8'!F273</f>
        <v>3.8100000000000023</v>
      </c>
      <c r="G273" s="36">
        <f>'GF + UG Iteration 8'!G273</f>
        <v>0.1876880715541229</v>
      </c>
      <c r="H273" s="38">
        <f>'GF + UG Iteration 8'!H273</f>
        <v>2015</v>
      </c>
      <c r="I273" s="35">
        <f t="shared" si="30"/>
        <v>75</v>
      </c>
      <c r="J273" s="36">
        <f t="shared" si="31"/>
        <v>29.555994162467908</v>
      </c>
      <c r="K273" s="38">
        <f t="shared" si="32"/>
        <v>2015</v>
      </c>
      <c r="M273" s="21">
        <f t="shared" si="33"/>
        <v>4.3174881135363101</v>
      </c>
      <c r="N273" s="21">
        <f t="shared" si="34"/>
        <v>3.3862865714188675</v>
      </c>
    </row>
    <row r="274" spans="1:14" x14ac:dyDescent="0.2">
      <c r="A274" s="33">
        <f>'GF + UG Iteration 8'!A274</f>
        <v>409</v>
      </c>
      <c r="B274" s="34" t="str">
        <f>'GF + UG Iteration 8'!B274</f>
        <v>UG</v>
      </c>
      <c r="C274" s="35">
        <f>'GF + UG Iteration 8'!C274</f>
        <v>50.9</v>
      </c>
      <c r="D274" s="36">
        <f>'GF + UG Iteration 8'!P$16*(C274^'GF + UG Iteration 8'!P$15)</f>
        <v>24.236769903582132</v>
      </c>
      <c r="E274" s="37" t="str">
        <f>'GF + UG Iteration 8'!E274</f>
        <v>unknown</v>
      </c>
      <c r="F274" s="35">
        <f>'GF + UG Iteration 8'!F274</f>
        <v>0</v>
      </c>
      <c r="G274" s="36">
        <f>'GF + UG Iteration 8'!G274</f>
        <v>6.9500275644125207</v>
      </c>
      <c r="H274" s="38">
        <f>'GF + UG Iteration 8'!H274</f>
        <v>2004</v>
      </c>
      <c r="I274" s="35">
        <f t="shared" si="30"/>
        <v>50.9</v>
      </c>
      <c r="J274" s="36">
        <f t="shared" si="31"/>
        <v>31.186797467994651</v>
      </c>
      <c r="K274" s="38">
        <f t="shared" si="32"/>
        <v>2004</v>
      </c>
      <c r="M274" s="21">
        <f t="shared" si="33"/>
        <v>3.929862923556477</v>
      </c>
      <c r="N274" s="21">
        <f t="shared" si="34"/>
        <v>3.4399948471816977</v>
      </c>
    </row>
    <row r="275" spans="1:14" x14ac:dyDescent="0.2">
      <c r="A275" s="33">
        <f>'GF + UG Iteration 8'!A275</f>
        <v>620</v>
      </c>
      <c r="B275" s="34" t="str">
        <f>'GF + UG Iteration 8'!B275</f>
        <v>UG</v>
      </c>
      <c r="C275" s="35">
        <f>'GF + UG Iteration 8'!C275</f>
        <v>66.040000000000006</v>
      </c>
      <c r="D275" s="36">
        <f>'GF + UG Iteration 8'!P$16*(C275^'GF + UG Iteration 8'!P$15)</f>
        <v>28.132657511106892</v>
      </c>
      <c r="E275" s="37" t="str">
        <f>'GF + UG Iteration 8'!E275</f>
        <v>unknown</v>
      </c>
      <c r="F275" s="35">
        <f>'GF + UG Iteration 8'!F275</f>
        <v>1</v>
      </c>
      <c r="G275" s="36">
        <f>'GF + UG Iteration 8'!G275</f>
        <v>5.2327101351069411E-2</v>
      </c>
      <c r="H275" s="38">
        <f>'GF + UG Iteration 8'!H275</f>
        <v>2006</v>
      </c>
      <c r="I275" s="35">
        <f t="shared" si="30"/>
        <v>67.040000000000006</v>
      </c>
      <c r="J275" s="36">
        <f t="shared" si="31"/>
        <v>28.18498461245796</v>
      </c>
      <c r="K275" s="38">
        <f t="shared" si="32"/>
        <v>2006</v>
      </c>
      <c r="M275" s="21">
        <f t="shared" si="33"/>
        <v>4.2052894561738281</v>
      </c>
      <c r="N275" s="21">
        <f t="shared" si="34"/>
        <v>3.3387893755854723</v>
      </c>
    </row>
    <row r="276" spans="1:14" x14ac:dyDescent="0.2">
      <c r="A276" s="33">
        <f>'GF + UG Iteration 8'!A276</f>
        <v>1085</v>
      </c>
      <c r="B276" s="34" t="str">
        <f>'GF + UG Iteration 8'!B276</f>
        <v>UG</v>
      </c>
      <c r="C276" s="35">
        <f>'GF + UG Iteration 8'!C276</f>
        <v>67.040000000000006</v>
      </c>
      <c r="D276" s="36">
        <f>'GF + UG Iteration 8'!P$16*(C276^'GF + UG Iteration 8'!P$15)</f>
        <v>28.375726825841763</v>
      </c>
      <c r="E276" s="37" t="str">
        <f>'GF + UG Iteration 8'!E276</f>
        <v>unknown</v>
      </c>
      <c r="F276" s="35">
        <f>'GF + UG Iteration 8'!F276</f>
        <v>2</v>
      </c>
      <c r="G276" s="36">
        <f>'GF + UG Iteration 8'!G276</f>
        <v>7.9312358901564406E-2</v>
      </c>
      <c r="H276" s="38">
        <f>'GF + UG Iteration 8'!H276</f>
        <v>2010</v>
      </c>
      <c r="I276" s="35">
        <f t="shared" si="30"/>
        <v>69.040000000000006</v>
      </c>
      <c r="J276" s="36">
        <f t="shared" si="31"/>
        <v>28.455039184743327</v>
      </c>
      <c r="K276" s="38">
        <f t="shared" si="32"/>
        <v>2010</v>
      </c>
      <c r="M276" s="21">
        <f t="shared" si="33"/>
        <v>4.234686046775173</v>
      </c>
      <c r="N276" s="21">
        <f t="shared" si="34"/>
        <v>3.3483252691317467</v>
      </c>
    </row>
    <row r="277" spans="1:14" x14ac:dyDescent="0.2">
      <c r="A277" s="33">
        <f>'GF + UG Iteration 8'!A277</f>
        <v>589</v>
      </c>
      <c r="B277" s="34" t="str">
        <f>'GF + UG Iteration 8'!B277</f>
        <v>UG</v>
      </c>
      <c r="C277" s="35">
        <f>'GF + UG Iteration 8'!C277</f>
        <v>36.963000000000001</v>
      </c>
      <c r="D277" s="36">
        <f>'GF + UG Iteration 8'!P$16*(C277^'GF + UG Iteration 8'!P$15)</f>
        <v>20.180636974618405</v>
      </c>
      <c r="E277" s="37">
        <f>'GF + UG Iteration 8'!E277</f>
        <v>1974</v>
      </c>
      <c r="F277" s="35">
        <f>'GF + UG Iteration 8'!F277</f>
        <v>0</v>
      </c>
      <c r="G277" s="36">
        <f>'GF + UG Iteration 8'!G277</f>
        <v>3.2007376892660457E-2</v>
      </c>
      <c r="H277" s="38">
        <f>'GF + UG Iteration 8'!H277</f>
        <v>2005</v>
      </c>
      <c r="I277" s="35">
        <f t="shared" si="30"/>
        <v>36.963000000000001</v>
      </c>
      <c r="J277" s="36">
        <f t="shared" si="31"/>
        <v>20.212644351511067</v>
      </c>
      <c r="K277" s="38">
        <f t="shared" si="32"/>
        <v>2005</v>
      </c>
      <c r="M277" s="21">
        <f t="shared" si="33"/>
        <v>3.609917412310641</v>
      </c>
      <c r="N277" s="21">
        <f t="shared" si="34"/>
        <v>3.006308366572767</v>
      </c>
    </row>
    <row r="278" spans="1:14" x14ac:dyDescent="0.2">
      <c r="A278" s="33">
        <f>'GF + UG Iteration 8'!A278</f>
        <v>836</v>
      </c>
      <c r="B278" s="34" t="str">
        <f>'GF + UG Iteration 8'!B278</f>
        <v>UG</v>
      </c>
      <c r="C278" s="35">
        <f>'GF + UG Iteration 8'!C278</f>
        <v>33.963000000000001</v>
      </c>
      <c r="D278" s="36">
        <f>'GF + UG Iteration 8'!P$16*(C278^'GF + UG Iteration 8'!P$15)</f>
        <v>19.226116546024734</v>
      </c>
      <c r="E278" s="37">
        <f>'GF + UG Iteration 8'!E278</f>
        <v>1974</v>
      </c>
      <c r="F278" s="35">
        <f>'GF + UG Iteration 8'!F278</f>
        <v>10.036999999999999</v>
      </c>
      <c r="G278" s="36">
        <f>'GF + UG Iteration 8'!G278</f>
        <v>0.20824846319974696</v>
      </c>
      <c r="H278" s="38">
        <f>'GF + UG Iteration 8'!H278</f>
        <v>2008</v>
      </c>
      <c r="I278" s="35">
        <f t="shared" si="30"/>
        <v>44</v>
      </c>
      <c r="J278" s="36">
        <f t="shared" si="31"/>
        <v>19.434365009224482</v>
      </c>
      <c r="K278" s="38">
        <f t="shared" si="32"/>
        <v>2008</v>
      </c>
      <c r="M278" s="21">
        <f t="shared" si="33"/>
        <v>3.784189633918261</v>
      </c>
      <c r="N278" s="21">
        <f t="shared" si="34"/>
        <v>2.9670428912324538</v>
      </c>
    </row>
    <row r="279" spans="1:14" x14ac:dyDescent="0.2">
      <c r="A279" s="33">
        <f>'GF + UG Iteration 8'!A279</f>
        <v>1417</v>
      </c>
      <c r="B279" s="34" t="str">
        <f>'GF + UG Iteration 8'!B279</f>
        <v>UG</v>
      </c>
      <c r="C279" s="35">
        <f>'GF + UG Iteration 8'!C279</f>
        <v>53.176000000000002</v>
      </c>
      <c r="D279" s="36">
        <f>'GF + UG Iteration 8'!P$16*(C279^'GF + UG Iteration 8'!P$15)</f>
        <v>24.851336629080322</v>
      </c>
      <c r="E279" s="37">
        <f>'GF + UG Iteration 8'!E279</f>
        <v>0</v>
      </c>
      <c r="F279" s="35">
        <f>'GF + UG Iteration 8'!F279</f>
        <v>2.8239999999999981</v>
      </c>
      <c r="G279" s="36">
        <f>'GF + UG Iteration 8'!G279</f>
        <v>0.36631755287404399</v>
      </c>
      <c r="H279" s="38">
        <f>'GF + UG Iteration 8'!H279</f>
        <v>2013</v>
      </c>
      <c r="I279" s="35">
        <f t="shared" si="30"/>
        <v>56</v>
      </c>
      <c r="J279" s="36">
        <f t="shared" si="31"/>
        <v>25.217654181954366</v>
      </c>
      <c r="K279" s="38">
        <f t="shared" si="32"/>
        <v>2013</v>
      </c>
      <c r="M279" s="21">
        <f t="shared" si="33"/>
        <v>4.0253516907351496</v>
      </c>
      <c r="N279" s="21">
        <f t="shared" si="34"/>
        <v>3.2275443120137921</v>
      </c>
    </row>
    <row r="280" spans="1:14" x14ac:dyDescent="0.2">
      <c r="A280" s="33">
        <f>'GF + UG Iteration 8'!A280</f>
        <v>1575</v>
      </c>
      <c r="B280" s="34" t="str">
        <f>'GF + UG Iteration 8'!B280</f>
        <v>UG</v>
      </c>
      <c r="C280" s="35">
        <f>'GF + UG Iteration 8'!C280</f>
        <v>107.8</v>
      </c>
      <c r="D280" s="36">
        <f>'GF + UG Iteration 8'!P$16*(C280^'GF + UG Iteration 8'!P$15)</f>
        <v>37.241842861870879</v>
      </c>
      <c r="E280" s="37">
        <f>'GF + UG Iteration 8'!E280</f>
        <v>0</v>
      </c>
      <c r="F280" s="35">
        <f>'GF + UG Iteration 8'!F280</f>
        <v>2.2000000000000028</v>
      </c>
      <c r="G280" s="36">
        <f>'GF + UG Iteration 8'!G280</f>
        <v>8.4606138058298655E-2</v>
      </c>
      <c r="H280" s="38">
        <f>'GF + UG Iteration 8'!H280</f>
        <v>2014</v>
      </c>
      <c r="I280" s="35">
        <f t="shared" si="30"/>
        <v>110</v>
      </c>
      <c r="J280" s="36">
        <f t="shared" si="31"/>
        <v>37.326448999929177</v>
      </c>
      <c r="K280" s="38">
        <f t="shared" si="32"/>
        <v>2014</v>
      </c>
      <c r="M280" s="21">
        <f t="shared" si="33"/>
        <v>4.7004803657924166</v>
      </c>
      <c r="N280" s="21">
        <f t="shared" si="34"/>
        <v>3.6197021638352735</v>
      </c>
    </row>
    <row r="281" spans="1:14" x14ac:dyDescent="0.2">
      <c r="A281" s="33">
        <f>'GF + UG Iteration 8'!A281</f>
        <v>1480</v>
      </c>
      <c r="B281" s="34" t="str">
        <f>'GF + UG Iteration 8'!B281</f>
        <v>UG</v>
      </c>
      <c r="C281" s="35">
        <f>'GF + UG Iteration 8'!C281</f>
        <v>92</v>
      </c>
      <c r="D281" s="36">
        <f>'GF + UG Iteration 8'!P$16*(C281^'GF + UG Iteration 8'!P$15)</f>
        <v>34.01183600691953</v>
      </c>
      <c r="E281" s="37">
        <f>'GF + UG Iteration 8'!E281</f>
        <v>0</v>
      </c>
      <c r="F281" s="35">
        <f>'GF + UG Iteration 8'!F281</f>
        <v>9</v>
      </c>
      <c r="G281" s="36">
        <f>'GF + UG Iteration 8'!G281</f>
        <v>1.4186292000498641</v>
      </c>
      <c r="H281" s="38">
        <f>'GF + UG Iteration 8'!H281</f>
        <v>2015</v>
      </c>
      <c r="I281" s="35">
        <f t="shared" si="30"/>
        <v>101</v>
      </c>
      <c r="J281" s="36">
        <f t="shared" si="31"/>
        <v>35.430465206969394</v>
      </c>
      <c r="K281" s="38">
        <f t="shared" si="32"/>
        <v>2015</v>
      </c>
      <c r="M281" s="21">
        <f t="shared" si="33"/>
        <v>4.6151205168412597</v>
      </c>
      <c r="N281" s="21">
        <f t="shared" si="34"/>
        <v>3.5675720491036089</v>
      </c>
    </row>
    <row r="282" spans="1:14" x14ac:dyDescent="0.2">
      <c r="A282" s="33">
        <f>'GF + UG Iteration 8'!A282</f>
        <v>1644</v>
      </c>
      <c r="B282" s="34" t="str">
        <f>'GF + UG Iteration 8'!B282</f>
        <v>UG</v>
      </c>
      <c r="C282" s="35">
        <f>'GF + UG Iteration 8'!C282</f>
        <v>25</v>
      </c>
      <c r="D282" s="36">
        <f>'GF + UG Iteration 8'!P$16*(C282^'GF + UG Iteration 8'!P$15)</f>
        <v>16.133188240342459</v>
      </c>
      <c r="E282" s="37">
        <f>'GF + UG Iteration 8'!E282</f>
        <v>0</v>
      </c>
      <c r="F282" s="35">
        <f>'GF + UG Iteration 8'!F282</f>
        <v>14</v>
      </c>
      <c r="G282" s="36">
        <f>'GF + UG Iteration 8'!G282</f>
        <v>6.4881768587089867</v>
      </c>
      <c r="H282" s="38">
        <f>'GF + UG Iteration 8'!H282</f>
        <v>2016</v>
      </c>
      <c r="I282" s="35">
        <f t="shared" si="30"/>
        <v>39</v>
      </c>
      <c r="J282" s="36">
        <f t="shared" si="31"/>
        <v>22.621365099051445</v>
      </c>
      <c r="K282" s="38">
        <f t="shared" si="32"/>
        <v>2016</v>
      </c>
      <c r="M282" s="21">
        <f t="shared" si="33"/>
        <v>3.6635616461296463</v>
      </c>
      <c r="N282" s="21">
        <f t="shared" si="34"/>
        <v>3.1188948180735525</v>
      </c>
    </row>
    <row r="283" spans="1:14" x14ac:dyDescent="0.2">
      <c r="A283" s="33">
        <f>'GF + UG Iteration 8'!A283</f>
        <v>1276</v>
      </c>
      <c r="B283" s="34" t="str">
        <f>'GF + UG Iteration 8'!B283</f>
        <v>UG</v>
      </c>
      <c r="C283" s="35">
        <f>'GF + UG Iteration 8'!C283</f>
        <v>34</v>
      </c>
      <c r="D283" s="36">
        <f>'GF + UG Iteration 8'!P$16*(C283^'GF + UG Iteration 8'!P$15)</f>
        <v>19.23810355100311</v>
      </c>
      <c r="E283" s="37" t="str">
        <f>'GF + UG Iteration 8'!E283</f>
        <v>unknown</v>
      </c>
      <c r="F283" s="35">
        <f>'GF + UG Iteration 8'!F283</f>
        <v>4</v>
      </c>
      <c r="G283" s="36">
        <f>'GF + UG Iteration 8'!G283</f>
        <v>0.69755192087391271</v>
      </c>
      <c r="H283" s="38">
        <f>'GF + UG Iteration 8'!H283</f>
        <v>2012</v>
      </c>
      <c r="I283" s="35">
        <f t="shared" si="30"/>
        <v>38</v>
      </c>
      <c r="J283" s="36">
        <f t="shared" si="31"/>
        <v>19.935655471877023</v>
      </c>
      <c r="K283" s="38">
        <f t="shared" si="32"/>
        <v>2012</v>
      </c>
      <c r="M283" s="21">
        <f t="shared" si="33"/>
        <v>3.6375861597263857</v>
      </c>
      <c r="N283" s="21">
        <f t="shared" si="34"/>
        <v>2.9925098607480991</v>
      </c>
    </row>
    <row r="284" spans="1:14" x14ac:dyDescent="0.2">
      <c r="A284" s="33">
        <f>'GF + UG Iteration 8'!A284</f>
        <v>823</v>
      </c>
      <c r="B284" s="34" t="str">
        <f>'GF + UG Iteration 8'!B284</f>
        <v>UG</v>
      </c>
      <c r="C284" s="35">
        <f>'GF + UG Iteration 8'!C284</f>
        <v>10</v>
      </c>
      <c r="D284" s="36">
        <f>'GF + UG Iteration 8'!P$16*(C284^'GF + UG Iteration 8'!P$15)</f>
        <v>9.548304729099252</v>
      </c>
      <c r="E284" s="37" t="str">
        <f>'GF + UG Iteration 8'!E284</f>
        <v>unknown</v>
      </c>
      <c r="F284" s="35">
        <f>'GF + UG Iteration 8'!F284</f>
        <v>25</v>
      </c>
      <c r="G284" s="36">
        <f>'GF + UG Iteration 8'!G284</f>
        <v>8.3156614233786232</v>
      </c>
      <c r="H284" s="38">
        <f>'GF + UG Iteration 8'!H284</f>
        <v>2009</v>
      </c>
      <c r="I284" s="35">
        <f t="shared" si="30"/>
        <v>35</v>
      </c>
      <c r="J284" s="36">
        <f t="shared" si="31"/>
        <v>17.863966152477875</v>
      </c>
      <c r="K284" s="38">
        <f t="shared" si="32"/>
        <v>2009</v>
      </c>
      <c r="M284" s="21">
        <f t="shared" si="33"/>
        <v>3.5553480614894135</v>
      </c>
      <c r="N284" s="21">
        <f t="shared" si="34"/>
        <v>2.8827856198024007</v>
      </c>
    </row>
    <row r="285" spans="1:14" x14ac:dyDescent="0.2">
      <c r="A285" s="33">
        <f>'GF + UG Iteration 8'!A285</f>
        <v>1601</v>
      </c>
      <c r="B285" s="34" t="str">
        <f>'GF + UG Iteration 8'!B285</f>
        <v>UG</v>
      </c>
      <c r="C285" s="35">
        <f>'GF + UG Iteration 8'!C285</f>
        <v>77</v>
      </c>
      <c r="D285" s="36">
        <f>'GF + UG Iteration 8'!P$16*(C285^'GF + UG Iteration 8'!P$15)</f>
        <v>30.717274340405385</v>
      </c>
      <c r="E285" s="37">
        <f>'GF + UG Iteration 8'!E285</f>
        <v>0</v>
      </c>
      <c r="F285" s="35">
        <f>'GF + UG Iteration 8'!F285</f>
        <v>0</v>
      </c>
      <c r="G285" s="36">
        <f>'GF + UG Iteration 8'!G285</f>
        <v>4.0094648670350015</v>
      </c>
      <c r="H285" s="38">
        <f>'GF + UG Iteration 8'!H285</f>
        <v>2015</v>
      </c>
      <c r="I285" s="35">
        <f t="shared" si="30"/>
        <v>77</v>
      </c>
      <c r="J285" s="36">
        <f t="shared" si="31"/>
        <v>34.726739207440389</v>
      </c>
      <c r="K285" s="38">
        <f t="shared" si="32"/>
        <v>2015</v>
      </c>
      <c r="M285" s="21">
        <f t="shared" si="33"/>
        <v>4.3438054218536841</v>
      </c>
      <c r="N285" s="21">
        <f t="shared" si="34"/>
        <v>3.547509972553657</v>
      </c>
    </row>
    <row r="286" spans="1:14" x14ac:dyDescent="0.2">
      <c r="A286" s="33">
        <f>'GF + UG Iteration 8'!A286</f>
        <v>1046</v>
      </c>
      <c r="B286" s="34" t="str">
        <f>'GF + UG Iteration 8'!B286</f>
        <v>UG</v>
      </c>
      <c r="C286" s="35">
        <f>'GF + UG Iteration 8'!C286</f>
        <v>33</v>
      </c>
      <c r="D286" s="36">
        <f>'GF + UG Iteration 8'!P$16*(C286^'GF + UG Iteration 8'!P$15)</f>
        <v>18.912140224833056</v>
      </c>
      <c r="E286" s="37" t="str">
        <f>'GF + UG Iteration 8'!E286</f>
        <v>unknown</v>
      </c>
      <c r="F286" s="35">
        <f>'GF + UG Iteration 8'!F286</f>
        <v>17</v>
      </c>
      <c r="G286" s="36">
        <f>'GF + UG Iteration 8'!G286</f>
        <v>13.838101419471103</v>
      </c>
      <c r="H286" s="38">
        <f>'GF + UG Iteration 8'!H286</f>
        <v>2011</v>
      </c>
      <c r="I286" s="35">
        <f t="shared" si="30"/>
        <v>50</v>
      </c>
      <c r="J286" s="36">
        <f t="shared" si="31"/>
        <v>32.750241644304161</v>
      </c>
      <c r="K286" s="38">
        <f t="shared" si="32"/>
        <v>2011</v>
      </c>
      <c r="M286" s="21">
        <f t="shared" si="33"/>
        <v>3.912023005428146</v>
      </c>
      <c r="N286" s="21">
        <f t="shared" si="34"/>
        <v>3.4889103405060755</v>
      </c>
    </row>
    <row r="287" spans="1:14" x14ac:dyDescent="0.2">
      <c r="A287" s="33">
        <f>'GF + UG Iteration 8'!A287</f>
        <v>873</v>
      </c>
      <c r="B287" s="34" t="str">
        <f>'GF + UG Iteration 8'!B287</f>
        <v>UG</v>
      </c>
      <c r="C287" s="35">
        <f>'GF + UG Iteration 8'!C287</f>
        <v>38</v>
      </c>
      <c r="D287" s="36">
        <f>'GF + UG Iteration 8'!P$16*(C287^'GF + UG Iteration 8'!P$15)</f>
        <v>20.502812642528614</v>
      </c>
      <c r="E287" s="37" t="str">
        <f>'GF + UG Iteration 8'!E287</f>
        <v>unknown</v>
      </c>
      <c r="F287" s="35">
        <f>'GF + UG Iteration 8'!F287</f>
        <v>10</v>
      </c>
      <c r="G287" s="36">
        <f>'GF + UG Iteration 8'!G287</f>
        <v>10.835025062169574</v>
      </c>
      <c r="H287" s="38">
        <f>'GF + UG Iteration 8'!H287</f>
        <v>2011</v>
      </c>
      <c r="I287" s="35">
        <f t="shared" si="30"/>
        <v>48</v>
      </c>
      <c r="J287" s="36">
        <f t="shared" si="31"/>
        <v>31.337837704698188</v>
      </c>
      <c r="K287" s="38">
        <f t="shared" si="32"/>
        <v>2011</v>
      </c>
      <c r="M287" s="21">
        <f t="shared" si="33"/>
        <v>3.8712010109078911</v>
      </c>
      <c r="N287" s="21">
        <f t="shared" si="34"/>
        <v>3.4448262398028349</v>
      </c>
    </row>
    <row r="288" spans="1:14" x14ac:dyDescent="0.2">
      <c r="A288" s="33">
        <f>'GF + UG Iteration 8'!A288</f>
        <v>630</v>
      </c>
      <c r="B288" s="34" t="str">
        <f>'GF + UG Iteration 8'!B288</f>
        <v>UG</v>
      </c>
      <c r="C288" s="35">
        <f>'GF + UG Iteration 8'!C288</f>
        <v>36.4</v>
      </c>
      <c r="D288" s="36">
        <f>'GF + UG Iteration 8'!P$16*(C288^'GF + UG Iteration 8'!P$15)</f>
        <v>20.004105245945698</v>
      </c>
      <c r="E288" s="37" t="str">
        <f>'GF + UG Iteration 8'!E288</f>
        <v>unknown</v>
      </c>
      <c r="F288" s="35">
        <f>'GF + UG Iteration 8'!F288</f>
        <v>3.6000000000000014</v>
      </c>
      <c r="G288" s="36">
        <f>'GF + UG Iteration 8'!G288</f>
        <v>0.76181860016629799</v>
      </c>
      <c r="H288" s="38">
        <f>'GF + UG Iteration 8'!H288</f>
        <v>2007</v>
      </c>
      <c r="I288" s="35">
        <f t="shared" si="30"/>
        <v>40</v>
      </c>
      <c r="J288" s="36">
        <f t="shared" si="31"/>
        <v>20.765923846111995</v>
      </c>
      <c r="K288" s="38">
        <f t="shared" si="32"/>
        <v>2007</v>
      </c>
      <c r="M288" s="21">
        <f t="shared" si="33"/>
        <v>3.6888794541139363</v>
      </c>
      <c r="N288" s="21">
        <f t="shared" si="34"/>
        <v>3.0333133666353969</v>
      </c>
    </row>
    <row r="289" spans="1:20" x14ac:dyDescent="0.2">
      <c r="A289" s="33">
        <f>'GF + UG Iteration 8'!A289</f>
        <v>1107</v>
      </c>
      <c r="B289" s="34" t="str">
        <f>'GF + UG Iteration 8'!B289</f>
        <v>UG</v>
      </c>
      <c r="C289" s="35">
        <f>'GF + UG Iteration 8'!C289</f>
        <v>16</v>
      </c>
      <c r="D289" s="36">
        <f>'GF + UG Iteration 8'!P$16*(C289^'GF + UG Iteration 8'!P$15)</f>
        <v>12.496006795670086</v>
      </c>
      <c r="E289" s="37">
        <f>'GF + UG Iteration 8'!E289</f>
        <v>2010</v>
      </c>
      <c r="F289" s="35">
        <f>'GF + UG Iteration 8'!F289</f>
        <v>24</v>
      </c>
      <c r="G289" s="36">
        <f>'GF + UG Iteration 8'!G289</f>
        <v>7.7000094501504579</v>
      </c>
      <c r="H289" s="38">
        <f>'GF + UG Iteration 8'!H289</f>
        <v>2014</v>
      </c>
      <c r="I289" s="35">
        <f t="shared" si="30"/>
        <v>40</v>
      </c>
      <c r="J289" s="36">
        <f t="shared" si="31"/>
        <v>20.196016245820545</v>
      </c>
      <c r="K289" s="38">
        <f t="shared" si="32"/>
        <v>2014</v>
      </c>
      <c r="M289" s="21">
        <f t="shared" si="33"/>
        <v>3.6888794541139363</v>
      </c>
      <c r="N289" s="21">
        <f t="shared" si="34"/>
        <v>3.0054853694041763</v>
      </c>
    </row>
    <row r="290" spans="1:20" x14ac:dyDescent="0.2">
      <c r="A290" s="33">
        <f>'GF + UG Iteration 8'!A290</f>
        <v>682</v>
      </c>
      <c r="B290" s="34" t="str">
        <f>'GF + UG Iteration 8'!B290</f>
        <v>UG</v>
      </c>
      <c r="C290" s="35">
        <f>'GF + UG Iteration 8'!C290</f>
        <v>12</v>
      </c>
      <c r="D290" s="36">
        <f>'GF + UG Iteration 8'!P$16*(C290^'GF + UG Iteration 8'!P$15)</f>
        <v>10.598690655890664</v>
      </c>
      <c r="E290" s="37">
        <f>'GF + UG Iteration 8'!E290</f>
        <v>2005</v>
      </c>
      <c r="F290" s="35">
        <f>'GF + UG Iteration 8'!F290</f>
        <v>18</v>
      </c>
      <c r="G290" s="36">
        <f>'GF + UG Iteration 8'!G290</f>
        <v>4.2252233548626927</v>
      </c>
      <c r="H290" s="38">
        <f>'GF + UG Iteration 8'!H290</f>
        <v>2009</v>
      </c>
      <c r="I290" s="35">
        <f t="shared" ref="I290:I291" si="35">C290+F290</f>
        <v>30</v>
      </c>
      <c r="J290" s="36">
        <f t="shared" ref="J290:J291" si="36">D290+G290</f>
        <v>14.823914010753356</v>
      </c>
      <c r="K290" s="38">
        <f t="shared" ref="K290:K291" si="37">MAX(E290,H290)</f>
        <v>2009</v>
      </c>
      <c r="M290" s="21">
        <f t="shared" ref="M290:M291" si="38">LN(I290)</f>
        <v>3.4011973816621555</v>
      </c>
      <c r="N290" s="21">
        <f t="shared" ref="N290:N291" si="39">LN(J290)</f>
        <v>2.6962416882885063</v>
      </c>
    </row>
    <row r="291" spans="1:20" x14ac:dyDescent="0.2">
      <c r="A291" s="33">
        <f>'GF + UG Iteration 8'!A291</f>
        <v>677</v>
      </c>
      <c r="B291" s="34" t="str">
        <f>'GF + UG Iteration 8'!B291</f>
        <v>UG</v>
      </c>
      <c r="C291" s="35">
        <f>'GF + UG Iteration 8'!C291</f>
        <v>117</v>
      </c>
      <c r="D291" s="36">
        <f>'GF + UG Iteration 8'!P$16*(C291^'GF + UG Iteration 8'!P$15)</f>
        <v>39.029315978826261</v>
      </c>
      <c r="E291" s="37" t="str">
        <f>'GF + UG Iteration 8'!E291</f>
        <v>unknown</v>
      </c>
      <c r="F291" s="35">
        <f>'GF + UG Iteration 8'!F291</f>
        <v>0</v>
      </c>
      <c r="G291" s="36">
        <f>'GF + UG Iteration 8'!G291</f>
        <v>5.9672660834890454</v>
      </c>
      <c r="H291" s="38">
        <f>'GF + UG Iteration 8'!H291</f>
        <v>2009</v>
      </c>
      <c r="I291" s="35">
        <f t="shared" si="35"/>
        <v>117</v>
      </c>
      <c r="J291" s="36">
        <f t="shared" si="36"/>
        <v>44.996582062315305</v>
      </c>
      <c r="K291" s="38">
        <f t="shared" si="37"/>
        <v>2009</v>
      </c>
      <c r="M291" s="21">
        <f t="shared" si="38"/>
        <v>4.7621739347977563</v>
      </c>
      <c r="N291" s="21">
        <f t="shared" si="39"/>
        <v>3.8065865327148845</v>
      </c>
    </row>
    <row r="292" spans="1:20" x14ac:dyDescent="0.2">
      <c r="A292" s="33">
        <f>'GF + UG Iteration 8'!A292</f>
        <v>643</v>
      </c>
      <c r="B292" s="34" t="str">
        <f>'GF + UG Iteration 8'!B292</f>
        <v>UG</v>
      </c>
      <c r="C292" s="35">
        <f>'GF + UG Iteration 8'!C292</f>
        <v>53.37</v>
      </c>
      <c r="D292" s="36">
        <f>'GF + UG Iteration 8'!P$16*(C292^'GF + UG Iteration 8'!P$15)</f>
        <v>24.903195384675072</v>
      </c>
      <c r="E292" s="37" t="str">
        <f>'GF + UG Iteration 8'!E292</f>
        <v>unknown</v>
      </c>
      <c r="F292" s="35">
        <f>'GF + UG Iteration 8'!F292</f>
        <v>0.5</v>
      </c>
      <c r="G292" s="36">
        <f>'GF + UG Iteration 8'!G292</f>
        <v>4.4086715648995529</v>
      </c>
      <c r="H292" s="38">
        <f>'GF + UG Iteration 8'!H292</f>
        <v>2009</v>
      </c>
      <c r="I292" s="35">
        <f t="shared" si="30"/>
        <v>53.87</v>
      </c>
      <c r="J292" s="36">
        <f t="shared" si="31"/>
        <v>29.311866949574625</v>
      </c>
      <c r="K292" s="38">
        <f t="shared" si="32"/>
        <v>2009</v>
      </c>
      <c r="M292" s="21">
        <f t="shared" si="33"/>
        <v>3.9865737366924425</v>
      </c>
      <c r="N292" s="21">
        <f t="shared" si="34"/>
        <v>3.3779924493702902</v>
      </c>
    </row>
    <row r="294" spans="1:20" s="9" customFormat="1" x14ac:dyDescent="0.2">
      <c r="A294" s="26" t="s">
        <v>29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44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8" activePane="bottomLeft" state="frozen"/>
      <selection activeCell="A4" sqref="A4"/>
      <selection pane="bottomLeft" activeCell="A8" sqref="A8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54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G - Point of Delivery Cost Function Workbook</v>
      </c>
    </row>
    <row r="4" spans="1:20" s="1" customFormat="1" x14ac:dyDescent="0.2">
      <c r="A4" s="1" t="s">
        <v>978</v>
      </c>
      <c r="B4" s="42"/>
    </row>
    <row r="5" spans="1:20" s="1" customFormat="1" x14ac:dyDescent="0.2">
      <c r="A5" s="43" t="str">
        <f>TableDate</f>
        <v>August 17, 2018</v>
      </c>
      <c r="B5" s="44"/>
    </row>
    <row r="6" spans="1:20" x14ac:dyDescent="0.2">
      <c r="E6" s="28"/>
    </row>
    <row r="7" spans="1:20" ht="25.5" x14ac:dyDescent="0.2">
      <c r="A7" s="10" t="s">
        <v>0</v>
      </c>
      <c r="B7" s="11" t="s">
        <v>7</v>
      </c>
      <c r="C7" s="12" t="s">
        <v>8</v>
      </c>
      <c r="D7" s="13" t="s">
        <v>30</v>
      </c>
      <c r="E7" s="14" t="s">
        <v>10</v>
      </c>
      <c r="F7" s="12" t="s">
        <v>11</v>
      </c>
      <c r="G7" s="13" t="s">
        <v>12</v>
      </c>
      <c r="H7" s="14" t="s">
        <v>13</v>
      </c>
      <c r="I7" s="12" t="s">
        <v>2</v>
      </c>
      <c r="J7" s="13" t="s">
        <v>14</v>
      </c>
      <c r="K7" s="14" t="s">
        <v>15</v>
      </c>
      <c r="M7" s="11" t="s">
        <v>16</v>
      </c>
      <c r="N7" s="11" t="s">
        <v>17</v>
      </c>
      <c r="P7" s="41" t="s">
        <v>53</v>
      </c>
      <c r="Q7" s="15"/>
      <c r="T7" s="3"/>
    </row>
    <row r="8" spans="1:20" x14ac:dyDescent="0.2">
      <c r="A8" s="25">
        <f>'GF + UG Iteration 9'!A8</f>
        <v>476</v>
      </c>
      <c r="B8" s="25" t="str">
        <f>'GF + UG Iteration 9'!B8</f>
        <v>GF</v>
      </c>
      <c r="C8" s="18">
        <f>'GF + UG Iteration 9'!C8</f>
        <v>14</v>
      </c>
      <c r="D8" s="19">
        <f>'GF + UG Iteration 9'!D8</f>
        <v>16.861812370959647</v>
      </c>
      <c r="E8" s="30">
        <f>'GF + UG Iteration 9'!E8</f>
        <v>2003</v>
      </c>
      <c r="F8" s="18"/>
      <c r="G8" s="19"/>
      <c r="H8" s="20"/>
      <c r="I8" s="18">
        <f>C8+F8</f>
        <v>14</v>
      </c>
      <c r="J8" s="19">
        <f>D8+G8</f>
        <v>16.861812370959647</v>
      </c>
      <c r="K8" s="20">
        <f>MAX(E8,H8)</f>
        <v>2003</v>
      </c>
      <c r="M8" s="21">
        <f>LN(I8)</f>
        <v>2.6390573296152584</v>
      </c>
      <c r="N8" s="21">
        <f>LN(J8)</f>
        <v>2.8250514421084625</v>
      </c>
      <c r="O8" s="3" t="s">
        <v>19</v>
      </c>
      <c r="P8" s="22">
        <f t="array" ref="P8:Q12">LINEST(N8:N292,M8:M292,TRUE,TRUE)</f>
        <v>0.57257919515725708</v>
      </c>
      <c r="Q8" s="22">
        <v>0.93783682202427099</v>
      </c>
      <c r="R8" s="5" t="s">
        <v>20</v>
      </c>
    </row>
    <row r="9" spans="1:20" x14ac:dyDescent="0.2">
      <c r="A9" s="25">
        <f>'GF + UG Iteration 9'!A9</f>
        <v>478</v>
      </c>
      <c r="B9" s="25" t="str">
        <f>'GF + UG Iteration 9'!B9</f>
        <v>GF</v>
      </c>
      <c r="C9" s="18">
        <f>'GF + UG Iteration 9'!C9</f>
        <v>8.5</v>
      </c>
      <c r="D9" s="19">
        <f>'GF + UG Iteration 9'!D9</f>
        <v>6.0182252638842719</v>
      </c>
      <c r="E9" s="30">
        <f>'GF + UG Iteration 9'!E9</f>
        <v>2003</v>
      </c>
      <c r="F9" s="18"/>
      <c r="G9" s="19"/>
      <c r="H9" s="20"/>
      <c r="I9" s="18">
        <f t="shared" ref="I9:I71" si="0">C9+F9</f>
        <v>8.5</v>
      </c>
      <c r="J9" s="19">
        <f t="shared" ref="J9:J71" si="1">D9+G9</f>
        <v>6.0182252638842719</v>
      </c>
      <c r="K9" s="20">
        <f t="shared" ref="K9:K71" si="2">MAX(E9,H9)</f>
        <v>2003</v>
      </c>
      <c r="M9" s="21">
        <f t="shared" ref="M9:M71" si="3">LN(I9)</f>
        <v>2.1400661634962708</v>
      </c>
      <c r="N9" s="21">
        <f t="shared" ref="N9:N71" si="4">LN(J9)</f>
        <v>1.7947924091929603</v>
      </c>
      <c r="O9" s="3" t="s">
        <v>21</v>
      </c>
      <c r="P9" s="22">
        <v>3.2094116535558673E-2</v>
      </c>
      <c r="Q9" s="22">
        <v>0.10233912113883455</v>
      </c>
      <c r="R9" s="5" t="s">
        <v>22</v>
      </c>
    </row>
    <row r="10" spans="1:20" x14ac:dyDescent="0.2">
      <c r="A10" s="25">
        <f>'GF + UG Iteration 9'!A10</f>
        <v>473</v>
      </c>
      <c r="B10" s="25" t="str">
        <f>'GF + UG Iteration 9'!B10</f>
        <v>GF</v>
      </c>
      <c r="C10" s="18">
        <f>'GF + UG Iteration 9'!C10</f>
        <v>30</v>
      </c>
      <c r="D10" s="19">
        <f>'GF + UG Iteration 9'!D10</f>
        <v>14.998991377977235</v>
      </c>
      <c r="E10" s="30">
        <f>'GF + UG Iteration 9'!E10</f>
        <v>2003</v>
      </c>
      <c r="F10" s="18"/>
      <c r="G10" s="19"/>
      <c r="H10" s="20"/>
      <c r="I10" s="18">
        <f t="shared" si="0"/>
        <v>30</v>
      </c>
      <c r="J10" s="19">
        <f t="shared" si="1"/>
        <v>14.998991377977235</v>
      </c>
      <c r="K10" s="20">
        <f t="shared" si="2"/>
        <v>2003</v>
      </c>
      <c r="M10" s="21">
        <f t="shared" si="3"/>
        <v>3.4011973816621555</v>
      </c>
      <c r="N10" s="21">
        <f t="shared" si="4"/>
        <v>2.707982957373217</v>
      </c>
      <c r="O10" s="3" t="s">
        <v>1</v>
      </c>
      <c r="P10" s="22">
        <v>0.52934368231612217</v>
      </c>
      <c r="Q10" s="22">
        <v>0.39315850254614038</v>
      </c>
      <c r="R10" s="5" t="s">
        <v>23</v>
      </c>
    </row>
    <row r="11" spans="1:20" x14ac:dyDescent="0.2">
      <c r="A11" s="25">
        <f>'GF + UG Iteration 9'!A11</f>
        <v>1042</v>
      </c>
      <c r="B11" s="25" t="str">
        <f>'GF + UG Iteration 9'!B11</f>
        <v>GF</v>
      </c>
      <c r="C11" s="18">
        <f>'GF + UG Iteration 9'!C11</f>
        <v>13</v>
      </c>
      <c r="D11" s="19">
        <f>'GF + UG Iteration 9'!D11</f>
        <v>11.164764224012115</v>
      </c>
      <c r="E11" s="30">
        <f>'GF + UG Iteration 9'!E11</f>
        <v>2011</v>
      </c>
      <c r="F11" s="18"/>
      <c r="G11" s="19"/>
      <c r="H11" s="20"/>
      <c r="I11" s="18">
        <f t="shared" si="0"/>
        <v>13</v>
      </c>
      <c r="J11" s="19">
        <f t="shared" si="1"/>
        <v>11.164764224012115</v>
      </c>
      <c r="K11" s="20">
        <f t="shared" si="2"/>
        <v>2011</v>
      </c>
      <c r="M11" s="21">
        <f t="shared" si="3"/>
        <v>2.5649493574615367</v>
      </c>
      <c r="N11" s="21">
        <f t="shared" si="4"/>
        <v>2.4127627676497201</v>
      </c>
      <c r="O11" s="3" t="s">
        <v>24</v>
      </c>
      <c r="P11" s="22">
        <v>318.2880086103093</v>
      </c>
      <c r="Q11" s="22">
        <v>283</v>
      </c>
      <c r="R11" s="5" t="s">
        <v>25</v>
      </c>
    </row>
    <row r="12" spans="1:20" x14ac:dyDescent="0.2">
      <c r="A12" s="25">
        <f>'GF + UG Iteration 9'!A12</f>
        <v>443</v>
      </c>
      <c r="B12" s="25" t="str">
        <f>'GF + UG Iteration 9'!B12</f>
        <v>GF</v>
      </c>
      <c r="C12" s="18">
        <f>'GF + UG Iteration 9'!C12</f>
        <v>24.3</v>
      </c>
      <c r="D12" s="19">
        <f>'GF + UG Iteration 9'!D12</f>
        <v>11.705577131494863</v>
      </c>
      <c r="E12" s="30">
        <f>'GF + UG Iteration 9'!E12</f>
        <v>2006</v>
      </c>
      <c r="F12" s="18"/>
      <c r="G12" s="19"/>
      <c r="H12" s="20"/>
      <c r="I12" s="18">
        <f t="shared" si="0"/>
        <v>24.3</v>
      </c>
      <c r="J12" s="19">
        <f t="shared" si="1"/>
        <v>11.705577131494863</v>
      </c>
      <c r="K12" s="20">
        <f t="shared" si="2"/>
        <v>2006</v>
      </c>
      <c r="M12" s="21">
        <f t="shared" si="3"/>
        <v>3.1904763503465028</v>
      </c>
      <c r="N12" s="21">
        <f t="shared" si="4"/>
        <v>2.4600654061344325</v>
      </c>
      <c r="O12" s="3" t="s">
        <v>26</v>
      </c>
      <c r="P12" s="22">
        <v>49.198925913601244</v>
      </c>
      <c r="Q12" s="22">
        <v>43.74433109918354</v>
      </c>
      <c r="R12" s="5" t="s">
        <v>27</v>
      </c>
    </row>
    <row r="13" spans="1:20" x14ac:dyDescent="0.2">
      <c r="A13" s="25">
        <f>'GF + UG Iteration 9'!A13</f>
        <v>1195</v>
      </c>
      <c r="B13" s="25" t="str">
        <f>'GF + UG Iteration 9'!B13</f>
        <v>GF</v>
      </c>
      <c r="C13" s="18">
        <f>'GF + UG Iteration 9'!C13</f>
        <v>18</v>
      </c>
      <c r="D13" s="19">
        <f>'GF + UG Iteration 9'!D13</f>
        <v>31.659927445331629</v>
      </c>
      <c r="E13" s="30">
        <f>'GF + UG Iteration 9'!E13</f>
        <v>2011</v>
      </c>
      <c r="F13" s="18"/>
      <c r="G13" s="19"/>
      <c r="H13" s="20"/>
      <c r="I13" s="18">
        <f t="shared" si="0"/>
        <v>18</v>
      </c>
      <c r="J13" s="19">
        <f t="shared" si="1"/>
        <v>31.659927445331629</v>
      </c>
      <c r="K13" s="20">
        <f t="shared" si="2"/>
        <v>2011</v>
      </c>
      <c r="M13" s="21">
        <f t="shared" si="3"/>
        <v>2.8903717578961645</v>
      </c>
      <c r="N13" s="21">
        <f t="shared" si="4"/>
        <v>3.4550517627677269</v>
      </c>
    </row>
    <row r="14" spans="1:20" x14ac:dyDescent="0.2">
      <c r="A14" s="25">
        <f>'GF + UG Iteration 9'!A14</f>
        <v>420</v>
      </c>
      <c r="B14" s="25" t="str">
        <f>'GF + UG Iteration 9'!B14</f>
        <v>GF</v>
      </c>
      <c r="C14" s="18">
        <f>'GF + UG Iteration 9'!C14</f>
        <v>6</v>
      </c>
      <c r="D14" s="19">
        <f>'GF + UG Iteration 9'!D14</f>
        <v>9.6396451057157435</v>
      </c>
      <c r="E14" s="30">
        <f>'GF + UG Iteration 9'!E14</f>
        <v>2007</v>
      </c>
      <c r="F14" s="18"/>
      <c r="G14" s="19"/>
      <c r="H14" s="20"/>
      <c r="I14" s="18">
        <f t="shared" si="0"/>
        <v>6</v>
      </c>
      <c r="J14" s="19">
        <f t="shared" si="1"/>
        <v>9.6396451057157435</v>
      </c>
      <c r="K14" s="20">
        <f t="shared" si="2"/>
        <v>2007</v>
      </c>
      <c r="M14" s="21">
        <f t="shared" si="3"/>
        <v>1.791759469228055</v>
      </c>
      <c r="N14" s="21">
        <f t="shared" si="4"/>
        <v>2.2658842931849965</v>
      </c>
      <c r="P14" s="15" t="s">
        <v>6</v>
      </c>
      <c r="Q14" s="15"/>
    </row>
    <row r="15" spans="1:20" x14ac:dyDescent="0.2">
      <c r="A15" s="25">
        <f>'GF + UG Iteration 9'!A15</f>
        <v>440</v>
      </c>
      <c r="B15" s="25" t="str">
        <f>'GF + UG Iteration 9'!B15</f>
        <v>GF</v>
      </c>
      <c r="C15" s="18">
        <f>'GF + UG Iteration 9'!C15</f>
        <v>10</v>
      </c>
      <c r="D15" s="19">
        <f>'GF + UG Iteration 9'!D15</f>
        <v>16.009559216092757</v>
      </c>
      <c r="E15" s="30">
        <f>'GF + UG Iteration 9'!E15</f>
        <v>2006</v>
      </c>
      <c r="F15" s="18"/>
      <c r="G15" s="19"/>
      <c r="H15" s="20"/>
      <c r="I15" s="18">
        <f t="shared" si="0"/>
        <v>10</v>
      </c>
      <c r="J15" s="19">
        <f t="shared" si="1"/>
        <v>16.009559216092757</v>
      </c>
      <c r="K15" s="20">
        <f t="shared" si="2"/>
        <v>2006</v>
      </c>
      <c r="M15" s="21">
        <f t="shared" si="3"/>
        <v>2.3025850929940459</v>
      </c>
      <c r="N15" s="21">
        <f t="shared" si="4"/>
        <v>2.7731859948427808</v>
      </c>
      <c r="O15" s="3" t="s">
        <v>19</v>
      </c>
      <c r="P15" s="23">
        <f>P8</f>
        <v>0.57257919515725708</v>
      </c>
      <c r="Q15" s="31">
        <f>(P15-'GF + UG Iteration 9'!P15)/'GF + UG Iteration 9'!P15</f>
        <v>7.3233362065785931E-5</v>
      </c>
      <c r="R15" s="32" t="s">
        <v>31</v>
      </c>
    </row>
    <row r="16" spans="1:20" x14ac:dyDescent="0.2">
      <c r="A16" s="25">
        <f>'GF + UG Iteration 9'!A16</f>
        <v>1102</v>
      </c>
      <c r="B16" s="25" t="str">
        <f>'GF + UG Iteration 9'!B16</f>
        <v>GF</v>
      </c>
      <c r="C16" s="18">
        <f>'GF + UG Iteration 9'!C16</f>
        <v>20</v>
      </c>
      <c r="D16" s="19">
        <f>'GF + UG Iteration 9'!D16</f>
        <v>16.293644713264708</v>
      </c>
      <c r="E16" s="30">
        <f>'GF + UG Iteration 9'!E16</f>
        <v>2011</v>
      </c>
      <c r="F16" s="18"/>
      <c r="G16" s="19"/>
      <c r="H16" s="20"/>
      <c r="I16" s="18">
        <f t="shared" si="0"/>
        <v>20</v>
      </c>
      <c r="J16" s="19">
        <f t="shared" si="1"/>
        <v>16.293644713264708</v>
      </c>
      <c r="K16" s="20">
        <f t="shared" si="2"/>
        <v>2011</v>
      </c>
      <c r="M16" s="21">
        <f t="shared" si="3"/>
        <v>2.9957322735539909</v>
      </c>
      <c r="N16" s="21">
        <f t="shared" si="4"/>
        <v>2.7907751368922047</v>
      </c>
      <c r="O16" s="3" t="s">
        <v>28</v>
      </c>
      <c r="P16" s="23">
        <f>EXP(Q8)</f>
        <v>2.5544497081007953</v>
      </c>
      <c r="Q16" s="31">
        <f>(P16-'GF + UG Iteration 9'!P16)/'GF + UG Iteration 9'!P16</f>
        <v>-1.335334863993414E-4</v>
      </c>
      <c r="R16" s="32" t="s">
        <v>32</v>
      </c>
    </row>
    <row r="17" spans="1:18" x14ac:dyDescent="0.2">
      <c r="A17" s="25">
        <f>'GF + UG Iteration 9'!A17</f>
        <v>324</v>
      </c>
      <c r="B17" s="25" t="str">
        <f>'GF + UG Iteration 9'!B17</f>
        <v>GF</v>
      </c>
      <c r="C17" s="18">
        <f>'GF + UG Iteration 9'!C17</f>
        <v>17.2</v>
      </c>
      <c r="D17" s="19">
        <f>'GF + UG Iteration 9'!D17</f>
        <v>8.9094125785416409</v>
      </c>
      <c r="E17" s="30">
        <f>'GF + UG Iteration 9'!E17</f>
        <v>2003</v>
      </c>
      <c r="F17" s="18"/>
      <c r="G17" s="19"/>
      <c r="H17" s="20"/>
      <c r="I17" s="18">
        <f t="shared" si="0"/>
        <v>17.2</v>
      </c>
      <c r="J17" s="19">
        <f t="shared" si="1"/>
        <v>8.9094125785416409</v>
      </c>
      <c r="K17" s="20">
        <f t="shared" si="2"/>
        <v>2003</v>
      </c>
      <c r="M17" s="21">
        <f t="shared" si="3"/>
        <v>2.8449093838194073</v>
      </c>
      <c r="N17" s="21">
        <f t="shared" si="4"/>
        <v>2.1871083109750784</v>
      </c>
      <c r="O17" s="3"/>
      <c r="P17" s="24"/>
      <c r="R17" s="32" t="s">
        <v>33</v>
      </c>
    </row>
    <row r="18" spans="1:18" x14ac:dyDescent="0.2">
      <c r="A18" s="25">
        <f>'GF + UG Iteration 9'!A18</f>
        <v>1103</v>
      </c>
      <c r="B18" s="25" t="str">
        <f>'GF + UG Iteration 9'!B18</f>
        <v>GF</v>
      </c>
      <c r="C18" s="18">
        <f>'GF + UG Iteration 9'!C18</f>
        <v>20</v>
      </c>
      <c r="D18" s="19">
        <f>'GF + UG Iteration 9'!D18</f>
        <v>17.299482978955592</v>
      </c>
      <c r="E18" s="30">
        <f>'GF + UG Iteration 9'!E18</f>
        <v>2011</v>
      </c>
      <c r="F18" s="18"/>
      <c r="G18" s="19"/>
      <c r="H18" s="20"/>
      <c r="I18" s="18">
        <f t="shared" si="0"/>
        <v>20</v>
      </c>
      <c r="J18" s="19">
        <f t="shared" si="1"/>
        <v>17.299482978955592</v>
      </c>
      <c r="K18" s="20">
        <f t="shared" si="2"/>
        <v>2011</v>
      </c>
      <c r="M18" s="21">
        <f t="shared" si="3"/>
        <v>2.9957322735539909</v>
      </c>
      <c r="N18" s="21">
        <f t="shared" si="4"/>
        <v>2.8506766154476462</v>
      </c>
      <c r="P18"/>
      <c r="Q18"/>
      <c r="R18" s="32" t="s">
        <v>34</v>
      </c>
    </row>
    <row r="19" spans="1:18" x14ac:dyDescent="0.2">
      <c r="A19" s="25">
        <f>'GF + UG Iteration 9'!A19</f>
        <v>386</v>
      </c>
      <c r="B19" s="25" t="str">
        <f>'GF + UG Iteration 9'!B19</f>
        <v>GF</v>
      </c>
      <c r="C19" s="18">
        <f>'GF + UG Iteration 9'!C19</f>
        <v>9</v>
      </c>
      <c r="D19" s="19">
        <f>'GF + UG Iteration 9'!D19</f>
        <v>9.9511250787738224</v>
      </c>
      <c r="E19" s="30">
        <f>'GF + UG Iteration 9'!E19</f>
        <v>2003</v>
      </c>
      <c r="F19" s="18"/>
      <c r="G19" s="19"/>
      <c r="H19" s="20"/>
      <c r="I19" s="18">
        <f t="shared" si="0"/>
        <v>9</v>
      </c>
      <c r="J19" s="19">
        <f t="shared" si="1"/>
        <v>9.9511250787738224</v>
      </c>
      <c r="K19" s="20">
        <f t="shared" si="2"/>
        <v>2003</v>
      </c>
      <c r="M19" s="21">
        <f t="shared" si="3"/>
        <v>2.1972245773362196</v>
      </c>
      <c r="N19" s="21">
        <f t="shared" si="4"/>
        <v>2.2976856180218044</v>
      </c>
      <c r="P19"/>
      <c r="Q19"/>
    </row>
    <row r="20" spans="1:18" x14ac:dyDescent="0.2">
      <c r="A20" s="25">
        <f>'GF + UG Iteration 9'!A20</f>
        <v>80</v>
      </c>
      <c r="B20" s="25" t="str">
        <f>'GF + UG Iteration 9'!B20</f>
        <v>GF</v>
      </c>
      <c r="C20" s="18">
        <f>'GF + UG Iteration 9'!C20</f>
        <v>8</v>
      </c>
      <c r="D20" s="19">
        <f>'GF + UG Iteration 9'!D20</f>
        <v>6.0754029342110369</v>
      </c>
      <c r="E20" s="30">
        <f>'GF + UG Iteration 9'!E20</f>
        <v>2001</v>
      </c>
      <c r="F20" s="18"/>
      <c r="G20" s="19"/>
      <c r="H20" s="20"/>
      <c r="I20" s="18">
        <f t="shared" si="0"/>
        <v>8</v>
      </c>
      <c r="J20" s="19">
        <f t="shared" si="1"/>
        <v>6.0754029342110369</v>
      </c>
      <c r="K20" s="20">
        <f t="shared" si="2"/>
        <v>2001</v>
      </c>
      <c r="M20" s="21">
        <f t="shared" si="3"/>
        <v>2.0794415416798357</v>
      </c>
      <c r="N20" s="21">
        <f t="shared" si="4"/>
        <v>1.8042483136462</v>
      </c>
      <c r="P20"/>
      <c r="Q20"/>
    </row>
    <row r="21" spans="1:18" x14ac:dyDescent="0.2">
      <c r="A21" s="25">
        <f>'GF + UG Iteration 9'!A21</f>
        <v>1052</v>
      </c>
      <c r="B21" s="25" t="str">
        <f>'GF + UG Iteration 9'!B21</f>
        <v>GF</v>
      </c>
      <c r="C21" s="18">
        <f>'GF + UG Iteration 9'!C21</f>
        <v>13.6</v>
      </c>
      <c r="D21" s="19">
        <f>'GF + UG Iteration 9'!D21</f>
        <v>10.90270245998838</v>
      </c>
      <c r="E21" s="30">
        <f>'GF + UG Iteration 9'!E21</f>
        <v>2011</v>
      </c>
      <c r="F21" s="18"/>
      <c r="G21" s="19"/>
      <c r="H21" s="20"/>
      <c r="I21" s="18">
        <f t="shared" si="0"/>
        <v>13.6</v>
      </c>
      <c r="J21" s="19">
        <f t="shared" si="1"/>
        <v>10.90270245998838</v>
      </c>
      <c r="K21" s="20">
        <f t="shared" si="2"/>
        <v>2011</v>
      </c>
      <c r="M21" s="21">
        <f t="shared" si="3"/>
        <v>2.6100697927420065</v>
      </c>
      <c r="N21" s="21">
        <f t="shared" si="4"/>
        <v>2.3890106906140374</v>
      </c>
      <c r="P21"/>
      <c r="Q21"/>
    </row>
    <row r="22" spans="1:18" x14ac:dyDescent="0.2">
      <c r="A22" s="25">
        <f>'GF + UG Iteration 9'!A22</f>
        <v>347</v>
      </c>
      <c r="B22" s="25" t="str">
        <f>'GF + UG Iteration 9'!B22</f>
        <v>GF</v>
      </c>
      <c r="C22" s="18">
        <f>'GF + UG Iteration 9'!C22</f>
        <v>10.548</v>
      </c>
      <c r="D22" s="19">
        <f>'GF + UG Iteration 9'!D22</f>
        <v>9.3004925979781259</v>
      </c>
      <c r="E22" s="30">
        <f>'GF + UG Iteration 9'!E22</f>
        <v>2003</v>
      </c>
      <c r="F22" s="18"/>
      <c r="G22" s="19"/>
      <c r="H22" s="20"/>
      <c r="I22" s="18">
        <f t="shared" si="0"/>
        <v>10.548</v>
      </c>
      <c r="J22" s="19">
        <f t="shared" si="1"/>
        <v>9.3004925979781259</v>
      </c>
      <c r="K22" s="20">
        <f t="shared" si="2"/>
        <v>2003</v>
      </c>
      <c r="M22" s="21">
        <f t="shared" si="3"/>
        <v>2.3559362684910403</v>
      </c>
      <c r="N22" s="21">
        <f t="shared" si="4"/>
        <v>2.23006736628101</v>
      </c>
    </row>
    <row r="23" spans="1:18" x14ac:dyDescent="0.2">
      <c r="A23" s="25">
        <f>'GF + UG Iteration 9'!A23</f>
        <v>1358</v>
      </c>
      <c r="B23" s="25" t="str">
        <f>'GF + UG Iteration 9'!B23</f>
        <v>GF</v>
      </c>
      <c r="C23" s="18">
        <f>'GF + UG Iteration 9'!C23</f>
        <v>27</v>
      </c>
      <c r="D23" s="19">
        <f>'GF + UG Iteration 9'!D23</f>
        <v>13.07265503282744</v>
      </c>
      <c r="E23" s="30">
        <f>'GF + UG Iteration 9'!E23</f>
        <v>2011</v>
      </c>
      <c r="F23" s="18"/>
      <c r="G23" s="19"/>
      <c r="H23" s="20"/>
      <c r="I23" s="18">
        <f t="shared" si="0"/>
        <v>27</v>
      </c>
      <c r="J23" s="19">
        <f t="shared" si="1"/>
        <v>13.07265503282744</v>
      </c>
      <c r="K23" s="20">
        <f t="shared" si="2"/>
        <v>2011</v>
      </c>
      <c r="M23" s="21">
        <f t="shared" si="3"/>
        <v>3.2958368660043291</v>
      </c>
      <c r="N23" s="21">
        <f t="shared" si="4"/>
        <v>2.5705226464726247</v>
      </c>
    </row>
    <row r="24" spans="1:18" x14ac:dyDescent="0.2">
      <c r="A24" s="25">
        <f>'GF + UG Iteration 9'!A24</f>
        <v>584</v>
      </c>
      <c r="B24" s="25" t="str">
        <f>'GF + UG Iteration 9'!B24</f>
        <v>GF</v>
      </c>
      <c r="C24" s="18">
        <f>'GF + UG Iteration 9'!C24</f>
        <v>28</v>
      </c>
      <c r="D24" s="19">
        <f>'GF + UG Iteration 9'!D24</f>
        <v>34.903749706800433</v>
      </c>
      <c r="E24" s="30">
        <f>'GF + UG Iteration 9'!E24</f>
        <v>2011</v>
      </c>
      <c r="F24" s="18"/>
      <c r="G24" s="19"/>
      <c r="H24" s="20"/>
      <c r="I24" s="18">
        <f t="shared" si="0"/>
        <v>28</v>
      </c>
      <c r="J24" s="19">
        <f t="shared" si="1"/>
        <v>34.903749706800433</v>
      </c>
      <c r="K24" s="20">
        <f t="shared" si="2"/>
        <v>2011</v>
      </c>
      <c r="M24" s="21">
        <f t="shared" si="3"/>
        <v>3.3322045101752038</v>
      </c>
      <c r="N24" s="21">
        <f t="shared" si="4"/>
        <v>3.5525942648925612</v>
      </c>
    </row>
    <row r="25" spans="1:18" x14ac:dyDescent="0.2">
      <c r="A25" s="25">
        <f>'GF + UG Iteration 9'!A25</f>
        <v>422</v>
      </c>
      <c r="B25" s="25" t="str">
        <f>'GF + UG Iteration 9'!B25</f>
        <v>GF</v>
      </c>
      <c r="C25" s="18">
        <f>'GF + UG Iteration 9'!C25</f>
        <v>24</v>
      </c>
      <c r="D25" s="19">
        <f>'GF + UG Iteration 9'!D25</f>
        <v>13.650794587226329</v>
      </c>
      <c r="E25" s="30">
        <f>'GF + UG Iteration 9'!E25</f>
        <v>2003</v>
      </c>
      <c r="F25" s="18"/>
      <c r="G25" s="19"/>
      <c r="H25" s="20"/>
      <c r="I25" s="18">
        <f t="shared" si="0"/>
        <v>24</v>
      </c>
      <c r="J25" s="19">
        <f t="shared" si="1"/>
        <v>13.650794587226329</v>
      </c>
      <c r="K25" s="20">
        <f t="shared" si="2"/>
        <v>2003</v>
      </c>
      <c r="M25" s="21">
        <f t="shared" si="3"/>
        <v>3.1780538303479458</v>
      </c>
      <c r="N25" s="21">
        <f t="shared" si="4"/>
        <v>2.6137977314551564</v>
      </c>
    </row>
    <row r="26" spans="1:18" x14ac:dyDescent="0.2">
      <c r="A26" s="25">
        <f>'GF + UG Iteration 9'!A26</f>
        <v>944</v>
      </c>
      <c r="B26" s="25" t="str">
        <f>'GF + UG Iteration 9'!B26</f>
        <v>GF</v>
      </c>
      <c r="C26" s="18">
        <f>'GF + UG Iteration 9'!C26</f>
        <v>43</v>
      </c>
      <c r="D26" s="19">
        <f>'GF + UG Iteration 9'!D26</f>
        <v>26.816090615909914</v>
      </c>
      <c r="E26" s="30">
        <f>'GF + UG Iteration 9'!E26</f>
        <v>2010</v>
      </c>
      <c r="F26" s="18"/>
      <c r="G26" s="19"/>
      <c r="H26" s="20"/>
      <c r="I26" s="18">
        <f t="shared" si="0"/>
        <v>43</v>
      </c>
      <c r="J26" s="19">
        <f t="shared" si="1"/>
        <v>26.816090615909914</v>
      </c>
      <c r="K26" s="20">
        <f t="shared" si="2"/>
        <v>2010</v>
      </c>
      <c r="M26" s="21">
        <f t="shared" si="3"/>
        <v>3.7612001156935624</v>
      </c>
      <c r="N26" s="21">
        <f t="shared" si="4"/>
        <v>3.2890021034672148</v>
      </c>
    </row>
    <row r="27" spans="1:18" x14ac:dyDescent="0.2">
      <c r="A27" s="25">
        <f>'GF + UG Iteration 9'!A27</f>
        <v>387</v>
      </c>
      <c r="B27" s="25" t="str">
        <f>'GF + UG Iteration 9'!B27</f>
        <v>GF</v>
      </c>
      <c r="C27" s="18">
        <f>'GF + UG Iteration 9'!C27</f>
        <v>7.5</v>
      </c>
      <c r="D27" s="19">
        <f>'GF + UG Iteration 9'!D27</f>
        <v>9.5130592102135658</v>
      </c>
      <c r="E27" s="30">
        <f>'GF + UG Iteration 9'!E27</f>
        <v>2003</v>
      </c>
      <c r="F27" s="18"/>
      <c r="G27" s="19"/>
      <c r="H27" s="20"/>
      <c r="I27" s="18">
        <f t="shared" si="0"/>
        <v>7.5</v>
      </c>
      <c r="J27" s="19">
        <f t="shared" si="1"/>
        <v>9.5130592102135658</v>
      </c>
      <c r="K27" s="20">
        <f t="shared" si="2"/>
        <v>2003</v>
      </c>
      <c r="M27" s="21">
        <f t="shared" si="3"/>
        <v>2.0149030205422647</v>
      </c>
      <c r="N27" s="21">
        <f t="shared" si="4"/>
        <v>2.2526655083417699</v>
      </c>
    </row>
    <row r="28" spans="1:18" x14ac:dyDescent="0.2">
      <c r="A28" s="25">
        <f>'GF + UG Iteration 9'!A28</f>
        <v>587</v>
      </c>
      <c r="B28" s="25" t="str">
        <f>'GF + UG Iteration 9'!B28</f>
        <v>GF</v>
      </c>
      <c r="C28" s="18">
        <f>'GF + UG Iteration 9'!C28</f>
        <v>17.8</v>
      </c>
      <c r="D28" s="19">
        <f>'GF + UG Iteration 9'!D28</f>
        <v>13.152201549137706</v>
      </c>
      <c r="E28" s="30">
        <f>'GF + UG Iteration 9'!E28</f>
        <v>2006</v>
      </c>
      <c r="F28" s="18"/>
      <c r="G28" s="19"/>
      <c r="H28" s="20"/>
      <c r="I28" s="18">
        <f t="shared" si="0"/>
        <v>17.8</v>
      </c>
      <c r="J28" s="19">
        <f t="shared" si="1"/>
        <v>13.152201549137706</v>
      </c>
      <c r="K28" s="20">
        <f t="shared" si="2"/>
        <v>2006</v>
      </c>
      <c r="M28" s="21">
        <f t="shared" si="3"/>
        <v>2.8791984572980396</v>
      </c>
      <c r="N28" s="21">
        <f t="shared" si="4"/>
        <v>2.57658916279629</v>
      </c>
    </row>
    <row r="29" spans="1:18" x14ac:dyDescent="0.2">
      <c r="A29" s="25">
        <f>'GF + UG Iteration 9'!A29</f>
        <v>585</v>
      </c>
      <c r="B29" s="25" t="str">
        <f>'GF + UG Iteration 9'!B29</f>
        <v>GF</v>
      </c>
      <c r="C29" s="18">
        <f>'GF + UG Iteration 9'!C29</f>
        <v>20.6</v>
      </c>
      <c r="D29" s="19">
        <f>'GF + UG Iteration 9'!D29</f>
        <v>11.291169205189183</v>
      </c>
      <c r="E29" s="30">
        <f>'GF + UG Iteration 9'!E29</f>
        <v>2007</v>
      </c>
      <c r="F29" s="18"/>
      <c r="G29" s="19"/>
      <c r="H29" s="20"/>
      <c r="I29" s="18">
        <f t="shared" si="0"/>
        <v>20.6</v>
      </c>
      <c r="J29" s="19">
        <f t="shared" si="1"/>
        <v>11.291169205189183</v>
      </c>
      <c r="K29" s="20">
        <f t="shared" si="2"/>
        <v>2007</v>
      </c>
      <c r="M29" s="21">
        <f t="shared" si="3"/>
        <v>3.0252910757955354</v>
      </c>
      <c r="N29" s="21">
        <f t="shared" si="4"/>
        <v>2.4240209339322751</v>
      </c>
    </row>
    <row r="30" spans="1:18" x14ac:dyDescent="0.2">
      <c r="A30" s="25">
        <f>'GF + UG Iteration 9'!A30</f>
        <v>831</v>
      </c>
      <c r="B30" s="25" t="str">
        <f>'GF + UG Iteration 9'!B30</f>
        <v>GF</v>
      </c>
      <c r="C30" s="18">
        <f>'GF + UG Iteration 9'!C30</f>
        <v>19.600000000000001</v>
      </c>
      <c r="D30" s="19">
        <f>'GF + UG Iteration 9'!D30</f>
        <v>20.965601428070691</v>
      </c>
      <c r="E30" s="30">
        <f>'GF + UG Iteration 9'!E30</f>
        <v>2011</v>
      </c>
      <c r="F30" s="18"/>
      <c r="G30" s="19"/>
      <c r="H30" s="20"/>
      <c r="I30" s="18">
        <f t="shared" si="0"/>
        <v>19.600000000000001</v>
      </c>
      <c r="J30" s="19">
        <f t="shared" si="1"/>
        <v>20.965601428070691</v>
      </c>
      <c r="K30" s="20">
        <f t="shared" si="2"/>
        <v>2011</v>
      </c>
      <c r="M30" s="21">
        <f t="shared" si="3"/>
        <v>2.9755295662364718</v>
      </c>
      <c r="N30" s="21">
        <f t="shared" si="4"/>
        <v>3.042883067455266</v>
      </c>
    </row>
    <row r="31" spans="1:18" x14ac:dyDescent="0.2">
      <c r="A31" s="25">
        <f>'GF + UG Iteration 9'!A31</f>
        <v>340</v>
      </c>
      <c r="B31" s="25" t="str">
        <f>'GF + UG Iteration 9'!B31</f>
        <v>GF</v>
      </c>
      <c r="C31" s="18">
        <f>'GF + UG Iteration 9'!C31</f>
        <v>22</v>
      </c>
      <c r="D31" s="19">
        <f>'GF + UG Iteration 9'!D31</f>
        <v>13.309615571039751</v>
      </c>
      <c r="E31" s="30">
        <f>'GF + UG Iteration 9'!E31</f>
        <v>2003</v>
      </c>
      <c r="F31" s="18"/>
      <c r="G31" s="19"/>
      <c r="H31" s="20"/>
      <c r="I31" s="18">
        <f t="shared" si="0"/>
        <v>22</v>
      </c>
      <c r="J31" s="19">
        <f t="shared" si="1"/>
        <v>13.309615571039751</v>
      </c>
      <c r="K31" s="20">
        <f t="shared" si="2"/>
        <v>2003</v>
      </c>
      <c r="M31" s="21">
        <f t="shared" si="3"/>
        <v>3.0910424533583161</v>
      </c>
      <c r="N31" s="21">
        <f t="shared" si="4"/>
        <v>2.5884867492731334</v>
      </c>
    </row>
    <row r="32" spans="1:18" x14ac:dyDescent="0.2">
      <c r="A32" s="25">
        <f>'GF + UG Iteration 9'!A32</f>
        <v>334</v>
      </c>
      <c r="B32" s="25" t="str">
        <f>'GF + UG Iteration 9'!B32</f>
        <v>GF</v>
      </c>
      <c r="C32" s="18">
        <f>'GF + UG Iteration 9'!C32</f>
        <v>18.8</v>
      </c>
      <c r="D32" s="19">
        <f>'GF + UG Iteration 9'!D32</f>
        <v>7.9463711126733889</v>
      </c>
      <c r="E32" s="30">
        <f>'GF + UG Iteration 9'!E32</f>
        <v>2003</v>
      </c>
      <c r="F32" s="18"/>
      <c r="G32" s="19"/>
      <c r="H32" s="20"/>
      <c r="I32" s="18">
        <f t="shared" si="0"/>
        <v>18.8</v>
      </c>
      <c r="J32" s="19">
        <f t="shared" si="1"/>
        <v>7.9463711126733889</v>
      </c>
      <c r="K32" s="20">
        <f t="shared" si="2"/>
        <v>2003</v>
      </c>
      <c r="M32" s="21">
        <f t="shared" si="3"/>
        <v>2.9338568698359038</v>
      </c>
      <c r="N32" s="21">
        <f t="shared" si="4"/>
        <v>2.072715360640252</v>
      </c>
    </row>
    <row r="33" spans="1:14" x14ac:dyDescent="0.2">
      <c r="A33" s="25">
        <f>'GF + UG Iteration 9'!A33</f>
        <v>343</v>
      </c>
      <c r="B33" s="25" t="str">
        <f>'GF + UG Iteration 9'!B33</f>
        <v>GF</v>
      </c>
      <c r="C33" s="18">
        <f>'GF + UG Iteration 9'!C33</f>
        <v>15.6</v>
      </c>
      <c r="D33" s="19">
        <f>'GF + UG Iteration 9'!D33</f>
        <v>13.99971574022935</v>
      </c>
      <c r="E33" s="30">
        <f>'GF + UG Iteration 9'!E33</f>
        <v>2003</v>
      </c>
      <c r="F33" s="18"/>
      <c r="G33" s="19"/>
      <c r="H33" s="20"/>
      <c r="I33" s="18">
        <f t="shared" si="0"/>
        <v>15.6</v>
      </c>
      <c r="J33" s="19">
        <f t="shared" si="1"/>
        <v>13.99971574022935</v>
      </c>
      <c r="K33" s="20">
        <f t="shared" si="2"/>
        <v>2003</v>
      </c>
      <c r="M33" s="21">
        <f t="shared" si="3"/>
        <v>2.7472709142554912</v>
      </c>
      <c r="N33" s="21">
        <f t="shared" si="4"/>
        <v>2.6390370251397921</v>
      </c>
    </row>
    <row r="34" spans="1:14" x14ac:dyDescent="0.2">
      <c r="A34" s="25">
        <f>'GF + UG Iteration 9'!A34</f>
        <v>358</v>
      </c>
      <c r="B34" s="25" t="str">
        <f>'GF + UG Iteration 9'!B34</f>
        <v>GF</v>
      </c>
      <c r="C34" s="18">
        <f>'GF + UG Iteration 9'!C34</f>
        <v>19.8</v>
      </c>
      <c r="D34" s="19">
        <f>'GF + UG Iteration 9'!D34</f>
        <v>7.2248521864398549</v>
      </c>
      <c r="E34" s="30">
        <f>'GF + UG Iteration 9'!E34</f>
        <v>2003</v>
      </c>
      <c r="F34" s="18"/>
      <c r="G34" s="19"/>
      <c r="H34" s="20"/>
      <c r="I34" s="18">
        <f t="shared" si="0"/>
        <v>19.8</v>
      </c>
      <c r="J34" s="19">
        <f t="shared" si="1"/>
        <v>7.2248521864398549</v>
      </c>
      <c r="K34" s="20">
        <f t="shared" si="2"/>
        <v>2003</v>
      </c>
      <c r="M34" s="21">
        <f t="shared" si="3"/>
        <v>2.9856819377004897</v>
      </c>
      <c r="N34" s="21">
        <f t="shared" si="4"/>
        <v>1.9775267751649739</v>
      </c>
    </row>
    <row r="35" spans="1:14" x14ac:dyDescent="0.2">
      <c r="A35" s="25">
        <f>'GF + UG Iteration 9'!A35</f>
        <v>702</v>
      </c>
      <c r="B35" s="25" t="str">
        <f>'GF + UG Iteration 9'!B35</f>
        <v>GF</v>
      </c>
      <c r="C35" s="18">
        <f>'GF + UG Iteration 9'!C35</f>
        <v>28.4</v>
      </c>
      <c r="D35" s="19">
        <f>'GF + UG Iteration 9'!D35</f>
        <v>5.2101531080390755</v>
      </c>
      <c r="E35" s="30">
        <f>'GF + UG Iteration 9'!E35</f>
        <v>2007</v>
      </c>
      <c r="F35" s="18"/>
      <c r="G35" s="19"/>
      <c r="H35" s="20"/>
      <c r="I35" s="18">
        <f t="shared" si="0"/>
        <v>28.4</v>
      </c>
      <c r="J35" s="19">
        <f t="shared" si="1"/>
        <v>5.2101531080390755</v>
      </c>
      <c r="K35" s="20">
        <f t="shared" si="2"/>
        <v>2007</v>
      </c>
      <c r="M35" s="21">
        <f t="shared" si="3"/>
        <v>3.3463891451671604</v>
      </c>
      <c r="N35" s="21">
        <f t="shared" si="4"/>
        <v>1.6506092426730299</v>
      </c>
    </row>
    <row r="36" spans="1:14" x14ac:dyDescent="0.2">
      <c r="A36" s="25">
        <f>'GF + UG Iteration 9'!A36</f>
        <v>526</v>
      </c>
      <c r="B36" s="25" t="str">
        <f>'GF + UG Iteration 9'!B36</f>
        <v>GF</v>
      </c>
      <c r="C36" s="18">
        <f>'GF + UG Iteration 9'!C36</f>
        <v>19</v>
      </c>
      <c r="D36" s="19">
        <f>'GF + UG Iteration 9'!D36</f>
        <v>13.758834109767626</v>
      </c>
      <c r="E36" s="30">
        <f>'GF + UG Iteration 9'!E36</f>
        <v>2007</v>
      </c>
      <c r="F36" s="18"/>
      <c r="G36" s="19"/>
      <c r="H36" s="20"/>
      <c r="I36" s="18">
        <f t="shared" si="0"/>
        <v>19</v>
      </c>
      <c r="J36" s="19">
        <f t="shared" si="1"/>
        <v>13.758834109767626</v>
      </c>
      <c r="K36" s="20">
        <f t="shared" si="2"/>
        <v>2007</v>
      </c>
      <c r="M36" s="21">
        <f t="shared" si="3"/>
        <v>2.9444389791664403</v>
      </c>
      <c r="N36" s="21">
        <f t="shared" si="4"/>
        <v>2.6216810985205803</v>
      </c>
    </row>
    <row r="37" spans="1:14" x14ac:dyDescent="0.2">
      <c r="A37" s="25">
        <f>'GF + UG Iteration 9'!A37</f>
        <v>288</v>
      </c>
      <c r="B37" s="25" t="str">
        <f>'GF + UG Iteration 9'!B37</f>
        <v>GF</v>
      </c>
      <c r="C37" s="18">
        <f>'GF + UG Iteration 9'!C37</f>
        <v>12</v>
      </c>
      <c r="D37" s="19">
        <f>'GF + UG Iteration 9'!D37</f>
        <v>4.4533584840568787</v>
      </c>
      <c r="E37" s="30">
        <f>'GF + UG Iteration 9'!E37</f>
        <v>2001</v>
      </c>
      <c r="F37" s="18"/>
      <c r="G37" s="19"/>
      <c r="H37" s="20"/>
      <c r="I37" s="18">
        <f t="shared" si="0"/>
        <v>12</v>
      </c>
      <c r="J37" s="19">
        <f t="shared" si="1"/>
        <v>4.4533584840568787</v>
      </c>
      <c r="K37" s="20">
        <f t="shared" si="2"/>
        <v>2001</v>
      </c>
      <c r="M37" s="21">
        <f t="shared" si="3"/>
        <v>2.4849066497880004</v>
      </c>
      <c r="N37" s="21">
        <f t="shared" si="4"/>
        <v>1.4936585270420049</v>
      </c>
    </row>
    <row r="38" spans="1:14" x14ac:dyDescent="0.2">
      <c r="A38" s="25">
        <f>'GF + UG Iteration 9'!A38</f>
        <v>851</v>
      </c>
      <c r="B38" s="25" t="str">
        <f>'GF + UG Iteration 9'!B38</f>
        <v>GF</v>
      </c>
      <c r="C38" s="18">
        <f>'GF + UG Iteration 9'!C38</f>
        <v>25</v>
      </c>
      <c r="D38" s="19">
        <f>'GF + UG Iteration 9'!D38</f>
        <v>12.931754132918639</v>
      </c>
      <c r="E38" s="30">
        <f>'GF + UG Iteration 9'!E38</f>
        <v>2007</v>
      </c>
      <c r="F38" s="18"/>
      <c r="G38" s="19"/>
      <c r="H38" s="20"/>
      <c r="I38" s="18">
        <f t="shared" si="0"/>
        <v>25</v>
      </c>
      <c r="J38" s="19">
        <f t="shared" si="1"/>
        <v>12.931754132918639</v>
      </c>
      <c r="K38" s="20">
        <f t="shared" si="2"/>
        <v>2007</v>
      </c>
      <c r="M38" s="21">
        <f t="shared" si="3"/>
        <v>3.2188758248682006</v>
      </c>
      <c r="N38" s="21">
        <f t="shared" si="4"/>
        <v>2.5596858473810773</v>
      </c>
    </row>
    <row r="39" spans="1:14" x14ac:dyDescent="0.2">
      <c r="A39" s="25">
        <f>'GF + UG Iteration 9'!A39</f>
        <v>648</v>
      </c>
      <c r="B39" s="25" t="str">
        <f>'GF + UG Iteration 9'!B39</f>
        <v>GF</v>
      </c>
      <c r="C39" s="18">
        <f>'GF + UG Iteration 9'!C39</f>
        <v>15</v>
      </c>
      <c r="D39" s="19">
        <f>'GF + UG Iteration 9'!D39</f>
        <v>14.973718181093032</v>
      </c>
      <c r="E39" s="30">
        <f>'GF + UG Iteration 9'!E39</f>
        <v>2007</v>
      </c>
      <c r="F39" s="18"/>
      <c r="G39" s="19"/>
      <c r="H39" s="20"/>
      <c r="I39" s="18">
        <f t="shared" si="0"/>
        <v>15</v>
      </c>
      <c r="J39" s="19">
        <f t="shared" si="1"/>
        <v>14.973718181093032</v>
      </c>
      <c r="K39" s="20">
        <f t="shared" si="2"/>
        <v>2007</v>
      </c>
      <c r="M39" s="21">
        <f t="shared" si="3"/>
        <v>2.7080502011022101</v>
      </c>
      <c r="N39" s="21">
        <f t="shared" si="4"/>
        <v>2.7062965430819679</v>
      </c>
    </row>
    <row r="40" spans="1:14" x14ac:dyDescent="0.2">
      <c r="A40" s="25">
        <f>'GF + UG Iteration 9'!A40</f>
        <v>855</v>
      </c>
      <c r="B40" s="25" t="str">
        <f>'GF + UG Iteration 9'!B40</f>
        <v>GF</v>
      </c>
      <c r="C40" s="18">
        <f>'GF + UG Iteration 9'!C40</f>
        <v>23</v>
      </c>
      <c r="D40" s="19">
        <f>'GF + UG Iteration 9'!D40</f>
        <v>28.66706963950903</v>
      </c>
      <c r="E40" s="30">
        <f>'GF + UG Iteration 9'!E40</f>
        <v>2011</v>
      </c>
      <c r="F40" s="18"/>
      <c r="G40" s="19"/>
      <c r="H40" s="20"/>
      <c r="I40" s="18">
        <f t="shared" si="0"/>
        <v>23</v>
      </c>
      <c r="J40" s="19">
        <f t="shared" si="1"/>
        <v>28.66706963950903</v>
      </c>
      <c r="K40" s="20">
        <f t="shared" si="2"/>
        <v>2011</v>
      </c>
      <c r="M40" s="21">
        <f t="shared" si="3"/>
        <v>3.1354942159291497</v>
      </c>
      <c r="N40" s="21">
        <f t="shared" si="4"/>
        <v>3.355749064678772</v>
      </c>
    </row>
    <row r="41" spans="1:14" x14ac:dyDescent="0.2">
      <c r="A41" s="25">
        <f>'GF + UG Iteration 9'!A41</f>
        <v>700</v>
      </c>
      <c r="B41" s="25" t="str">
        <f>'GF + UG Iteration 9'!B41</f>
        <v>GF</v>
      </c>
      <c r="C41" s="18">
        <f>'GF + UG Iteration 9'!C41</f>
        <v>9.8000000000000007</v>
      </c>
      <c r="D41" s="19">
        <f>'GF + UG Iteration 9'!D41</f>
        <v>7.0657947644327148</v>
      </c>
      <c r="E41" s="30">
        <f>'GF + UG Iteration 9'!E41</f>
        <v>2007</v>
      </c>
      <c r="F41" s="18"/>
      <c r="G41" s="19"/>
      <c r="H41" s="20"/>
      <c r="I41" s="18">
        <f t="shared" si="0"/>
        <v>9.8000000000000007</v>
      </c>
      <c r="J41" s="19">
        <f t="shared" si="1"/>
        <v>7.0657947644327148</v>
      </c>
      <c r="K41" s="20">
        <f t="shared" si="2"/>
        <v>2007</v>
      </c>
      <c r="M41" s="21">
        <f t="shared" si="3"/>
        <v>2.2823823856765264</v>
      </c>
      <c r="N41" s="21">
        <f t="shared" si="4"/>
        <v>1.9552655030060266</v>
      </c>
    </row>
    <row r="42" spans="1:14" x14ac:dyDescent="0.2">
      <c r="A42" s="25">
        <f>'GF + UG Iteration 9'!A42</f>
        <v>683</v>
      </c>
      <c r="B42" s="25" t="str">
        <f>'GF + UG Iteration 9'!B42</f>
        <v>GF</v>
      </c>
      <c r="C42" s="18">
        <f>'GF + UG Iteration 9'!C42</f>
        <v>30</v>
      </c>
      <c r="D42" s="19">
        <f>'GF + UG Iteration 9'!D42</f>
        <v>16.03232257186292</v>
      </c>
      <c r="E42" s="30">
        <f>'GF + UG Iteration 9'!E42</f>
        <v>2011</v>
      </c>
      <c r="F42" s="18"/>
      <c r="G42" s="19"/>
      <c r="H42" s="20"/>
      <c r="I42" s="18">
        <f t="shared" si="0"/>
        <v>30</v>
      </c>
      <c r="J42" s="19">
        <f t="shared" si="1"/>
        <v>16.03232257186292</v>
      </c>
      <c r="K42" s="20">
        <f t="shared" si="2"/>
        <v>2011</v>
      </c>
      <c r="M42" s="21">
        <f t="shared" si="3"/>
        <v>3.4011973816621555</v>
      </c>
      <c r="N42" s="21">
        <f t="shared" si="4"/>
        <v>2.7746068452004713</v>
      </c>
    </row>
    <row r="43" spans="1:14" x14ac:dyDescent="0.2">
      <c r="A43" s="25">
        <f>'GF + UG Iteration 9'!A43</f>
        <v>559</v>
      </c>
      <c r="B43" s="25" t="str">
        <f>'GF + UG Iteration 9'!B43</f>
        <v>GF</v>
      </c>
      <c r="C43" s="18">
        <f>'GF + UG Iteration 9'!C43</f>
        <v>115</v>
      </c>
      <c r="D43" s="19">
        <f>'GF + UG Iteration 9'!D43</f>
        <v>56.859498956472109</v>
      </c>
      <c r="E43" s="30">
        <f>'GF + UG Iteration 9'!E43</f>
        <v>2011</v>
      </c>
      <c r="F43" s="18"/>
      <c r="G43" s="19"/>
      <c r="H43" s="20"/>
      <c r="I43" s="18">
        <f t="shared" si="0"/>
        <v>115</v>
      </c>
      <c r="J43" s="19">
        <f t="shared" si="1"/>
        <v>56.859498956472109</v>
      </c>
      <c r="K43" s="20">
        <f t="shared" si="2"/>
        <v>2011</v>
      </c>
      <c r="M43" s="21">
        <f t="shared" si="3"/>
        <v>4.7449321283632502</v>
      </c>
      <c r="N43" s="21">
        <f t="shared" si="4"/>
        <v>4.0405832943034818</v>
      </c>
    </row>
    <row r="44" spans="1:14" x14ac:dyDescent="0.2">
      <c r="A44" s="25">
        <f>'GF + UG Iteration 9'!A44</f>
        <v>1074</v>
      </c>
      <c r="B44" s="25" t="str">
        <f>'GF + UG Iteration 9'!B44</f>
        <v>GF</v>
      </c>
      <c r="C44" s="18">
        <f>'GF + UG Iteration 9'!C44</f>
        <v>67</v>
      </c>
      <c r="D44" s="19">
        <f>'GF + UG Iteration 9'!D44</f>
        <v>43.13883453102715</v>
      </c>
      <c r="E44" s="30">
        <f>'GF + UG Iteration 9'!E44</f>
        <v>2011</v>
      </c>
      <c r="F44" s="18"/>
      <c r="G44" s="19"/>
      <c r="H44" s="20"/>
      <c r="I44" s="18">
        <f t="shared" si="0"/>
        <v>67</v>
      </c>
      <c r="J44" s="19">
        <f t="shared" si="1"/>
        <v>43.13883453102715</v>
      </c>
      <c r="K44" s="20">
        <f t="shared" si="2"/>
        <v>2011</v>
      </c>
      <c r="M44" s="21">
        <f t="shared" si="3"/>
        <v>4.2046926193909657</v>
      </c>
      <c r="N44" s="21">
        <f t="shared" si="4"/>
        <v>3.7644236246254454</v>
      </c>
    </row>
    <row r="45" spans="1:14" x14ac:dyDescent="0.2">
      <c r="A45" s="25">
        <f>'GF + UG Iteration 9'!A45</f>
        <v>34</v>
      </c>
      <c r="B45" s="25" t="str">
        <f>'GF + UG Iteration 9'!B45</f>
        <v>GF</v>
      </c>
      <c r="C45" s="18">
        <f>'GF + UG Iteration 9'!C45</f>
        <v>16</v>
      </c>
      <c r="D45" s="19">
        <f>'GF + UG Iteration 9'!D45</f>
        <v>7.5134124542159286</v>
      </c>
      <c r="E45" s="30">
        <f>'GF + UG Iteration 9'!E45</f>
        <v>2000</v>
      </c>
      <c r="F45" s="18"/>
      <c r="G45" s="19"/>
      <c r="H45" s="20"/>
      <c r="I45" s="18">
        <f t="shared" si="0"/>
        <v>16</v>
      </c>
      <c r="J45" s="19">
        <f t="shared" si="1"/>
        <v>7.5134124542159286</v>
      </c>
      <c r="K45" s="20">
        <f t="shared" si="2"/>
        <v>2000</v>
      </c>
      <c r="M45" s="21">
        <f t="shared" si="3"/>
        <v>2.7725887222397811</v>
      </c>
      <c r="N45" s="21">
        <f t="shared" si="4"/>
        <v>2.0166897506177883</v>
      </c>
    </row>
    <row r="46" spans="1:14" x14ac:dyDescent="0.2">
      <c r="A46" s="25">
        <f>'GF + UG Iteration 9'!A46</f>
        <v>433</v>
      </c>
      <c r="B46" s="25" t="str">
        <f>'GF + UG Iteration 9'!B46</f>
        <v>GF</v>
      </c>
      <c r="C46" s="18">
        <f>'GF + UG Iteration 9'!C46</f>
        <v>25</v>
      </c>
      <c r="D46" s="19">
        <f>'GF + UG Iteration 9'!D46</f>
        <v>22.308265318441425</v>
      </c>
      <c r="E46" s="30">
        <f>'GF + UG Iteration 9'!E46</f>
        <v>2003</v>
      </c>
      <c r="F46" s="18"/>
      <c r="G46" s="19"/>
      <c r="H46" s="20"/>
      <c r="I46" s="18">
        <f t="shared" si="0"/>
        <v>25</v>
      </c>
      <c r="J46" s="19">
        <f t="shared" si="1"/>
        <v>22.308265318441425</v>
      </c>
      <c r="K46" s="20">
        <f t="shared" si="2"/>
        <v>2003</v>
      </c>
      <c r="M46" s="21">
        <f t="shared" si="3"/>
        <v>3.2188758248682006</v>
      </c>
      <c r="N46" s="21">
        <f t="shared" si="4"/>
        <v>3.1049572518778392</v>
      </c>
    </row>
    <row r="47" spans="1:14" x14ac:dyDescent="0.2">
      <c r="A47" s="25" t="str">
        <f>'GF + UG Iteration 9'!A47</f>
        <v>79A</v>
      </c>
      <c r="B47" s="25" t="str">
        <f>'GF + UG Iteration 9'!B47</f>
        <v>GF</v>
      </c>
      <c r="C47" s="18">
        <f>'GF + UG Iteration 9'!C47</f>
        <v>8</v>
      </c>
      <c r="D47" s="19">
        <f>'GF + UG Iteration 9'!D47</f>
        <v>5.0823375539699818</v>
      </c>
      <c r="E47" s="30">
        <f>'GF + UG Iteration 9'!E47</f>
        <v>2000</v>
      </c>
      <c r="F47" s="18"/>
      <c r="G47" s="19"/>
      <c r="H47" s="20"/>
      <c r="I47" s="18">
        <f t="shared" si="0"/>
        <v>8</v>
      </c>
      <c r="J47" s="19">
        <f t="shared" si="1"/>
        <v>5.0823375539699818</v>
      </c>
      <c r="K47" s="20">
        <f t="shared" si="2"/>
        <v>2000</v>
      </c>
      <c r="M47" s="21">
        <f t="shared" si="3"/>
        <v>2.0794415416798357</v>
      </c>
      <c r="N47" s="21">
        <f t="shared" si="4"/>
        <v>1.62577130417386</v>
      </c>
    </row>
    <row r="48" spans="1:14" x14ac:dyDescent="0.2">
      <c r="A48" s="25" t="str">
        <f>'GF + UG Iteration 9'!A48</f>
        <v>10A</v>
      </c>
      <c r="B48" s="25" t="str">
        <f>'GF + UG Iteration 9'!B48</f>
        <v>GF</v>
      </c>
      <c r="C48" s="18">
        <f>'GF + UG Iteration 9'!C48</f>
        <v>6.2</v>
      </c>
      <c r="D48" s="19">
        <f>'GF + UG Iteration 9'!D48</f>
        <v>8.9160103759227685</v>
      </c>
      <c r="E48" s="30">
        <f>'GF + UG Iteration 9'!E48</f>
        <v>2001</v>
      </c>
      <c r="F48" s="18"/>
      <c r="G48" s="19"/>
      <c r="H48" s="20"/>
      <c r="I48" s="18">
        <f t="shared" si="0"/>
        <v>6.2</v>
      </c>
      <c r="J48" s="19">
        <f t="shared" si="1"/>
        <v>8.9160103759227685</v>
      </c>
      <c r="K48" s="20">
        <f t="shared" si="2"/>
        <v>2001</v>
      </c>
      <c r="M48" s="21">
        <f t="shared" si="3"/>
        <v>1.824549292051046</v>
      </c>
      <c r="N48" s="21">
        <f t="shared" si="4"/>
        <v>2.1878485792648439</v>
      </c>
    </row>
    <row r="49" spans="1:14" x14ac:dyDescent="0.2">
      <c r="A49" s="25">
        <f>'GF + UG Iteration 9'!A49</f>
        <v>345</v>
      </c>
      <c r="B49" s="25" t="str">
        <f>'GF + UG Iteration 9'!B49</f>
        <v>GF</v>
      </c>
      <c r="C49" s="18">
        <f>'GF + UG Iteration 9'!C49</f>
        <v>35</v>
      </c>
      <c r="D49" s="19">
        <f>'GF + UG Iteration 9'!D49</f>
        <v>8.3689831482940882</v>
      </c>
      <c r="E49" s="30">
        <f>'GF + UG Iteration 9'!E49</f>
        <v>2003</v>
      </c>
      <c r="F49" s="18"/>
      <c r="G49" s="19"/>
      <c r="H49" s="20"/>
      <c r="I49" s="18">
        <f t="shared" si="0"/>
        <v>35</v>
      </c>
      <c r="J49" s="19">
        <f t="shared" si="1"/>
        <v>8.3689831482940882</v>
      </c>
      <c r="K49" s="20">
        <f t="shared" si="2"/>
        <v>2003</v>
      </c>
      <c r="M49" s="21">
        <f t="shared" si="3"/>
        <v>3.5553480614894135</v>
      </c>
      <c r="N49" s="21">
        <f t="shared" si="4"/>
        <v>2.1245323894621508</v>
      </c>
    </row>
    <row r="50" spans="1:14" x14ac:dyDescent="0.2">
      <c r="A50" s="25">
        <f>'GF + UG Iteration 9'!A50</f>
        <v>1049</v>
      </c>
      <c r="B50" s="25" t="str">
        <f>'GF + UG Iteration 9'!B50</f>
        <v>GF</v>
      </c>
      <c r="C50" s="18">
        <f>'GF + UG Iteration 9'!C50</f>
        <v>15.2</v>
      </c>
      <c r="D50" s="19">
        <f>'GF + UG Iteration 9'!D50</f>
        <v>54.551770509232071</v>
      </c>
      <c r="E50" s="30">
        <f>'GF + UG Iteration 9'!E50</f>
        <v>2011</v>
      </c>
      <c r="F50" s="18"/>
      <c r="G50" s="19"/>
      <c r="H50" s="20"/>
      <c r="I50" s="18">
        <f t="shared" si="0"/>
        <v>15.2</v>
      </c>
      <c r="J50" s="19">
        <f t="shared" si="1"/>
        <v>54.551770509232071</v>
      </c>
      <c r="K50" s="20">
        <f t="shared" si="2"/>
        <v>2011</v>
      </c>
      <c r="M50" s="21">
        <f t="shared" si="3"/>
        <v>2.7212954278522306</v>
      </c>
      <c r="N50" s="21">
        <f t="shared" si="4"/>
        <v>3.9991501683835766</v>
      </c>
    </row>
    <row r="51" spans="1:14" x14ac:dyDescent="0.2">
      <c r="A51" s="25">
        <f>'GF + UG Iteration 9'!A51</f>
        <v>230</v>
      </c>
      <c r="B51" s="25" t="str">
        <f>'GF + UG Iteration 9'!B51</f>
        <v>GF</v>
      </c>
      <c r="C51" s="18">
        <f>'GF + UG Iteration 9'!C51</f>
        <v>17</v>
      </c>
      <c r="D51" s="19">
        <f>'GF + UG Iteration 9'!D51</f>
        <v>10.739901169983137</v>
      </c>
      <c r="E51" s="30">
        <f>'GF + UG Iteration 9'!E51</f>
        <v>2003</v>
      </c>
      <c r="F51" s="18"/>
      <c r="G51" s="19"/>
      <c r="H51" s="20"/>
      <c r="I51" s="18">
        <f t="shared" si="0"/>
        <v>17</v>
      </c>
      <c r="J51" s="19">
        <f t="shared" si="1"/>
        <v>10.739901169983137</v>
      </c>
      <c r="K51" s="20">
        <f t="shared" si="2"/>
        <v>2003</v>
      </c>
      <c r="M51" s="21">
        <f t="shared" si="3"/>
        <v>2.8332133440562162</v>
      </c>
      <c r="N51" s="21">
        <f t="shared" si="4"/>
        <v>2.3739658869883922</v>
      </c>
    </row>
    <row r="52" spans="1:14" x14ac:dyDescent="0.2">
      <c r="A52" s="25" t="str">
        <f>'GF + UG Iteration 9'!A52</f>
        <v>79B</v>
      </c>
      <c r="B52" s="25" t="str">
        <f>'GF + UG Iteration 9'!B52</f>
        <v>GF</v>
      </c>
      <c r="C52" s="18">
        <f>'GF + UG Iteration 9'!C52</f>
        <v>8</v>
      </c>
      <c r="D52" s="19">
        <f>'GF + UG Iteration 9'!D52</f>
        <v>3.3788339951362953</v>
      </c>
      <c r="E52" s="30">
        <f>'GF + UG Iteration 9'!E52</f>
        <v>2000</v>
      </c>
      <c r="F52" s="18"/>
      <c r="G52" s="19"/>
      <c r="H52" s="20"/>
      <c r="I52" s="18">
        <f t="shared" si="0"/>
        <v>8</v>
      </c>
      <c r="J52" s="19">
        <f t="shared" si="1"/>
        <v>3.3788339951362953</v>
      </c>
      <c r="K52" s="20">
        <f t="shared" si="2"/>
        <v>2000</v>
      </c>
      <c r="M52" s="21">
        <f t="shared" si="3"/>
        <v>2.0794415416798357</v>
      </c>
      <c r="N52" s="21">
        <f t="shared" si="4"/>
        <v>1.2175306781252826</v>
      </c>
    </row>
    <row r="53" spans="1:14" x14ac:dyDescent="0.2">
      <c r="A53" s="25" t="str">
        <f>'GF + UG Iteration 9'!A53</f>
        <v>10B</v>
      </c>
      <c r="B53" s="25" t="str">
        <f>'GF + UG Iteration 9'!B53</f>
        <v>GF</v>
      </c>
      <c r="C53" s="18">
        <f>'GF + UG Iteration 9'!C53</f>
        <v>9.4060000000000006</v>
      </c>
      <c r="D53" s="19">
        <f>'GF + UG Iteration 9'!D53</f>
        <v>9.7991326901064184</v>
      </c>
      <c r="E53" s="30">
        <f>'GF + UG Iteration 9'!E53</f>
        <v>2001</v>
      </c>
      <c r="F53" s="18"/>
      <c r="G53" s="19"/>
      <c r="H53" s="20"/>
      <c r="I53" s="18">
        <f t="shared" si="0"/>
        <v>9.4060000000000006</v>
      </c>
      <c r="J53" s="19">
        <f t="shared" si="1"/>
        <v>9.7991326901064184</v>
      </c>
      <c r="K53" s="20">
        <f t="shared" si="2"/>
        <v>2001</v>
      </c>
      <c r="M53" s="21">
        <f t="shared" si="3"/>
        <v>2.2413477835228561</v>
      </c>
      <c r="N53" s="21">
        <f t="shared" si="4"/>
        <v>2.2822938807505317</v>
      </c>
    </row>
    <row r="54" spans="1:14" x14ac:dyDescent="0.2">
      <c r="A54" s="25">
        <f>'GF + UG Iteration 9'!A54</f>
        <v>8</v>
      </c>
      <c r="B54" s="25" t="str">
        <f>'GF + UG Iteration 9'!B54</f>
        <v>GF</v>
      </c>
      <c r="C54" s="18">
        <f>'GF + UG Iteration 9'!C54</f>
        <v>18</v>
      </c>
      <c r="D54" s="19">
        <f>'GF + UG Iteration 9'!D54</f>
        <v>11.984110505191126</v>
      </c>
      <c r="E54" s="30">
        <f>'GF + UG Iteration 9'!E54</f>
        <v>2000</v>
      </c>
      <c r="F54" s="18"/>
      <c r="G54" s="19"/>
      <c r="H54" s="20"/>
      <c r="I54" s="18">
        <f t="shared" si="0"/>
        <v>18</v>
      </c>
      <c r="J54" s="19">
        <f t="shared" si="1"/>
        <v>11.984110505191126</v>
      </c>
      <c r="K54" s="20">
        <f t="shared" si="2"/>
        <v>2000</v>
      </c>
      <c r="M54" s="21">
        <f t="shared" si="3"/>
        <v>2.8903717578961645</v>
      </c>
      <c r="N54" s="21">
        <f t="shared" si="4"/>
        <v>2.4835816477930246</v>
      </c>
    </row>
    <row r="55" spans="1:14" x14ac:dyDescent="0.2">
      <c r="A55" s="25">
        <f>'GF + UG Iteration 9'!A55</f>
        <v>487</v>
      </c>
      <c r="B55" s="25" t="str">
        <f>'GF + UG Iteration 9'!B55</f>
        <v>GF</v>
      </c>
      <c r="C55" s="18">
        <f>'GF + UG Iteration 9'!C55</f>
        <v>22</v>
      </c>
      <c r="D55" s="19">
        <f>'GF + UG Iteration 9'!D55</f>
        <v>16.606728766354362</v>
      </c>
      <c r="E55" s="30">
        <f>'GF + UG Iteration 9'!E55</f>
        <v>2007</v>
      </c>
      <c r="F55" s="18"/>
      <c r="G55" s="19"/>
      <c r="H55" s="20"/>
      <c r="I55" s="18">
        <f t="shared" si="0"/>
        <v>22</v>
      </c>
      <c r="J55" s="19">
        <f t="shared" si="1"/>
        <v>16.606728766354362</v>
      </c>
      <c r="K55" s="20">
        <f t="shared" si="2"/>
        <v>2007</v>
      </c>
      <c r="M55" s="21">
        <f t="shared" si="3"/>
        <v>3.0910424533583161</v>
      </c>
      <c r="N55" s="21">
        <f t="shared" si="4"/>
        <v>2.8098079606021904</v>
      </c>
    </row>
    <row r="56" spans="1:14" x14ac:dyDescent="0.2">
      <c r="A56" s="25">
        <f>'GF + UG Iteration 9'!A56</f>
        <v>385</v>
      </c>
      <c r="B56" s="25" t="str">
        <f>'GF + UG Iteration 9'!B56</f>
        <v>GF</v>
      </c>
      <c r="C56" s="18">
        <f>'GF + UG Iteration 9'!C56</f>
        <v>7.5</v>
      </c>
      <c r="D56" s="19">
        <f>'GF + UG Iteration 9'!D56</f>
        <v>8.5880709825089685</v>
      </c>
      <c r="E56" s="30">
        <f>'GF + UG Iteration 9'!E56</f>
        <v>2003</v>
      </c>
      <c r="F56" s="18"/>
      <c r="G56" s="19"/>
      <c r="H56" s="20"/>
      <c r="I56" s="18">
        <f t="shared" si="0"/>
        <v>7.5</v>
      </c>
      <c r="J56" s="19">
        <f t="shared" si="1"/>
        <v>8.5880709825089685</v>
      </c>
      <c r="K56" s="20">
        <f t="shared" si="2"/>
        <v>2003</v>
      </c>
      <c r="M56" s="21">
        <f t="shared" si="3"/>
        <v>2.0149030205422647</v>
      </c>
      <c r="N56" s="21">
        <f t="shared" si="4"/>
        <v>2.1503741452954848</v>
      </c>
    </row>
    <row r="57" spans="1:14" x14ac:dyDescent="0.2">
      <c r="A57" s="25">
        <f>'GF + UG Iteration 9'!A57</f>
        <v>865</v>
      </c>
      <c r="B57" s="25" t="str">
        <f>'GF + UG Iteration 9'!B57</f>
        <v>GF</v>
      </c>
      <c r="C57" s="18">
        <f>'GF + UG Iteration 9'!C57</f>
        <v>25</v>
      </c>
      <c r="D57" s="19">
        <f>'GF + UG Iteration 9'!D57</f>
        <v>8.6091983279462436</v>
      </c>
      <c r="E57" s="30">
        <f>'GF + UG Iteration 9'!E57</f>
        <v>2007</v>
      </c>
      <c r="F57" s="18"/>
      <c r="G57" s="19"/>
      <c r="H57" s="20"/>
      <c r="I57" s="18">
        <f t="shared" si="0"/>
        <v>25</v>
      </c>
      <c r="J57" s="19">
        <f t="shared" si="1"/>
        <v>8.6091983279462436</v>
      </c>
      <c r="K57" s="20">
        <f t="shared" si="2"/>
        <v>2007</v>
      </c>
      <c r="M57" s="21">
        <f t="shared" si="3"/>
        <v>3.2188758248682006</v>
      </c>
      <c r="N57" s="21">
        <f t="shared" si="4"/>
        <v>2.1528312046907798</v>
      </c>
    </row>
    <row r="58" spans="1:14" x14ac:dyDescent="0.2">
      <c r="A58" s="25">
        <f>'GF + UG Iteration 9'!A58</f>
        <v>863</v>
      </c>
      <c r="B58" s="25" t="str">
        <f>'GF + UG Iteration 9'!B58</f>
        <v>GF</v>
      </c>
      <c r="C58" s="18">
        <f>'GF + UG Iteration 9'!C58</f>
        <v>25</v>
      </c>
      <c r="D58" s="19">
        <f>'GF + UG Iteration 9'!D58</f>
        <v>8.2434360504581008</v>
      </c>
      <c r="E58" s="30">
        <f>'GF + UG Iteration 9'!E58</f>
        <v>2007</v>
      </c>
      <c r="F58" s="18"/>
      <c r="G58" s="19"/>
      <c r="H58" s="20"/>
      <c r="I58" s="18">
        <f t="shared" si="0"/>
        <v>25</v>
      </c>
      <c r="J58" s="19">
        <f t="shared" si="1"/>
        <v>8.2434360504581008</v>
      </c>
      <c r="K58" s="20">
        <f t="shared" si="2"/>
        <v>2007</v>
      </c>
      <c r="M58" s="21">
        <f t="shared" si="3"/>
        <v>3.2188758248682006</v>
      </c>
      <c r="N58" s="21">
        <f t="shared" si="4"/>
        <v>2.1094172534173556</v>
      </c>
    </row>
    <row r="59" spans="1:14" x14ac:dyDescent="0.2">
      <c r="A59" s="25">
        <f>'GF + UG Iteration 9'!A59</f>
        <v>527</v>
      </c>
      <c r="B59" s="25" t="str">
        <f>'GF + UG Iteration 9'!B59</f>
        <v>GF</v>
      </c>
      <c r="C59" s="18">
        <f>'GF + UG Iteration 9'!C59</f>
        <v>17</v>
      </c>
      <c r="D59" s="19">
        <f>'GF + UG Iteration 9'!D59</f>
        <v>6.9318595783251213</v>
      </c>
      <c r="E59" s="30">
        <f>'GF + UG Iteration 9'!E59</f>
        <v>2007</v>
      </c>
      <c r="F59" s="18"/>
      <c r="G59" s="19"/>
      <c r="H59" s="20"/>
      <c r="I59" s="18">
        <f t="shared" si="0"/>
        <v>17</v>
      </c>
      <c r="J59" s="19">
        <f t="shared" si="1"/>
        <v>6.9318595783251213</v>
      </c>
      <c r="K59" s="20">
        <f t="shared" si="2"/>
        <v>2007</v>
      </c>
      <c r="M59" s="21">
        <f t="shared" si="3"/>
        <v>2.8332133440562162</v>
      </c>
      <c r="N59" s="21">
        <f t="shared" si="4"/>
        <v>1.936128114626418</v>
      </c>
    </row>
    <row r="60" spans="1:14" x14ac:dyDescent="0.2">
      <c r="A60" s="25">
        <f>'GF + UG Iteration 9'!A60</f>
        <v>595</v>
      </c>
      <c r="B60" s="25" t="str">
        <f>'GF + UG Iteration 9'!B60</f>
        <v>GF</v>
      </c>
      <c r="C60" s="18">
        <f>'GF + UG Iteration 9'!C60</f>
        <v>11</v>
      </c>
      <c r="D60" s="19">
        <f>'GF + UG Iteration 9'!D60</f>
        <v>19.087371326529755</v>
      </c>
      <c r="E60" s="30">
        <f>'GF + UG Iteration 9'!E60</f>
        <v>2007</v>
      </c>
      <c r="F60" s="18"/>
      <c r="G60" s="19"/>
      <c r="H60" s="20"/>
      <c r="I60" s="18">
        <f t="shared" si="0"/>
        <v>11</v>
      </c>
      <c r="J60" s="19">
        <f t="shared" si="1"/>
        <v>19.087371326529755</v>
      </c>
      <c r="K60" s="20">
        <f t="shared" si="2"/>
        <v>2007</v>
      </c>
      <c r="M60" s="21">
        <f t="shared" si="3"/>
        <v>2.3978952727983707</v>
      </c>
      <c r="N60" s="21">
        <f t="shared" si="4"/>
        <v>2.9490269292793174</v>
      </c>
    </row>
    <row r="61" spans="1:14" x14ac:dyDescent="0.2">
      <c r="A61" s="25">
        <f>'GF + UG Iteration 9'!A61</f>
        <v>528</v>
      </c>
      <c r="B61" s="25" t="str">
        <f>'GF + UG Iteration 9'!B61</f>
        <v>GF</v>
      </c>
      <c r="C61" s="18">
        <f>'GF + UG Iteration 9'!C61</f>
        <v>17</v>
      </c>
      <c r="D61" s="19">
        <f>'GF + UG Iteration 9'!D61</f>
        <v>5.2657663175025586</v>
      </c>
      <c r="E61" s="30">
        <f>'GF + UG Iteration 9'!E61</f>
        <v>2007</v>
      </c>
      <c r="F61" s="18"/>
      <c r="G61" s="19"/>
      <c r="H61" s="20"/>
      <c r="I61" s="18">
        <f t="shared" si="0"/>
        <v>17</v>
      </c>
      <c r="J61" s="19">
        <f t="shared" si="1"/>
        <v>5.2657663175025586</v>
      </c>
      <c r="K61" s="20">
        <f t="shared" si="2"/>
        <v>2007</v>
      </c>
      <c r="M61" s="21">
        <f t="shared" si="3"/>
        <v>2.8332133440562162</v>
      </c>
      <c r="N61" s="21">
        <f t="shared" si="4"/>
        <v>1.6612266843778571</v>
      </c>
    </row>
    <row r="62" spans="1:14" x14ac:dyDescent="0.2">
      <c r="A62" s="25">
        <f>'GF + UG Iteration 9'!A62</f>
        <v>529</v>
      </c>
      <c r="B62" s="25" t="str">
        <f>'GF + UG Iteration 9'!B62</f>
        <v>GF</v>
      </c>
      <c r="C62" s="18">
        <f>'GF + UG Iteration 9'!C62</f>
        <v>17</v>
      </c>
      <c r="D62" s="19">
        <f>'GF + UG Iteration 9'!D62</f>
        <v>7.7921694439597555</v>
      </c>
      <c r="E62" s="30">
        <f>'GF + UG Iteration 9'!E62</f>
        <v>2007</v>
      </c>
      <c r="F62" s="18"/>
      <c r="G62" s="19"/>
      <c r="H62" s="20"/>
      <c r="I62" s="18">
        <f t="shared" si="0"/>
        <v>17</v>
      </c>
      <c r="J62" s="19">
        <f t="shared" si="1"/>
        <v>7.7921694439597555</v>
      </c>
      <c r="K62" s="20">
        <f t="shared" si="2"/>
        <v>2007</v>
      </c>
      <c r="M62" s="21">
        <f t="shared" si="3"/>
        <v>2.8332133440562162</v>
      </c>
      <c r="N62" s="21">
        <f t="shared" si="4"/>
        <v>2.0531193119918547</v>
      </c>
    </row>
    <row r="63" spans="1:14" x14ac:dyDescent="0.2">
      <c r="A63" s="25">
        <f>'GF + UG Iteration 9'!A63</f>
        <v>1095</v>
      </c>
      <c r="B63" s="25" t="str">
        <f>'GF + UG Iteration 9'!B63</f>
        <v>GF</v>
      </c>
      <c r="C63" s="18">
        <f>'GF + UG Iteration 9'!C63</f>
        <v>18</v>
      </c>
      <c r="D63" s="19">
        <f>'GF + UG Iteration 9'!D63</f>
        <v>11.923356574074873</v>
      </c>
      <c r="E63" s="30">
        <f>'GF + UG Iteration 9'!E63</f>
        <v>2011</v>
      </c>
      <c r="F63" s="18"/>
      <c r="G63" s="19"/>
      <c r="H63" s="20"/>
      <c r="I63" s="18">
        <f t="shared" si="0"/>
        <v>18</v>
      </c>
      <c r="J63" s="19">
        <f t="shared" si="1"/>
        <v>11.923356574074873</v>
      </c>
      <c r="K63" s="20">
        <f t="shared" si="2"/>
        <v>2011</v>
      </c>
      <c r="M63" s="21">
        <f t="shared" si="3"/>
        <v>2.8903717578961645</v>
      </c>
      <c r="N63" s="21">
        <f t="shared" si="4"/>
        <v>2.4784992137824831</v>
      </c>
    </row>
    <row r="64" spans="1:14" x14ac:dyDescent="0.2">
      <c r="A64" s="25">
        <f>'GF + UG Iteration 9'!A64</f>
        <v>561</v>
      </c>
      <c r="B64" s="25" t="str">
        <f>'GF + UG Iteration 9'!B64</f>
        <v>GF</v>
      </c>
      <c r="C64" s="18">
        <f>'GF + UG Iteration 9'!C64</f>
        <v>46</v>
      </c>
      <c r="D64" s="19">
        <f>'GF + UG Iteration 9'!D64</f>
        <v>58.100097147658744</v>
      </c>
      <c r="E64" s="30">
        <f>'GF + UG Iteration 9'!E64</f>
        <v>2011</v>
      </c>
      <c r="F64" s="18"/>
      <c r="G64" s="19"/>
      <c r="H64" s="20"/>
      <c r="I64" s="18">
        <f t="shared" si="0"/>
        <v>46</v>
      </c>
      <c r="J64" s="19">
        <f t="shared" si="1"/>
        <v>58.100097147658744</v>
      </c>
      <c r="K64" s="20">
        <f t="shared" si="2"/>
        <v>2011</v>
      </c>
      <c r="M64" s="21">
        <f t="shared" si="3"/>
        <v>3.8286413964890951</v>
      </c>
      <c r="N64" s="21">
        <f t="shared" si="4"/>
        <v>4.0621673359332098</v>
      </c>
    </row>
    <row r="65" spans="1:14" x14ac:dyDescent="0.2">
      <c r="A65" s="25">
        <f>'GF + UG Iteration 9'!A65</f>
        <v>1018</v>
      </c>
      <c r="B65" s="25" t="str">
        <f>'GF + UG Iteration 9'!B65</f>
        <v>GF</v>
      </c>
      <c r="C65" s="18">
        <f>'GF + UG Iteration 9'!C65</f>
        <v>3</v>
      </c>
      <c r="D65" s="19">
        <f>'GF + UG Iteration 9'!D65</f>
        <v>10.634643135603309</v>
      </c>
      <c r="E65" s="30">
        <f>'GF + UG Iteration 9'!E65</f>
        <v>2011</v>
      </c>
      <c r="F65" s="18"/>
      <c r="G65" s="19"/>
      <c r="H65" s="20"/>
      <c r="I65" s="18">
        <f t="shared" si="0"/>
        <v>3</v>
      </c>
      <c r="J65" s="19">
        <f t="shared" si="1"/>
        <v>10.634643135603309</v>
      </c>
      <c r="K65" s="20">
        <f t="shared" si="2"/>
        <v>2011</v>
      </c>
      <c r="M65" s="21">
        <f t="shared" si="3"/>
        <v>1.0986122886681098</v>
      </c>
      <c r="N65" s="21">
        <f t="shared" si="4"/>
        <v>2.3641168924336546</v>
      </c>
    </row>
    <row r="66" spans="1:14" x14ac:dyDescent="0.2">
      <c r="A66" s="25">
        <f>'GF + UG Iteration 9'!A66</f>
        <v>360</v>
      </c>
      <c r="B66" s="25" t="str">
        <f>'GF + UG Iteration 9'!B66</f>
        <v>GF</v>
      </c>
      <c r="C66" s="18">
        <f>'GF + UG Iteration 9'!C66</f>
        <v>22</v>
      </c>
      <c r="D66" s="19">
        <f>'GF + UG Iteration 9'!D66</f>
        <v>7.1174715515965792</v>
      </c>
      <c r="E66" s="30">
        <f>'GF + UG Iteration 9'!E66</f>
        <v>2003</v>
      </c>
      <c r="F66" s="18"/>
      <c r="G66" s="19"/>
      <c r="H66" s="20"/>
      <c r="I66" s="18">
        <f t="shared" si="0"/>
        <v>22</v>
      </c>
      <c r="J66" s="19">
        <f t="shared" si="1"/>
        <v>7.1174715515965792</v>
      </c>
      <c r="K66" s="20">
        <f t="shared" si="2"/>
        <v>2003</v>
      </c>
      <c r="M66" s="21">
        <f t="shared" si="3"/>
        <v>3.0910424533583161</v>
      </c>
      <c r="N66" s="21">
        <f t="shared" si="4"/>
        <v>1.9625525431963604</v>
      </c>
    </row>
    <row r="67" spans="1:14" x14ac:dyDescent="0.2">
      <c r="A67" s="25">
        <f>'GF + UG Iteration 9'!A67</f>
        <v>1106</v>
      </c>
      <c r="B67" s="25" t="str">
        <f>'GF + UG Iteration 9'!B67</f>
        <v>GF</v>
      </c>
      <c r="C67" s="18">
        <f>'GF + UG Iteration 9'!C67</f>
        <v>12</v>
      </c>
      <c r="D67" s="19">
        <f>'GF + UG Iteration 9'!D67</f>
        <v>20.217898457447252</v>
      </c>
      <c r="E67" s="30">
        <f>'GF + UG Iteration 9'!E67</f>
        <v>2011</v>
      </c>
      <c r="F67" s="18"/>
      <c r="G67" s="19"/>
      <c r="H67" s="20"/>
      <c r="I67" s="18">
        <f t="shared" si="0"/>
        <v>12</v>
      </c>
      <c r="J67" s="19">
        <f t="shared" si="1"/>
        <v>20.217898457447252</v>
      </c>
      <c r="K67" s="20">
        <f t="shared" si="2"/>
        <v>2011</v>
      </c>
      <c r="M67" s="21">
        <f t="shared" si="3"/>
        <v>2.4849066497880004</v>
      </c>
      <c r="N67" s="21">
        <f t="shared" si="4"/>
        <v>3.0065682743355979</v>
      </c>
    </row>
    <row r="68" spans="1:14" x14ac:dyDescent="0.2">
      <c r="A68" s="25">
        <f>'GF + UG Iteration 9'!A68</f>
        <v>899</v>
      </c>
      <c r="B68" s="25" t="str">
        <f>'GF + UG Iteration 9'!B68</f>
        <v>GF</v>
      </c>
      <c r="C68" s="18">
        <f>'GF + UG Iteration 9'!C68</f>
        <v>25</v>
      </c>
      <c r="D68" s="19">
        <f>'GF + UG Iteration 9'!D68</f>
        <v>15.17251837286627</v>
      </c>
      <c r="E68" s="30">
        <f>'GF + UG Iteration 9'!E68</f>
        <v>2010</v>
      </c>
      <c r="F68" s="18"/>
      <c r="G68" s="19"/>
      <c r="H68" s="20"/>
      <c r="I68" s="18">
        <f t="shared" si="0"/>
        <v>25</v>
      </c>
      <c r="J68" s="19">
        <f t="shared" si="1"/>
        <v>15.17251837286627</v>
      </c>
      <c r="K68" s="20">
        <f t="shared" si="2"/>
        <v>2010</v>
      </c>
      <c r="M68" s="21">
        <f t="shared" si="3"/>
        <v>3.2188758248682006</v>
      </c>
      <c r="N68" s="21">
        <f t="shared" si="4"/>
        <v>2.7194857896591729</v>
      </c>
    </row>
    <row r="69" spans="1:14" x14ac:dyDescent="0.2">
      <c r="A69" s="25">
        <f>'GF + UG Iteration 9'!A69</f>
        <v>1191</v>
      </c>
      <c r="B69" s="25" t="str">
        <f>'GF + UG Iteration 9'!B69</f>
        <v>GF</v>
      </c>
      <c r="C69" s="18">
        <f>'GF + UG Iteration 9'!C69</f>
        <v>11</v>
      </c>
      <c r="D69" s="19">
        <f>'GF + UG Iteration 9'!D69</f>
        <v>12.628076471206382</v>
      </c>
      <c r="E69" s="30">
        <f>'GF + UG Iteration 9'!E69</f>
        <v>2011</v>
      </c>
      <c r="F69" s="18"/>
      <c r="G69" s="19"/>
      <c r="H69" s="20"/>
      <c r="I69" s="18">
        <f t="shared" si="0"/>
        <v>11</v>
      </c>
      <c r="J69" s="19">
        <f t="shared" si="1"/>
        <v>12.628076471206382</v>
      </c>
      <c r="K69" s="20">
        <f t="shared" si="2"/>
        <v>2011</v>
      </c>
      <c r="M69" s="21">
        <f t="shared" si="3"/>
        <v>2.3978952727983707</v>
      </c>
      <c r="N69" s="21">
        <f t="shared" si="4"/>
        <v>2.5359226263636927</v>
      </c>
    </row>
    <row r="70" spans="1:14" x14ac:dyDescent="0.2">
      <c r="A70" s="25">
        <f>'GF + UG Iteration 9'!A70</f>
        <v>1115</v>
      </c>
      <c r="B70" s="25" t="str">
        <f>'GF + UG Iteration 9'!B70</f>
        <v>GF</v>
      </c>
      <c r="C70" s="18">
        <f>'GF + UG Iteration 9'!C70</f>
        <v>10</v>
      </c>
      <c r="D70" s="19">
        <f>'GF + UG Iteration 9'!D70</f>
        <v>24.362790290493837</v>
      </c>
      <c r="E70" s="30">
        <f>'GF + UG Iteration 9'!E70</f>
        <v>2011</v>
      </c>
      <c r="F70" s="18"/>
      <c r="G70" s="19"/>
      <c r="H70" s="20"/>
      <c r="I70" s="18">
        <f t="shared" si="0"/>
        <v>10</v>
      </c>
      <c r="J70" s="19">
        <f t="shared" si="1"/>
        <v>24.362790290493837</v>
      </c>
      <c r="K70" s="20">
        <f t="shared" si="2"/>
        <v>2011</v>
      </c>
      <c r="M70" s="21">
        <f t="shared" si="3"/>
        <v>2.3025850929940459</v>
      </c>
      <c r="N70" s="21">
        <f t="shared" si="4"/>
        <v>3.1930569802267783</v>
      </c>
    </row>
    <row r="71" spans="1:14" x14ac:dyDescent="0.2">
      <c r="A71" s="25">
        <f>'GF + UG Iteration 9'!A71</f>
        <v>1053</v>
      </c>
      <c r="B71" s="25" t="str">
        <f>'GF + UG Iteration 9'!B71</f>
        <v>GF</v>
      </c>
      <c r="C71" s="18">
        <f>'GF + UG Iteration 9'!C71</f>
        <v>9</v>
      </c>
      <c r="D71" s="19">
        <f>'GF + UG Iteration 9'!D71</f>
        <v>14.71443826778331</v>
      </c>
      <c r="E71" s="30">
        <f>'GF + UG Iteration 9'!E71</f>
        <v>2011</v>
      </c>
      <c r="F71" s="18"/>
      <c r="G71" s="19"/>
      <c r="H71" s="20"/>
      <c r="I71" s="18">
        <f t="shared" si="0"/>
        <v>9</v>
      </c>
      <c r="J71" s="19">
        <f t="shared" si="1"/>
        <v>14.71443826778331</v>
      </c>
      <c r="K71" s="20">
        <f t="shared" si="2"/>
        <v>2011</v>
      </c>
      <c r="M71" s="21">
        <f t="shared" si="3"/>
        <v>2.1972245773362196</v>
      </c>
      <c r="N71" s="21">
        <f t="shared" si="4"/>
        <v>2.6888292068340069</v>
      </c>
    </row>
    <row r="72" spans="1:14" x14ac:dyDescent="0.2">
      <c r="A72" s="25">
        <f>'GF + UG Iteration 9'!A72</f>
        <v>864</v>
      </c>
      <c r="B72" s="25" t="str">
        <f>'GF + UG Iteration 9'!B72</f>
        <v>GF</v>
      </c>
      <c r="C72" s="18">
        <f>'GF + UG Iteration 9'!C72</f>
        <v>25</v>
      </c>
      <c r="D72" s="19">
        <f>'GF + UG Iteration 9'!D72</f>
        <v>9.825778201045452</v>
      </c>
      <c r="E72" s="30">
        <f>'GF + UG Iteration 9'!E72</f>
        <v>2007</v>
      </c>
      <c r="F72" s="18"/>
      <c r="G72" s="19"/>
      <c r="H72" s="20"/>
      <c r="I72" s="18">
        <f t="shared" ref="I72:I117" si="5">C72+F72</f>
        <v>25</v>
      </c>
      <c r="J72" s="19">
        <f t="shared" ref="J72:J117" si="6">D72+G72</f>
        <v>9.825778201045452</v>
      </c>
      <c r="K72" s="20">
        <f t="shared" ref="K72:K117" si="7">MAX(E72,H72)</f>
        <v>2007</v>
      </c>
      <c r="M72" s="21">
        <f t="shared" ref="M72:M135" si="8">LN(I72)</f>
        <v>3.2188758248682006</v>
      </c>
      <c r="N72" s="21">
        <f t="shared" ref="N72:N135" si="9">LN(J72)</f>
        <v>2.2850093608319559</v>
      </c>
    </row>
    <row r="73" spans="1:14" x14ac:dyDescent="0.2">
      <c r="A73" s="25">
        <f>'GF + UG Iteration 9'!A73</f>
        <v>834</v>
      </c>
      <c r="B73" s="25" t="str">
        <f>'GF + UG Iteration 9'!B73</f>
        <v>GF</v>
      </c>
      <c r="C73" s="18">
        <f>'GF + UG Iteration 9'!C73</f>
        <v>45</v>
      </c>
      <c r="D73" s="19">
        <f>'GF + UG Iteration 9'!D73</f>
        <v>25.798393978216257</v>
      </c>
      <c r="E73" s="30">
        <f>'GF + UG Iteration 9'!E73</f>
        <v>2010</v>
      </c>
      <c r="F73" s="18"/>
      <c r="G73" s="19"/>
      <c r="H73" s="20"/>
      <c r="I73" s="18">
        <f t="shared" si="5"/>
        <v>45</v>
      </c>
      <c r="J73" s="19">
        <f t="shared" si="6"/>
        <v>25.798393978216257</v>
      </c>
      <c r="K73" s="20">
        <f t="shared" si="7"/>
        <v>2010</v>
      </c>
      <c r="M73" s="21">
        <f t="shared" si="8"/>
        <v>3.8066624897703196</v>
      </c>
      <c r="N73" s="21">
        <f t="shared" si="9"/>
        <v>3.2503122410836816</v>
      </c>
    </row>
    <row r="74" spans="1:14" x14ac:dyDescent="0.2">
      <c r="A74" s="25">
        <f>'GF + UG Iteration 9'!A74</f>
        <v>722</v>
      </c>
      <c r="B74" s="25" t="str">
        <f>'GF + UG Iteration 9'!B74</f>
        <v>GF</v>
      </c>
      <c r="C74" s="18">
        <f>'GF + UG Iteration 9'!C74</f>
        <v>10.5</v>
      </c>
      <c r="D74" s="19">
        <f>'GF + UG Iteration 9'!D74</f>
        <v>13.501544643115857</v>
      </c>
      <c r="E74" s="30">
        <f>'GF + UG Iteration 9'!E74</f>
        <v>2010</v>
      </c>
      <c r="F74" s="18"/>
      <c r="G74" s="19"/>
      <c r="H74" s="20"/>
      <c r="I74" s="18">
        <f t="shared" si="5"/>
        <v>10.5</v>
      </c>
      <c r="J74" s="19">
        <f t="shared" si="6"/>
        <v>13.501544643115857</v>
      </c>
      <c r="K74" s="20">
        <f t="shared" si="7"/>
        <v>2010</v>
      </c>
      <c r="M74" s="21">
        <f t="shared" si="8"/>
        <v>2.3513752571634776</v>
      </c>
      <c r="N74" s="21">
        <f t="shared" si="9"/>
        <v>2.6028040969077249</v>
      </c>
    </row>
    <row r="75" spans="1:14" x14ac:dyDescent="0.2">
      <c r="A75" s="25">
        <f>'GF + UG Iteration 9'!A75</f>
        <v>927</v>
      </c>
      <c r="B75" s="25" t="str">
        <f>'GF + UG Iteration 9'!B75</f>
        <v>GF</v>
      </c>
      <c r="C75" s="18">
        <f>'GF + UG Iteration 9'!C75</f>
        <v>60</v>
      </c>
      <c r="D75" s="19">
        <f>'GF + UG Iteration 9'!D75</f>
        <v>25.887106037100622</v>
      </c>
      <c r="E75" s="30">
        <f>'GF + UG Iteration 9'!E75</f>
        <v>2011</v>
      </c>
      <c r="F75" s="18"/>
      <c r="G75" s="19"/>
      <c r="H75" s="20"/>
      <c r="I75" s="18">
        <f t="shared" si="5"/>
        <v>60</v>
      </c>
      <c r="J75" s="19">
        <f t="shared" si="6"/>
        <v>25.887106037100622</v>
      </c>
      <c r="K75" s="20">
        <f t="shared" si="7"/>
        <v>2011</v>
      </c>
      <c r="M75" s="21">
        <f t="shared" si="8"/>
        <v>4.0943445622221004</v>
      </c>
      <c r="N75" s="21">
        <f t="shared" si="9"/>
        <v>3.2537450083384241</v>
      </c>
    </row>
    <row r="76" spans="1:14" x14ac:dyDescent="0.2">
      <c r="A76" s="25">
        <f>'GF + UG Iteration 9'!A76</f>
        <v>1068</v>
      </c>
      <c r="B76" s="25" t="str">
        <f>'GF + UG Iteration 9'!B76</f>
        <v>GF</v>
      </c>
      <c r="C76" s="18">
        <f>'GF + UG Iteration 9'!C76</f>
        <v>11.2</v>
      </c>
      <c r="D76" s="19">
        <f>'GF + UG Iteration 9'!D76</f>
        <v>26.918199168374588</v>
      </c>
      <c r="E76" s="30">
        <f>'GF + UG Iteration 9'!E76</f>
        <v>2011</v>
      </c>
      <c r="F76" s="18"/>
      <c r="G76" s="19"/>
      <c r="H76" s="20"/>
      <c r="I76" s="18">
        <f t="shared" si="5"/>
        <v>11.2</v>
      </c>
      <c r="J76" s="19">
        <f t="shared" si="6"/>
        <v>26.918199168374588</v>
      </c>
      <c r="K76" s="20">
        <f t="shared" si="7"/>
        <v>2011</v>
      </c>
      <c r="M76" s="21">
        <f t="shared" si="8"/>
        <v>2.4159137783010487</v>
      </c>
      <c r="N76" s="21">
        <f t="shared" si="9"/>
        <v>3.2928026068618901</v>
      </c>
    </row>
    <row r="77" spans="1:14" x14ac:dyDescent="0.2">
      <c r="A77" s="25">
        <f>'GF + UG Iteration 9'!A77</f>
        <v>506</v>
      </c>
      <c r="B77" s="25" t="str">
        <f>'GF + UG Iteration 9'!B77</f>
        <v>GF</v>
      </c>
      <c r="C77" s="18">
        <f>'GF + UG Iteration 9'!C77</f>
        <v>20</v>
      </c>
      <c r="D77" s="19">
        <f>'GF + UG Iteration 9'!D77</f>
        <v>13.969254162639503</v>
      </c>
      <c r="E77" s="30">
        <f>'GF + UG Iteration 9'!E77</f>
        <v>2003</v>
      </c>
      <c r="F77" s="18"/>
      <c r="G77" s="19"/>
      <c r="H77" s="20"/>
      <c r="I77" s="18">
        <f t="shared" si="5"/>
        <v>20</v>
      </c>
      <c r="J77" s="19">
        <f t="shared" si="6"/>
        <v>13.969254162639503</v>
      </c>
      <c r="K77" s="20">
        <f t="shared" si="7"/>
        <v>2003</v>
      </c>
      <c r="M77" s="21">
        <f t="shared" si="8"/>
        <v>2.9957322735539909</v>
      </c>
      <c r="N77" s="21">
        <f t="shared" si="9"/>
        <v>2.6368587833425443</v>
      </c>
    </row>
    <row r="78" spans="1:14" x14ac:dyDescent="0.2">
      <c r="A78" s="25">
        <f>'GF + UG Iteration 9'!A78</f>
        <v>456</v>
      </c>
      <c r="B78" s="25" t="str">
        <f>'GF + UG Iteration 9'!B78</f>
        <v>GF</v>
      </c>
      <c r="C78" s="18">
        <f>'GF + UG Iteration 9'!C78</f>
        <v>16</v>
      </c>
      <c r="D78" s="19">
        <f>'GF + UG Iteration 9'!D78</f>
        <v>17.647037003819346</v>
      </c>
      <c r="E78" s="30">
        <f>'GF + UG Iteration 9'!E78</f>
        <v>2007</v>
      </c>
      <c r="F78" s="18"/>
      <c r="G78" s="19"/>
      <c r="H78" s="20"/>
      <c r="I78" s="18">
        <f t="shared" si="5"/>
        <v>16</v>
      </c>
      <c r="J78" s="19">
        <f t="shared" si="6"/>
        <v>17.647037003819346</v>
      </c>
      <c r="K78" s="20">
        <f t="shared" si="7"/>
        <v>2007</v>
      </c>
      <c r="M78" s="21">
        <f t="shared" si="8"/>
        <v>2.7725887222397811</v>
      </c>
      <c r="N78" s="21">
        <f t="shared" si="9"/>
        <v>2.8705678941489836</v>
      </c>
    </row>
    <row r="79" spans="1:14" x14ac:dyDescent="0.2">
      <c r="A79" s="25">
        <f>'GF + UG Iteration 9'!A79</f>
        <v>130</v>
      </c>
      <c r="B79" s="25" t="str">
        <f>'GF + UG Iteration 9'!B79</f>
        <v>GF</v>
      </c>
      <c r="C79" s="18">
        <f>'GF + UG Iteration 9'!C79</f>
        <v>18</v>
      </c>
      <c r="D79" s="19">
        <f>'GF + UG Iteration 9'!D79</f>
        <v>8.4369732753123952</v>
      </c>
      <c r="E79" s="30">
        <f>'GF + UG Iteration 9'!E79</f>
        <v>2001</v>
      </c>
      <c r="F79" s="18"/>
      <c r="G79" s="19"/>
      <c r="H79" s="20"/>
      <c r="I79" s="18">
        <f t="shared" si="5"/>
        <v>18</v>
      </c>
      <c r="J79" s="19">
        <f t="shared" si="6"/>
        <v>8.4369732753123952</v>
      </c>
      <c r="K79" s="20">
        <f t="shared" si="7"/>
        <v>2001</v>
      </c>
      <c r="M79" s="21">
        <f t="shared" si="8"/>
        <v>2.8903717578961645</v>
      </c>
      <c r="N79" s="21">
        <f t="shared" si="9"/>
        <v>2.1326236276203829</v>
      </c>
    </row>
    <row r="80" spans="1:14" x14ac:dyDescent="0.2">
      <c r="A80" s="25">
        <f>'GF + UG Iteration 9'!A80</f>
        <v>308</v>
      </c>
      <c r="B80" s="25" t="str">
        <f>'GF + UG Iteration 9'!B80</f>
        <v>GF</v>
      </c>
      <c r="C80" s="18">
        <f>'GF + UG Iteration 9'!C80</f>
        <v>10</v>
      </c>
      <c r="D80" s="19">
        <f>'GF + UG Iteration 9'!D80</f>
        <v>8.8753762889293544</v>
      </c>
      <c r="E80" s="30">
        <f>'GF + UG Iteration 9'!E80</f>
        <v>2003</v>
      </c>
      <c r="F80" s="18"/>
      <c r="G80" s="19"/>
      <c r="H80" s="20"/>
      <c r="I80" s="18">
        <f t="shared" si="5"/>
        <v>10</v>
      </c>
      <c r="J80" s="19">
        <f t="shared" si="6"/>
        <v>8.8753762889293544</v>
      </c>
      <c r="K80" s="20">
        <f t="shared" si="7"/>
        <v>2003</v>
      </c>
      <c r="M80" s="21">
        <f t="shared" si="8"/>
        <v>2.3025850929940459</v>
      </c>
      <c r="N80" s="21">
        <f t="shared" si="9"/>
        <v>2.1832807332152813</v>
      </c>
    </row>
    <row r="81" spans="1:14" x14ac:dyDescent="0.2">
      <c r="A81" s="25">
        <f>'GF + UG Iteration 9'!A81</f>
        <v>829</v>
      </c>
      <c r="B81" s="25" t="str">
        <f>'GF + UG Iteration 9'!B81</f>
        <v>GF</v>
      </c>
      <c r="C81" s="18">
        <f>'GF + UG Iteration 9'!C81</f>
        <v>20</v>
      </c>
      <c r="D81" s="19">
        <f>'GF + UG Iteration 9'!D81</f>
        <v>27.761077137379147</v>
      </c>
      <c r="E81" s="30">
        <f>'GF + UG Iteration 9'!E81</f>
        <v>2011</v>
      </c>
      <c r="F81" s="18"/>
      <c r="G81" s="19"/>
      <c r="H81" s="20"/>
      <c r="I81" s="18">
        <f t="shared" si="5"/>
        <v>20</v>
      </c>
      <c r="J81" s="19">
        <f t="shared" si="6"/>
        <v>27.761077137379147</v>
      </c>
      <c r="K81" s="20">
        <f t="shared" si="7"/>
        <v>2011</v>
      </c>
      <c r="M81" s="21">
        <f t="shared" si="8"/>
        <v>2.9957322735539909</v>
      </c>
      <c r="N81" s="21">
        <f t="shared" si="9"/>
        <v>3.3236349366646221</v>
      </c>
    </row>
    <row r="82" spans="1:14" x14ac:dyDescent="0.2">
      <c r="A82" s="25">
        <f>'GF + UG Iteration 9'!A82</f>
        <v>425</v>
      </c>
      <c r="B82" s="25" t="str">
        <f>'GF + UG Iteration 9'!B82</f>
        <v>GF</v>
      </c>
      <c r="C82" s="18">
        <f>'GF + UG Iteration 9'!C82</f>
        <v>17</v>
      </c>
      <c r="D82" s="19">
        <f>'GF + UG Iteration 9'!D82</f>
        <v>11.725448588458148</v>
      </c>
      <c r="E82" s="30">
        <f>'GF + UG Iteration 9'!E82</f>
        <v>2006</v>
      </c>
      <c r="F82" s="18"/>
      <c r="G82" s="19"/>
      <c r="H82" s="20"/>
      <c r="I82" s="18">
        <f t="shared" si="5"/>
        <v>17</v>
      </c>
      <c r="J82" s="19">
        <f t="shared" si="6"/>
        <v>11.725448588458148</v>
      </c>
      <c r="K82" s="20">
        <f t="shared" si="7"/>
        <v>2006</v>
      </c>
      <c r="M82" s="21">
        <f t="shared" si="8"/>
        <v>2.8332133440562162</v>
      </c>
      <c r="N82" s="21">
        <f t="shared" si="9"/>
        <v>2.4617615727440327</v>
      </c>
    </row>
    <row r="83" spans="1:14" x14ac:dyDescent="0.2">
      <c r="A83" s="25">
        <f>'GF + UG Iteration 9'!A83</f>
        <v>333</v>
      </c>
      <c r="B83" s="25" t="str">
        <f>'GF + UG Iteration 9'!B83</f>
        <v>GF</v>
      </c>
      <c r="C83" s="18">
        <f>'GF + UG Iteration 9'!C83</f>
        <v>12</v>
      </c>
      <c r="D83" s="19">
        <f>'GF + UG Iteration 9'!D83</f>
        <v>7.5607136656563343</v>
      </c>
      <c r="E83" s="30">
        <f>'GF + UG Iteration 9'!E83</f>
        <v>2003</v>
      </c>
      <c r="F83" s="18"/>
      <c r="G83" s="19"/>
      <c r="H83" s="20"/>
      <c r="I83" s="18">
        <f t="shared" si="5"/>
        <v>12</v>
      </c>
      <c r="J83" s="19">
        <f t="shared" si="6"/>
        <v>7.5607136656563343</v>
      </c>
      <c r="K83" s="20">
        <f t="shared" si="7"/>
        <v>2003</v>
      </c>
      <c r="M83" s="21">
        <f t="shared" si="8"/>
        <v>2.4849066497880004</v>
      </c>
      <c r="N83" s="21">
        <f t="shared" si="9"/>
        <v>2.022965585955113</v>
      </c>
    </row>
    <row r="84" spans="1:14" x14ac:dyDescent="0.2">
      <c r="A84" s="25">
        <f>'GF + UG Iteration 9'!A84</f>
        <v>769</v>
      </c>
      <c r="B84" s="25" t="str">
        <f>'GF + UG Iteration 9'!B84</f>
        <v>GF</v>
      </c>
      <c r="C84" s="18">
        <f>'GF + UG Iteration 9'!C84</f>
        <v>40</v>
      </c>
      <c r="D84" s="19">
        <f>'GF + UG Iteration 9'!D84</f>
        <v>26.381292343151443</v>
      </c>
      <c r="E84" s="30">
        <f>'GF + UG Iteration 9'!E84</f>
        <v>2007</v>
      </c>
      <c r="F84" s="18"/>
      <c r="G84" s="19"/>
      <c r="H84" s="20"/>
      <c r="I84" s="18">
        <f t="shared" si="5"/>
        <v>40</v>
      </c>
      <c r="J84" s="19">
        <f t="shared" si="6"/>
        <v>26.381292343151443</v>
      </c>
      <c r="K84" s="20">
        <f t="shared" si="7"/>
        <v>2007</v>
      </c>
      <c r="M84" s="21">
        <f t="shared" si="8"/>
        <v>3.6888794541139363</v>
      </c>
      <c r="N84" s="21">
        <f t="shared" si="9"/>
        <v>3.2726551355945839</v>
      </c>
    </row>
    <row r="85" spans="1:14" x14ac:dyDescent="0.2">
      <c r="A85" s="25">
        <f>'GF + UG Iteration 9'!A85</f>
        <v>948</v>
      </c>
      <c r="B85" s="25" t="str">
        <f>'GF + UG Iteration 9'!B85</f>
        <v>GF</v>
      </c>
      <c r="C85" s="18">
        <f>'GF + UG Iteration 9'!C85</f>
        <v>57</v>
      </c>
      <c r="D85" s="19">
        <f>'GF + UG Iteration 9'!D85</f>
        <v>12.653662771089085</v>
      </c>
      <c r="E85" s="30">
        <f>'GF + UG Iteration 9'!E85</f>
        <v>2014</v>
      </c>
      <c r="F85" s="18"/>
      <c r="G85" s="19"/>
      <c r="H85" s="20"/>
      <c r="I85" s="18">
        <f t="shared" si="5"/>
        <v>57</v>
      </c>
      <c r="J85" s="19">
        <f t="shared" si="6"/>
        <v>12.653662771089085</v>
      </c>
      <c r="K85" s="20">
        <f t="shared" si="7"/>
        <v>2014</v>
      </c>
      <c r="M85" s="21">
        <f t="shared" si="8"/>
        <v>4.0430512678345503</v>
      </c>
      <c r="N85" s="21">
        <f t="shared" si="9"/>
        <v>2.5379467203845181</v>
      </c>
    </row>
    <row r="86" spans="1:14" x14ac:dyDescent="0.2">
      <c r="A86" s="25">
        <f>'GF + UG Iteration 9'!A86</f>
        <v>1128</v>
      </c>
      <c r="B86" s="25" t="str">
        <f>'GF + UG Iteration 9'!B86</f>
        <v>GF</v>
      </c>
      <c r="C86" s="18">
        <f>'GF + UG Iteration 9'!C86</f>
        <v>45</v>
      </c>
      <c r="D86" s="19">
        <f>'GF + UG Iteration 9'!D86</f>
        <v>63.556235718349399</v>
      </c>
      <c r="E86" s="30">
        <f>'GF + UG Iteration 9'!E86</f>
        <v>2013</v>
      </c>
      <c r="F86" s="18"/>
      <c r="G86" s="19"/>
      <c r="H86" s="20"/>
      <c r="I86" s="18">
        <f t="shared" si="5"/>
        <v>45</v>
      </c>
      <c r="J86" s="19">
        <f t="shared" si="6"/>
        <v>63.556235718349399</v>
      </c>
      <c r="K86" s="20">
        <f t="shared" si="7"/>
        <v>2013</v>
      </c>
      <c r="M86" s="21">
        <f t="shared" si="8"/>
        <v>3.8066624897703196</v>
      </c>
      <c r="N86" s="21">
        <f t="shared" si="9"/>
        <v>4.1519251158484547</v>
      </c>
    </row>
    <row r="87" spans="1:14" x14ac:dyDescent="0.2">
      <c r="A87" s="25">
        <f>'GF + UG Iteration 9'!A87</f>
        <v>1214</v>
      </c>
      <c r="B87" s="25" t="str">
        <f>'GF + UG Iteration 9'!B87</f>
        <v>GF</v>
      </c>
      <c r="C87" s="18">
        <f>'GF + UG Iteration 9'!C87</f>
        <v>52</v>
      </c>
      <c r="D87" s="19">
        <f>'GF + UG Iteration 9'!D87</f>
        <v>22.631695273294461</v>
      </c>
      <c r="E87" s="30">
        <f>'GF + UG Iteration 9'!E87</f>
        <v>2013</v>
      </c>
      <c r="F87" s="18"/>
      <c r="G87" s="19"/>
      <c r="H87" s="20"/>
      <c r="I87" s="18">
        <f t="shared" si="5"/>
        <v>52</v>
      </c>
      <c r="J87" s="19">
        <f t="shared" si="6"/>
        <v>22.631695273294461</v>
      </c>
      <c r="K87" s="20">
        <f t="shared" si="7"/>
        <v>2013</v>
      </c>
      <c r="M87" s="21">
        <f t="shared" si="8"/>
        <v>3.9512437185814275</v>
      </c>
      <c r="N87" s="21">
        <f t="shared" si="9"/>
        <v>3.1193513694907367</v>
      </c>
    </row>
    <row r="88" spans="1:14" x14ac:dyDescent="0.2">
      <c r="A88" s="25">
        <f>'GF + UG Iteration 9'!A88</f>
        <v>1225</v>
      </c>
      <c r="B88" s="25" t="str">
        <f>'GF + UG Iteration 9'!B88</f>
        <v>GF</v>
      </c>
      <c r="C88" s="18">
        <f>'GF + UG Iteration 9'!C88</f>
        <v>20</v>
      </c>
      <c r="D88" s="19">
        <f>'GF + UG Iteration 9'!D88</f>
        <v>18.636695744675041</v>
      </c>
      <c r="E88" s="30">
        <f>'GF + UG Iteration 9'!E88</f>
        <v>2013</v>
      </c>
      <c r="F88" s="18"/>
      <c r="G88" s="19"/>
      <c r="H88" s="20"/>
      <c r="I88" s="18">
        <f t="shared" si="5"/>
        <v>20</v>
      </c>
      <c r="J88" s="19">
        <f t="shared" si="6"/>
        <v>18.636695744675041</v>
      </c>
      <c r="K88" s="20">
        <f t="shared" si="7"/>
        <v>2013</v>
      </c>
      <c r="M88" s="21">
        <f t="shared" si="8"/>
        <v>2.9957322735539909</v>
      </c>
      <c r="N88" s="21">
        <f t="shared" si="9"/>
        <v>2.925132526627233</v>
      </c>
    </row>
    <row r="89" spans="1:14" x14ac:dyDescent="0.2">
      <c r="A89" s="25">
        <f>'GF + UG Iteration 9'!A89</f>
        <v>1263</v>
      </c>
      <c r="B89" s="25" t="str">
        <f>'GF + UG Iteration 9'!B89</f>
        <v>GF</v>
      </c>
      <c r="C89" s="18">
        <f>'GF + UG Iteration 9'!C89</f>
        <v>8</v>
      </c>
      <c r="D89" s="19">
        <f>'GF + UG Iteration 9'!D89</f>
        <v>19.611656992669992</v>
      </c>
      <c r="E89" s="30">
        <f>'GF + UG Iteration 9'!E89</f>
        <v>2013</v>
      </c>
      <c r="F89" s="18"/>
      <c r="G89" s="19"/>
      <c r="H89" s="20"/>
      <c r="I89" s="18">
        <f t="shared" si="5"/>
        <v>8</v>
      </c>
      <c r="J89" s="19">
        <f t="shared" si="6"/>
        <v>19.611656992669992</v>
      </c>
      <c r="K89" s="20">
        <f t="shared" si="7"/>
        <v>2013</v>
      </c>
      <c r="M89" s="21">
        <f t="shared" si="8"/>
        <v>2.0794415416798357</v>
      </c>
      <c r="N89" s="21">
        <f t="shared" si="9"/>
        <v>2.9761241339700195</v>
      </c>
    </row>
    <row r="90" spans="1:14" x14ac:dyDescent="0.2">
      <c r="A90" s="25">
        <f>'GF + UG Iteration 9'!A90</f>
        <v>1309</v>
      </c>
      <c r="B90" s="25" t="str">
        <f>'GF + UG Iteration 9'!B90</f>
        <v>GF</v>
      </c>
      <c r="C90" s="18">
        <f>'GF + UG Iteration 9'!C90</f>
        <v>15</v>
      </c>
      <c r="D90" s="19">
        <f>'GF + UG Iteration 9'!D90</f>
        <v>16.109333942693336</v>
      </c>
      <c r="E90" s="30">
        <f>'GF + UG Iteration 9'!E90</f>
        <v>2013</v>
      </c>
      <c r="F90" s="18"/>
      <c r="G90" s="19"/>
      <c r="H90" s="20"/>
      <c r="I90" s="18">
        <f t="shared" si="5"/>
        <v>15</v>
      </c>
      <c r="J90" s="19">
        <f t="shared" si="6"/>
        <v>16.109333942693336</v>
      </c>
      <c r="K90" s="20">
        <f t="shared" si="7"/>
        <v>2013</v>
      </c>
      <c r="M90" s="21">
        <f t="shared" si="8"/>
        <v>2.7080502011022101</v>
      </c>
      <c r="N90" s="21">
        <f t="shared" si="9"/>
        <v>2.7793988519948485</v>
      </c>
    </row>
    <row r="91" spans="1:14" x14ac:dyDescent="0.2">
      <c r="A91" s="25">
        <f>'GF + UG Iteration 9'!A91</f>
        <v>1349</v>
      </c>
      <c r="B91" s="25" t="str">
        <f>'GF + UG Iteration 9'!B91</f>
        <v>GF</v>
      </c>
      <c r="C91" s="18">
        <f>'GF + UG Iteration 9'!C91</f>
        <v>34</v>
      </c>
      <c r="D91" s="19">
        <f>'GF + UG Iteration 9'!D91</f>
        <v>8.9679522578977586</v>
      </c>
      <c r="E91" s="30">
        <f>'GF + UG Iteration 9'!E91</f>
        <v>2013</v>
      </c>
      <c r="F91" s="18"/>
      <c r="G91" s="19"/>
      <c r="H91" s="20"/>
      <c r="I91" s="18">
        <f t="shared" si="5"/>
        <v>34</v>
      </c>
      <c r="J91" s="19">
        <f t="shared" si="6"/>
        <v>8.9679522578977586</v>
      </c>
      <c r="K91" s="20">
        <f t="shared" si="7"/>
        <v>2013</v>
      </c>
      <c r="M91" s="21">
        <f t="shared" si="8"/>
        <v>3.5263605246161616</v>
      </c>
      <c r="N91" s="21">
        <f t="shared" si="9"/>
        <v>2.193657362149283</v>
      </c>
    </row>
    <row r="92" spans="1:14" x14ac:dyDescent="0.2">
      <c r="A92" s="25">
        <f>'GF + UG Iteration 9'!A92</f>
        <v>1358</v>
      </c>
      <c r="B92" s="25" t="str">
        <f>'GF + UG Iteration 9'!B92</f>
        <v>GF</v>
      </c>
      <c r="C92" s="18">
        <f>'GF + UG Iteration 9'!C92</f>
        <v>27</v>
      </c>
      <c r="D92" s="19">
        <f>'GF + UG Iteration 9'!D92</f>
        <v>13.07265503282744</v>
      </c>
      <c r="E92" s="30">
        <f>'GF + UG Iteration 9'!E92</f>
        <v>2013</v>
      </c>
      <c r="F92" s="18"/>
      <c r="G92" s="19"/>
      <c r="H92" s="20"/>
      <c r="I92" s="18">
        <f t="shared" si="5"/>
        <v>27</v>
      </c>
      <c r="J92" s="19">
        <f t="shared" si="6"/>
        <v>13.07265503282744</v>
      </c>
      <c r="K92" s="20">
        <f t="shared" si="7"/>
        <v>2013</v>
      </c>
      <c r="M92" s="21">
        <f t="shared" si="8"/>
        <v>3.2958368660043291</v>
      </c>
      <c r="N92" s="21">
        <f t="shared" si="9"/>
        <v>2.5705226464726247</v>
      </c>
    </row>
    <row r="93" spans="1:14" x14ac:dyDescent="0.2">
      <c r="A93" s="25">
        <f>'GF + UG Iteration 9'!A93</f>
        <v>1404</v>
      </c>
      <c r="B93" s="25" t="str">
        <f>'GF + UG Iteration 9'!B93</f>
        <v>GF</v>
      </c>
      <c r="C93" s="18">
        <f>'GF + UG Iteration 9'!C93</f>
        <v>35</v>
      </c>
      <c r="D93" s="19">
        <f>'GF + UG Iteration 9'!D93</f>
        <v>35.276341164894447</v>
      </c>
      <c r="E93" s="30">
        <f>'GF + UG Iteration 9'!E93</f>
        <v>2013</v>
      </c>
      <c r="F93" s="18"/>
      <c r="G93" s="19"/>
      <c r="H93" s="20"/>
      <c r="I93" s="18">
        <f t="shared" si="5"/>
        <v>35</v>
      </c>
      <c r="J93" s="19">
        <f t="shared" si="6"/>
        <v>35.276341164894447</v>
      </c>
      <c r="K93" s="20">
        <f t="shared" si="7"/>
        <v>2013</v>
      </c>
      <c r="M93" s="21">
        <f t="shared" si="8"/>
        <v>3.5553480614894135</v>
      </c>
      <c r="N93" s="21">
        <f t="shared" si="9"/>
        <v>3.5632125172824458</v>
      </c>
    </row>
    <row r="94" spans="1:14" x14ac:dyDescent="0.2">
      <c r="A94" s="25">
        <f>'GF + UG Iteration 9'!A94</f>
        <v>1482</v>
      </c>
      <c r="B94" s="25" t="str">
        <f>'GF + UG Iteration 9'!B94</f>
        <v>GF</v>
      </c>
      <c r="C94" s="18">
        <f>'GF + UG Iteration 9'!C94</f>
        <v>18.399999999999999</v>
      </c>
      <c r="D94" s="19">
        <f>'GF + UG Iteration 9'!D94</f>
        <v>18.765793673519447</v>
      </c>
      <c r="E94" s="30">
        <f>'GF + UG Iteration 9'!E94</f>
        <v>2013</v>
      </c>
      <c r="F94" s="18"/>
      <c r="G94" s="19"/>
      <c r="H94" s="20"/>
      <c r="I94" s="18">
        <f t="shared" si="5"/>
        <v>18.399999999999999</v>
      </c>
      <c r="J94" s="19">
        <f t="shared" si="6"/>
        <v>18.765793673519447</v>
      </c>
      <c r="K94" s="20">
        <f t="shared" si="7"/>
        <v>2013</v>
      </c>
      <c r="M94" s="21">
        <f t="shared" si="8"/>
        <v>2.91235066461494</v>
      </c>
      <c r="N94" s="21">
        <f t="shared" si="9"/>
        <v>2.9320357271105943</v>
      </c>
    </row>
    <row r="95" spans="1:14" x14ac:dyDescent="0.2">
      <c r="A95" s="25">
        <f>'GF + UG Iteration 9'!A95</f>
        <v>1515</v>
      </c>
      <c r="B95" s="25" t="str">
        <f>'GF + UG Iteration 9'!B95</f>
        <v>GF</v>
      </c>
      <c r="C95" s="18">
        <f>'GF + UG Iteration 9'!C95</f>
        <v>7.2</v>
      </c>
      <c r="D95" s="19">
        <f>'GF + UG Iteration 9'!D95</f>
        <v>12.99271394051414</v>
      </c>
      <c r="E95" s="30">
        <f>'GF + UG Iteration 9'!E95</f>
        <v>2013</v>
      </c>
      <c r="F95" s="18"/>
      <c r="G95" s="19"/>
      <c r="H95" s="20"/>
      <c r="I95" s="18">
        <f t="shared" si="5"/>
        <v>7.2</v>
      </c>
      <c r="J95" s="19">
        <f t="shared" si="6"/>
        <v>12.99271394051414</v>
      </c>
      <c r="K95" s="20">
        <f t="shared" si="7"/>
        <v>2013</v>
      </c>
      <c r="M95" s="21">
        <f t="shared" si="8"/>
        <v>1.9740810260220096</v>
      </c>
      <c r="N95" s="21">
        <f t="shared" si="9"/>
        <v>2.5643887342273977</v>
      </c>
    </row>
    <row r="96" spans="1:14" x14ac:dyDescent="0.2">
      <c r="A96" s="25">
        <f>'GF + UG Iteration 9'!A96</f>
        <v>1618</v>
      </c>
      <c r="B96" s="25" t="str">
        <f>'GF + UG Iteration 9'!B96</f>
        <v>GF</v>
      </c>
      <c r="C96" s="18">
        <f>'GF + UG Iteration 9'!C96</f>
        <v>21</v>
      </c>
      <c r="D96" s="19">
        <f>'GF + UG Iteration 9'!D96</f>
        <v>15.965955598995766</v>
      </c>
      <c r="E96" s="30">
        <f>'GF + UG Iteration 9'!E96</f>
        <v>2016</v>
      </c>
      <c r="F96" s="18"/>
      <c r="G96" s="19"/>
      <c r="H96" s="20"/>
      <c r="I96" s="18">
        <f t="shared" si="5"/>
        <v>21</v>
      </c>
      <c r="J96" s="19">
        <f t="shared" si="6"/>
        <v>15.965955598995766</v>
      </c>
      <c r="K96" s="20">
        <f t="shared" si="7"/>
        <v>2016</v>
      </c>
      <c r="M96" s="21">
        <f t="shared" si="8"/>
        <v>3.044522437723423</v>
      </c>
      <c r="N96" s="21">
        <f t="shared" si="9"/>
        <v>2.7704586802474096</v>
      </c>
    </row>
    <row r="97" spans="1:14" x14ac:dyDescent="0.2">
      <c r="A97" s="25">
        <f>'GF + UG Iteration 9'!A97</f>
        <v>1634</v>
      </c>
      <c r="B97" s="25" t="str">
        <f>'GF + UG Iteration 9'!B97</f>
        <v>GF</v>
      </c>
      <c r="C97" s="18">
        <f>'GF + UG Iteration 9'!C97</f>
        <v>17.899999999999999</v>
      </c>
      <c r="D97" s="19">
        <f>'GF + UG Iteration 9'!D97</f>
        <v>17.172783979023848</v>
      </c>
      <c r="E97" s="30">
        <f>'GF + UG Iteration 9'!E97</f>
        <v>2015</v>
      </c>
      <c r="F97" s="18"/>
      <c r="G97" s="19"/>
      <c r="H97" s="20"/>
      <c r="I97" s="18">
        <f t="shared" si="5"/>
        <v>17.899999999999999</v>
      </c>
      <c r="J97" s="19">
        <f t="shared" si="6"/>
        <v>17.172783979023848</v>
      </c>
      <c r="K97" s="20">
        <f t="shared" si="7"/>
        <v>2015</v>
      </c>
      <c r="M97" s="21">
        <f t="shared" si="8"/>
        <v>2.884800712846709</v>
      </c>
      <c r="N97" s="21">
        <f t="shared" si="9"/>
        <v>2.8433258038172586</v>
      </c>
    </row>
    <row r="98" spans="1:14" x14ac:dyDescent="0.2">
      <c r="A98" s="25">
        <f>'GF + UG Iteration 9'!A98</f>
        <v>1258</v>
      </c>
      <c r="B98" s="25" t="str">
        <f>'GF + UG Iteration 9'!B98</f>
        <v>GF</v>
      </c>
      <c r="C98" s="18">
        <f>'GF + UG Iteration 9'!C98</f>
        <v>46</v>
      </c>
      <c r="D98" s="19">
        <f>'GF + UG Iteration 9'!D98</f>
        <v>53.518330212347877</v>
      </c>
      <c r="E98" s="30">
        <f>'GF + UG Iteration 9'!E98</f>
        <v>2017</v>
      </c>
      <c r="F98" s="18"/>
      <c r="G98" s="19"/>
      <c r="H98" s="20"/>
      <c r="I98" s="18">
        <f t="shared" si="5"/>
        <v>46</v>
      </c>
      <c r="J98" s="19">
        <f t="shared" si="6"/>
        <v>53.518330212347877</v>
      </c>
      <c r="K98" s="20">
        <f t="shared" si="7"/>
        <v>2017</v>
      </c>
      <c r="M98" s="21">
        <f t="shared" si="8"/>
        <v>3.8286413964890951</v>
      </c>
      <c r="N98" s="21">
        <f t="shared" si="9"/>
        <v>3.98002421601241</v>
      </c>
    </row>
    <row r="99" spans="1:14" x14ac:dyDescent="0.2">
      <c r="A99" s="25">
        <f>'GF + UG Iteration 9'!A99</f>
        <v>1284</v>
      </c>
      <c r="B99" s="25" t="str">
        <f>'GF + UG Iteration 9'!B99</f>
        <v>GF</v>
      </c>
      <c r="C99" s="18">
        <f>'GF + UG Iteration 9'!C99</f>
        <v>24.1</v>
      </c>
      <c r="D99" s="19">
        <f>'GF + UG Iteration 9'!D99</f>
        <v>7.0843108002972475</v>
      </c>
      <c r="E99" s="30">
        <f>'GF + UG Iteration 9'!E99</f>
        <v>2013</v>
      </c>
      <c r="F99" s="18"/>
      <c r="G99" s="19"/>
      <c r="H99" s="20"/>
      <c r="I99" s="18">
        <f t="shared" si="5"/>
        <v>24.1</v>
      </c>
      <c r="J99" s="19">
        <f t="shared" si="6"/>
        <v>7.0843108002972475</v>
      </c>
      <c r="K99" s="20">
        <f t="shared" si="7"/>
        <v>2013</v>
      </c>
      <c r="M99" s="21">
        <f t="shared" si="8"/>
        <v>3.1822118404966093</v>
      </c>
      <c r="N99" s="21">
        <f t="shared" si="9"/>
        <v>1.9578825925179175</v>
      </c>
    </row>
    <row r="100" spans="1:14" x14ac:dyDescent="0.2">
      <c r="A100" s="25" t="str">
        <f>'GF + UG Iteration 9'!A100</f>
        <v>Pre-01</v>
      </c>
      <c r="B100" s="25" t="str">
        <f>'GF + UG Iteration 9'!B100</f>
        <v>GF</v>
      </c>
      <c r="C100" s="18">
        <f>'GF + UG Iteration 9'!C100</f>
        <v>2.2000000000000002</v>
      </c>
      <c r="D100" s="19">
        <f>'GF + UG Iteration 9'!D100</f>
        <v>2.4933711786255444</v>
      </c>
      <c r="E100" s="30">
        <f>'GF + UG Iteration 9'!E100</f>
        <v>1990</v>
      </c>
      <c r="F100" s="18"/>
      <c r="G100" s="19"/>
      <c r="H100" s="20"/>
      <c r="I100" s="18">
        <f t="shared" si="5"/>
        <v>2.2000000000000002</v>
      </c>
      <c r="J100" s="19">
        <f t="shared" si="6"/>
        <v>2.4933711786255444</v>
      </c>
      <c r="K100" s="20">
        <f t="shared" si="7"/>
        <v>1990</v>
      </c>
      <c r="M100" s="21">
        <f t="shared" si="8"/>
        <v>0.78845736036427028</v>
      </c>
      <c r="N100" s="21">
        <f t="shared" si="9"/>
        <v>0.91363568179621524</v>
      </c>
    </row>
    <row r="101" spans="1:14" x14ac:dyDescent="0.2">
      <c r="A101" s="25" t="str">
        <f>'GF + UG Iteration 9'!A101</f>
        <v>Pre-02</v>
      </c>
      <c r="B101" s="25" t="str">
        <f>'GF + UG Iteration 9'!B101</f>
        <v>GF</v>
      </c>
      <c r="C101" s="18">
        <f>'GF + UG Iteration 9'!C101</f>
        <v>1.464</v>
      </c>
      <c r="D101" s="19">
        <f>'GF + UG Iteration 9'!D101</f>
        <v>1.4940223849019025</v>
      </c>
      <c r="E101" s="30">
        <f>'GF + UG Iteration 9'!E101</f>
        <v>1987</v>
      </c>
      <c r="F101" s="18"/>
      <c r="G101" s="19"/>
      <c r="H101" s="20"/>
      <c r="I101" s="18">
        <f t="shared" si="5"/>
        <v>1.464</v>
      </c>
      <c r="J101" s="19">
        <f t="shared" si="6"/>
        <v>1.4940223849019025</v>
      </c>
      <c r="K101" s="20">
        <f t="shared" si="7"/>
        <v>1987</v>
      </c>
      <c r="M101" s="21">
        <f t="shared" si="8"/>
        <v>0.38117241553911979</v>
      </c>
      <c r="N101" s="21">
        <f t="shared" si="9"/>
        <v>0.40147206979911648</v>
      </c>
    </row>
    <row r="102" spans="1:14" x14ac:dyDescent="0.2">
      <c r="A102" s="25" t="str">
        <f>'GF + UG Iteration 9'!A102</f>
        <v>Pre-03</v>
      </c>
      <c r="B102" s="25" t="str">
        <f>'GF + UG Iteration 9'!B102</f>
        <v>GF</v>
      </c>
      <c r="C102" s="18">
        <f>'GF + UG Iteration 9'!C102</f>
        <v>4.0750000000000002</v>
      </c>
      <c r="D102" s="19">
        <f>'GF + UG Iteration 9'!D102</f>
        <v>1.9369408873503524</v>
      </c>
      <c r="E102" s="30">
        <f>'GF + UG Iteration 9'!E102</f>
        <v>1990</v>
      </c>
      <c r="F102" s="18"/>
      <c r="G102" s="19"/>
      <c r="H102" s="20"/>
      <c r="I102" s="18">
        <f t="shared" si="5"/>
        <v>4.0750000000000002</v>
      </c>
      <c r="J102" s="19">
        <f t="shared" si="6"/>
        <v>1.9369408873503524</v>
      </c>
      <c r="K102" s="20">
        <f t="shared" si="7"/>
        <v>1990</v>
      </c>
      <c r="M102" s="21">
        <f t="shared" si="8"/>
        <v>1.4048707466928261</v>
      </c>
      <c r="N102" s="21">
        <f t="shared" si="9"/>
        <v>0.66110986632901214</v>
      </c>
    </row>
    <row r="103" spans="1:14" x14ac:dyDescent="0.2">
      <c r="A103" s="25" t="str">
        <f>'GF + UG Iteration 9'!A103</f>
        <v>Pre-04</v>
      </c>
      <c r="B103" s="25" t="str">
        <f>'GF + UG Iteration 9'!B103</f>
        <v>GF</v>
      </c>
      <c r="C103" s="18">
        <f>'GF + UG Iteration 9'!C103</f>
        <v>10</v>
      </c>
      <c r="D103" s="19">
        <f>'GF + UG Iteration 9'!D103</f>
        <v>8.526519330793306</v>
      </c>
      <c r="E103" s="30">
        <f>'GF + UG Iteration 9'!E103</f>
        <v>1991</v>
      </c>
      <c r="F103" s="18"/>
      <c r="G103" s="19"/>
      <c r="H103" s="20"/>
      <c r="I103" s="18">
        <f t="shared" si="5"/>
        <v>10</v>
      </c>
      <c r="J103" s="19">
        <f t="shared" si="6"/>
        <v>8.526519330793306</v>
      </c>
      <c r="K103" s="20">
        <f t="shared" si="7"/>
        <v>1991</v>
      </c>
      <c r="M103" s="21">
        <f t="shared" si="8"/>
        <v>2.3025850929940459</v>
      </c>
      <c r="N103" s="21">
        <f t="shared" si="9"/>
        <v>2.143181227911088</v>
      </c>
    </row>
    <row r="104" spans="1:14" x14ac:dyDescent="0.2">
      <c r="A104" s="25" t="str">
        <f>'GF + UG Iteration 9'!A104</f>
        <v>Pre-05</v>
      </c>
      <c r="B104" s="25" t="str">
        <f>'GF + UG Iteration 9'!B104</f>
        <v>GF</v>
      </c>
      <c r="C104" s="18">
        <f>'GF + UG Iteration 9'!C104</f>
        <v>4.8</v>
      </c>
      <c r="D104" s="19">
        <f>'GF + UG Iteration 9'!D104</f>
        <v>4.0521826998299986</v>
      </c>
      <c r="E104" s="30">
        <f>'GF + UG Iteration 9'!E104</f>
        <v>1988</v>
      </c>
      <c r="F104" s="18"/>
      <c r="G104" s="19"/>
      <c r="H104" s="20"/>
      <c r="I104" s="18">
        <f t="shared" si="5"/>
        <v>4.8</v>
      </c>
      <c r="J104" s="19">
        <f t="shared" si="6"/>
        <v>4.0521826998299986</v>
      </c>
      <c r="K104" s="20">
        <f t="shared" si="7"/>
        <v>1988</v>
      </c>
      <c r="M104" s="21">
        <f t="shared" si="8"/>
        <v>1.5686159179138452</v>
      </c>
      <c r="N104" s="21">
        <f t="shared" si="9"/>
        <v>1.3992556741730273</v>
      </c>
    </row>
    <row r="105" spans="1:14" x14ac:dyDescent="0.2">
      <c r="A105" s="25" t="str">
        <f>'GF + UG Iteration 9'!A105</f>
        <v>Pre-06</v>
      </c>
      <c r="B105" s="25" t="str">
        <f>'GF + UG Iteration 9'!B105</f>
        <v>GF</v>
      </c>
      <c r="C105" s="18">
        <f>'GF + UG Iteration 9'!C105</f>
        <v>5.0999999999999996</v>
      </c>
      <c r="D105" s="19">
        <f>'GF + UG Iteration 9'!D105</f>
        <v>9.6482174286466869</v>
      </c>
      <c r="E105" s="30">
        <f>'GF + UG Iteration 9'!E105</f>
        <v>1989</v>
      </c>
      <c r="F105" s="18"/>
      <c r="G105" s="19"/>
      <c r="H105" s="20"/>
      <c r="I105" s="18">
        <f t="shared" si="5"/>
        <v>5.0999999999999996</v>
      </c>
      <c r="J105" s="19">
        <f t="shared" si="6"/>
        <v>9.6482174286466869</v>
      </c>
      <c r="K105" s="20">
        <f t="shared" si="7"/>
        <v>1989</v>
      </c>
      <c r="M105" s="21">
        <f t="shared" si="8"/>
        <v>1.62924053973028</v>
      </c>
      <c r="N105" s="21">
        <f t="shared" si="9"/>
        <v>2.2667731758675744</v>
      </c>
    </row>
    <row r="106" spans="1:14" x14ac:dyDescent="0.2">
      <c r="A106" s="25" t="str">
        <f>'GF + UG Iteration 9'!A106</f>
        <v>Pre-07</v>
      </c>
      <c r="B106" s="25" t="str">
        <f>'GF + UG Iteration 9'!B106</f>
        <v>GF</v>
      </c>
      <c r="C106" s="18">
        <f>'GF + UG Iteration 9'!C106</f>
        <v>6.9</v>
      </c>
      <c r="D106" s="19">
        <f>'GF + UG Iteration 9'!D106</f>
        <v>5.029432718717521</v>
      </c>
      <c r="E106" s="30">
        <f>'GF + UG Iteration 9'!E106</f>
        <v>1997</v>
      </c>
      <c r="F106" s="18"/>
      <c r="G106" s="19"/>
      <c r="H106" s="20"/>
      <c r="I106" s="18">
        <f t="shared" si="5"/>
        <v>6.9</v>
      </c>
      <c r="J106" s="19">
        <f t="shared" si="6"/>
        <v>5.029432718717521</v>
      </c>
      <c r="K106" s="20">
        <f t="shared" si="7"/>
        <v>1997</v>
      </c>
      <c r="M106" s="21">
        <f t="shared" si="8"/>
        <v>1.9315214116032138</v>
      </c>
      <c r="N106" s="21">
        <f t="shared" si="9"/>
        <v>1.6153071981725313</v>
      </c>
    </row>
    <row r="107" spans="1:14" x14ac:dyDescent="0.2">
      <c r="A107" s="25" t="str">
        <f>'GF + UG Iteration 9'!A107</f>
        <v>Pre-08</v>
      </c>
      <c r="B107" s="25" t="str">
        <f>'GF + UG Iteration 9'!B107</f>
        <v>GF</v>
      </c>
      <c r="C107" s="18">
        <f>'GF + UG Iteration 9'!C107</f>
        <v>11.8</v>
      </c>
      <c r="D107" s="19">
        <f>'GF + UG Iteration 9'!D107</f>
        <v>6.372939235597177</v>
      </c>
      <c r="E107" s="30">
        <f>'GF + UG Iteration 9'!E107</f>
        <v>1987</v>
      </c>
      <c r="F107" s="18"/>
      <c r="G107" s="19"/>
      <c r="H107" s="20"/>
      <c r="I107" s="18">
        <f t="shared" si="5"/>
        <v>11.8</v>
      </c>
      <c r="J107" s="19">
        <f t="shared" si="6"/>
        <v>6.372939235597177</v>
      </c>
      <c r="K107" s="20">
        <f t="shared" si="7"/>
        <v>1987</v>
      </c>
      <c r="M107" s="21">
        <f t="shared" si="8"/>
        <v>2.4680995314716192</v>
      </c>
      <c r="N107" s="21">
        <f t="shared" si="9"/>
        <v>1.8520607816244041</v>
      </c>
    </row>
    <row r="108" spans="1:14" x14ac:dyDescent="0.2">
      <c r="A108" s="25" t="str">
        <f>'GF + UG Iteration 9'!A108</f>
        <v>Pre-09</v>
      </c>
      <c r="B108" s="25" t="str">
        <f>'GF + UG Iteration 9'!B108</f>
        <v>GF</v>
      </c>
      <c r="C108" s="18">
        <f>'GF + UG Iteration 9'!C108</f>
        <v>9.6999999999999993</v>
      </c>
      <c r="D108" s="19">
        <f>'GF + UG Iteration 9'!D108</f>
        <v>2.9443376052628771</v>
      </c>
      <c r="E108" s="30">
        <f>'GF + UG Iteration 9'!E108</f>
        <v>1997</v>
      </c>
      <c r="F108" s="18"/>
      <c r="G108" s="19"/>
      <c r="H108" s="20"/>
      <c r="I108" s="18">
        <f t="shared" si="5"/>
        <v>9.6999999999999993</v>
      </c>
      <c r="J108" s="19">
        <f t="shared" si="6"/>
        <v>2.9443376052628771</v>
      </c>
      <c r="K108" s="20">
        <f t="shared" si="7"/>
        <v>1997</v>
      </c>
      <c r="M108" s="21">
        <f t="shared" si="8"/>
        <v>2.2721258855093369</v>
      </c>
      <c r="N108" s="21">
        <f t="shared" si="9"/>
        <v>1.0798838699925799</v>
      </c>
    </row>
    <row r="109" spans="1:14" x14ac:dyDescent="0.2">
      <c r="A109" s="25" t="str">
        <f>'GF + UG Iteration 9'!A109</f>
        <v>Pre-10</v>
      </c>
      <c r="B109" s="25" t="str">
        <f>'GF + UG Iteration 9'!B109</f>
        <v>GF</v>
      </c>
      <c r="C109" s="18">
        <f>'GF + UG Iteration 9'!C109</f>
        <v>6.12</v>
      </c>
      <c r="D109" s="19">
        <f>'GF + UG Iteration 9'!D109</f>
        <v>13.481108575958453</v>
      </c>
      <c r="E109" s="30">
        <f>'GF + UG Iteration 9'!E109</f>
        <v>1990</v>
      </c>
      <c r="F109" s="18"/>
      <c r="G109" s="19"/>
      <c r="H109" s="20"/>
      <c r="I109" s="18">
        <f t="shared" si="5"/>
        <v>6.12</v>
      </c>
      <c r="J109" s="19">
        <f t="shared" si="6"/>
        <v>13.481108575958453</v>
      </c>
      <c r="K109" s="20">
        <f t="shared" si="7"/>
        <v>1990</v>
      </c>
      <c r="M109" s="21">
        <f t="shared" si="8"/>
        <v>1.8115620965242347</v>
      </c>
      <c r="N109" s="21">
        <f t="shared" si="9"/>
        <v>2.6012893406753403</v>
      </c>
    </row>
    <row r="110" spans="1:14" x14ac:dyDescent="0.2">
      <c r="A110" s="25" t="str">
        <f>'GF + UG Iteration 9'!A110</f>
        <v>Pre-11</v>
      </c>
      <c r="B110" s="25" t="str">
        <f>'GF + UG Iteration 9'!B110</f>
        <v>GF</v>
      </c>
      <c r="C110" s="18">
        <f>'GF + UG Iteration 9'!C110</f>
        <v>6.2671999999999999</v>
      </c>
      <c r="D110" s="19">
        <f>'GF + UG Iteration 9'!D110</f>
        <v>2.9102311039234974</v>
      </c>
      <c r="E110" s="30">
        <f>'GF + UG Iteration 9'!E110</f>
        <v>1987</v>
      </c>
      <c r="F110" s="18"/>
      <c r="G110" s="19"/>
      <c r="H110" s="20"/>
      <c r="I110" s="18">
        <f t="shared" si="5"/>
        <v>6.2671999999999999</v>
      </c>
      <c r="J110" s="19">
        <f t="shared" si="6"/>
        <v>2.9102311039234974</v>
      </c>
      <c r="K110" s="20">
        <f t="shared" si="7"/>
        <v>1987</v>
      </c>
      <c r="M110" s="21">
        <f t="shared" si="8"/>
        <v>1.8353296839294297</v>
      </c>
      <c r="N110" s="21">
        <f t="shared" si="9"/>
        <v>1.0682324951858668</v>
      </c>
    </row>
    <row r="111" spans="1:14" x14ac:dyDescent="0.2">
      <c r="A111" s="25" t="str">
        <f>'GF + UG Iteration 9'!A111</f>
        <v>Pre-12</v>
      </c>
      <c r="B111" s="25" t="str">
        <f>'GF + UG Iteration 9'!B111</f>
        <v>GF</v>
      </c>
      <c r="C111" s="18">
        <f>'GF + UG Iteration 9'!C111</f>
        <v>6.3659999999999997</v>
      </c>
      <c r="D111" s="19">
        <f>'GF + UG Iteration 9'!D111</f>
        <v>9.8906921245327926</v>
      </c>
      <c r="E111" s="30">
        <f>'GF + UG Iteration 9'!E111</f>
        <v>1993</v>
      </c>
      <c r="F111" s="18"/>
      <c r="G111" s="19"/>
      <c r="H111" s="20"/>
      <c r="I111" s="18">
        <f t="shared" si="5"/>
        <v>6.3659999999999997</v>
      </c>
      <c r="J111" s="19">
        <f t="shared" si="6"/>
        <v>9.8906921245327926</v>
      </c>
      <c r="K111" s="20">
        <f t="shared" si="7"/>
        <v>1993</v>
      </c>
      <c r="M111" s="21">
        <f t="shared" si="8"/>
        <v>1.850971328859901</v>
      </c>
      <c r="N111" s="21">
        <f t="shared" si="9"/>
        <v>2.2915941254440955</v>
      </c>
    </row>
    <row r="112" spans="1:14" x14ac:dyDescent="0.2">
      <c r="A112" s="25" t="str">
        <f>'GF + UG Iteration 9'!A112</f>
        <v>Pre-13</v>
      </c>
      <c r="B112" s="25" t="str">
        <f>'GF + UG Iteration 9'!B112</f>
        <v>GF</v>
      </c>
      <c r="C112" s="18">
        <f>'GF + UG Iteration 9'!C112</f>
        <v>8.5</v>
      </c>
      <c r="D112" s="19">
        <f>'GF + UG Iteration 9'!D112</f>
        <v>5.9446476688134462</v>
      </c>
      <c r="E112" s="30">
        <f>'GF + UG Iteration 9'!E112</f>
        <v>1990</v>
      </c>
      <c r="F112" s="18"/>
      <c r="G112" s="19"/>
      <c r="H112" s="20"/>
      <c r="I112" s="18">
        <f t="shared" si="5"/>
        <v>8.5</v>
      </c>
      <c r="J112" s="19">
        <f t="shared" si="6"/>
        <v>5.9446476688134462</v>
      </c>
      <c r="K112" s="20">
        <f t="shared" si="7"/>
        <v>1990</v>
      </c>
      <c r="M112" s="21">
        <f t="shared" si="8"/>
        <v>2.1400661634962708</v>
      </c>
      <c r="N112" s="21">
        <f t="shared" si="9"/>
        <v>1.7824912632583982</v>
      </c>
    </row>
    <row r="113" spans="1:14" x14ac:dyDescent="0.2">
      <c r="A113" s="25" t="str">
        <f>'GF + UG Iteration 9'!A113</f>
        <v>Pre-14</v>
      </c>
      <c r="B113" s="25" t="str">
        <f>'GF + UG Iteration 9'!B113</f>
        <v>GF</v>
      </c>
      <c r="C113" s="18">
        <f>'GF + UG Iteration 9'!C113</f>
        <v>46.55</v>
      </c>
      <c r="D113" s="19">
        <f>'GF + UG Iteration 9'!D113</f>
        <v>7.1936227504100643</v>
      </c>
      <c r="E113" s="30">
        <f>'GF + UG Iteration 9'!E113</f>
        <v>1991</v>
      </c>
      <c r="F113" s="18"/>
      <c r="G113" s="19"/>
      <c r="H113" s="20"/>
      <c r="I113" s="18">
        <f t="shared" si="5"/>
        <v>46.55</v>
      </c>
      <c r="J113" s="19">
        <f t="shared" si="6"/>
        <v>7.1936227504100643</v>
      </c>
      <c r="K113" s="20">
        <f t="shared" si="7"/>
        <v>1991</v>
      </c>
      <c r="M113" s="21">
        <f t="shared" si="8"/>
        <v>3.8405270037230759</v>
      </c>
      <c r="N113" s="21">
        <f t="shared" si="9"/>
        <v>1.9731949044224915</v>
      </c>
    </row>
    <row r="114" spans="1:14" x14ac:dyDescent="0.2">
      <c r="A114" s="25" t="str">
        <f>'GF + UG Iteration 9'!A114</f>
        <v>Pre-15</v>
      </c>
      <c r="B114" s="25" t="str">
        <f>'GF + UG Iteration 9'!B114</f>
        <v>GF</v>
      </c>
      <c r="C114" s="18">
        <f>'GF + UG Iteration 9'!C114</f>
        <v>56.8</v>
      </c>
      <c r="D114" s="19">
        <f>'GF + UG Iteration 9'!D114</f>
        <v>17.594466678549747</v>
      </c>
      <c r="E114" s="30">
        <f>'GF + UG Iteration 9'!E114</f>
        <v>1990</v>
      </c>
      <c r="F114" s="18"/>
      <c r="G114" s="19"/>
      <c r="H114" s="20"/>
      <c r="I114" s="18">
        <f t="shared" si="5"/>
        <v>56.8</v>
      </c>
      <c r="J114" s="19">
        <f t="shared" si="6"/>
        <v>17.594466678549747</v>
      </c>
      <c r="K114" s="20">
        <f t="shared" si="7"/>
        <v>1990</v>
      </c>
      <c r="M114" s="21">
        <f t="shared" si="8"/>
        <v>4.0395363257271057</v>
      </c>
      <c r="N114" s="21">
        <f t="shared" si="9"/>
        <v>2.867584459347964</v>
      </c>
    </row>
    <row r="115" spans="1:14" x14ac:dyDescent="0.2">
      <c r="A115" s="25" t="str">
        <f>'GF + UG Iteration 9'!A115</f>
        <v>Pre-16</v>
      </c>
      <c r="B115" s="25" t="str">
        <f>'GF + UG Iteration 9'!B115</f>
        <v>GF</v>
      </c>
      <c r="C115" s="18">
        <f>'GF + UG Iteration 9'!C115</f>
        <v>81.575999999999993</v>
      </c>
      <c r="D115" s="19">
        <f>'GF + UG Iteration 9'!D115</f>
        <v>14.026199251012313</v>
      </c>
      <c r="E115" s="30">
        <f>'GF + UG Iteration 9'!E115</f>
        <v>1988</v>
      </c>
      <c r="F115" s="18"/>
      <c r="G115" s="19"/>
      <c r="H115" s="20"/>
      <c r="I115" s="18">
        <f t="shared" si="5"/>
        <v>81.575999999999993</v>
      </c>
      <c r="J115" s="19">
        <f t="shared" si="6"/>
        <v>14.026199251012313</v>
      </c>
      <c r="K115" s="20">
        <f t="shared" si="7"/>
        <v>1988</v>
      </c>
      <c r="M115" s="21">
        <f t="shared" si="8"/>
        <v>4.4015351010619241</v>
      </c>
      <c r="N115" s="21">
        <f t="shared" si="9"/>
        <v>2.6409269558467208</v>
      </c>
    </row>
    <row r="116" spans="1:14" x14ac:dyDescent="0.2">
      <c r="A116" s="25" t="str">
        <f>'GF + UG Iteration 9'!A116</f>
        <v>Pre-17</v>
      </c>
      <c r="B116" s="25" t="str">
        <f>'GF + UG Iteration 9'!B116</f>
        <v>GF</v>
      </c>
      <c r="C116" s="18">
        <f>'GF + UG Iteration 9'!C116</f>
        <v>95.2</v>
      </c>
      <c r="D116" s="19">
        <f>'GF + UG Iteration 9'!D116</f>
        <v>14.219904176944949</v>
      </c>
      <c r="E116" s="30">
        <f>'GF + UG Iteration 9'!E116</f>
        <v>1999</v>
      </c>
      <c r="F116" s="18"/>
      <c r="G116" s="19"/>
      <c r="H116" s="20"/>
      <c r="I116" s="18">
        <f t="shared" si="5"/>
        <v>95.2</v>
      </c>
      <c r="J116" s="19">
        <f t="shared" si="6"/>
        <v>14.219904176944949</v>
      </c>
      <c r="K116" s="20">
        <f t="shared" si="7"/>
        <v>1999</v>
      </c>
      <c r="M116" s="21">
        <f t="shared" si="8"/>
        <v>4.5559799417973199</v>
      </c>
      <c r="N116" s="21">
        <f t="shared" si="9"/>
        <v>2.654642685740924</v>
      </c>
    </row>
    <row r="117" spans="1:14" x14ac:dyDescent="0.2">
      <c r="A117" s="25" t="str">
        <f>'GF + UG Iteration 9'!A117</f>
        <v>Pre-18</v>
      </c>
      <c r="B117" s="25" t="str">
        <f>'GF + UG Iteration 9'!B117</f>
        <v>GF</v>
      </c>
      <c r="C117" s="18">
        <f>'GF + UG Iteration 9'!C117</f>
        <v>122.77200000000001</v>
      </c>
      <c r="D117" s="19">
        <f>'GF + UG Iteration 9'!D117</f>
        <v>23.447549869052086</v>
      </c>
      <c r="E117" s="30">
        <f>'GF + UG Iteration 9'!E117</f>
        <v>1990</v>
      </c>
      <c r="F117" s="18"/>
      <c r="G117" s="19"/>
      <c r="H117" s="20"/>
      <c r="I117" s="18">
        <f t="shared" si="5"/>
        <v>122.77200000000001</v>
      </c>
      <c r="J117" s="19">
        <f t="shared" si="6"/>
        <v>23.447549869052086</v>
      </c>
      <c r="K117" s="20">
        <f t="shared" si="7"/>
        <v>1990</v>
      </c>
      <c r="M117" s="21">
        <f t="shared" si="8"/>
        <v>4.8103289766848034</v>
      </c>
      <c r="N117" s="21">
        <f t="shared" si="9"/>
        <v>3.1547660062374661</v>
      </c>
    </row>
    <row r="118" spans="1:14" x14ac:dyDescent="0.2">
      <c r="A118" s="33">
        <f>'GF + UG Iteration 9'!A118</f>
        <v>1184</v>
      </c>
      <c r="B118" s="34" t="str">
        <f>'GF + UG Iteration 9'!B118</f>
        <v>UG</v>
      </c>
      <c r="C118" s="35">
        <f>'GF + UG Iteration 9'!C118</f>
        <v>30</v>
      </c>
      <c r="D118" s="36">
        <f>'GF + UG Iteration 9'!P$16*(C118^'GF + UG Iteration 9'!P$15)</f>
        <v>17.908628137487767</v>
      </c>
      <c r="E118" s="37">
        <f>'GF + UG Iteration 9'!E118</f>
        <v>2013</v>
      </c>
      <c r="F118" s="35">
        <f>'GF + UG Iteration 9'!F118</f>
        <v>18.200000000000003</v>
      </c>
      <c r="G118" s="36">
        <f>'GF + UG Iteration 9'!G118</f>
        <v>18.869341885211266</v>
      </c>
      <c r="H118" s="38">
        <f>'GF + UG Iteration 9'!H118</f>
        <v>2012</v>
      </c>
      <c r="I118" s="35">
        <f>C118+F118</f>
        <v>48.2</v>
      </c>
      <c r="J118" s="36">
        <f>D118+G118</f>
        <v>36.777970022699037</v>
      </c>
      <c r="K118" s="38">
        <f>MAX(E118,H118)</f>
        <v>2013</v>
      </c>
      <c r="M118" s="21">
        <f t="shared" si="8"/>
        <v>3.8753590210565547</v>
      </c>
      <c r="N118" s="21">
        <f t="shared" si="9"/>
        <v>3.6048990252304787</v>
      </c>
    </row>
    <row r="119" spans="1:14" x14ac:dyDescent="0.2">
      <c r="A119" s="33">
        <f>'GF + UG Iteration 9'!A119</f>
        <v>1481</v>
      </c>
      <c r="B119" s="34" t="str">
        <f>'GF + UG Iteration 9'!B119</f>
        <v>UG</v>
      </c>
      <c r="C119" s="35">
        <f>'GF + UG Iteration 9'!C119</f>
        <v>48.2</v>
      </c>
      <c r="D119" s="36">
        <f>'GF + UG Iteration 9'!P$16*(C119^'GF + UG Iteration 9'!P$15)</f>
        <v>23.494299667456858</v>
      </c>
      <c r="E119" s="37">
        <f>'GF + UG Iteration 9'!E119</f>
        <v>2013</v>
      </c>
      <c r="F119" s="35">
        <f>'GF + UG Iteration 9'!F119</f>
        <v>0</v>
      </c>
      <c r="G119" s="36">
        <f>'GF + UG Iteration 9'!G119</f>
        <v>1.1114331301697908</v>
      </c>
      <c r="H119" s="38">
        <f>'GF + UG Iteration 9'!H119</f>
        <v>2014</v>
      </c>
      <c r="I119" s="35">
        <f t="shared" ref="I119:I183" si="10">C119+F119</f>
        <v>48.2</v>
      </c>
      <c r="J119" s="36">
        <f t="shared" ref="J119:J183" si="11">D119+G119</f>
        <v>24.605732797626647</v>
      </c>
      <c r="K119" s="38">
        <f t="shared" ref="K119:K183" si="12">MAX(E119,H119)</f>
        <v>2014</v>
      </c>
      <c r="M119" s="21">
        <f t="shared" si="8"/>
        <v>3.8753590210565547</v>
      </c>
      <c r="N119" s="21">
        <f t="shared" si="9"/>
        <v>3.202979456342514</v>
      </c>
    </row>
    <row r="120" spans="1:14" x14ac:dyDescent="0.2">
      <c r="A120" s="33">
        <f>'GF + UG Iteration 9'!A120</f>
        <v>457</v>
      </c>
      <c r="B120" s="34" t="str">
        <f>'GF + UG Iteration 9'!B120</f>
        <v>UG</v>
      </c>
      <c r="C120" s="35">
        <f>'GF + UG Iteration 9'!C120</f>
        <v>10.77</v>
      </c>
      <c r="D120" s="36">
        <f>'GF + UG Iteration 9'!P$16*(C120^'GF + UG Iteration 9'!P$15)</f>
        <v>9.9617883521438344</v>
      </c>
      <c r="E120" s="37">
        <f>'GF + UG Iteration 9'!E120</f>
        <v>1990</v>
      </c>
      <c r="F120" s="35">
        <f>'GF + UG Iteration 9'!F120</f>
        <v>10</v>
      </c>
      <c r="G120" s="36">
        <f>'GF + UG Iteration 9'!G120</f>
        <v>3.289132084924363</v>
      </c>
      <c r="H120" s="38">
        <f>'GF + UG Iteration 9'!H120</f>
        <v>2006</v>
      </c>
      <c r="I120" s="35">
        <f t="shared" si="10"/>
        <v>20.77</v>
      </c>
      <c r="J120" s="36">
        <f t="shared" si="11"/>
        <v>13.250920437068197</v>
      </c>
      <c r="K120" s="38">
        <f t="shared" si="12"/>
        <v>2006</v>
      </c>
      <c r="M120" s="21">
        <f t="shared" si="8"/>
        <v>3.0335096378880211</v>
      </c>
      <c r="N120" s="21">
        <f t="shared" si="9"/>
        <v>2.5840670169680577</v>
      </c>
    </row>
    <row r="121" spans="1:14" x14ac:dyDescent="0.2">
      <c r="A121" s="33">
        <f>'GF + UG Iteration 9'!A121</f>
        <v>407</v>
      </c>
      <c r="B121" s="34" t="str">
        <f>'GF + UG Iteration 9'!B121</f>
        <v>UG</v>
      </c>
      <c r="C121" s="35">
        <f>'GF + UG Iteration 9'!C121</f>
        <v>25.4</v>
      </c>
      <c r="D121" s="36">
        <f>'GF + UG Iteration 9'!P$16*(C121^'GF + UG Iteration 9'!P$15)</f>
        <v>16.280772556531659</v>
      </c>
      <c r="E121" s="37">
        <f>'GF + UG Iteration 9'!E121</f>
        <v>1982</v>
      </c>
      <c r="F121" s="35">
        <f>'GF + UG Iteration 9'!F121</f>
        <v>2</v>
      </c>
      <c r="G121" s="36">
        <f>'GF + UG Iteration 9'!G121</f>
        <v>0.60106525862386018</v>
      </c>
      <c r="H121" s="38">
        <f>'GF + UG Iteration 9'!H121</f>
        <v>2004</v>
      </c>
      <c r="I121" s="35">
        <f t="shared" si="10"/>
        <v>27.4</v>
      </c>
      <c r="J121" s="36">
        <f t="shared" si="11"/>
        <v>16.881837815155517</v>
      </c>
      <c r="K121" s="38">
        <f t="shared" si="12"/>
        <v>2004</v>
      </c>
      <c r="M121" s="21">
        <f t="shared" si="8"/>
        <v>3.3105430133940246</v>
      </c>
      <c r="N121" s="21">
        <f t="shared" si="9"/>
        <v>2.826238358546747</v>
      </c>
    </row>
    <row r="122" spans="1:14" x14ac:dyDescent="0.2">
      <c r="A122" s="33">
        <f>'GF + UG Iteration 9'!A122</f>
        <v>706</v>
      </c>
      <c r="B122" s="34" t="str">
        <f>'GF + UG Iteration 9'!B122</f>
        <v>UG</v>
      </c>
      <c r="C122" s="35">
        <f>'GF + UG Iteration 9'!C122</f>
        <v>14.85</v>
      </c>
      <c r="D122" s="36">
        <f>'GF + UG Iteration 9'!P$16*(C122^'GF + UG Iteration 9'!P$15)</f>
        <v>11.973260021614667</v>
      </c>
      <c r="E122" s="37">
        <f>'GF + UG Iteration 9'!E122</f>
        <v>1984</v>
      </c>
      <c r="F122" s="35">
        <f>'GF + UG Iteration 9'!F122</f>
        <v>14.250000000000002</v>
      </c>
      <c r="G122" s="36">
        <f>'GF + UG Iteration 9'!G122</f>
        <v>5.8346214151737739</v>
      </c>
      <c r="H122" s="38">
        <f>'GF + UG Iteration 9'!H122</f>
        <v>2008</v>
      </c>
      <c r="I122" s="35">
        <f t="shared" si="10"/>
        <v>29.1</v>
      </c>
      <c r="J122" s="36">
        <f t="shared" si="11"/>
        <v>17.807881436788442</v>
      </c>
      <c r="K122" s="38">
        <f t="shared" si="12"/>
        <v>2008</v>
      </c>
      <c r="M122" s="21">
        <f t="shared" si="8"/>
        <v>3.3707381741774469</v>
      </c>
      <c r="N122" s="21">
        <f t="shared" si="9"/>
        <v>2.8796411366487411</v>
      </c>
    </row>
    <row r="123" spans="1:14" x14ac:dyDescent="0.2">
      <c r="A123" s="33">
        <f>'GF + UG Iteration 9'!A123</f>
        <v>1070</v>
      </c>
      <c r="B123" s="34" t="str">
        <f>'GF + UG Iteration 9'!B123</f>
        <v>UG</v>
      </c>
      <c r="C123" s="35">
        <f>'GF + UG Iteration 9'!C123</f>
        <v>34</v>
      </c>
      <c r="D123" s="36">
        <f>'GF + UG Iteration 9'!P$16*(C123^'GF + UG Iteration 9'!P$15)</f>
        <v>19.239071385366824</v>
      </c>
      <c r="E123" s="37">
        <f>'GF + UG Iteration 9'!E123</f>
        <v>1984</v>
      </c>
      <c r="F123" s="35">
        <f>'GF + UG Iteration 9'!F123</f>
        <v>4.8999999999999986</v>
      </c>
      <c r="G123" s="36">
        <f>'GF + UG Iteration 9'!G123</f>
        <v>0.83607952853202894</v>
      </c>
      <c r="H123" s="38">
        <f>'GF + UG Iteration 9'!H123</f>
        <v>2011</v>
      </c>
      <c r="I123" s="35">
        <f t="shared" si="10"/>
        <v>38.9</v>
      </c>
      <c r="J123" s="36">
        <f t="shared" si="11"/>
        <v>20.075150913898852</v>
      </c>
      <c r="K123" s="38">
        <f t="shared" si="12"/>
        <v>2011</v>
      </c>
      <c r="M123" s="21">
        <f t="shared" si="8"/>
        <v>3.6609942506244004</v>
      </c>
      <c r="N123" s="21">
        <f t="shared" si="9"/>
        <v>2.9994827773088706</v>
      </c>
    </row>
    <row r="124" spans="1:14" x14ac:dyDescent="0.2">
      <c r="A124" s="33">
        <f>'GF + UG Iteration 9'!A124</f>
        <v>1264</v>
      </c>
      <c r="B124" s="34" t="str">
        <f>'GF + UG Iteration 9'!B124</f>
        <v>UG</v>
      </c>
      <c r="C124" s="35">
        <f>'GF + UG Iteration 9'!C124</f>
        <v>38.9</v>
      </c>
      <c r="D124" s="36">
        <f>'GF + UG Iteration 9'!P$16*(C124^'GF + UG Iteration 9'!P$15)</f>
        <v>20.780727708647042</v>
      </c>
      <c r="E124" s="37">
        <f>'GF + UG Iteration 9'!E124</f>
        <v>1984</v>
      </c>
      <c r="F124" s="35">
        <f>'GF + UG Iteration 9'!F124</f>
        <v>7.2000000000000028</v>
      </c>
      <c r="G124" s="36">
        <f>'GF + UG Iteration 9'!G124</f>
        <v>8.0578720930203094</v>
      </c>
      <c r="H124" s="38">
        <f>'GF + UG Iteration 9'!H124</f>
        <v>2013</v>
      </c>
      <c r="I124" s="35">
        <f t="shared" si="10"/>
        <v>46.1</v>
      </c>
      <c r="J124" s="36">
        <f t="shared" si="11"/>
        <v>28.83859980166735</v>
      </c>
      <c r="K124" s="38">
        <f t="shared" si="12"/>
        <v>2013</v>
      </c>
      <c r="M124" s="21">
        <f t="shared" si="8"/>
        <v>3.8308129500026027</v>
      </c>
      <c r="N124" s="21">
        <f t="shared" si="9"/>
        <v>3.3617147606718123</v>
      </c>
    </row>
    <row r="125" spans="1:14" x14ac:dyDescent="0.2">
      <c r="A125" s="33">
        <f>'GF + UG Iteration 9'!A125</f>
        <v>1208</v>
      </c>
      <c r="B125" s="34" t="str">
        <f>'GF + UG Iteration 9'!B125</f>
        <v>UG</v>
      </c>
      <c r="C125" s="35">
        <f>'GF + UG Iteration 9'!C125</f>
        <v>14.1</v>
      </c>
      <c r="D125" s="36">
        <f>'GF + UG Iteration 9'!P$16*(C125^'GF + UG Iteration 9'!P$15)</f>
        <v>11.623211023137902</v>
      </c>
      <c r="E125" s="37">
        <f>'GF + UG Iteration 9'!E125</f>
        <v>1961</v>
      </c>
      <c r="F125" s="35">
        <f>'GF + UG Iteration 9'!F125</f>
        <v>11.500000000000002</v>
      </c>
      <c r="G125" s="36">
        <f>'GF + UG Iteration 9'!G125</f>
        <v>2.7992110812000917</v>
      </c>
      <c r="H125" s="38">
        <f>'GF + UG Iteration 9'!H125</f>
        <v>2012</v>
      </c>
      <c r="I125" s="35">
        <f t="shared" si="10"/>
        <v>25.6</v>
      </c>
      <c r="J125" s="36">
        <f t="shared" si="11"/>
        <v>14.422422104337993</v>
      </c>
      <c r="K125" s="38">
        <f t="shared" si="12"/>
        <v>2012</v>
      </c>
      <c r="M125" s="21">
        <f t="shared" si="8"/>
        <v>3.2425923514855168</v>
      </c>
      <c r="N125" s="21">
        <f t="shared" si="9"/>
        <v>2.6687840861523835</v>
      </c>
    </row>
    <row r="126" spans="1:14" x14ac:dyDescent="0.2">
      <c r="A126" s="33">
        <f>'GF + UG Iteration 9'!A126</f>
        <v>655</v>
      </c>
      <c r="B126" s="34" t="str">
        <f>'GF + UG Iteration 9'!B126</f>
        <v>UG</v>
      </c>
      <c r="C126" s="35">
        <f>'GF + UG Iteration 9'!C126</f>
        <v>12.052999999999999</v>
      </c>
      <c r="D126" s="36">
        <f>'GF + UG Iteration 9'!P$16*(C126^'GF + UG Iteration 9'!P$15)</f>
        <v>10.62484539025558</v>
      </c>
      <c r="E126" s="37">
        <f>'GF + UG Iteration 9'!E126</f>
        <v>1974</v>
      </c>
      <c r="F126" s="35">
        <f>'GF + UG Iteration 9'!F126</f>
        <v>2.3390000000000004</v>
      </c>
      <c r="G126" s="36">
        <f>'GF + UG Iteration 9'!G126</f>
        <v>0.59464786373478107</v>
      </c>
      <c r="H126" s="38">
        <f>'GF + UG Iteration 9'!H126</f>
        <v>2007</v>
      </c>
      <c r="I126" s="35">
        <f t="shared" si="10"/>
        <v>14.391999999999999</v>
      </c>
      <c r="J126" s="36">
        <f t="shared" si="11"/>
        <v>11.219493253990361</v>
      </c>
      <c r="K126" s="38">
        <f t="shared" si="12"/>
        <v>2007</v>
      </c>
      <c r="M126" s="21">
        <f t="shared" si="8"/>
        <v>2.666672496648232</v>
      </c>
      <c r="N126" s="21">
        <f t="shared" si="9"/>
        <v>2.4176527345461141</v>
      </c>
    </row>
    <row r="127" spans="1:14" x14ac:dyDescent="0.2">
      <c r="A127" s="33">
        <f>'GF + UG Iteration 9'!A127</f>
        <v>733</v>
      </c>
      <c r="B127" s="34" t="str">
        <f>'GF + UG Iteration 9'!B127</f>
        <v>UG</v>
      </c>
      <c r="C127" s="35">
        <f>'GF + UG Iteration 9'!C127</f>
        <v>24.3</v>
      </c>
      <c r="D127" s="36">
        <f>'GF + UG Iteration 9'!P$16*(C127^'GF + UG Iteration 9'!P$15)</f>
        <v>15.87327650609291</v>
      </c>
      <c r="E127" s="37">
        <f>'GF + UG Iteration 9'!E127</f>
        <v>2007</v>
      </c>
      <c r="F127" s="35">
        <f>'GF + UG Iteration 9'!F127</f>
        <v>17.099999999999998</v>
      </c>
      <c r="G127" s="36">
        <f>'GF + UG Iteration 9'!G127</f>
        <v>6.7726080218724345</v>
      </c>
      <c r="H127" s="38">
        <f>'GF + UG Iteration 9'!H127</f>
        <v>2009</v>
      </c>
      <c r="I127" s="35">
        <f t="shared" si="10"/>
        <v>41.4</v>
      </c>
      <c r="J127" s="36">
        <f t="shared" si="11"/>
        <v>22.645884527965343</v>
      </c>
      <c r="K127" s="38">
        <f t="shared" si="12"/>
        <v>2009</v>
      </c>
      <c r="M127" s="21">
        <f t="shared" si="8"/>
        <v>3.7232808808312687</v>
      </c>
      <c r="N127" s="21">
        <f t="shared" si="9"/>
        <v>3.1199781368752864</v>
      </c>
    </row>
    <row r="128" spans="1:14" x14ac:dyDescent="0.2">
      <c r="A128" s="33">
        <f>'GF + UG Iteration 9'!A128</f>
        <v>1700</v>
      </c>
      <c r="B128" s="34" t="str">
        <f>'GF + UG Iteration 9'!B128</f>
        <v>UG</v>
      </c>
      <c r="C128" s="35">
        <f>'GF + UG Iteration 9'!C128</f>
        <v>13.4</v>
      </c>
      <c r="D128" s="36">
        <f>'GF + UG Iteration 9'!P$16*(C128^'GF + UG Iteration 9'!P$15)</f>
        <v>11.289243839326584</v>
      </c>
      <c r="E128" s="37">
        <f>'GF + UG Iteration 9'!E128</f>
        <v>0</v>
      </c>
      <c r="F128" s="35">
        <f>'GF + UG Iteration 9'!F128</f>
        <v>0</v>
      </c>
      <c r="G128" s="36">
        <f>'GF + UG Iteration 9'!G128</f>
        <v>4.0238803148956235</v>
      </c>
      <c r="H128" s="38">
        <f>'GF + UG Iteration 9'!H128</f>
        <v>2016</v>
      </c>
      <c r="I128" s="35">
        <f t="shared" ref="I128" si="13">C128+F128</f>
        <v>13.4</v>
      </c>
      <c r="J128" s="36">
        <f t="shared" ref="J128" si="14">D128+G128</f>
        <v>15.313124154222209</v>
      </c>
      <c r="K128" s="38">
        <f t="shared" ref="K128" si="15">MAX(E128,H128)</f>
        <v>2016</v>
      </c>
      <c r="M128" s="21">
        <f t="shared" ref="M128" si="16">LN(I128)</f>
        <v>2.5952547069568657</v>
      </c>
      <c r="N128" s="21">
        <f t="shared" ref="N128" si="17">LN(J128)</f>
        <v>2.7287102485662977</v>
      </c>
    </row>
    <row r="129" spans="1:14" x14ac:dyDescent="0.2">
      <c r="A129" s="33">
        <f>'GF + UG Iteration 9'!A129</f>
        <v>1569</v>
      </c>
      <c r="B129" s="34" t="str">
        <f>'GF + UG Iteration 9'!B129</f>
        <v>UG</v>
      </c>
      <c r="C129" s="35">
        <f>'GF + UG Iteration 9'!C129</f>
        <v>17.7</v>
      </c>
      <c r="D129" s="36">
        <f>'GF + UG Iteration 9'!P$16*(C129^'GF + UG Iteration 9'!P$15)</f>
        <v>13.239346718517607</v>
      </c>
      <c r="E129" s="37">
        <f>'GF + UG Iteration 9'!E129</f>
        <v>1997</v>
      </c>
      <c r="F129" s="35">
        <f>'GF + UG Iteration 9'!F129</f>
        <v>0</v>
      </c>
      <c r="G129" s="36">
        <f>'GF + UG Iteration 9'!G129</f>
        <v>3.7372730134616279</v>
      </c>
      <c r="H129" s="38">
        <f>'GF + UG Iteration 9'!H129</f>
        <v>2015</v>
      </c>
      <c r="I129" s="35">
        <f t="shared" si="10"/>
        <v>17.7</v>
      </c>
      <c r="J129" s="36">
        <f t="shared" si="11"/>
        <v>16.976619731979234</v>
      </c>
      <c r="K129" s="38">
        <f t="shared" si="12"/>
        <v>2015</v>
      </c>
      <c r="M129" s="21">
        <f t="shared" si="8"/>
        <v>2.8735646395797834</v>
      </c>
      <c r="N129" s="21">
        <f t="shared" si="9"/>
        <v>2.8318370875659857</v>
      </c>
    </row>
    <row r="130" spans="1:14" x14ac:dyDescent="0.2">
      <c r="A130" s="33">
        <f>'GF + UG Iteration 9'!A130</f>
        <v>401</v>
      </c>
      <c r="B130" s="34" t="str">
        <f>'GF + UG Iteration 9'!B130</f>
        <v>UG</v>
      </c>
      <c r="C130" s="35">
        <f>'GF + UG Iteration 9'!C130</f>
        <v>2</v>
      </c>
      <c r="D130" s="36">
        <f>'GF + UG Iteration 9'!P$16*(C130^'GF + UG Iteration 9'!P$15)</f>
        <v>3.7993232408103861</v>
      </c>
      <c r="E130" s="37">
        <f>'GF + UG Iteration 9'!E130</f>
        <v>1986</v>
      </c>
      <c r="F130" s="35">
        <f>'GF + UG Iteration 9'!F130</f>
        <v>1.5</v>
      </c>
      <c r="G130" s="36">
        <f>'GF + UG Iteration 9'!G130</f>
        <v>0.36204281296556784</v>
      </c>
      <c r="H130" s="38">
        <f>'GF + UG Iteration 9'!H130</f>
        <v>2004</v>
      </c>
      <c r="I130" s="35">
        <f t="shared" si="10"/>
        <v>3.5</v>
      </c>
      <c r="J130" s="36">
        <f t="shared" si="11"/>
        <v>4.1613660537759536</v>
      </c>
      <c r="K130" s="38">
        <f t="shared" si="12"/>
        <v>2004</v>
      </c>
      <c r="M130" s="21">
        <f t="shared" si="8"/>
        <v>1.2527629684953681</v>
      </c>
      <c r="N130" s="21">
        <f t="shared" si="9"/>
        <v>1.4258433986803418</v>
      </c>
    </row>
    <row r="131" spans="1:14" x14ac:dyDescent="0.2">
      <c r="A131" s="33">
        <f>'GF + UG Iteration 9'!A131</f>
        <v>1412</v>
      </c>
      <c r="B131" s="34" t="str">
        <f>'GF + UG Iteration 9'!B131</f>
        <v>UG</v>
      </c>
      <c r="C131" s="35">
        <f>'GF + UG Iteration 9'!C131</f>
        <v>3.5</v>
      </c>
      <c r="D131" s="36">
        <f>'GF + UG Iteration 9'!P$16*(C131^'GF + UG Iteration 9'!P$15)</f>
        <v>5.23425147701938</v>
      </c>
      <c r="E131" s="37">
        <f>'GF + UG Iteration 9'!E131</f>
        <v>1986</v>
      </c>
      <c r="F131" s="35">
        <f>'GF + UG Iteration 9'!F131</f>
        <v>11</v>
      </c>
      <c r="G131" s="36">
        <f>'GF + UG Iteration 9'!G131</f>
        <v>4.3574845496482366</v>
      </c>
      <c r="H131" s="38">
        <f>'GF + UG Iteration 9'!H131</f>
        <v>2015</v>
      </c>
      <c r="I131" s="35">
        <f t="shared" si="10"/>
        <v>14.5</v>
      </c>
      <c r="J131" s="36">
        <f t="shared" si="11"/>
        <v>9.5917360266676166</v>
      </c>
      <c r="K131" s="38">
        <f t="shared" si="12"/>
        <v>2015</v>
      </c>
      <c r="M131" s="21">
        <f t="shared" si="8"/>
        <v>2.6741486494265287</v>
      </c>
      <c r="N131" s="21">
        <f t="shared" si="9"/>
        <v>2.2609018971909403</v>
      </c>
    </row>
    <row r="132" spans="1:14" x14ac:dyDescent="0.2">
      <c r="A132" s="33">
        <f>'GF + UG Iteration 9'!A132</f>
        <v>1318</v>
      </c>
      <c r="B132" s="34" t="str">
        <f>'GF + UG Iteration 9'!B132</f>
        <v>UG</v>
      </c>
      <c r="C132" s="35">
        <f>'GF + UG Iteration 9'!C132</f>
        <v>22.3</v>
      </c>
      <c r="D132" s="36">
        <f>'GF + UG Iteration 9'!P$16*(C132^'GF + UG Iteration 9'!P$15)</f>
        <v>15.11158902260121</v>
      </c>
      <c r="E132" s="37">
        <f>'GF + UG Iteration 9'!E132</f>
        <v>1997</v>
      </c>
      <c r="F132" s="35">
        <f>'GF + UG Iteration 9'!F132</f>
        <v>28.900000000000002</v>
      </c>
      <c r="G132" s="36">
        <f>'GF + UG Iteration 9'!G132</f>
        <v>1.6878206182928517</v>
      </c>
      <c r="H132" s="38">
        <f>'GF + UG Iteration 9'!H132</f>
        <v>2013</v>
      </c>
      <c r="I132" s="35">
        <f t="shared" si="10"/>
        <v>51.2</v>
      </c>
      <c r="J132" s="36">
        <f t="shared" si="11"/>
        <v>16.799409640894062</v>
      </c>
      <c r="K132" s="38">
        <f t="shared" si="12"/>
        <v>2013</v>
      </c>
      <c r="M132" s="21">
        <f t="shared" si="8"/>
        <v>3.9357395320454622</v>
      </c>
      <c r="N132" s="21">
        <f t="shared" si="9"/>
        <v>2.8213437453688015</v>
      </c>
    </row>
    <row r="133" spans="1:14" x14ac:dyDescent="0.2">
      <c r="A133" s="33">
        <f>'GF + UG Iteration 9'!A133</f>
        <v>1194</v>
      </c>
      <c r="B133" s="34" t="str">
        <f>'GF + UG Iteration 9'!B133</f>
        <v>UG</v>
      </c>
      <c r="C133" s="35">
        <f>'GF + UG Iteration 9'!C133</f>
        <v>5.8</v>
      </c>
      <c r="D133" s="36">
        <f>'GF + UG Iteration 9'!P$16*(C133^'GF + UG Iteration 9'!P$15)</f>
        <v>6.9895035521142264</v>
      </c>
      <c r="E133" s="37">
        <f>'GF + UG Iteration 9'!E133</f>
        <v>1980</v>
      </c>
      <c r="F133" s="35">
        <f>'GF + UG Iteration 9'!F133</f>
        <v>9.6000000000000014</v>
      </c>
      <c r="G133" s="36">
        <f>'GF + UG Iteration 9'!G133</f>
        <v>1.6086060831571487</v>
      </c>
      <c r="H133" s="38">
        <f>'GF + UG Iteration 9'!H133</f>
        <v>2011</v>
      </c>
      <c r="I133" s="35">
        <f t="shared" si="10"/>
        <v>15.400000000000002</v>
      </c>
      <c r="J133" s="36">
        <f t="shared" si="11"/>
        <v>8.5981096352713742</v>
      </c>
      <c r="K133" s="38">
        <f t="shared" si="12"/>
        <v>2011</v>
      </c>
      <c r="M133" s="21">
        <f t="shared" si="8"/>
        <v>2.7343675094195836</v>
      </c>
      <c r="N133" s="21">
        <f t="shared" si="9"/>
        <v>2.1515423692455702</v>
      </c>
    </row>
    <row r="134" spans="1:14" x14ac:dyDescent="0.2">
      <c r="A134" s="33">
        <f>'GF + UG Iteration 9'!A134</f>
        <v>801</v>
      </c>
      <c r="B134" s="34" t="str">
        <f>'GF + UG Iteration 9'!B134</f>
        <v>UG</v>
      </c>
      <c r="C134" s="35">
        <f>'GF + UG Iteration 9'!C134</f>
        <v>10</v>
      </c>
      <c r="D134" s="36">
        <f>'GF + UG Iteration 9'!P$16*(C134^'GF + UG Iteration 9'!P$15)</f>
        <v>9.5475649131071361</v>
      </c>
      <c r="E134" s="37">
        <f>'GF + UG Iteration 9'!E134</f>
        <v>2008</v>
      </c>
      <c r="F134" s="35">
        <f>'GF + UG Iteration 9'!F134</f>
        <v>0</v>
      </c>
      <c r="G134" s="36">
        <f>'GF + UG Iteration 9'!G134</f>
        <v>6.3106495854024782</v>
      </c>
      <c r="H134" s="38">
        <f>'GF + UG Iteration 9'!H134</f>
        <v>2009</v>
      </c>
      <c r="I134" s="35">
        <f t="shared" si="10"/>
        <v>10</v>
      </c>
      <c r="J134" s="36">
        <f t="shared" si="11"/>
        <v>15.858214498509614</v>
      </c>
      <c r="K134" s="38">
        <f t="shared" si="12"/>
        <v>2009</v>
      </c>
      <c r="M134" s="21">
        <f t="shared" si="8"/>
        <v>2.3025850929940459</v>
      </c>
      <c r="N134" s="21">
        <f t="shared" si="9"/>
        <v>2.7636876309606215</v>
      </c>
    </row>
    <row r="135" spans="1:14" x14ac:dyDescent="0.2">
      <c r="A135" s="33">
        <f>'GF + UG Iteration 9'!A135</f>
        <v>804</v>
      </c>
      <c r="B135" s="34" t="str">
        <f>'GF + UG Iteration 9'!B135</f>
        <v>UG</v>
      </c>
      <c r="C135" s="35">
        <f>'GF + UG Iteration 9'!C135</f>
        <v>14.429</v>
      </c>
      <c r="D135" s="36">
        <f>'GF + UG Iteration 9'!P$16*(C135^'GF + UG Iteration 9'!P$15)</f>
        <v>11.777721959293322</v>
      </c>
      <c r="E135" s="37">
        <f>'GF + UG Iteration 9'!E135</f>
        <v>1982</v>
      </c>
      <c r="F135" s="35">
        <f>'GF + UG Iteration 9'!F135</f>
        <v>9.8710000000000004</v>
      </c>
      <c r="G135" s="36">
        <f>'GF + UG Iteration 9'!G135</f>
        <v>9.1566982400815444</v>
      </c>
      <c r="H135" s="38">
        <f>'GF + UG Iteration 9'!H135</f>
        <v>2009</v>
      </c>
      <c r="I135" s="35">
        <f t="shared" si="10"/>
        <v>24.3</v>
      </c>
      <c r="J135" s="36">
        <f t="shared" si="11"/>
        <v>20.934420199374866</v>
      </c>
      <c r="K135" s="38">
        <f t="shared" si="12"/>
        <v>2009</v>
      </c>
      <c r="M135" s="21">
        <f t="shared" si="8"/>
        <v>3.1904763503465028</v>
      </c>
      <c r="N135" s="21">
        <f t="shared" si="9"/>
        <v>3.0413947038105311</v>
      </c>
    </row>
    <row r="136" spans="1:14" x14ac:dyDescent="0.2">
      <c r="A136" s="33">
        <f>'GF + UG Iteration 9'!A136</f>
        <v>365</v>
      </c>
      <c r="B136" s="34" t="str">
        <f>'GF + UG Iteration 9'!B136</f>
        <v>UG</v>
      </c>
      <c r="C136" s="35">
        <f>'GF + UG Iteration 9'!C136</f>
        <v>15.9</v>
      </c>
      <c r="D136" s="36">
        <f>'GF + UG Iteration 9'!P$16*(C136^'GF + UG Iteration 9'!P$15)</f>
        <v>12.450878031161478</v>
      </c>
      <c r="E136" s="37">
        <f>'GF + UG Iteration 9'!E136</f>
        <v>1982</v>
      </c>
      <c r="F136" s="35">
        <f>'GF + UG Iteration 9'!F136</f>
        <v>0.26900000000000013</v>
      </c>
      <c r="G136" s="36">
        <f>'GF + UG Iteration 9'!G136</f>
        <v>0.59607313292480213</v>
      </c>
      <c r="H136" s="38">
        <f>'GF + UG Iteration 9'!H136</f>
        <v>2003</v>
      </c>
      <c r="I136" s="35">
        <f t="shared" si="10"/>
        <v>16.169</v>
      </c>
      <c r="J136" s="36">
        <f t="shared" si="11"/>
        <v>13.046951164086281</v>
      </c>
      <c r="K136" s="38">
        <f t="shared" si="12"/>
        <v>2003</v>
      </c>
      <c r="M136" s="21">
        <f t="shared" ref="M136:M183" si="18">LN(I136)</f>
        <v>2.7830958287576775</v>
      </c>
      <c r="N136" s="21">
        <f t="shared" ref="N136:N183" si="19">LN(J136)</f>
        <v>2.5685544792005177</v>
      </c>
    </row>
    <row r="137" spans="1:14" x14ac:dyDescent="0.2">
      <c r="A137" s="33">
        <f>'GF + UG Iteration 9'!A137</f>
        <v>708</v>
      </c>
      <c r="B137" s="34" t="str">
        <f>'GF + UG Iteration 9'!B137</f>
        <v>UG</v>
      </c>
      <c r="C137" s="35">
        <f>'GF + UG Iteration 9'!C137</f>
        <v>16.2</v>
      </c>
      <c r="D137" s="36">
        <f>'GF + UG Iteration 9'!P$16*(C137^'GF + UG Iteration 9'!P$15)</f>
        <v>12.584842174576151</v>
      </c>
      <c r="E137" s="37">
        <f>'GF + UG Iteration 9'!E137</f>
        <v>1982</v>
      </c>
      <c r="F137" s="35">
        <f>'GF + UG Iteration 9'!F137</f>
        <v>11.5</v>
      </c>
      <c r="G137" s="36">
        <f>'GF + UG Iteration 9'!G137</f>
        <v>6.8374623210633541</v>
      </c>
      <c r="H137" s="38">
        <f>'GF + UG Iteration 9'!H137</f>
        <v>2007</v>
      </c>
      <c r="I137" s="35">
        <f t="shared" si="10"/>
        <v>27.7</v>
      </c>
      <c r="J137" s="36">
        <f t="shared" si="11"/>
        <v>19.422304495639505</v>
      </c>
      <c r="K137" s="38">
        <f t="shared" si="12"/>
        <v>2007</v>
      </c>
      <c r="M137" s="21">
        <f t="shared" si="18"/>
        <v>3.3214324131932926</v>
      </c>
      <c r="N137" s="21">
        <f t="shared" si="19"/>
        <v>2.9664221219217559</v>
      </c>
    </row>
    <row r="138" spans="1:14" x14ac:dyDescent="0.2">
      <c r="A138" s="33">
        <f>'GF + UG Iteration 9'!A138</f>
        <v>1568</v>
      </c>
      <c r="B138" s="34" t="str">
        <f>'GF + UG Iteration 9'!B138</f>
        <v>UG</v>
      </c>
      <c r="C138" s="35">
        <f>'GF + UG Iteration 9'!C138</f>
        <v>27.7</v>
      </c>
      <c r="D138" s="36">
        <f>'GF + UG Iteration 9'!P$16*(C138^'GF + UG Iteration 9'!P$15)</f>
        <v>17.109163523959463</v>
      </c>
      <c r="E138" s="37">
        <f>'GF + UG Iteration 9'!E138</f>
        <v>1997</v>
      </c>
      <c r="F138" s="35">
        <f>'GF + UG Iteration 9'!F138</f>
        <v>8.0999999999999979</v>
      </c>
      <c r="G138" s="36">
        <f>'GF + UG Iteration 9'!G138</f>
        <v>3.5848996641236104</v>
      </c>
      <c r="H138" s="38">
        <f>'GF + UG Iteration 9'!H138</f>
        <v>2015</v>
      </c>
      <c r="I138" s="35">
        <f t="shared" si="10"/>
        <v>35.799999999999997</v>
      </c>
      <c r="J138" s="36">
        <f t="shared" si="11"/>
        <v>20.694063188083074</v>
      </c>
      <c r="K138" s="38">
        <f t="shared" si="12"/>
        <v>2015</v>
      </c>
      <c r="M138" s="21">
        <f t="shared" si="18"/>
        <v>3.5779478934066544</v>
      </c>
      <c r="N138" s="21">
        <f t="shared" si="19"/>
        <v>3.0298468566275547</v>
      </c>
    </row>
    <row r="139" spans="1:14" x14ac:dyDescent="0.2">
      <c r="A139" s="33">
        <f>'GF + UG Iteration 9'!A139</f>
        <v>398</v>
      </c>
      <c r="B139" s="34" t="str">
        <f>'GF + UG Iteration 9'!B139</f>
        <v>UG</v>
      </c>
      <c r="C139" s="35">
        <f>'GF + UG Iteration 9'!C139</f>
        <v>27.329000000000001</v>
      </c>
      <c r="D139" s="36">
        <f>'GF + UG Iteration 9'!P$16*(C139^'GF + UG Iteration 9'!P$15)</f>
        <v>16.977587704610258</v>
      </c>
      <c r="E139" s="37">
        <f>'GF + UG Iteration 9'!E139</f>
        <v>1981</v>
      </c>
      <c r="F139" s="35">
        <f>'GF + UG Iteration 9'!F139</f>
        <v>2</v>
      </c>
      <c r="G139" s="36">
        <f>'GF + UG Iteration 9'!G139</f>
        <v>1.454685054931611</v>
      </c>
      <c r="H139" s="38">
        <f>'GF + UG Iteration 9'!H139</f>
        <v>2004</v>
      </c>
      <c r="I139" s="35">
        <f t="shared" si="10"/>
        <v>29.329000000000001</v>
      </c>
      <c r="J139" s="36">
        <f t="shared" si="11"/>
        <v>18.43227275954187</v>
      </c>
      <c r="K139" s="38">
        <f t="shared" si="12"/>
        <v>2004</v>
      </c>
      <c r="M139" s="21">
        <f t="shared" si="18"/>
        <v>3.3785767876246213</v>
      </c>
      <c r="N139" s="21">
        <f t="shared" si="19"/>
        <v>2.9141030825562173</v>
      </c>
    </row>
    <row r="140" spans="1:14" x14ac:dyDescent="0.2">
      <c r="A140" s="33">
        <f>'GF + UG Iteration 9'!A140</f>
        <v>1642</v>
      </c>
      <c r="B140" s="34" t="str">
        <f>'GF + UG Iteration 9'!B140</f>
        <v>UG</v>
      </c>
      <c r="C140" s="35">
        <f>'GF + UG Iteration 9'!C140</f>
        <v>16.12</v>
      </c>
      <c r="D140" s="36">
        <f>'GF + UG Iteration 9'!P$16*(C140^'GF + UG Iteration 9'!P$15)</f>
        <v>12.549222846274109</v>
      </c>
      <c r="E140" s="37" t="str">
        <f>'GF + UG Iteration 9'!E140</f>
        <v>unknown</v>
      </c>
      <c r="F140" s="35">
        <f>'GF + UG Iteration 9'!F140</f>
        <v>2.7799999999999976</v>
      </c>
      <c r="G140" s="36">
        <f>'GF + UG Iteration 9'!G140</f>
        <v>10.134123990225088</v>
      </c>
      <c r="H140" s="38">
        <f>'GF + UG Iteration 9'!H140</f>
        <v>2015</v>
      </c>
      <c r="I140" s="35">
        <f t="shared" si="10"/>
        <v>18.899999999999999</v>
      </c>
      <c r="J140" s="36">
        <f t="shared" si="11"/>
        <v>22.683346836499197</v>
      </c>
      <c r="K140" s="38">
        <f t="shared" si="12"/>
        <v>2015</v>
      </c>
      <c r="M140" s="21">
        <f t="shared" si="18"/>
        <v>2.9391619220655967</v>
      </c>
      <c r="N140" s="21">
        <f t="shared" si="19"/>
        <v>3.1216310357193806</v>
      </c>
    </row>
    <row r="141" spans="1:14" x14ac:dyDescent="0.2">
      <c r="A141" s="33">
        <f>'GF + UG Iteration 9'!A141</f>
        <v>522</v>
      </c>
      <c r="B141" s="34" t="str">
        <f>'GF + UG Iteration 9'!B141</f>
        <v>UG</v>
      </c>
      <c r="C141" s="35">
        <f>'GF + UG Iteration 9'!C141</f>
        <v>38.700000000000003</v>
      </c>
      <c r="D141" s="36">
        <f>'GF + UG Iteration 9'!P$16*(C141^'GF + UG Iteration 9'!P$15)</f>
        <v>20.719489419391326</v>
      </c>
      <c r="E141" s="37">
        <f>'GF + UG Iteration 9'!E141</f>
        <v>1981</v>
      </c>
      <c r="F141" s="35">
        <f>'GF + UG Iteration 9'!F141</f>
        <v>2.2999999999999972</v>
      </c>
      <c r="G141" s="36">
        <f>'GF + UG Iteration 9'!G141</f>
        <v>0.49326793696611254</v>
      </c>
      <c r="H141" s="38">
        <f>'GF + UG Iteration 9'!H141</f>
        <v>2006</v>
      </c>
      <c r="I141" s="35">
        <f t="shared" si="10"/>
        <v>41</v>
      </c>
      <c r="J141" s="36">
        <f t="shared" si="11"/>
        <v>21.212757356357439</v>
      </c>
      <c r="K141" s="38">
        <f t="shared" si="12"/>
        <v>2006</v>
      </c>
      <c r="M141" s="21">
        <f t="shared" si="18"/>
        <v>3.713572066704308</v>
      </c>
      <c r="N141" s="21">
        <f t="shared" si="19"/>
        <v>3.0546027627840946</v>
      </c>
    </row>
    <row r="142" spans="1:14" x14ac:dyDescent="0.2">
      <c r="A142" s="33">
        <f>'GF + UG Iteration 9'!A142</f>
        <v>170</v>
      </c>
      <c r="B142" s="34" t="str">
        <f>'GF + UG Iteration 9'!B142</f>
        <v>UG</v>
      </c>
      <c r="C142" s="35">
        <f>'GF + UG Iteration 9'!C142</f>
        <v>20.399999999999999</v>
      </c>
      <c r="D142" s="36">
        <f>'GF + UG Iteration 9'!P$16*(C142^'GF + UG Iteration 9'!P$15)</f>
        <v>14.360429506231783</v>
      </c>
      <c r="E142" s="37" t="str">
        <f>'GF + UG Iteration 9'!E142</f>
        <v>unknown</v>
      </c>
      <c r="F142" s="35">
        <f>'GF + UG Iteration 9'!F142</f>
        <v>5.6000000000000014</v>
      </c>
      <c r="G142" s="36">
        <f>'GF + UG Iteration 9'!G142</f>
        <v>4.433742547698083</v>
      </c>
      <c r="H142" s="38">
        <f>'GF + UG Iteration 9'!H142</f>
        <v>2001</v>
      </c>
      <c r="I142" s="35">
        <f t="shared" si="10"/>
        <v>26</v>
      </c>
      <c r="J142" s="36">
        <f t="shared" si="11"/>
        <v>18.794172053929866</v>
      </c>
      <c r="K142" s="38">
        <f t="shared" si="12"/>
        <v>2001</v>
      </c>
      <c r="M142" s="21">
        <f t="shared" si="18"/>
        <v>3.2580965380214821</v>
      </c>
      <c r="N142" s="21">
        <f t="shared" si="19"/>
        <v>2.9335468246454703</v>
      </c>
    </row>
    <row r="143" spans="1:14" x14ac:dyDescent="0.2">
      <c r="A143" s="33">
        <f>'GF + UG Iteration 9'!A143</f>
        <v>1312</v>
      </c>
      <c r="B143" s="34" t="str">
        <f>'GF + UG Iteration 9'!B143</f>
        <v>UG</v>
      </c>
      <c r="C143" s="35">
        <f>'GF + UG Iteration 9'!C143</f>
        <v>23.63</v>
      </c>
      <c r="D143" s="36">
        <f>'GF + UG Iteration 9'!P$16*(C143^'GF + UG Iteration 9'!P$15)</f>
        <v>15.621204506625016</v>
      </c>
      <c r="E143" s="37" t="str">
        <f>'GF + UG Iteration 9'!E143</f>
        <v>unknown</v>
      </c>
      <c r="F143" s="35">
        <f>'GF + UG Iteration 9'!F143</f>
        <v>0</v>
      </c>
      <c r="G143" s="36">
        <f>'GF + UG Iteration 9'!G143</f>
        <v>6.0245111186360631</v>
      </c>
      <c r="H143" s="38">
        <f>'GF + UG Iteration 9'!H143</f>
        <v>2013</v>
      </c>
      <c r="I143" s="35">
        <f t="shared" si="10"/>
        <v>23.63</v>
      </c>
      <c r="J143" s="36">
        <f t="shared" si="11"/>
        <v>21.645715625261079</v>
      </c>
      <c r="K143" s="38">
        <f t="shared" si="12"/>
        <v>2013</v>
      </c>
      <c r="M143" s="21">
        <f t="shared" si="18"/>
        <v>3.1625170911988163</v>
      </c>
      <c r="N143" s="21">
        <f t="shared" si="19"/>
        <v>3.0748075422675343</v>
      </c>
    </row>
    <row r="144" spans="1:14" x14ac:dyDescent="0.2">
      <c r="A144" s="33">
        <f>'GF + UG Iteration 9'!A144</f>
        <v>170</v>
      </c>
      <c r="B144" s="34" t="str">
        <f>'GF + UG Iteration 9'!B144</f>
        <v>UG</v>
      </c>
      <c r="C144" s="35">
        <f>'GF + UG Iteration 9'!C144</f>
        <v>21.6</v>
      </c>
      <c r="D144" s="36">
        <f>'GF + UG Iteration 9'!P$16*(C144^'GF + UG Iteration 9'!P$15)</f>
        <v>14.838153385913721</v>
      </c>
      <c r="E144" s="37" t="str">
        <f>'GF + UG Iteration 9'!E144</f>
        <v>unknown</v>
      </c>
      <c r="F144" s="35">
        <f>'GF + UG Iteration 9'!F144</f>
        <v>1</v>
      </c>
      <c r="G144" s="36">
        <f>'GF + UG Iteration 9'!G144</f>
        <v>4.8829870198591019</v>
      </c>
      <c r="H144" s="38">
        <f>'GF + UG Iteration 9'!H144</f>
        <v>2001</v>
      </c>
      <c r="I144" s="35">
        <f t="shared" si="10"/>
        <v>22.6</v>
      </c>
      <c r="J144" s="36">
        <f t="shared" si="11"/>
        <v>19.721140405772822</v>
      </c>
      <c r="K144" s="38">
        <f t="shared" si="12"/>
        <v>2001</v>
      </c>
      <c r="M144" s="21">
        <f t="shared" si="18"/>
        <v>3.1179499062782403</v>
      </c>
      <c r="N144" s="21">
        <f t="shared" si="19"/>
        <v>2.9816911774097488</v>
      </c>
    </row>
    <row r="145" spans="1:14" x14ac:dyDescent="0.2">
      <c r="A145" s="33">
        <f>'GF + UG Iteration 9'!A145</f>
        <v>1366</v>
      </c>
      <c r="B145" s="34" t="str">
        <f>'GF + UG Iteration 9'!B145</f>
        <v>UG</v>
      </c>
      <c r="C145" s="35">
        <f>'GF + UG Iteration 9'!C145</f>
        <v>25.5</v>
      </c>
      <c r="D145" s="36">
        <f>'GF + UG Iteration 9'!P$16*(C145^'GF + UG Iteration 9'!P$15)</f>
        <v>16.317439958539421</v>
      </c>
      <c r="E145" s="37">
        <f>'GF + UG Iteration 9'!E145</f>
        <v>0</v>
      </c>
      <c r="F145" s="35">
        <f>'GF + UG Iteration 9'!F145</f>
        <v>14</v>
      </c>
      <c r="G145" s="36">
        <f>'GF + UG Iteration 9'!G145</f>
        <v>5.5737060104438019</v>
      </c>
      <c r="H145" s="38">
        <f>'GF + UG Iteration 9'!H145</f>
        <v>2013</v>
      </c>
      <c r="I145" s="35">
        <f t="shared" si="10"/>
        <v>39.5</v>
      </c>
      <c r="J145" s="36">
        <f t="shared" si="11"/>
        <v>21.891145968983224</v>
      </c>
      <c r="K145" s="38">
        <f t="shared" si="12"/>
        <v>2013</v>
      </c>
      <c r="M145" s="21">
        <f t="shared" si="18"/>
        <v>3.6763006719070761</v>
      </c>
      <c r="N145" s="21">
        <f t="shared" si="19"/>
        <v>3.0860822614200076</v>
      </c>
    </row>
    <row r="146" spans="1:14" x14ac:dyDescent="0.2">
      <c r="A146" s="33">
        <f>'GF + UG Iteration 9'!A146</f>
        <v>170</v>
      </c>
      <c r="B146" s="34" t="str">
        <f>'GF + UG Iteration 9'!B146</f>
        <v>UG</v>
      </c>
      <c r="C146" s="35">
        <f>'GF + UG Iteration 9'!C146</f>
        <v>5.4</v>
      </c>
      <c r="D146" s="36">
        <f>'GF + UG Iteration 9'!P$16*(C146^'GF + UG Iteration 9'!P$15)</f>
        <v>6.7093133354786119</v>
      </c>
      <c r="E146" s="37" t="str">
        <f>'GF + UG Iteration 9'!E146</f>
        <v>unknown</v>
      </c>
      <c r="F146" s="35">
        <f>'GF + UG Iteration 9'!F146</f>
        <v>10.6</v>
      </c>
      <c r="G146" s="36">
        <f>'GF + UG Iteration 9'!G146</f>
        <v>5.2097107088088661</v>
      </c>
      <c r="H146" s="38">
        <f>'GF + UG Iteration 9'!H146</f>
        <v>2001</v>
      </c>
      <c r="I146" s="35">
        <f t="shared" si="10"/>
        <v>16</v>
      </c>
      <c r="J146" s="36">
        <f t="shared" si="11"/>
        <v>11.919024044287479</v>
      </c>
      <c r="K146" s="38">
        <f t="shared" si="12"/>
        <v>2001</v>
      </c>
      <c r="M146" s="21">
        <f t="shared" si="18"/>
        <v>2.7725887222397811</v>
      </c>
      <c r="N146" s="21">
        <f t="shared" si="19"/>
        <v>2.4781357828059853</v>
      </c>
    </row>
    <row r="147" spans="1:14" x14ac:dyDescent="0.2">
      <c r="A147" s="33">
        <f>'GF + UG Iteration 9'!A147</f>
        <v>1350</v>
      </c>
      <c r="B147" s="34" t="str">
        <f>'GF + UG Iteration 9'!B147</f>
        <v>UG</v>
      </c>
      <c r="C147" s="35">
        <f>'GF + UG Iteration 9'!C147</f>
        <v>16</v>
      </c>
      <c r="D147" s="36">
        <f>'GF + UG Iteration 9'!P$16*(C147^'GF + UG Iteration 9'!P$15)</f>
        <v>12.495651853964667</v>
      </c>
      <c r="E147" s="37">
        <f>'GF + UG Iteration 9'!E147</f>
        <v>0</v>
      </c>
      <c r="F147" s="35">
        <f>'GF + UG Iteration 9'!F147</f>
        <v>20</v>
      </c>
      <c r="G147" s="36">
        <f>'GF + UG Iteration 9'!G147</f>
        <v>6.5300342953877131</v>
      </c>
      <c r="H147" s="38">
        <f>'GF + UG Iteration 9'!H147</f>
        <v>2013</v>
      </c>
      <c r="I147" s="35">
        <f t="shared" si="10"/>
        <v>36</v>
      </c>
      <c r="J147" s="36">
        <f t="shared" si="11"/>
        <v>19.025686149352381</v>
      </c>
      <c r="K147" s="38">
        <f t="shared" si="12"/>
        <v>2013</v>
      </c>
      <c r="M147" s="21">
        <f t="shared" si="18"/>
        <v>3.5835189384561099</v>
      </c>
      <c r="N147" s="21">
        <f t="shared" si="19"/>
        <v>2.9457899687663809</v>
      </c>
    </row>
    <row r="148" spans="1:14" x14ac:dyDescent="0.2">
      <c r="A148" s="33">
        <f>'GF + UG Iteration 9'!A148</f>
        <v>658</v>
      </c>
      <c r="B148" s="34" t="str">
        <f>'GF + UG Iteration 9'!B148</f>
        <v>UG</v>
      </c>
      <c r="C148" s="35">
        <f>'GF + UG Iteration 9'!C148</f>
        <v>1.6</v>
      </c>
      <c r="D148" s="36">
        <f>'GF + UG Iteration 9'!P$16*(C148^'GF + UG Iteration 9'!P$15)</f>
        <v>3.3436564626360239</v>
      </c>
      <c r="E148" s="37">
        <f>'GF + UG Iteration 9'!E148</f>
        <v>1996</v>
      </c>
      <c r="F148" s="35">
        <f>'GF + UG Iteration 9'!F148</f>
        <v>13.200000000000001</v>
      </c>
      <c r="G148" s="36">
        <f>'GF + UG Iteration 9'!G148</f>
        <v>7.1146692323992218</v>
      </c>
      <c r="H148" s="38">
        <f>'GF + UG Iteration 9'!H148</f>
        <v>2008</v>
      </c>
      <c r="I148" s="35">
        <f t="shared" si="10"/>
        <v>14.8</v>
      </c>
      <c r="J148" s="36">
        <f t="shared" si="11"/>
        <v>10.458325695035246</v>
      </c>
      <c r="K148" s="38">
        <f t="shared" si="12"/>
        <v>2008</v>
      </c>
      <c r="M148" s="21">
        <f t="shared" si="18"/>
        <v>2.6946271807700692</v>
      </c>
      <c r="N148" s="21">
        <f t="shared" si="19"/>
        <v>2.3473983784283758</v>
      </c>
    </row>
    <row r="149" spans="1:14" x14ac:dyDescent="0.2">
      <c r="A149" s="33">
        <f>'GF + UG Iteration 9'!A149</f>
        <v>897</v>
      </c>
      <c r="B149" s="34" t="str">
        <f>'GF + UG Iteration 9'!B149</f>
        <v>UG</v>
      </c>
      <c r="C149" s="35">
        <f>'GF + UG Iteration 9'!C149</f>
        <v>14.8</v>
      </c>
      <c r="D149" s="36">
        <f>'GF + UG Iteration 9'!P$16*(C149^'GF + UG Iteration 9'!P$15)</f>
        <v>11.950162113624522</v>
      </c>
      <c r="E149" s="37">
        <f>'GF + UG Iteration 9'!E149</f>
        <v>1996</v>
      </c>
      <c r="F149" s="35">
        <f>'GF + UG Iteration 9'!F149</f>
        <v>3</v>
      </c>
      <c r="G149" s="36">
        <f>'GF + UG Iteration 9'!G149</f>
        <v>6.2372112776035529</v>
      </c>
      <c r="H149" s="38">
        <f>'GF + UG Iteration 9'!H149</f>
        <v>2010</v>
      </c>
      <c r="I149" s="35">
        <f t="shared" si="10"/>
        <v>17.8</v>
      </c>
      <c r="J149" s="36">
        <f t="shared" si="11"/>
        <v>18.187373391228075</v>
      </c>
      <c r="K149" s="38">
        <f t="shared" si="12"/>
        <v>2010</v>
      </c>
      <c r="M149" s="21">
        <f t="shared" si="18"/>
        <v>2.8791984572980396</v>
      </c>
      <c r="N149" s="21">
        <f t="shared" si="19"/>
        <v>2.900727583600434</v>
      </c>
    </row>
    <row r="150" spans="1:14" x14ac:dyDescent="0.2">
      <c r="A150" s="33">
        <f>'GF + UG Iteration 9'!A150</f>
        <v>483</v>
      </c>
      <c r="B150" s="34" t="str">
        <f>'GF + UG Iteration 9'!B150</f>
        <v>UG</v>
      </c>
      <c r="C150" s="35">
        <f>'GF + UG Iteration 9'!C150</f>
        <v>20.7</v>
      </c>
      <c r="D150" s="36">
        <f>'GF + UG Iteration 9'!P$16*(C150^'GF + UG Iteration 9'!P$15)</f>
        <v>14.480962124173006</v>
      </c>
      <c r="E150" s="37">
        <f>'GF + UG Iteration 9'!E150</f>
        <v>1986</v>
      </c>
      <c r="F150" s="35">
        <f>'GF + UG Iteration 9'!F150</f>
        <v>18.099999999999998</v>
      </c>
      <c r="G150" s="36">
        <f>'GF + UG Iteration 9'!G150</f>
        <v>3.6200694377675466</v>
      </c>
      <c r="H150" s="38">
        <f>'GF + UG Iteration 9'!H150</f>
        <v>2005</v>
      </c>
      <c r="I150" s="35">
        <f t="shared" si="10"/>
        <v>38.799999999999997</v>
      </c>
      <c r="J150" s="36">
        <f t="shared" si="11"/>
        <v>18.101031561940552</v>
      </c>
      <c r="K150" s="38">
        <f t="shared" si="12"/>
        <v>2005</v>
      </c>
      <c r="M150" s="21">
        <f t="shared" si="18"/>
        <v>3.6584202466292277</v>
      </c>
      <c r="N150" s="21">
        <f t="shared" si="19"/>
        <v>2.8959689290201829</v>
      </c>
    </row>
    <row r="151" spans="1:14" x14ac:dyDescent="0.2">
      <c r="A151" s="33">
        <f>'GF + UG Iteration 9'!A151</f>
        <v>1494</v>
      </c>
      <c r="B151" s="34" t="str">
        <f>'GF + UG Iteration 9'!B151</f>
        <v>UG</v>
      </c>
      <c r="C151" s="35">
        <f>'GF + UG Iteration 9'!C151</f>
        <v>13.3</v>
      </c>
      <c r="D151" s="36">
        <f>'GF + UG Iteration 9'!P$16*(C151^'GF + UG Iteration 9'!P$15)</f>
        <v>11.240931459104623</v>
      </c>
      <c r="E151" s="37">
        <f>'GF + UG Iteration 9'!E151</f>
        <v>0</v>
      </c>
      <c r="F151" s="35">
        <f>'GF + UG Iteration 9'!F151</f>
        <v>6</v>
      </c>
      <c r="G151" s="36">
        <f>'GF + UG Iteration 9'!G151</f>
        <v>6.4297485673579153</v>
      </c>
      <c r="H151" s="38">
        <f>'GF + UG Iteration 9'!H151</f>
        <v>2014</v>
      </c>
      <c r="I151" s="35">
        <f t="shared" si="10"/>
        <v>19.3</v>
      </c>
      <c r="J151" s="36">
        <f t="shared" si="11"/>
        <v>17.670680026462538</v>
      </c>
      <c r="K151" s="38">
        <f t="shared" si="12"/>
        <v>2014</v>
      </c>
      <c r="M151" s="21">
        <f t="shared" si="18"/>
        <v>2.9601050959108397</v>
      </c>
      <c r="N151" s="21">
        <f t="shared" si="19"/>
        <v>2.8719067703937178</v>
      </c>
    </row>
    <row r="152" spans="1:14" x14ac:dyDescent="0.2">
      <c r="A152" s="33">
        <f>'GF + UG Iteration 9'!A152</f>
        <v>488</v>
      </c>
      <c r="B152" s="34" t="str">
        <f>'GF + UG Iteration 9'!B152</f>
        <v>UG</v>
      </c>
      <c r="C152" s="35">
        <f>'GF + UG Iteration 9'!C152</f>
        <v>41.3</v>
      </c>
      <c r="D152" s="36">
        <f>'GF + UG Iteration 9'!P$16*(C152^'GF + UG Iteration 9'!P$15)</f>
        <v>21.50537294952608</v>
      </c>
      <c r="E152" s="37">
        <f>'GF + UG Iteration 9'!E152</f>
        <v>1982</v>
      </c>
      <c r="F152" s="35">
        <f>'GF + UG Iteration 9'!F152</f>
        <v>24.200000000000003</v>
      </c>
      <c r="G152" s="36">
        <f>'GF + UG Iteration 9'!G152</f>
        <v>0.40462675342078769</v>
      </c>
      <c r="H152" s="38">
        <f>'GF + UG Iteration 9'!H152</f>
        <v>2006</v>
      </c>
      <c r="I152" s="35">
        <f t="shared" si="10"/>
        <v>65.5</v>
      </c>
      <c r="J152" s="36">
        <f t="shared" si="11"/>
        <v>21.90999970294687</v>
      </c>
      <c r="K152" s="38">
        <f t="shared" si="12"/>
        <v>2006</v>
      </c>
      <c r="M152" s="21">
        <f t="shared" si="18"/>
        <v>4.1820501426412067</v>
      </c>
      <c r="N152" s="21">
        <f t="shared" si="19"/>
        <v>3.0869431400494962</v>
      </c>
    </row>
    <row r="153" spans="1:14" x14ac:dyDescent="0.2">
      <c r="A153" s="33">
        <f>'GF + UG Iteration 9'!A153</f>
        <v>1692</v>
      </c>
      <c r="B153" s="34" t="str">
        <f>'GF + UG Iteration 9'!B153</f>
        <v>UG</v>
      </c>
      <c r="C153" s="35">
        <f>'GF + UG Iteration 9'!C153</f>
        <v>65.5</v>
      </c>
      <c r="D153" s="36">
        <f>'GF + UG Iteration 9'!P$16*(C153^'GF + UG Iteration 9'!P$15)</f>
        <v>28.004071791928656</v>
      </c>
      <c r="E153" s="37">
        <f>'GF + UG Iteration 9'!E153</f>
        <v>0</v>
      </c>
      <c r="F153" s="35">
        <f>'GF + UG Iteration 9'!F153</f>
        <v>0</v>
      </c>
      <c r="G153" s="36">
        <f>'GF + UG Iteration 9'!G153</f>
        <v>2.2188176481219593</v>
      </c>
      <c r="H153" s="38">
        <f>'GF + UG Iteration 9'!H153</f>
        <v>2016</v>
      </c>
      <c r="I153" s="35">
        <f t="shared" si="10"/>
        <v>65.5</v>
      </c>
      <c r="J153" s="36">
        <f t="shared" si="11"/>
        <v>30.222889440050615</v>
      </c>
      <c r="K153" s="38">
        <f t="shared" si="12"/>
        <v>2016</v>
      </c>
      <c r="M153" s="21">
        <f t="shared" si="18"/>
        <v>4.1820501426412067</v>
      </c>
      <c r="N153" s="21">
        <f t="shared" si="19"/>
        <v>3.4085995657765813</v>
      </c>
    </row>
    <row r="154" spans="1:14" x14ac:dyDescent="0.2">
      <c r="A154" s="33">
        <f>'GF + UG Iteration 9'!A154</f>
        <v>318</v>
      </c>
      <c r="B154" s="34" t="str">
        <f>'GF + UG Iteration 9'!B154</f>
        <v>UG</v>
      </c>
      <c r="C154" s="35">
        <f>'GF + UG Iteration 9'!C154</f>
        <v>22.87</v>
      </c>
      <c r="D154" s="36">
        <f>'GF + UG Iteration 9'!P$16*(C154^'GF + UG Iteration 9'!P$15)</f>
        <v>15.331543782157551</v>
      </c>
      <c r="E154" s="37">
        <f>'GF + UG Iteration 9'!E154</f>
        <v>1996</v>
      </c>
      <c r="F154" s="35">
        <f>'GF + UG Iteration 9'!F154</f>
        <v>1</v>
      </c>
      <c r="G154" s="36">
        <f>'GF + UG Iteration 9'!G154</f>
        <v>0.76702040063252341</v>
      </c>
      <c r="H154" s="38">
        <f>'GF + UG Iteration 9'!H154</f>
        <v>2001</v>
      </c>
      <c r="I154" s="35">
        <f t="shared" si="10"/>
        <v>23.87</v>
      </c>
      <c r="J154" s="36">
        <f t="shared" si="11"/>
        <v>16.098564182790074</v>
      </c>
      <c r="K154" s="38">
        <f t="shared" si="12"/>
        <v>2001</v>
      </c>
      <c r="M154" s="21">
        <f t="shared" si="18"/>
        <v>3.1726224403507386</v>
      </c>
      <c r="N154" s="21">
        <f t="shared" si="19"/>
        <v>2.7787300868203753</v>
      </c>
    </row>
    <row r="155" spans="1:14" x14ac:dyDescent="0.2">
      <c r="A155" s="33">
        <f>'GF + UG Iteration 9'!A155</f>
        <v>806</v>
      </c>
      <c r="B155" s="34" t="str">
        <f>'GF + UG Iteration 9'!B155</f>
        <v>UG</v>
      </c>
      <c r="C155" s="35">
        <f>'GF + UG Iteration 9'!C155</f>
        <v>23.867000000000001</v>
      </c>
      <c r="D155" s="36">
        <f>'GF + UG Iteration 9'!P$16*(C155^'GF + UG Iteration 9'!P$15)</f>
        <v>15.710715289484233</v>
      </c>
      <c r="E155" s="37">
        <f>'GF + UG Iteration 9'!E155</f>
        <v>1996</v>
      </c>
      <c r="F155" s="35">
        <f>'GF + UG Iteration 9'!F155</f>
        <v>5.4329999999999998</v>
      </c>
      <c r="G155" s="36">
        <f>'GF + UG Iteration 9'!G155</f>
        <v>0.68947713107767894</v>
      </c>
      <c r="H155" s="38">
        <f>'GF + UG Iteration 9'!H155</f>
        <v>2008</v>
      </c>
      <c r="I155" s="35">
        <f t="shared" si="10"/>
        <v>29.3</v>
      </c>
      <c r="J155" s="36">
        <f t="shared" si="11"/>
        <v>16.400192420561911</v>
      </c>
      <c r="K155" s="38">
        <f t="shared" si="12"/>
        <v>2008</v>
      </c>
      <c r="M155" s="21">
        <f t="shared" si="18"/>
        <v>3.3775875160230218</v>
      </c>
      <c r="N155" s="21">
        <f t="shared" si="19"/>
        <v>2.7972930677224142</v>
      </c>
    </row>
    <row r="156" spans="1:14" x14ac:dyDescent="0.2">
      <c r="A156" s="33">
        <f>'GF + UG Iteration 9'!A156</f>
        <v>1495</v>
      </c>
      <c r="B156" s="34" t="str">
        <f>'GF + UG Iteration 9'!B156</f>
        <v>UG</v>
      </c>
      <c r="C156" s="35">
        <f>'GF + UG Iteration 9'!C156</f>
        <v>29.3</v>
      </c>
      <c r="D156" s="36">
        <f>'GF + UG Iteration 9'!P$16*(C156^'GF + UG Iteration 9'!P$15)</f>
        <v>17.668176573130765</v>
      </c>
      <c r="E156" s="37">
        <f>'GF + UG Iteration 9'!E156</f>
        <v>1996</v>
      </c>
      <c r="F156" s="35">
        <f>'GF + UG Iteration 9'!F156</f>
        <v>0</v>
      </c>
      <c r="G156" s="36">
        <f>'GF + UG Iteration 9'!G156</f>
        <v>5.142810508174632</v>
      </c>
      <c r="H156" s="38">
        <f>'GF + UG Iteration 9'!H156</f>
        <v>2014</v>
      </c>
      <c r="I156" s="35">
        <f t="shared" si="10"/>
        <v>29.3</v>
      </c>
      <c r="J156" s="36">
        <f t="shared" si="11"/>
        <v>22.810987081305399</v>
      </c>
      <c r="K156" s="38">
        <f t="shared" si="12"/>
        <v>2014</v>
      </c>
      <c r="M156" s="21">
        <f t="shared" si="18"/>
        <v>3.3775875160230218</v>
      </c>
      <c r="N156" s="21">
        <f t="shared" si="19"/>
        <v>3.1272423094198611</v>
      </c>
    </row>
    <row r="157" spans="1:14" x14ac:dyDescent="0.2">
      <c r="A157" s="33">
        <f>'GF + UG Iteration 9'!A157</f>
        <v>1386</v>
      </c>
      <c r="B157" s="34" t="str">
        <f>'GF + UG Iteration 9'!B157</f>
        <v>UG</v>
      </c>
      <c r="C157" s="35">
        <f>'GF + UG Iteration 9'!C157</f>
        <v>32.700000000000003</v>
      </c>
      <c r="D157" s="36">
        <f>'GF + UG Iteration 9'!P$16*(C157^'GF + UG Iteration 9'!P$15)</f>
        <v>18.814400453508245</v>
      </c>
      <c r="E157" s="37">
        <f>'GF + UG Iteration 9'!E157</f>
        <v>0</v>
      </c>
      <c r="F157" s="35">
        <f>'GF + UG Iteration 9'!F157</f>
        <v>13.5</v>
      </c>
      <c r="G157" s="36">
        <f>'GF + UG Iteration 9'!G157</f>
        <v>0.85934464632152285</v>
      </c>
      <c r="H157" s="38">
        <f>'GF + UG Iteration 9'!H157</f>
        <v>2013</v>
      </c>
      <c r="I157" s="35">
        <f t="shared" si="10"/>
        <v>46.2</v>
      </c>
      <c r="J157" s="36">
        <f t="shared" si="11"/>
        <v>19.67374509982977</v>
      </c>
      <c r="K157" s="38">
        <f t="shared" si="12"/>
        <v>2013</v>
      </c>
      <c r="M157" s="21">
        <f t="shared" si="18"/>
        <v>3.8329797980876932</v>
      </c>
      <c r="N157" s="21">
        <f t="shared" si="19"/>
        <v>2.9792850108121525</v>
      </c>
    </row>
    <row r="158" spans="1:14" x14ac:dyDescent="0.2">
      <c r="A158" s="33">
        <f>'GF + UG Iteration 9'!A158</f>
        <v>928</v>
      </c>
      <c r="B158" s="34" t="str">
        <f>'GF + UG Iteration 9'!B158</f>
        <v>UG</v>
      </c>
      <c r="C158" s="35">
        <f>'GF + UG Iteration 9'!C158</f>
        <v>18.02</v>
      </c>
      <c r="D158" s="36">
        <f>'GF + UG Iteration 9'!P$16*(C158^'GF + UG Iteration 9'!P$15)</f>
        <v>13.375861591016006</v>
      </c>
      <c r="E158" s="37">
        <f>'GF + UG Iteration 9'!E158</f>
        <v>1992</v>
      </c>
      <c r="F158" s="35">
        <f>'GF + UG Iteration 9'!F158</f>
        <v>3.4800000000000004</v>
      </c>
      <c r="G158" s="36">
        <f>'GF + UG Iteration 9'!G158</f>
        <v>10.364367944955573</v>
      </c>
      <c r="H158" s="38">
        <f>'GF + UG Iteration 9'!H158</f>
        <v>2010</v>
      </c>
      <c r="I158" s="35">
        <f t="shared" si="10"/>
        <v>21.5</v>
      </c>
      <c r="J158" s="36">
        <f t="shared" si="11"/>
        <v>23.740229535971579</v>
      </c>
      <c r="K158" s="38">
        <f t="shared" si="12"/>
        <v>2010</v>
      </c>
      <c r="M158" s="21">
        <f t="shared" si="18"/>
        <v>3.068052935133617</v>
      </c>
      <c r="N158" s="21">
        <f t="shared" si="19"/>
        <v>3.1671710578783174</v>
      </c>
    </row>
    <row r="159" spans="1:14" x14ac:dyDescent="0.2">
      <c r="A159" s="33">
        <f>'GF + UG Iteration 9'!A159</f>
        <v>1450</v>
      </c>
      <c r="B159" s="34" t="str">
        <f>'GF + UG Iteration 9'!B159</f>
        <v>UG</v>
      </c>
      <c r="C159" s="35">
        <f>'GF + UG Iteration 9'!C159</f>
        <v>21.5</v>
      </c>
      <c r="D159" s="36">
        <f>'GF + UG Iteration 9'!P$16*(C159^'GF + UG Iteration 9'!P$15)</f>
        <v>14.798783846487428</v>
      </c>
      <c r="E159" s="37">
        <f>'GF + UG Iteration 9'!E159</f>
        <v>1992</v>
      </c>
      <c r="F159" s="35">
        <f>'GF + UG Iteration 9'!F159</f>
        <v>16.299999999999997</v>
      </c>
      <c r="G159" s="36">
        <f>'GF + UG Iteration 9'!G159</f>
        <v>5.1529943993409928</v>
      </c>
      <c r="H159" s="38">
        <f>'GF + UG Iteration 9'!H159</f>
        <v>2014</v>
      </c>
      <c r="I159" s="35">
        <f t="shared" si="10"/>
        <v>37.799999999999997</v>
      </c>
      <c r="J159" s="36">
        <f t="shared" si="11"/>
        <v>19.951778245828422</v>
      </c>
      <c r="K159" s="38">
        <f t="shared" si="12"/>
        <v>2014</v>
      </c>
      <c r="M159" s="21">
        <f t="shared" si="18"/>
        <v>3.6323091026255421</v>
      </c>
      <c r="N159" s="21">
        <f t="shared" si="19"/>
        <v>2.9933182744928173</v>
      </c>
    </row>
    <row r="160" spans="1:14" x14ac:dyDescent="0.2">
      <c r="A160" s="33">
        <f>'GF + UG Iteration 9'!A160</f>
        <v>170</v>
      </c>
      <c r="B160" s="34" t="str">
        <f>'GF + UG Iteration 9'!B160</f>
        <v>UG</v>
      </c>
      <c r="C160" s="35">
        <f>'GF + UG Iteration 9'!C160</f>
        <v>17.7</v>
      </c>
      <c r="D160" s="36">
        <f>'GF + UG Iteration 9'!P$16*(C160^'GF + UG Iteration 9'!P$15)</f>
        <v>13.239346718517607</v>
      </c>
      <c r="E160" s="37" t="str">
        <f>'GF + UG Iteration 9'!E160</f>
        <v>unknown</v>
      </c>
      <c r="F160" s="35">
        <f>'GF + UG Iteration 9'!F160</f>
        <v>8.8000000000000007</v>
      </c>
      <c r="G160" s="36">
        <f>'GF + UG Iteration 9'!G160</f>
        <v>1.1342290648673055</v>
      </c>
      <c r="H160" s="38">
        <f>'GF + UG Iteration 9'!H160</f>
        <v>2001</v>
      </c>
      <c r="I160" s="35">
        <f t="shared" si="10"/>
        <v>26.5</v>
      </c>
      <c r="J160" s="36">
        <f t="shared" si="11"/>
        <v>14.373575783384913</v>
      </c>
      <c r="K160" s="38">
        <f t="shared" si="12"/>
        <v>2001</v>
      </c>
      <c r="M160" s="21">
        <f t="shared" si="18"/>
        <v>3.2771447329921766</v>
      </c>
      <c r="N160" s="21">
        <f t="shared" si="19"/>
        <v>2.6653915058366282</v>
      </c>
    </row>
    <row r="161" spans="1:14" x14ac:dyDescent="0.2">
      <c r="A161" s="33">
        <f>'GF + UG Iteration 9'!A161</f>
        <v>649</v>
      </c>
      <c r="B161" s="34" t="str">
        <f>'GF + UG Iteration 9'!B161</f>
        <v>UG</v>
      </c>
      <c r="C161" s="35">
        <f>'GF + UG Iteration 9'!C161</f>
        <v>26.5</v>
      </c>
      <c r="D161" s="36">
        <f>'GF + UG Iteration 9'!P$16*(C161^'GF + UG Iteration 9'!P$15)</f>
        <v>16.680791556273441</v>
      </c>
      <c r="E161" s="37">
        <f>'GF + UG Iteration 9'!E161</f>
        <v>1997</v>
      </c>
      <c r="F161" s="35">
        <f>'GF + UG Iteration 9'!F161</f>
        <v>33.799999999999997</v>
      </c>
      <c r="G161" s="36">
        <f>'GF + UG Iteration 9'!G161</f>
        <v>5.0180795362586865</v>
      </c>
      <c r="H161" s="38">
        <f>'GF + UG Iteration 9'!H161</f>
        <v>2007</v>
      </c>
      <c r="I161" s="35">
        <f t="shared" si="10"/>
        <v>60.3</v>
      </c>
      <c r="J161" s="36">
        <f t="shared" si="11"/>
        <v>21.698871092532126</v>
      </c>
      <c r="K161" s="38">
        <f t="shared" si="12"/>
        <v>2007</v>
      </c>
      <c r="M161" s="21">
        <f t="shared" si="18"/>
        <v>4.0993321037331398</v>
      </c>
      <c r="N161" s="21">
        <f t="shared" si="19"/>
        <v>3.0772602358075343</v>
      </c>
    </row>
    <row r="162" spans="1:14" x14ac:dyDescent="0.2">
      <c r="A162" s="33">
        <f>'GF + UG Iteration 9'!A162</f>
        <v>1203</v>
      </c>
      <c r="B162" s="34" t="str">
        <f>'GF + UG Iteration 9'!B162</f>
        <v>UG</v>
      </c>
      <c r="C162" s="35">
        <f>'GF + UG Iteration 9'!C162</f>
        <v>20.5</v>
      </c>
      <c r="D162" s="36">
        <f>'GF + UG Iteration 9'!P$16*(C162^'GF + UG Iteration 9'!P$15)</f>
        <v>14.400690717004236</v>
      </c>
      <c r="E162" s="37">
        <f>'GF + UG Iteration 9'!E162</f>
        <v>1977</v>
      </c>
      <c r="F162" s="35">
        <f>'GF + UG Iteration 9'!F162</f>
        <v>4.1000000000000014</v>
      </c>
      <c r="G162" s="36">
        <f>'GF + UG Iteration 9'!G162</f>
        <v>12.443615523285567</v>
      </c>
      <c r="H162" s="38">
        <f>'GF + UG Iteration 9'!H162</f>
        <v>2012</v>
      </c>
      <c r="I162" s="35">
        <f t="shared" si="10"/>
        <v>24.6</v>
      </c>
      <c r="J162" s="36">
        <f t="shared" si="11"/>
        <v>26.844306240289804</v>
      </c>
      <c r="K162" s="38">
        <f t="shared" si="12"/>
        <v>2012</v>
      </c>
      <c r="M162" s="21">
        <f t="shared" si="18"/>
        <v>3.202746442938317</v>
      </c>
      <c r="N162" s="21">
        <f t="shared" si="19"/>
        <v>3.2900537403776124</v>
      </c>
    </row>
    <row r="163" spans="1:14" x14ac:dyDescent="0.2">
      <c r="A163" s="33">
        <f>'GF + UG Iteration 9'!A163</f>
        <v>170</v>
      </c>
      <c r="B163" s="34" t="str">
        <f>'GF + UG Iteration 9'!B163</f>
        <v>UG</v>
      </c>
      <c r="C163" s="35">
        <f>'GF + UG Iteration 9'!C163</f>
        <v>7.9</v>
      </c>
      <c r="D163" s="36">
        <f>'GF + UG Iteration 9'!P$16*(C163^'GF + UG Iteration 9'!P$15)</f>
        <v>8.3421945613734803</v>
      </c>
      <c r="E163" s="37">
        <f>'GF + UG Iteration 9'!E163</f>
        <v>1972</v>
      </c>
      <c r="F163" s="35">
        <f>'GF + UG Iteration 9'!F163</f>
        <v>6.1</v>
      </c>
      <c r="G163" s="36">
        <f>'GF + UG Iteration 9'!G163</f>
        <v>2.9004939377112939</v>
      </c>
      <c r="H163" s="38">
        <f>'GF + UG Iteration 9'!H163</f>
        <v>2001</v>
      </c>
      <c r="I163" s="35">
        <f t="shared" si="10"/>
        <v>14</v>
      </c>
      <c r="J163" s="36">
        <f t="shared" si="11"/>
        <v>11.242688499084775</v>
      </c>
      <c r="K163" s="38">
        <f t="shared" si="12"/>
        <v>2001</v>
      </c>
      <c r="M163" s="21">
        <f t="shared" si="18"/>
        <v>2.6390573296152584</v>
      </c>
      <c r="N163" s="21">
        <f t="shared" si="19"/>
        <v>2.4197180061741368</v>
      </c>
    </row>
    <row r="164" spans="1:14" x14ac:dyDescent="0.2">
      <c r="A164" s="33">
        <f>'GF + UG Iteration 9'!A164</f>
        <v>363</v>
      </c>
      <c r="B164" s="34" t="str">
        <f>'GF + UG Iteration 9'!B164</f>
        <v>UG</v>
      </c>
      <c r="C164" s="35">
        <f>'GF + UG Iteration 9'!C164</f>
        <v>21.225999999999999</v>
      </c>
      <c r="D164" s="36">
        <f>'GF + UG Iteration 9'!P$16*(C164^'GF + UG Iteration 9'!P$15)</f>
        <v>14.690508286979622</v>
      </c>
      <c r="E164" s="37">
        <f>'GF + UG Iteration 9'!E164</f>
        <v>1975</v>
      </c>
      <c r="F164" s="35">
        <f>'GF + UG Iteration 9'!F164</f>
        <v>4.1999999999999993</v>
      </c>
      <c r="G164" s="36">
        <f>'GF + UG Iteration 9'!G164</f>
        <v>0.82194253395528394</v>
      </c>
      <c r="H164" s="38">
        <f>'GF + UG Iteration 9'!H164</f>
        <v>2004</v>
      </c>
      <c r="I164" s="35">
        <f t="shared" si="10"/>
        <v>25.425999999999998</v>
      </c>
      <c r="J164" s="36">
        <f t="shared" si="11"/>
        <v>15.512450820934905</v>
      </c>
      <c r="K164" s="38">
        <f t="shared" si="12"/>
        <v>2004</v>
      </c>
      <c r="M164" s="21">
        <f t="shared" si="18"/>
        <v>3.2357722725279308</v>
      </c>
      <c r="N164" s="21">
        <f t="shared" si="19"/>
        <v>2.7416429802394733</v>
      </c>
    </row>
    <row r="165" spans="1:14" x14ac:dyDescent="0.2">
      <c r="A165" s="33">
        <f>'GF + UG Iteration 9'!A165</f>
        <v>493</v>
      </c>
      <c r="B165" s="34" t="str">
        <f>'GF + UG Iteration 9'!B165</f>
        <v>UG</v>
      </c>
      <c r="C165" s="35">
        <f>'GF + UG Iteration 9'!C165</f>
        <v>25.4</v>
      </c>
      <c r="D165" s="36">
        <f>'GF + UG Iteration 9'!P$16*(C165^'GF + UG Iteration 9'!P$15)</f>
        <v>16.280772556531659</v>
      </c>
      <c r="E165" s="37">
        <f>'GF + UG Iteration 9'!E165</f>
        <v>1975</v>
      </c>
      <c r="F165" s="35">
        <f>'GF + UG Iteration 9'!F165</f>
        <v>3.3000000000000007</v>
      </c>
      <c r="G165" s="36">
        <f>'GF + UG Iteration 9'!G165</f>
        <v>3.4002692913337142</v>
      </c>
      <c r="H165" s="38">
        <f>'GF + UG Iteration 9'!H165</f>
        <v>2006</v>
      </c>
      <c r="I165" s="35">
        <f t="shared" si="10"/>
        <v>28.7</v>
      </c>
      <c r="J165" s="36">
        <f t="shared" si="11"/>
        <v>19.681041847865373</v>
      </c>
      <c r="K165" s="38">
        <f t="shared" si="12"/>
        <v>2006</v>
      </c>
      <c r="M165" s="21">
        <f t="shared" si="18"/>
        <v>3.3568971227655755</v>
      </c>
      <c r="N165" s="21">
        <f t="shared" si="19"/>
        <v>2.9796558296469189</v>
      </c>
    </row>
    <row r="166" spans="1:14" x14ac:dyDescent="0.2">
      <c r="A166" s="33">
        <f>'GF + UG Iteration 9'!A166</f>
        <v>685</v>
      </c>
      <c r="B166" s="34" t="str">
        <f>'GF + UG Iteration 9'!B166</f>
        <v>UG</v>
      </c>
      <c r="C166" s="35">
        <f>'GF + UG Iteration 9'!C166</f>
        <v>28.7</v>
      </c>
      <c r="D166" s="36">
        <f>'GF + UG Iteration 9'!P$16*(C166^'GF + UG Iteration 9'!P$15)</f>
        <v>17.460113770241591</v>
      </c>
      <c r="E166" s="37">
        <f>'GF + UG Iteration 9'!E166</f>
        <v>1975</v>
      </c>
      <c r="F166" s="35">
        <f>'GF + UG Iteration 9'!F166</f>
        <v>4.1999999999999993</v>
      </c>
      <c r="G166" s="36">
        <f>'GF + UG Iteration 9'!G166</f>
        <v>0.94606982488538283</v>
      </c>
      <c r="H166" s="38">
        <f>'GF + UG Iteration 9'!H166</f>
        <v>2007</v>
      </c>
      <c r="I166" s="35">
        <f t="shared" si="10"/>
        <v>32.9</v>
      </c>
      <c r="J166" s="36">
        <f t="shared" si="11"/>
        <v>18.406183595126976</v>
      </c>
      <c r="K166" s="38">
        <f t="shared" si="12"/>
        <v>2007</v>
      </c>
      <c r="M166" s="21">
        <f t="shared" si="18"/>
        <v>3.493472657771326</v>
      </c>
      <c r="N166" s="21">
        <f t="shared" si="19"/>
        <v>2.9126866731103154</v>
      </c>
    </row>
    <row r="167" spans="1:14" x14ac:dyDescent="0.2">
      <c r="A167" s="33">
        <f>'GF + UG Iteration 9'!A167</f>
        <v>1574</v>
      </c>
      <c r="B167" s="34" t="str">
        <f>'GF + UG Iteration 9'!B167</f>
        <v>UG</v>
      </c>
      <c r="C167" s="35">
        <f>'GF + UG Iteration 9'!C167</f>
        <v>28</v>
      </c>
      <c r="D167" s="36">
        <f>'GF + UG Iteration 9'!P$16*(C167^'GF + UG Iteration 9'!P$15)</f>
        <v>17.215009102248349</v>
      </c>
      <c r="E167" s="37">
        <f>'GF + UG Iteration 9'!E167</f>
        <v>2013</v>
      </c>
      <c r="F167" s="35">
        <f>'GF + UG Iteration 9'!F167</f>
        <v>0</v>
      </c>
      <c r="G167" s="36">
        <f>'GF + UG Iteration 9'!G167</f>
        <v>6.2662260340537754</v>
      </c>
      <c r="H167" s="38">
        <f>'GF + UG Iteration 9'!H167</f>
        <v>2015</v>
      </c>
      <c r="I167" s="35">
        <f t="shared" si="10"/>
        <v>28</v>
      </c>
      <c r="J167" s="36">
        <f t="shared" si="11"/>
        <v>23.481235136302125</v>
      </c>
      <c r="K167" s="38">
        <f t="shared" si="12"/>
        <v>2015</v>
      </c>
      <c r="M167" s="21">
        <f t="shared" si="18"/>
        <v>3.3322045101752038</v>
      </c>
      <c r="N167" s="21">
        <f t="shared" si="19"/>
        <v>3.156201597337104</v>
      </c>
    </row>
    <row r="168" spans="1:14" x14ac:dyDescent="0.2">
      <c r="A168" s="33">
        <f>'GF + UG Iteration 9'!A168</f>
        <v>435</v>
      </c>
      <c r="B168" s="34" t="str">
        <f>'GF + UG Iteration 9'!B168</f>
        <v>UG</v>
      </c>
      <c r="C168" s="35">
        <f>'GF + UG Iteration 9'!C168</f>
        <v>10.6</v>
      </c>
      <c r="D168" s="36">
        <f>'GF + UG Iteration 9'!P$16*(C168^'GF + UG Iteration 9'!P$15)</f>
        <v>9.8714550141502748</v>
      </c>
      <c r="E168" s="37">
        <f>'GF + UG Iteration 9'!E168</f>
        <v>1990</v>
      </c>
      <c r="F168" s="35">
        <f>'GF + UG Iteration 9'!F168</f>
        <v>8.4</v>
      </c>
      <c r="G168" s="36">
        <f>'GF + UG Iteration 9'!G168</f>
        <v>3.0773639102073269</v>
      </c>
      <c r="H168" s="38">
        <f>'GF + UG Iteration 9'!H168</f>
        <v>2004</v>
      </c>
      <c r="I168" s="35">
        <f t="shared" si="10"/>
        <v>19</v>
      </c>
      <c r="J168" s="36">
        <f t="shared" si="11"/>
        <v>12.948818924357601</v>
      </c>
      <c r="K168" s="38">
        <f t="shared" si="12"/>
        <v>2004</v>
      </c>
      <c r="M168" s="21">
        <f t="shared" si="18"/>
        <v>2.9444389791664403</v>
      </c>
      <c r="N168" s="21">
        <f t="shared" si="19"/>
        <v>2.5610045812340139</v>
      </c>
    </row>
    <row r="169" spans="1:14" x14ac:dyDescent="0.2">
      <c r="A169" s="33">
        <f>'GF + UG Iteration 9'!A169</f>
        <v>652</v>
      </c>
      <c r="B169" s="34" t="str">
        <f>'GF + UG Iteration 9'!B169</f>
        <v>UG</v>
      </c>
      <c r="C169" s="35">
        <f>'GF + UG Iteration 9'!C169</f>
        <v>10.195</v>
      </c>
      <c r="D169" s="36">
        <f>'GF + UG Iteration 9'!P$16*(C169^'GF + UG Iteration 9'!P$15)</f>
        <v>9.6537182963828005</v>
      </c>
      <c r="E169" s="37">
        <f>'GF + UG Iteration 9'!E169</f>
        <v>1986</v>
      </c>
      <c r="F169" s="35">
        <f>'GF + UG Iteration 9'!F169</f>
        <v>3.4049999999999994</v>
      </c>
      <c r="G169" s="36">
        <f>'GF + UG Iteration 9'!G169</f>
        <v>4.380227937072533</v>
      </c>
      <c r="H169" s="38">
        <f>'GF + UG Iteration 9'!H169</f>
        <v>2007</v>
      </c>
      <c r="I169" s="35">
        <f t="shared" si="10"/>
        <v>13.6</v>
      </c>
      <c r="J169" s="36">
        <f t="shared" si="11"/>
        <v>14.033946233455334</v>
      </c>
      <c r="K169" s="38">
        <f t="shared" si="12"/>
        <v>2007</v>
      </c>
      <c r="M169" s="21">
        <f t="shared" si="18"/>
        <v>2.6100697927420065</v>
      </c>
      <c r="N169" s="21">
        <f t="shared" si="19"/>
        <v>2.6414791256595356</v>
      </c>
    </row>
    <row r="170" spans="1:14" x14ac:dyDescent="0.2">
      <c r="A170" s="33">
        <f>'GF + UG Iteration 9'!A170</f>
        <v>366</v>
      </c>
      <c r="B170" s="34" t="str">
        <f>'GF + UG Iteration 9'!B170</f>
        <v>UG</v>
      </c>
      <c r="C170" s="35">
        <f>'GF + UG Iteration 9'!C170</f>
        <v>11.1</v>
      </c>
      <c r="D170" s="36">
        <f>'GF + UG Iteration 9'!P$16*(C170^'GF + UG Iteration 9'!P$15)</f>
        <v>10.135419162288366</v>
      </c>
      <c r="E170" s="37">
        <f>'GF + UG Iteration 9'!E170</f>
        <v>1981</v>
      </c>
      <c r="F170" s="35">
        <f>'GF + UG Iteration 9'!F170</f>
        <v>4.8000000000000007</v>
      </c>
      <c r="G170" s="36">
        <f>'GF + UG Iteration 9'!G170</f>
        <v>0.60207988766843201</v>
      </c>
      <c r="H170" s="38">
        <f>'GF + UG Iteration 9'!H170</f>
        <v>2003</v>
      </c>
      <c r="I170" s="35">
        <f t="shared" si="10"/>
        <v>15.9</v>
      </c>
      <c r="J170" s="36">
        <f t="shared" si="11"/>
        <v>10.737499049956799</v>
      </c>
      <c r="K170" s="38">
        <f t="shared" si="12"/>
        <v>2003</v>
      </c>
      <c r="M170" s="21">
        <f t="shared" si="18"/>
        <v>2.7663191092261861</v>
      </c>
      <c r="N170" s="21">
        <f t="shared" si="19"/>
        <v>2.3737421988313754</v>
      </c>
    </row>
    <row r="171" spans="1:14" x14ac:dyDescent="0.2">
      <c r="A171" s="33">
        <f>'GF + UG Iteration 9'!A171</f>
        <v>1640</v>
      </c>
      <c r="B171" s="34" t="str">
        <f>'GF + UG Iteration 9'!B171</f>
        <v>UG</v>
      </c>
      <c r="C171" s="35">
        <f>'GF + UG Iteration 9'!C171</f>
        <v>15.9</v>
      </c>
      <c r="D171" s="36">
        <f>'GF + UG Iteration 9'!P$16*(C171^'GF + UG Iteration 9'!P$15)</f>
        <v>12.450878031161478</v>
      </c>
      <c r="E171" s="37">
        <f>'GF + UG Iteration 9'!E171</f>
        <v>1981</v>
      </c>
      <c r="F171" s="35">
        <f>'GF + UG Iteration 9'!F171</f>
        <v>2.4999999999999982</v>
      </c>
      <c r="G171" s="36">
        <f>'GF + UG Iteration 9'!G171</f>
        <v>8.3244002844443177</v>
      </c>
      <c r="H171" s="38">
        <f>'GF + UG Iteration 9'!H171</f>
        <v>2015</v>
      </c>
      <c r="I171" s="35">
        <f t="shared" si="10"/>
        <v>18.399999999999999</v>
      </c>
      <c r="J171" s="36">
        <f t="shared" si="11"/>
        <v>20.775278315605796</v>
      </c>
      <c r="K171" s="38">
        <f t="shared" si="12"/>
        <v>2015</v>
      </c>
      <c r="M171" s="21">
        <f t="shared" si="18"/>
        <v>2.91235066461494</v>
      </c>
      <c r="N171" s="21">
        <f t="shared" si="19"/>
        <v>3.033763737311503</v>
      </c>
    </row>
    <row r="172" spans="1:14" x14ac:dyDescent="0.2">
      <c r="A172" s="33">
        <f>'GF + UG Iteration 9'!A172</f>
        <v>367</v>
      </c>
      <c r="B172" s="34" t="str">
        <f>'GF + UG Iteration 9'!B172</f>
        <v>UG</v>
      </c>
      <c r="C172" s="35">
        <f>'GF + UG Iteration 9'!C172</f>
        <v>11.211</v>
      </c>
      <c r="D172" s="36">
        <f>'GF + UG Iteration 9'!P$16*(C172^'GF + UG Iteration 9'!P$15)</f>
        <v>10.193324774391469</v>
      </c>
      <c r="E172" s="37">
        <f>'GF + UG Iteration 9'!E172</f>
        <v>1988</v>
      </c>
      <c r="F172" s="35">
        <f>'GF + UG Iteration 9'!F172</f>
        <v>1</v>
      </c>
      <c r="G172" s="36">
        <f>'GF + UG Iteration 9'!G172</f>
        <v>0.55588557988620213</v>
      </c>
      <c r="H172" s="38">
        <f>'GF + UG Iteration 9'!H172</f>
        <v>2004</v>
      </c>
      <c r="I172" s="35">
        <f t="shared" si="10"/>
        <v>12.211</v>
      </c>
      <c r="J172" s="36">
        <f t="shared" si="11"/>
        <v>10.749210354277672</v>
      </c>
      <c r="K172" s="38">
        <f t="shared" si="12"/>
        <v>2004</v>
      </c>
      <c r="M172" s="21">
        <f t="shared" si="18"/>
        <v>2.5023371848508846</v>
      </c>
      <c r="N172" s="21">
        <f t="shared" si="19"/>
        <v>2.37483229645966</v>
      </c>
    </row>
    <row r="173" spans="1:14" x14ac:dyDescent="0.2">
      <c r="A173" s="33">
        <f>'GF + UG Iteration 9'!A173</f>
        <v>650</v>
      </c>
      <c r="B173" s="34" t="str">
        <f>'GF + UG Iteration 9'!B173</f>
        <v>UG</v>
      </c>
      <c r="C173" s="35">
        <f>'GF + UG Iteration 9'!C173</f>
        <v>23</v>
      </c>
      <c r="D173" s="36">
        <f>'GF + UG Iteration 9'!P$16*(C173^'GF + UG Iteration 9'!P$15)</f>
        <v>15.381379452931855</v>
      </c>
      <c r="E173" s="37">
        <f>'GF + UG Iteration 9'!E173</f>
        <v>1981</v>
      </c>
      <c r="F173" s="35">
        <f>'GF + UG Iteration 9'!F173</f>
        <v>0</v>
      </c>
      <c r="G173" s="36">
        <f>'GF + UG Iteration 9'!G173</f>
        <v>5.9476879309059552</v>
      </c>
      <c r="H173" s="38">
        <f>'GF + UG Iteration 9'!H173</f>
        <v>2007</v>
      </c>
      <c r="I173" s="35">
        <f t="shared" si="10"/>
        <v>23</v>
      </c>
      <c r="J173" s="36">
        <f t="shared" si="11"/>
        <v>21.32906738383781</v>
      </c>
      <c r="K173" s="38">
        <f t="shared" si="12"/>
        <v>2007</v>
      </c>
      <c r="M173" s="21">
        <f t="shared" si="18"/>
        <v>3.1354942159291497</v>
      </c>
      <c r="N173" s="21">
        <f t="shared" si="19"/>
        <v>3.0600708083130166</v>
      </c>
    </row>
    <row r="174" spans="1:14" x14ac:dyDescent="0.2">
      <c r="A174" s="33">
        <f>'GF + UG Iteration 9'!A174</f>
        <v>902</v>
      </c>
      <c r="B174" s="34" t="str">
        <f>'GF + UG Iteration 9'!B174</f>
        <v>UG</v>
      </c>
      <c r="C174" s="35">
        <f>'GF + UG Iteration 9'!C174</f>
        <v>19.2</v>
      </c>
      <c r="D174" s="36">
        <f>'GF + UG Iteration 9'!P$16*(C174^'GF + UG Iteration 9'!P$15)</f>
        <v>13.870532389415061</v>
      </c>
      <c r="E174" s="37">
        <f>'GF + UG Iteration 9'!E174</f>
        <v>2002</v>
      </c>
      <c r="F174" s="35">
        <f>'GF + UG Iteration 9'!F174</f>
        <v>13.500000000000004</v>
      </c>
      <c r="G174" s="36">
        <f>'GF + UG Iteration 9'!G174</f>
        <v>0.54699963688402187</v>
      </c>
      <c r="H174" s="38">
        <f>'GF + UG Iteration 9'!H174</f>
        <v>2009</v>
      </c>
      <c r="I174" s="35">
        <f t="shared" si="10"/>
        <v>32.700000000000003</v>
      </c>
      <c r="J174" s="36">
        <f t="shared" si="11"/>
        <v>14.417532026299083</v>
      </c>
      <c r="K174" s="38">
        <f t="shared" si="12"/>
        <v>2009</v>
      </c>
      <c r="M174" s="21">
        <f t="shared" si="18"/>
        <v>3.487375077903208</v>
      </c>
      <c r="N174" s="21">
        <f t="shared" si="19"/>
        <v>2.6684449678539548</v>
      </c>
    </row>
    <row r="175" spans="1:14" x14ac:dyDescent="0.2">
      <c r="A175" s="33">
        <f>'GF + UG Iteration 9'!A175</f>
        <v>1202</v>
      </c>
      <c r="B175" s="34" t="str">
        <f>'GF + UG Iteration 9'!B175</f>
        <v>UG</v>
      </c>
      <c r="C175" s="35">
        <f>'GF + UG Iteration 9'!C175</f>
        <v>19.399999999999999</v>
      </c>
      <c r="D175" s="36">
        <f>'GF + UG Iteration 9'!P$16*(C175^'GF + UG Iteration 9'!P$15)</f>
        <v>13.953072007172544</v>
      </c>
      <c r="E175" s="37">
        <f>'GF + UG Iteration 9'!E175</f>
        <v>1989</v>
      </c>
      <c r="F175" s="35">
        <f>'GF + UG Iteration 9'!F175</f>
        <v>1.6000000000000014</v>
      </c>
      <c r="G175" s="36">
        <f>'GF + UG Iteration 9'!G175</f>
        <v>10.745042225505973</v>
      </c>
      <c r="H175" s="38">
        <f>'GF + UG Iteration 9'!H175</f>
        <v>2012</v>
      </c>
      <c r="I175" s="35">
        <f t="shared" si="10"/>
        <v>21</v>
      </c>
      <c r="J175" s="36">
        <f t="shared" si="11"/>
        <v>24.698114232678517</v>
      </c>
      <c r="K175" s="38">
        <f t="shared" si="12"/>
        <v>2012</v>
      </c>
      <c r="M175" s="21">
        <f t="shared" si="18"/>
        <v>3.044522437723423</v>
      </c>
      <c r="N175" s="21">
        <f t="shared" si="19"/>
        <v>3.206726893864241</v>
      </c>
    </row>
    <row r="176" spans="1:14" x14ac:dyDescent="0.2">
      <c r="A176" s="33">
        <f>'GF + UG Iteration 9'!A176</f>
        <v>1338</v>
      </c>
      <c r="B176" s="34" t="str">
        <f>'GF + UG Iteration 9'!B176</f>
        <v>UG</v>
      </c>
      <c r="C176" s="35">
        <f>'GF + UG Iteration 9'!C176</f>
        <v>7.5</v>
      </c>
      <c r="D176" s="36">
        <f>'GF + UG Iteration 9'!P$16*(C176^'GF + UG Iteration 9'!P$15)</f>
        <v>8.0976786300807699</v>
      </c>
      <c r="E176" s="37" t="str">
        <f>'GF + UG Iteration 9'!E176</f>
        <v>unknown</v>
      </c>
      <c r="F176" s="35">
        <f>'GF + UG Iteration 9'!F176</f>
        <v>2</v>
      </c>
      <c r="G176" s="36">
        <f>'GF + UG Iteration 9'!G176</f>
        <v>6.6635813355623759</v>
      </c>
      <c r="H176" s="38">
        <f>'GF + UG Iteration 9'!H176</f>
        <v>2013</v>
      </c>
      <c r="I176" s="35">
        <f t="shared" si="10"/>
        <v>9.5</v>
      </c>
      <c r="J176" s="36">
        <f t="shared" si="11"/>
        <v>14.761259965643145</v>
      </c>
      <c r="K176" s="38">
        <f t="shared" si="12"/>
        <v>2013</v>
      </c>
      <c r="M176" s="21">
        <f t="shared" si="18"/>
        <v>2.2512917986064953</v>
      </c>
      <c r="N176" s="21">
        <f t="shared" si="19"/>
        <v>2.6920061790550265</v>
      </c>
    </row>
    <row r="177" spans="1:14" x14ac:dyDescent="0.2">
      <c r="A177" s="33">
        <f>'GF + UG Iteration 9'!A177</f>
        <v>212</v>
      </c>
      <c r="B177" s="34" t="str">
        <f>'GF + UG Iteration 9'!B177</f>
        <v>UG</v>
      </c>
      <c r="C177" s="35">
        <f>'GF + UG Iteration 9'!C177</f>
        <v>36.549999999999997</v>
      </c>
      <c r="D177" s="36">
        <f>'GF + UG Iteration 9'!P$16*(C177^'GF + UG Iteration 9'!P$15)</f>
        <v>20.052412148182022</v>
      </c>
      <c r="E177" s="37">
        <f>'GF + UG Iteration 9'!E177</f>
        <v>1978</v>
      </c>
      <c r="F177" s="35">
        <f>'GF + UG Iteration 9'!F177</f>
        <v>28</v>
      </c>
      <c r="G177" s="36">
        <f>'GF + UG Iteration 9'!G177</f>
        <v>4.6264535731184777</v>
      </c>
      <c r="H177" s="38">
        <f>'GF + UG Iteration 9'!H177</f>
        <v>2003</v>
      </c>
      <c r="I177" s="35">
        <f t="shared" si="10"/>
        <v>64.55</v>
      </c>
      <c r="J177" s="36">
        <f t="shared" si="11"/>
        <v>24.6788657213005</v>
      </c>
      <c r="K177" s="38">
        <f t="shared" si="12"/>
        <v>2003</v>
      </c>
      <c r="M177" s="21">
        <f t="shared" si="18"/>
        <v>4.1674401172926512</v>
      </c>
      <c r="N177" s="21">
        <f t="shared" si="19"/>
        <v>3.2059472385523531</v>
      </c>
    </row>
    <row r="178" spans="1:14" x14ac:dyDescent="0.2">
      <c r="A178" s="33">
        <f>'GF + UG Iteration 9'!A178</f>
        <v>653</v>
      </c>
      <c r="B178" s="34" t="str">
        <f>'GF + UG Iteration 9'!B178</f>
        <v>UG</v>
      </c>
      <c r="C178" s="35">
        <f>'GF + UG Iteration 9'!C178</f>
        <v>64.55</v>
      </c>
      <c r="D178" s="36">
        <f>'GF + UG Iteration 9'!P$16*(C178^'GF + UG Iteration 9'!P$15)</f>
        <v>27.770800771995251</v>
      </c>
      <c r="E178" s="37">
        <f>'GF + UG Iteration 9'!E178</f>
        <v>1977</v>
      </c>
      <c r="F178" s="35">
        <f>'GF + UG Iteration 9'!F178</f>
        <v>1.3200000000000074</v>
      </c>
      <c r="G178" s="36">
        <f>'GF + UG Iteration 9'!G178</f>
        <v>0.56894692945086811</v>
      </c>
      <c r="H178" s="38">
        <f>'GF + UG Iteration 9'!H178</f>
        <v>2007</v>
      </c>
      <c r="I178" s="35">
        <f t="shared" si="10"/>
        <v>65.87</v>
      </c>
      <c r="J178" s="36">
        <f t="shared" si="11"/>
        <v>28.339747701446118</v>
      </c>
      <c r="K178" s="38">
        <f t="shared" si="12"/>
        <v>2007</v>
      </c>
      <c r="M178" s="21">
        <f t="shared" si="18"/>
        <v>4.1876831026526018</v>
      </c>
      <c r="N178" s="21">
        <f t="shared" si="19"/>
        <v>3.3442653316627835</v>
      </c>
    </row>
    <row r="179" spans="1:14" x14ac:dyDescent="0.2">
      <c r="A179" s="33">
        <f>'GF + UG Iteration 9'!A179</f>
        <v>1679</v>
      </c>
      <c r="B179" s="34" t="str">
        <f>'GF + UG Iteration 9'!B179</f>
        <v>UG</v>
      </c>
      <c r="C179" s="35">
        <f>'GF + UG Iteration 9'!C179</f>
        <v>65.87</v>
      </c>
      <c r="D179" s="36">
        <f>'GF + UG Iteration 9'!P$16*(C179^'GF + UG Iteration 9'!P$15)</f>
        <v>28.094532944313748</v>
      </c>
      <c r="E179" s="37">
        <f>'GF + UG Iteration 9'!E179</f>
        <v>1977</v>
      </c>
      <c r="F179" s="35">
        <f>'GF + UG Iteration 9'!F179</f>
        <v>0</v>
      </c>
      <c r="G179" s="36">
        <f>'GF + UG Iteration 9'!G179</f>
        <v>3.0359489017822221</v>
      </c>
      <c r="H179" s="38">
        <f>'GF + UG Iteration 9'!H179</f>
        <v>2016</v>
      </c>
      <c r="I179" s="35">
        <f t="shared" si="10"/>
        <v>65.87</v>
      </c>
      <c r="J179" s="36">
        <f t="shared" si="11"/>
        <v>31.130481846095972</v>
      </c>
      <c r="K179" s="38">
        <f t="shared" si="12"/>
        <v>2016</v>
      </c>
      <c r="M179" s="21">
        <f t="shared" si="18"/>
        <v>4.1876831026526018</v>
      </c>
      <c r="N179" s="21">
        <f t="shared" si="19"/>
        <v>3.438187462846285</v>
      </c>
    </row>
    <row r="180" spans="1:14" x14ac:dyDescent="0.2">
      <c r="A180" s="33">
        <f>'GF + UG Iteration 9'!A180</f>
        <v>1382</v>
      </c>
      <c r="B180" s="34" t="str">
        <f>'GF + UG Iteration 9'!B180</f>
        <v>UG</v>
      </c>
      <c r="C180" s="35">
        <f>'GF + UG Iteration 9'!C180</f>
        <v>24.2</v>
      </c>
      <c r="D180" s="36">
        <f>'GF + UG Iteration 9'!P$16*(C180^'GF + UG Iteration 9'!P$15)</f>
        <v>15.83584419562332</v>
      </c>
      <c r="E180" s="37" t="str">
        <f>'GF + UG Iteration 9'!E180</f>
        <v>unknown</v>
      </c>
      <c r="F180" s="35">
        <f>'GF + UG Iteration 9'!F180</f>
        <v>11.900000000000002</v>
      </c>
      <c r="G180" s="36">
        <f>'GF + UG Iteration 9'!G180</f>
        <v>2.4484361075925429</v>
      </c>
      <c r="H180" s="38">
        <f>'GF + UG Iteration 9'!H180</f>
        <v>2013</v>
      </c>
      <c r="I180" s="35">
        <f t="shared" si="10"/>
        <v>36.1</v>
      </c>
      <c r="J180" s="36">
        <f t="shared" si="11"/>
        <v>18.284280303215862</v>
      </c>
      <c r="K180" s="38">
        <f t="shared" si="12"/>
        <v>2013</v>
      </c>
      <c r="M180" s="21">
        <f t="shared" si="18"/>
        <v>3.5862928653388351</v>
      </c>
      <c r="N180" s="21">
        <f t="shared" si="19"/>
        <v>2.9060416908713402</v>
      </c>
    </row>
    <row r="181" spans="1:14" x14ac:dyDescent="0.2">
      <c r="A181" s="33">
        <f>'GF + UG Iteration 9'!A181</f>
        <v>1638</v>
      </c>
      <c r="B181" s="34" t="str">
        <f>'GF + UG Iteration 9'!B181</f>
        <v>UG</v>
      </c>
      <c r="C181" s="35">
        <f>'GF + UG Iteration 9'!C181</f>
        <v>36.1</v>
      </c>
      <c r="D181" s="36">
        <f>'GF + UG Iteration 9'!P$16*(C181^'GF + UG Iteration 9'!P$15)</f>
        <v>19.910688096012233</v>
      </c>
      <c r="E181" s="37" t="str">
        <f>'GF + UG Iteration 9'!E181</f>
        <v>unknown</v>
      </c>
      <c r="F181" s="35">
        <f>'GF + UG Iteration 9'!F181</f>
        <v>0</v>
      </c>
      <c r="G181" s="36">
        <f>'GF + UG Iteration 9'!G181</f>
        <v>1.4307693737810239</v>
      </c>
      <c r="H181" s="38">
        <f>'GF + UG Iteration 9'!H181</f>
        <v>2015</v>
      </c>
      <c r="I181" s="35">
        <f t="shared" si="10"/>
        <v>36.1</v>
      </c>
      <c r="J181" s="36">
        <f t="shared" si="11"/>
        <v>21.341457469793259</v>
      </c>
      <c r="K181" s="38">
        <f t="shared" si="12"/>
        <v>2015</v>
      </c>
      <c r="M181" s="21">
        <f t="shared" si="18"/>
        <v>3.5862928653388351</v>
      </c>
      <c r="N181" s="21">
        <f t="shared" si="19"/>
        <v>3.0606515410950093</v>
      </c>
    </row>
    <row r="182" spans="1:14" x14ac:dyDescent="0.2">
      <c r="A182" s="33">
        <f>'GF + UG Iteration 9'!A182</f>
        <v>874</v>
      </c>
      <c r="B182" s="34" t="str">
        <f>'GF + UG Iteration 9'!B182</f>
        <v>UG</v>
      </c>
      <c r="C182" s="35">
        <f>'GF + UG Iteration 9'!C182</f>
        <v>6.4</v>
      </c>
      <c r="D182" s="36">
        <f>'GF + UG Iteration 9'!P$16*(C182^'GF + UG Iteration 9'!P$15)</f>
        <v>7.39474890821384</v>
      </c>
      <c r="E182" s="37">
        <f>'GF + UG Iteration 9'!E182</f>
        <v>1997</v>
      </c>
      <c r="F182" s="35">
        <f>'GF + UG Iteration 9'!F182</f>
        <v>0.5</v>
      </c>
      <c r="G182" s="36">
        <f>'GF + UG Iteration 9'!G182</f>
        <v>3.6333602061432981</v>
      </c>
      <c r="H182" s="38">
        <f>'GF + UG Iteration 9'!H182</f>
        <v>2009</v>
      </c>
      <c r="I182" s="35">
        <f t="shared" si="10"/>
        <v>6.9</v>
      </c>
      <c r="J182" s="36">
        <f t="shared" si="11"/>
        <v>11.028109114357138</v>
      </c>
      <c r="K182" s="38">
        <f t="shared" si="12"/>
        <v>2009</v>
      </c>
      <c r="M182" s="21">
        <f t="shared" si="18"/>
        <v>1.9315214116032138</v>
      </c>
      <c r="N182" s="21">
        <f t="shared" si="19"/>
        <v>2.4004473874141197</v>
      </c>
    </row>
    <row r="183" spans="1:14" x14ac:dyDescent="0.2">
      <c r="A183" s="33">
        <f>'GF + UG Iteration 9'!A183</f>
        <v>491</v>
      </c>
      <c r="B183" s="34" t="str">
        <f>'GF + UG Iteration 9'!B183</f>
        <v>UG</v>
      </c>
      <c r="C183" s="35">
        <f>'GF + UG Iteration 9'!C183</f>
        <v>27.9</v>
      </c>
      <c r="D183" s="36">
        <f>'GF + UG Iteration 9'!P$16*(C183^'GF + UG Iteration 9'!P$15)</f>
        <v>17.179781350151575</v>
      </c>
      <c r="E183" s="37">
        <f>'GF + UG Iteration 9'!E183</f>
        <v>1984</v>
      </c>
      <c r="F183" s="35">
        <f>'GF + UG Iteration 9'!F183</f>
        <v>1</v>
      </c>
      <c r="G183" s="36">
        <f>'GF + UG Iteration 9'!G183</f>
        <v>0.19252271805052243</v>
      </c>
      <c r="H183" s="38">
        <f>'GF + UG Iteration 9'!H183</f>
        <v>2006</v>
      </c>
      <c r="I183" s="35">
        <f t="shared" si="10"/>
        <v>28.9</v>
      </c>
      <c r="J183" s="36">
        <f t="shared" si="11"/>
        <v>17.372304068202098</v>
      </c>
      <c r="K183" s="38">
        <f t="shared" si="12"/>
        <v>2006</v>
      </c>
      <c r="M183" s="21">
        <f t="shared" si="18"/>
        <v>3.3638415951183864</v>
      </c>
      <c r="N183" s="21">
        <f t="shared" si="19"/>
        <v>2.854877217869733</v>
      </c>
    </row>
    <row r="184" spans="1:14" x14ac:dyDescent="0.2">
      <c r="A184" s="33">
        <f>'GF + UG Iteration 9'!A184</f>
        <v>1396</v>
      </c>
      <c r="B184" s="34" t="str">
        <f>'GF + UG Iteration 9'!B184</f>
        <v>UG</v>
      </c>
      <c r="C184" s="35">
        <f>'GF + UG Iteration 9'!C184</f>
        <v>20.6</v>
      </c>
      <c r="D184" s="36">
        <f>'GF + UG Iteration 9'!P$16*(C184^'GF + UG Iteration 9'!P$15)</f>
        <v>14.440868062805126</v>
      </c>
      <c r="E184" s="37">
        <f>'GF + UG Iteration 9'!E184</f>
        <v>2009</v>
      </c>
      <c r="F184" s="35">
        <f>'GF + UG Iteration 9'!F184</f>
        <v>5.3999999999999986</v>
      </c>
      <c r="G184" s="36">
        <f>'GF + UG Iteration 9'!G184</f>
        <v>0.37351117224616898</v>
      </c>
      <c r="H184" s="38">
        <f>'GF + UG Iteration 9'!H184</f>
        <v>2013</v>
      </c>
      <c r="I184" s="35">
        <f t="shared" ref="I184:I246" si="20">C184+F184</f>
        <v>26</v>
      </c>
      <c r="J184" s="36">
        <f t="shared" ref="J184:J246" si="21">D184+G184</f>
        <v>14.814379235051295</v>
      </c>
      <c r="K184" s="38">
        <f t="shared" ref="K184:K246" si="22">MAX(E184,H184)</f>
        <v>2013</v>
      </c>
      <c r="M184" s="21">
        <f>LN(I184)</f>
        <v>3.2580965380214821</v>
      </c>
      <c r="N184" s="21">
        <f>LN(J184)</f>
        <v>2.6955982790373789</v>
      </c>
    </row>
    <row r="185" spans="1:14" x14ac:dyDescent="0.2">
      <c r="A185" s="33">
        <f>'GF + UG Iteration 9'!A185</f>
        <v>1597</v>
      </c>
      <c r="B185" s="34" t="str">
        <f>'GF + UG Iteration 9'!B185</f>
        <v>UG</v>
      </c>
      <c r="C185" s="35">
        <f>'GF + UG Iteration 9'!C185</f>
        <v>26</v>
      </c>
      <c r="D185" s="36">
        <f>'GF + UG Iteration 9'!P$16*(C185^'GF + UG Iteration 9'!P$15)</f>
        <v>16.499862536319753</v>
      </c>
      <c r="E185" s="37">
        <f>'GF + UG Iteration 9'!E185</f>
        <v>2009</v>
      </c>
      <c r="F185" s="35">
        <f>'GF + UG Iteration 9'!F185</f>
        <v>27.299999999999997</v>
      </c>
      <c r="G185" s="36">
        <f>'GF + UG Iteration 9'!G185</f>
        <v>4.2355817632178319</v>
      </c>
      <c r="H185" s="38">
        <f>'GF + UG Iteration 9'!H185</f>
        <v>2015</v>
      </c>
      <c r="I185" s="35">
        <f t="shared" si="20"/>
        <v>53.3</v>
      </c>
      <c r="J185" s="36">
        <f t="shared" si="21"/>
        <v>20.735444299537583</v>
      </c>
      <c r="K185" s="38">
        <f t="shared" si="22"/>
        <v>2015</v>
      </c>
      <c r="M185" s="21">
        <f t="shared" ref="M185:M247" si="23">LN(I185)</f>
        <v>3.9759363311717988</v>
      </c>
      <c r="N185" s="21">
        <f t="shared" ref="N185:N247" si="24">LN(J185)</f>
        <v>3.0318445209844569</v>
      </c>
    </row>
    <row r="186" spans="1:14" x14ac:dyDescent="0.2">
      <c r="A186" s="33">
        <f>'GF + UG Iteration 9'!A186</f>
        <v>1292</v>
      </c>
      <c r="B186" s="34" t="str">
        <f>'GF + UG Iteration 9'!B186</f>
        <v>UG</v>
      </c>
      <c r="C186" s="35">
        <f>'GF + UG Iteration 9'!C186</f>
        <v>30.3</v>
      </c>
      <c r="D186" s="36">
        <f>'GF + UG Iteration 9'!P$16*(C186^'GF + UG Iteration 9'!P$15)</f>
        <v>18.010943597521877</v>
      </c>
      <c r="E186" s="37" t="str">
        <f>'GF + UG Iteration 9'!E186</f>
        <v>unknown</v>
      </c>
      <c r="F186" s="35">
        <f>'GF + UG Iteration 9'!F186</f>
        <v>2.4999999999999964</v>
      </c>
      <c r="G186" s="36">
        <f>'GF + UG Iteration 9'!G186</f>
        <v>4.47116983018676</v>
      </c>
      <c r="H186" s="38">
        <f>'GF + UG Iteration 9'!H186</f>
        <v>2013</v>
      </c>
      <c r="I186" s="35">
        <f t="shared" si="20"/>
        <v>32.799999999999997</v>
      </c>
      <c r="J186" s="36">
        <f t="shared" si="21"/>
        <v>22.482113427708637</v>
      </c>
      <c r="K186" s="38">
        <f t="shared" si="22"/>
        <v>2013</v>
      </c>
      <c r="M186" s="21">
        <f t="shared" si="23"/>
        <v>3.4904285153900978</v>
      </c>
      <c r="N186" s="21">
        <f t="shared" si="24"/>
        <v>3.1127200342945871</v>
      </c>
    </row>
    <row r="187" spans="1:14" x14ac:dyDescent="0.2">
      <c r="A187" s="33">
        <f>'GF + UG Iteration 9'!A187</f>
        <v>364</v>
      </c>
      <c r="B187" s="34" t="str">
        <f>'GF + UG Iteration 9'!B187</f>
        <v>UG</v>
      </c>
      <c r="C187" s="35">
        <f>'GF + UG Iteration 9'!C187</f>
        <v>44.904000000000003</v>
      </c>
      <c r="D187" s="36">
        <f>'GF + UG Iteration 9'!P$16*(C187^'GF + UG Iteration 9'!P$15)</f>
        <v>22.560572038473044</v>
      </c>
      <c r="E187" s="37">
        <f>'GF + UG Iteration 9'!E187</f>
        <v>1975</v>
      </c>
      <c r="F187" s="35">
        <f>'GF + UG Iteration 9'!F187</f>
        <v>2</v>
      </c>
      <c r="G187" s="36">
        <f>'GF + UG Iteration 9'!G187</f>
        <v>1.3174901179839253</v>
      </c>
      <c r="H187" s="38">
        <f>'GF + UG Iteration 9'!H187</f>
        <v>2004</v>
      </c>
      <c r="I187" s="35">
        <f t="shared" si="20"/>
        <v>46.904000000000003</v>
      </c>
      <c r="J187" s="36">
        <f t="shared" si="21"/>
        <v>23.87806215645697</v>
      </c>
      <c r="K187" s="38">
        <f t="shared" si="22"/>
        <v>2004</v>
      </c>
      <c r="M187" s="21">
        <f t="shared" si="23"/>
        <v>3.8481029596619138</v>
      </c>
      <c r="N187" s="21">
        <f t="shared" si="24"/>
        <v>3.1729601360045296</v>
      </c>
    </row>
    <row r="188" spans="1:14" x14ac:dyDescent="0.2">
      <c r="A188" s="33">
        <f>'GF + UG Iteration 9'!A188</f>
        <v>1306</v>
      </c>
      <c r="B188" s="34" t="str">
        <f>'GF + UG Iteration 9'!B188</f>
        <v>UG</v>
      </c>
      <c r="C188" s="35">
        <f>'GF + UG Iteration 9'!C188</f>
        <v>23.1</v>
      </c>
      <c r="D188" s="36">
        <f>'GF + UG Iteration 9'!P$16*(C188^'GF + UG Iteration 9'!P$15)</f>
        <v>15.419632697812064</v>
      </c>
      <c r="E188" s="37">
        <f>'GF + UG Iteration 9'!E188</f>
        <v>1985</v>
      </c>
      <c r="F188" s="35">
        <f>'GF + UG Iteration 9'!F188</f>
        <v>2.0999999999999979</v>
      </c>
      <c r="G188" s="36">
        <f>'GF + UG Iteration 9'!G188</f>
        <v>5.9848606370399509</v>
      </c>
      <c r="H188" s="38">
        <f>'GF + UG Iteration 9'!H188</f>
        <v>2013</v>
      </c>
      <c r="I188" s="35">
        <f t="shared" si="20"/>
        <v>25.2</v>
      </c>
      <c r="J188" s="36">
        <f t="shared" si="21"/>
        <v>21.404493334852013</v>
      </c>
      <c r="K188" s="38">
        <f t="shared" si="22"/>
        <v>2013</v>
      </c>
      <c r="M188" s="21">
        <f t="shared" si="23"/>
        <v>3.2268439945173775</v>
      </c>
      <c r="N188" s="21">
        <f t="shared" si="24"/>
        <v>3.0636008689057359</v>
      </c>
    </row>
    <row r="189" spans="1:14" x14ac:dyDescent="0.2">
      <c r="A189" s="33">
        <f>'GF + UG Iteration 9'!A189</f>
        <v>858</v>
      </c>
      <c r="B189" s="34" t="str">
        <f>'GF + UG Iteration 9'!B189</f>
        <v>UG</v>
      </c>
      <c r="C189" s="35">
        <f>'GF + UG Iteration 9'!C189</f>
        <v>28.4</v>
      </c>
      <c r="D189" s="36">
        <f>'GF + UG Iteration 9'!P$16*(C189^'GF + UG Iteration 9'!P$15)</f>
        <v>17.355385430335275</v>
      </c>
      <c r="E189" s="37">
        <f>'GF + UG Iteration 9'!E189</f>
        <v>2009</v>
      </c>
      <c r="F189" s="35">
        <f>'GF + UG Iteration 9'!F189</f>
        <v>13.300000000000004</v>
      </c>
      <c r="G189" s="36">
        <f>'GF + UG Iteration 9'!G189</f>
        <v>5.4358775042665943</v>
      </c>
      <c r="H189" s="38">
        <f>'GF + UG Iteration 9'!H189</f>
        <v>2010</v>
      </c>
      <c r="I189" s="35">
        <f t="shared" si="20"/>
        <v>41.7</v>
      </c>
      <c r="J189" s="36">
        <f t="shared" si="21"/>
        <v>22.791262934601868</v>
      </c>
      <c r="K189" s="38">
        <f t="shared" si="22"/>
        <v>2010</v>
      </c>
      <c r="M189" s="21">
        <f t="shared" si="23"/>
        <v>3.730501128804756</v>
      </c>
      <c r="N189" s="21">
        <f t="shared" si="24"/>
        <v>3.1263772578960158</v>
      </c>
    </row>
    <row r="190" spans="1:14" x14ac:dyDescent="0.2">
      <c r="A190" s="33">
        <f>'GF + UG Iteration 9'!A190</f>
        <v>1454</v>
      </c>
      <c r="B190" s="34" t="str">
        <f>'GF + UG Iteration 9'!B190</f>
        <v>UG</v>
      </c>
      <c r="C190" s="35">
        <f>'GF + UG Iteration 9'!C190</f>
        <v>41.7</v>
      </c>
      <c r="D190" s="36">
        <f>'GF + UG Iteration 9'!P$16*(C190^'GF + UG Iteration 9'!P$15)</f>
        <v>21.624377856180736</v>
      </c>
      <c r="E190" s="37">
        <f>'GF + UG Iteration 9'!E190</f>
        <v>2009</v>
      </c>
      <c r="F190" s="35">
        <f>'GF + UG Iteration 9'!F190</f>
        <v>5.6999999999999957</v>
      </c>
      <c r="G190" s="36">
        <f>'GF + UG Iteration 9'!G190</f>
        <v>0.45762240995573644</v>
      </c>
      <c r="H190" s="38">
        <f>'GF + UG Iteration 9'!H190</f>
        <v>2013</v>
      </c>
      <c r="I190" s="35">
        <f t="shared" si="20"/>
        <v>47.4</v>
      </c>
      <c r="J190" s="36">
        <f t="shared" si="21"/>
        <v>22.082000266136472</v>
      </c>
      <c r="K190" s="38">
        <f t="shared" si="22"/>
        <v>2013</v>
      </c>
      <c r="M190" s="21">
        <f t="shared" si="23"/>
        <v>3.858622228701031</v>
      </c>
      <c r="N190" s="21">
        <f t="shared" si="24"/>
        <v>3.0947628090691359</v>
      </c>
    </row>
    <row r="191" spans="1:14" x14ac:dyDescent="0.2">
      <c r="A191" s="33">
        <f>'GF + UG Iteration 9'!A191</f>
        <v>637</v>
      </c>
      <c r="B191" s="34" t="str">
        <f>'GF + UG Iteration 9'!B191</f>
        <v>UG</v>
      </c>
      <c r="C191" s="35">
        <f>'GF + UG Iteration 9'!C191</f>
        <v>15.499999999999998</v>
      </c>
      <c r="D191" s="36">
        <f>'GF + UG Iteration 9'!P$16*(C191^'GF + UG Iteration 9'!P$15)</f>
        <v>12.27056640174089</v>
      </c>
      <c r="E191" s="37">
        <f>'GF + UG Iteration 9'!E191</f>
        <v>1989</v>
      </c>
      <c r="F191" s="35">
        <f>'GF + UG Iteration 9'!F191</f>
        <v>8.4</v>
      </c>
      <c r="G191" s="36">
        <f>'GF + UG Iteration 9'!G191</f>
        <v>5.068859840469166</v>
      </c>
      <c r="H191" s="38">
        <f>'GF + UG Iteration 9'!H191</f>
        <v>2007</v>
      </c>
      <c r="I191" s="35">
        <f t="shared" si="20"/>
        <v>23.9</v>
      </c>
      <c r="J191" s="36">
        <f t="shared" si="21"/>
        <v>17.339426242210056</v>
      </c>
      <c r="K191" s="38">
        <f t="shared" si="22"/>
        <v>2007</v>
      </c>
      <c r="M191" s="21">
        <f t="shared" si="23"/>
        <v>3.1738784589374651</v>
      </c>
      <c r="N191" s="21">
        <f t="shared" si="24"/>
        <v>2.8529828821204122</v>
      </c>
    </row>
    <row r="192" spans="1:14" x14ac:dyDescent="0.2">
      <c r="A192" s="33">
        <f>'GF + UG Iteration 9'!A192</f>
        <v>1254</v>
      </c>
      <c r="B192" s="34" t="str">
        <f>'GF + UG Iteration 9'!B192</f>
        <v>UG</v>
      </c>
      <c r="C192" s="35">
        <f>'GF + UG Iteration 9'!C192</f>
        <v>23.9</v>
      </c>
      <c r="D192" s="36">
        <f>'GF + UG Iteration 9'!P$16*(C192^'GF + UG Iteration 9'!P$15)</f>
        <v>15.723148622004096</v>
      </c>
      <c r="E192" s="37">
        <f>'GF + UG Iteration 9'!E192</f>
        <v>1989</v>
      </c>
      <c r="F192" s="35">
        <f>'GF + UG Iteration 9'!F192</f>
        <v>15.399999999999999</v>
      </c>
      <c r="G192" s="36">
        <f>'GF + UG Iteration 9'!G192</f>
        <v>6.528436764593768</v>
      </c>
      <c r="H192" s="38">
        <f>'GF + UG Iteration 9'!H192</f>
        <v>2012</v>
      </c>
      <c r="I192" s="35">
        <f t="shared" si="20"/>
        <v>39.299999999999997</v>
      </c>
      <c r="J192" s="36">
        <f t="shared" si="21"/>
        <v>22.251585386597863</v>
      </c>
      <c r="K192" s="38">
        <f t="shared" si="22"/>
        <v>2012</v>
      </c>
      <c r="M192" s="21">
        <f t="shared" si="23"/>
        <v>3.6712245188752153</v>
      </c>
      <c r="N192" s="21">
        <f t="shared" si="24"/>
        <v>3.1024132594040923</v>
      </c>
    </row>
    <row r="193" spans="1:14" x14ac:dyDescent="0.2">
      <c r="A193" s="33">
        <f>'GF + UG Iteration 9'!A193</f>
        <v>734</v>
      </c>
      <c r="B193" s="34" t="str">
        <f>'GF + UG Iteration 9'!B193</f>
        <v>UG</v>
      </c>
      <c r="C193" s="35">
        <f>'GF + UG Iteration 9'!C193</f>
        <v>20</v>
      </c>
      <c r="D193" s="36">
        <f>'GF + UG Iteration 9'!P$16*(C193^'GF + UG Iteration 9'!P$15)</f>
        <v>14.198534158146035</v>
      </c>
      <c r="E193" s="37">
        <f>'GF + UG Iteration 9'!E193</f>
        <v>1974</v>
      </c>
      <c r="F193" s="35">
        <f>'GF + UG Iteration 9'!F193</f>
        <v>4.3999999999999986</v>
      </c>
      <c r="G193" s="36">
        <f>'GF + UG Iteration 9'!G193</f>
        <v>11.261124599264825</v>
      </c>
      <c r="H193" s="38">
        <f>'GF + UG Iteration 9'!H193</f>
        <v>2011</v>
      </c>
      <c r="I193" s="35">
        <f t="shared" ref="I193" si="25">C193+F193</f>
        <v>24.4</v>
      </c>
      <c r="J193" s="36">
        <f t="shared" ref="J193" si="26">D193+G193</f>
        <v>25.45965875741086</v>
      </c>
      <c r="K193" s="38">
        <f t="shared" ref="K193" si="27">MAX(E193,H193)</f>
        <v>2011</v>
      </c>
      <c r="M193" s="21">
        <f t="shared" ref="M193" si="28">LN(I193)</f>
        <v>3.1945831322991562</v>
      </c>
      <c r="N193" s="21">
        <f t="shared" ref="N193" si="29">LN(J193)</f>
        <v>3.2370951899526692</v>
      </c>
    </row>
    <row r="194" spans="1:14" x14ac:dyDescent="0.2">
      <c r="A194" s="33">
        <f>'GF + UG Iteration 9'!A194</f>
        <v>1594</v>
      </c>
      <c r="B194" s="34" t="str">
        <f>'GF + UG Iteration 9'!B194</f>
        <v>UG</v>
      </c>
      <c r="C194" s="35">
        <f>'GF + UG Iteration 9'!C194</f>
        <v>24.4</v>
      </c>
      <c r="D194" s="36">
        <f>'GF + UG Iteration 9'!P$16*(C194^'GF + UG Iteration 9'!P$15)</f>
        <v>15.910643026821452</v>
      </c>
      <c r="E194" s="37">
        <f>'GF + UG Iteration 9'!E194</f>
        <v>1974</v>
      </c>
      <c r="F194" s="35">
        <f>'GF + UG Iteration 9'!F194</f>
        <v>0</v>
      </c>
      <c r="G194" s="36">
        <f>'GF + UG Iteration 9'!G194</f>
        <v>17.2334453477478</v>
      </c>
      <c r="H194" s="38">
        <f>'GF + UG Iteration 9'!H194</f>
        <v>2017</v>
      </c>
      <c r="I194" s="35">
        <f t="shared" si="20"/>
        <v>24.4</v>
      </c>
      <c r="J194" s="36">
        <f t="shared" si="21"/>
        <v>33.14408837456925</v>
      </c>
      <c r="K194" s="38">
        <f t="shared" si="22"/>
        <v>2017</v>
      </c>
      <c r="M194" s="21">
        <f t="shared" si="23"/>
        <v>3.1945831322991562</v>
      </c>
      <c r="N194" s="21">
        <f t="shared" si="24"/>
        <v>3.500864371153674</v>
      </c>
    </row>
    <row r="195" spans="1:14" x14ac:dyDescent="0.2">
      <c r="A195" s="33">
        <f>'GF + UG Iteration 9'!A195</f>
        <v>1674</v>
      </c>
      <c r="B195" s="34" t="str">
        <f>'GF + UG Iteration 9'!B195</f>
        <v>UG</v>
      </c>
      <c r="C195" s="35">
        <f>'GF + UG Iteration 9'!C195</f>
        <v>17.399999999999999</v>
      </c>
      <c r="D195" s="36">
        <f>'GF + UG Iteration 9'!P$16*(C195^'GF + UG Iteration 9'!P$15)</f>
        <v>13.110402612568123</v>
      </c>
      <c r="E195" s="37">
        <f>'GF + UG Iteration 9'!E195</f>
        <v>0</v>
      </c>
      <c r="F195" s="35">
        <f>'GF + UG Iteration 9'!F195</f>
        <v>3.7000000000000028</v>
      </c>
      <c r="G195" s="36">
        <f>'GF + UG Iteration 9'!G195</f>
        <v>10.327278566796926</v>
      </c>
      <c r="H195" s="38">
        <f>'GF + UG Iteration 9'!H195</f>
        <v>2016</v>
      </c>
      <c r="I195" s="35">
        <f t="shared" si="20"/>
        <v>21.1</v>
      </c>
      <c r="J195" s="36">
        <f t="shared" si="21"/>
        <v>23.43768117936505</v>
      </c>
      <c r="K195" s="38">
        <f t="shared" si="22"/>
        <v>2016</v>
      </c>
      <c r="M195" s="21">
        <f t="shared" si="23"/>
        <v>3.0492730404820207</v>
      </c>
      <c r="N195" s="21">
        <f t="shared" si="24"/>
        <v>3.1543450340203263</v>
      </c>
    </row>
    <row r="196" spans="1:14" x14ac:dyDescent="0.2">
      <c r="A196" s="33">
        <f>'GF + UG Iteration 9'!A196</f>
        <v>711</v>
      </c>
      <c r="B196" s="34" t="str">
        <f>'GF + UG Iteration 9'!B196</f>
        <v>UG</v>
      </c>
      <c r="C196" s="35">
        <f>'GF + UG Iteration 9'!C196</f>
        <v>11.5</v>
      </c>
      <c r="D196" s="36">
        <f>'GF + UG Iteration 9'!P$16*(C196^'GF + UG Iteration 9'!P$15)</f>
        <v>10.342949289293017</v>
      </c>
      <c r="E196" s="37">
        <f>'GF + UG Iteration 9'!E196</f>
        <v>1976</v>
      </c>
      <c r="F196" s="35">
        <f>'GF + UG Iteration 9'!F196</f>
        <v>13.7</v>
      </c>
      <c r="G196" s="36">
        <f>'GF + UG Iteration 9'!G196</f>
        <v>9.2617881543087019</v>
      </c>
      <c r="H196" s="38">
        <f>'GF + UG Iteration 9'!H196</f>
        <v>2009</v>
      </c>
      <c r="I196" s="35">
        <f t="shared" si="20"/>
        <v>25.2</v>
      </c>
      <c r="J196" s="36">
        <f t="shared" si="21"/>
        <v>19.604737443601721</v>
      </c>
      <c r="K196" s="38">
        <f t="shared" si="22"/>
        <v>2009</v>
      </c>
      <c r="M196" s="21">
        <f t="shared" si="23"/>
        <v>3.2268439945173775</v>
      </c>
      <c r="N196" s="21">
        <f t="shared" si="24"/>
        <v>2.9757712433364185</v>
      </c>
    </row>
    <row r="197" spans="1:14" x14ac:dyDescent="0.2">
      <c r="A197" s="33">
        <f>'GF + UG Iteration 9'!A197</f>
        <v>408</v>
      </c>
      <c r="B197" s="34" t="str">
        <f>'GF + UG Iteration 9'!B197</f>
        <v>UG</v>
      </c>
      <c r="C197" s="35">
        <f>'GF + UG Iteration 9'!C197</f>
        <v>37.700000000000003</v>
      </c>
      <c r="D197" s="36">
        <f>'GF + UG Iteration 9'!P$16*(C197^'GF + UG Iteration 9'!P$15)</f>
        <v>20.411246186615511</v>
      </c>
      <c r="E197" s="37">
        <f>'GF + UG Iteration 9'!E197</f>
        <v>1976</v>
      </c>
      <c r="F197" s="35">
        <f>'GF + UG Iteration 9'!F197</f>
        <v>2.0419999999999945</v>
      </c>
      <c r="G197" s="36">
        <f>'GF + UG Iteration 9'!G197</f>
        <v>0.58015876995711901</v>
      </c>
      <c r="H197" s="38">
        <f>'GF + UG Iteration 9'!H197</f>
        <v>2004</v>
      </c>
      <c r="I197" s="35">
        <f t="shared" si="20"/>
        <v>39.741999999999997</v>
      </c>
      <c r="J197" s="36">
        <f t="shared" si="21"/>
        <v>20.99140495657263</v>
      </c>
      <c r="K197" s="38">
        <f t="shared" si="22"/>
        <v>2004</v>
      </c>
      <c r="M197" s="21">
        <f t="shared" si="23"/>
        <v>3.6824085629836243</v>
      </c>
      <c r="N197" s="21">
        <f t="shared" si="24"/>
        <v>3.0441130661600617</v>
      </c>
    </row>
    <row r="198" spans="1:14" x14ac:dyDescent="0.2">
      <c r="A198" s="33">
        <f>'GF + UG Iteration 9'!A198</f>
        <v>698</v>
      </c>
      <c r="B198" s="34" t="str">
        <f>'GF + UG Iteration 9'!B198</f>
        <v>UG</v>
      </c>
      <c r="C198" s="35">
        <f>'GF + UG Iteration 9'!C198</f>
        <v>39.700000000000003</v>
      </c>
      <c r="D198" s="36">
        <f>'GF + UG Iteration 9'!P$16*(C198^'GF + UG Iteration 9'!P$15)</f>
        <v>21.024346216017751</v>
      </c>
      <c r="E198" s="37">
        <f>'GF + UG Iteration 9'!E198</f>
        <v>1976</v>
      </c>
      <c r="F198" s="35">
        <f>'GF + UG Iteration 9'!F198</f>
        <v>20.9</v>
      </c>
      <c r="G198" s="36">
        <f>'GF + UG Iteration 9'!G198</f>
        <v>1.4406821685518079</v>
      </c>
      <c r="H198" s="38">
        <f>'GF + UG Iteration 9'!H198</f>
        <v>2007</v>
      </c>
      <c r="I198" s="35">
        <f t="shared" si="20"/>
        <v>60.6</v>
      </c>
      <c r="J198" s="36">
        <f t="shared" si="21"/>
        <v>22.465028384569557</v>
      </c>
      <c r="K198" s="38">
        <f t="shared" si="22"/>
        <v>2007</v>
      </c>
      <c r="M198" s="21">
        <f t="shared" si="23"/>
        <v>4.1042948930752692</v>
      </c>
      <c r="N198" s="21">
        <f t="shared" si="24"/>
        <v>3.1119598060231972</v>
      </c>
    </row>
    <row r="199" spans="1:14" x14ac:dyDescent="0.2">
      <c r="A199" s="33">
        <f>'GF + UG Iteration 9'!A199</f>
        <v>696</v>
      </c>
      <c r="B199" s="34" t="str">
        <f>'GF + UG Iteration 9'!B199</f>
        <v>UG</v>
      </c>
      <c r="C199" s="35">
        <f>'GF + UG Iteration 9'!C199</f>
        <v>9.1370000000000005</v>
      </c>
      <c r="D199" s="36">
        <f>'GF + UG Iteration 9'!P$16*(C199^'GF + UG Iteration 9'!P$15)</f>
        <v>9.0667415108331415</v>
      </c>
      <c r="E199" s="37">
        <f>'GF + UG Iteration 9'!E199</f>
        <v>1981</v>
      </c>
      <c r="F199" s="35">
        <f>'GF + UG Iteration 9'!F199</f>
        <v>8.0629999999999988</v>
      </c>
      <c r="G199" s="36">
        <f>'GF + UG Iteration 9'!G199</f>
        <v>0.26810351472539734</v>
      </c>
      <c r="H199" s="38">
        <f>'GF + UG Iteration 9'!H199</f>
        <v>2007</v>
      </c>
      <c r="I199" s="35">
        <f t="shared" si="20"/>
        <v>17.2</v>
      </c>
      <c r="J199" s="36">
        <f t="shared" si="21"/>
        <v>9.334845025558538</v>
      </c>
      <c r="K199" s="38">
        <f t="shared" si="22"/>
        <v>2007</v>
      </c>
      <c r="M199" s="21">
        <f t="shared" si="23"/>
        <v>2.8449093838194073</v>
      </c>
      <c r="N199" s="21">
        <f t="shared" si="24"/>
        <v>2.2337541754159811</v>
      </c>
    </row>
    <row r="200" spans="1:14" x14ac:dyDescent="0.2">
      <c r="A200" s="33">
        <f>'GF + UG Iteration 9'!A200</f>
        <v>1636</v>
      </c>
      <c r="B200" s="34" t="str">
        <f>'GF + UG Iteration 9'!B200</f>
        <v>UG</v>
      </c>
      <c r="C200" s="35">
        <f>'GF + UG Iteration 9'!C200</f>
        <v>17.2</v>
      </c>
      <c r="D200" s="36">
        <f>'GF + UG Iteration 9'!P$16*(C200^'GF + UG Iteration 9'!P$15)</f>
        <v>13.023911394521644</v>
      </c>
      <c r="E200" s="37">
        <f>'GF + UG Iteration 9'!E200</f>
        <v>1981</v>
      </c>
      <c r="F200" s="35">
        <f>'GF + UG Iteration 9'!F200</f>
        <v>0</v>
      </c>
      <c r="G200" s="36">
        <f>'GF + UG Iteration 9'!G200</f>
        <v>6.6058972937468434</v>
      </c>
      <c r="H200" s="38">
        <f>'GF + UG Iteration 9'!H200</f>
        <v>2015</v>
      </c>
      <c r="I200" s="35">
        <f t="shared" si="20"/>
        <v>17.2</v>
      </c>
      <c r="J200" s="36">
        <f t="shared" si="21"/>
        <v>19.629808688268486</v>
      </c>
      <c r="K200" s="38">
        <f t="shared" si="22"/>
        <v>2015</v>
      </c>
      <c r="M200" s="21">
        <f t="shared" si="23"/>
        <v>2.8449093838194073</v>
      </c>
      <c r="N200" s="21">
        <f t="shared" si="24"/>
        <v>2.9770492623554214</v>
      </c>
    </row>
    <row r="201" spans="1:14" x14ac:dyDescent="0.2">
      <c r="A201" s="33">
        <f>'GF + UG Iteration 9'!A201</f>
        <v>1185</v>
      </c>
      <c r="B201" s="34" t="str">
        <f>'GF + UG Iteration 9'!B201</f>
        <v>UG</v>
      </c>
      <c r="C201" s="35">
        <f>'GF + UG Iteration 9'!C201</f>
        <v>32.4</v>
      </c>
      <c r="D201" s="36">
        <f>'GF + UG Iteration 9'!P$16*(C201^'GF + UG Iteration 9'!P$15)</f>
        <v>18.715380635463529</v>
      </c>
      <c r="E201" s="37">
        <f>'GF + UG Iteration 9'!E201</f>
        <v>1988</v>
      </c>
      <c r="F201" s="35">
        <f>'GF + UG Iteration 9'!F201</f>
        <v>2.5</v>
      </c>
      <c r="G201" s="36">
        <f>'GF + UG Iteration 9'!G201</f>
        <v>2.8087836612562955</v>
      </c>
      <c r="H201" s="38">
        <f>'GF + UG Iteration 9'!H201</f>
        <v>2011</v>
      </c>
      <c r="I201" s="35">
        <f t="shared" si="20"/>
        <v>34.9</v>
      </c>
      <c r="J201" s="36">
        <f t="shared" si="21"/>
        <v>21.524164296719825</v>
      </c>
      <c r="K201" s="38">
        <f t="shared" si="22"/>
        <v>2011</v>
      </c>
      <c r="M201" s="21">
        <f t="shared" si="23"/>
        <v>3.5524868292083815</v>
      </c>
      <c r="N201" s="21">
        <f t="shared" si="24"/>
        <v>3.0691762247851724</v>
      </c>
    </row>
    <row r="202" spans="1:14" x14ac:dyDescent="0.2">
      <c r="A202" s="33">
        <f>'GF + UG Iteration 9'!A202</f>
        <v>568</v>
      </c>
      <c r="B202" s="34" t="str">
        <f>'GF + UG Iteration 9'!B202</f>
        <v>UG</v>
      </c>
      <c r="C202" s="35">
        <f>'GF + UG Iteration 9'!C202</f>
        <v>38.04</v>
      </c>
      <c r="D202" s="36">
        <f>'GF + UG Iteration 9'!P$16*(C202^'GF + UG Iteration 9'!P$15)</f>
        <v>20.516436680680346</v>
      </c>
      <c r="E202" s="37">
        <f>'GF + UG Iteration 9'!E202</f>
        <v>1978</v>
      </c>
      <c r="F202" s="35">
        <f>'GF + UG Iteration 9'!F202</f>
        <v>1</v>
      </c>
      <c r="G202" s="36">
        <f>'GF + UG Iteration 9'!G202</f>
        <v>2.8818936071529556E-2</v>
      </c>
      <c r="H202" s="38">
        <f>'GF + UG Iteration 9'!H202</f>
        <v>2006</v>
      </c>
      <c r="I202" s="35">
        <f t="shared" si="20"/>
        <v>39.04</v>
      </c>
      <c r="J202" s="36">
        <f t="shared" si="21"/>
        <v>20.545255616751877</v>
      </c>
      <c r="K202" s="38">
        <f t="shared" si="22"/>
        <v>2006</v>
      </c>
      <c r="M202" s="21">
        <f t="shared" si="23"/>
        <v>3.6645867615448919</v>
      </c>
      <c r="N202" s="21">
        <f t="shared" si="24"/>
        <v>3.022630044056557</v>
      </c>
    </row>
    <row r="203" spans="1:14" x14ac:dyDescent="0.2">
      <c r="A203" s="33">
        <f>'GF + UG Iteration 9'!A203</f>
        <v>853</v>
      </c>
      <c r="B203" s="34" t="str">
        <f>'GF + UG Iteration 9'!B203</f>
        <v>UG</v>
      </c>
      <c r="C203" s="35">
        <f>'GF + UG Iteration 9'!C203</f>
        <v>20</v>
      </c>
      <c r="D203" s="36">
        <f>'GF + UG Iteration 9'!P$16*(C203^'GF + UG Iteration 9'!P$15)</f>
        <v>14.198534158146035</v>
      </c>
      <c r="E203" s="37">
        <f>'GF + UG Iteration 9'!E203</f>
        <v>1991</v>
      </c>
      <c r="F203" s="35">
        <f>'GF + UG Iteration 9'!F203</f>
        <v>21.700000000000003</v>
      </c>
      <c r="G203" s="36">
        <f>'GF + UG Iteration 9'!G203</f>
        <v>4.2556245512411124</v>
      </c>
      <c r="H203" s="38">
        <f>'GF + UG Iteration 9'!H203</f>
        <v>2009</v>
      </c>
      <c r="I203" s="35">
        <f t="shared" si="20"/>
        <v>41.7</v>
      </c>
      <c r="J203" s="36">
        <f t="shared" si="21"/>
        <v>18.454158709387148</v>
      </c>
      <c r="K203" s="38">
        <f t="shared" si="22"/>
        <v>2009</v>
      </c>
      <c r="M203" s="21">
        <f t="shared" si="23"/>
        <v>3.730501128804756</v>
      </c>
      <c r="N203" s="21">
        <f t="shared" si="24"/>
        <v>2.9152897493896295</v>
      </c>
    </row>
    <row r="204" spans="1:14" x14ac:dyDescent="0.2">
      <c r="A204" s="33">
        <f>'GF + UG Iteration 9'!A204</f>
        <v>1201</v>
      </c>
      <c r="B204" s="34" t="str">
        <f>'GF + UG Iteration 9'!B204</f>
        <v>UG</v>
      </c>
      <c r="C204" s="35">
        <f>'GF + UG Iteration 9'!C204</f>
        <v>13.3</v>
      </c>
      <c r="D204" s="36">
        <f>'GF + UG Iteration 9'!P$16*(C204^'GF + UG Iteration 9'!P$15)</f>
        <v>11.240931459104623</v>
      </c>
      <c r="E204" s="37" t="str">
        <f>'GF + UG Iteration 9'!E204</f>
        <v>unknown</v>
      </c>
      <c r="F204" s="35">
        <f>'GF + UG Iteration 9'!F204</f>
        <v>10.599999999999998</v>
      </c>
      <c r="G204" s="36">
        <f>'GF + UG Iteration 9'!G204</f>
        <v>7.6364894321569698</v>
      </c>
      <c r="H204" s="38">
        <f>'GF + UG Iteration 9'!H204</f>
        <v>2012</v>
      </c>
      <c r="I204" s="35">
        <f t="shared" si="20"/>
        <v>23.9</v>
      </c>
      <c r="J204" s="36">
        <f t="shared" si="21"/>
        <v>18.877420891261593</v>
      </c>
      <c r="K204" s="38">
        <f t="shared" si="22"/>
        <v>2012</v>
      </c>
      <c r="M204" s="21">
        <f t="shared" si="23"/>
        <v>3.1738784589374651</v>
      </c>
      <c r="N204" s="21">
        <f t="shared" si="24"/>
        <v>2.9379665460502751</v>
      </c>
    </row>
    <row r="205" spans="1:14" x14ac:dyDescent="0.2">
      <c r="A205" s="33">
        <f>'GF + UG Iteration 9'!A205</f>
        <v>654</v>
      </c>
      <c r="B205" s="34" t="str">
        <f>'GF + UG Iteration 9'!B205</f>
        <v>UG</v>
      </c>
      <c r="C205" s="35">
        <f>'GF + UG Iteration 9'!C205</f>
        <v>7.29</v>
      </c>
      <c r="D205" s="36">
        <f>'GF + UG Iteration 9'!P$16*(C205^'GF + UG Iteration 9'!P$15)</f>
        <v>7.967076992017927</v>
      </c>
      <c r="E205" s="37">
        <f>'GF + UG Iteration 9'!E205</f>
        <v>1976</v>
      </c>
      <c r="F205" s="35">
        <f>'GF + UG Iteration 9'!F205</f>
        <v>4.4099999999999993</v>
      </c>
      <c r="G205" s="36">
        <f>'GF + UG Iteration 9'!G205</f>
        <v>0.73672544554632269</v>
      </c>
      <c r="H205" s="38">
        <f>'GF + UG Iteration 9'!H205</f>
        <v>2007</v>
      </c>
      <c r="I205" s="35">
        <f t="shared" si="20"/>
        <v>11.7</v>
      </c>
      <c r="J205" s="36">
        <f t="shared" si="21"/>
        <v>8.7038024375642493</v>
      </c>
      <c r="K205" s="38">
        <f t="shared" si="22"/>
        <v>2007</v>
      </c>
      <c r="M205" s="21">
        <f t="shared" si="23"/>
        <v>2.4595888418037104</v>
      </c>
      <c r="N205" s="21">
        <f t="shared" si="24"/>
        <v>2.1637599919658492</v>
      </c>
    </row>
    <row r="206" spans="1:14" x14ac:dyDescent="0.2">
      <c r="A206" s="33">
        <f>'GF + UG Iteration 9'!A206</f>
        <v>1394</v>
      </c>
      <c r="B206" s="34" t="str">
        <f>'GF + UG Iteration 9'!B206</f>
        <v>UG</v>
      </c>
      <c r="C206" s="35">
        <f>'GF + UG Iteration 9'!C206</f>
        <v>11.7</v>
      </c>
      <c r="D206" s="36">
        <f>'GF + UG Iteration 9'!P$16*(C206^'GF + UG Iteration 9'!P$15)</f>
        <v>10.445556119101589</v>
      </c>
      <c r="E206" s="37">
        <f>'GF + UG Iteration 9'!E206</f>
        <v>1976</v>
      </c>
      <c r="F206" s="35">
        <f>'GF + UG Iteration 9'!F206</f>
        <v>10</v>
      </c>
      <c r="G206" s="36">
        <f>'GF + UG Iteration 9'!G206</f>
        <v>5.0057806862702598</v>
      </c>
      <c r="H206" s="38">
        <f>'GF + UG Iteration 9'!H206</f>
        <v>2014</v>
      </c>
      <c r="I206" s="35">
        <f t="shared" si="20"/>
        <v>21.7</v>
      </c>
      <c r="J206" s="36">
        <f t="shared" si="21"/>
        <v>15.451336805371849</v>
      </c>
      <c r="K206" s="38">
        <f t="shared" si="22"/>
        <v>2014</v>
      </c>
      <c r="M206" s="21">
        <f t="shared" si="23"/>
        <v>3.0773122605464138</v>
      </c>
      <c r="N206" s="21">
        <f t="shared" si="24"/>
        <v>2.7376955242202525</v>
      </c>
    </row>
    <row r="207" spans="1:14" x14ac:dyDescent="0.2">
      <c r="A207" s="33">
        <f>'GF + UG Iteration 9'!A207</f>
        <v>1294</v>
      </c>
      <c r="B207" s="34" t="str">
        <f>'GF + UG Iteration 9'!B207</f>
        <v>UG</v>
      </c>
      <c r="C207" s="35">
        <f>'GF + UG Iteration 9'!C207</f>
        <v>8.5</v>
      </c>
      <c r="D207" s="36">
        <f>'GF + UG Iteration 9'!P$16*(C207^'GF + UG Iteration 9'!P$15)</f>
        <v>8.6992602685052969</v>
      </c>
      <c r="E207" s="37">
        <f>'GF + UG Iteration 9'!E207</f>
        <v>0</v>
      </c>
      <c r="F207" s="35">
        <f>'GF + UG Iteration 9'!F207</f>
        <v>1.5999999999999996</v>
      </c>
      <c r="G207" s="36">
        <f>'GF + UG Iteration 9'!G207</f>
        <v>4.5619922667121129</v>
      </c>
      <c r="H207" s="38">
        <f>'GF + UG Iteration 9'!H207</f>
        <v>2014</v>
      </c>
      <c r="I207" s="35">
        <f t="shared" si="20"/>
        <v>10.1</v>
      </c>
      <c r="J207" s="36">
        <f t="shared" si="21"/>
        <v>13.261252535217409</v>
      </c>
      <c r="K207" s="38">
        <f t="shared" si="22"/>
        <v>2014</v>
      </c>
      <c r="M207" s="21">
        <f t="shared" si="23"/>
        <v>2.3125354238472138</v>
      </c>
      <c r="N207" s="21">
        <f t="shared" si="24"/>
        <v>2.5848464399661708</v>
      </c>
    </row>
    <row r="208" spans="1:14" x14ac:dyDescent="0.2">
      <c r="A208" s="33">
        <f>'GF + UG Iteration 9'!A208</f>
        <v>1670</v>
      </c>
      <c r="B208" s="34" t="str">
        <f>'GF + UG Iteration 9'!B208</f>
        <v>UG</v>
      </c>
      <c r="C208" s="35">
        <f>'GF + UG Iteration 9'!C208</f>
        <v>31.45</v>
      </c>
      <c r="D208" s="36">
        <f>'GF + UG Iteration 9'!P$16*(C208^'GF + UG Iteration 9'!P$15)</f>
        <v>18.399201951019592</v>
      </c>
      <c r="E208" s="37">
        <f>'GF + UG Iteration 9'!E208</f>
        <v>0</v>
      </c>
      <c r="F208" s="35">
        <f>'GF + UG Iteration 9'!F208</f>
        <v>24.250000000000004</v>
      </c>
      <c r="G208" s="36">
        <f>'GF + UG Iteration 9'!G208</f>
        <v>2.7943521582603679</v>
      </c>
      <c r="H208" s="38">
        <f>'GF + UG Iteration 9'!H208</f>
        <v>2016</v>
      </c>
      <c r="I208" s="35">
        <f t="shared" si="20"/>
        <v>55.7</v>
      </c>
      <c r="J208" s="36">
        <f t="shared" si="21"/>
        <v>21.193554109279958</v>
      </c>
      <c r="K208" s="38">
        <f t="shared" si="22"/>
        <v>2016</v>
      </c>
      <c r="M208" s="21">
        <f t="shared" si="23"/>
        <v>4.0199801469332384</v>
      </c>
      <c r="N208" s="21">
        <f t="shared" si="24"/>
        <v>3.0536970839958948</v>
      </c>
    </row>
    <row r="209" spans="1:14" x14ac:dyDescent="0.2">
      <c r="A209" s="33">
        <f>'GF + UG Iteration 9'!A209</f>
        <v>579</v>
      </c>
      <c r="B209" s="34" t="str">
        <f>'GF + UG Iteration 9'!B209</f>
        <v>UG</v>
      </c>
      <c r="C209" s="35">
        <f>'GF + UG Iteration 9'!C209</f>
        <v>17.100000000000001</v>
      </c>
      <c r="D209" s="36">
        <f>'GF + UG Iteration 9'!P$16*(C209^'GF + UG Iteration 9'!P$15)</f>
        <v>12.980504614317589</v>
      </c>
      <c r="E209" s="37" t="str">
        <f>'GF + UG Iteration 9'!E209</f>
        <v>unknown</v>
      </c>
      <c r="F209" s="35">
        <f>'GF + UG Iteration 9'!F209</f>
        <v>11</v>
      </c>
      <c r="G209" s="36">
        <f>'GF + UG Iteration 9'!G209</f>
        <v>3.6516230200538073</v>
      </c>
      <c r="H209" s="38">
        <f>'GF + UG Iteration 9'!H209</f>
        <v>2008</v>
      </c>
      <c r="I209" s="35">
        <f t="shared" si="20"/>
        <v>28.1</v>
      </c>
      <c r="J209" s="36">
        <f t="shared" si="21"/>
        <v>16.632127634371397</v>
      </c>
      <c r="K209" s="38">
        <f t="shared" si="22"/>
        <v>2008</v>
      </c>
      <c r="M209" s="21">
        <f t="shared" si="23"/>
        <v>3.3357695763396999</v>
      </c>
      <c r="N209" s="21">
        <f t="shared" si="24"/>
        <v>2.8113362245505207</v>
      </c>
    </row>
    <row r="210" spans="1:14" x14ac:dyDescent="0.2">
      <c r="A210" s="33">
        <f>'GF + UG Iteration 9'!A210</f>
        <v>1670</v>
      </c>
      <c r="B210" s="34" t="str">
        <f>'GF + UG Iteration 9'!B210</f>
        <v>UG</v>
      </c>
      <c r="C210" s="35">
        <f>'GF + UG Iteration 9'!C210</f>
        <v>18.79</v>
      </c>
      <c r="D210" s="36">
        <f>'GF + UG Iteration 9'!P$16*(C210^'GF + UG Iteration 9'!P$15)</f>
        <v>13.700168531923897</v>
      </c>
      <c r="E210" s="37">
        <f>'GF + UG Iteration 9'!E210</f>
        <v>0</v>
      </c>
      <c r="F210" s="35">
        <f>'GF + UG Iteration 9'!F210</f>
        <v>30.509999999999998</v>
      </c>
      <c r="G210" s="36">
        <f>'GF + UG Iteration 9'!G210</f>
        <v>18.363697996227653</v>
      </c>
      <c r="H210" s="38">
        <f>'GF + UG Iteration 9'!H210</f>
        <v>2016</v>
      </c>
      <c r="I210" s="35">
        <f t="shared" si="20"/>
        <v>49.3</v>
      </c>
      <c r="J210" s="36">
        <f t="shared" si="21"/>
        <v>32.06386652815155</v>
      </c>
      <c r="K210" s="38">
        <f t="shared" si="22"/>
        <v>2016</v>
      </c>
      <c r="M210" s="21">
        <f t="shared" si="23"/>
        <v>3.8979240810486444</v>
      </c>
      <c r="N210" s="21">
        <f t="shared" si="24"/>
        <v>3.4677297427838116</v>
      </c>
    </row>
    <row r="211" spans="1:14" x14ac:dyDescent="0.2">
      <c r="A211" s="33">
        <f>'GF + UG Iteration 9'!A211</f>
        <v>1083</v>
      </c>
      <c r="B211" s="34" t="str">
        <f>'GF + UG Iteration 9'!B211</f>
        <v>UG</v>
      </c>
      <c r="C211" s="35">
        <f>'GF + UG Iteration 9'!C211</f>
        <v>7.53</v>
      </c>
      <c r="D211" s="36">
        <f>'GF + UG Iteration 9'!P$16*(C211^'GF + UG Iteration 9'!P$15)</f>
        <v>8.1162076968294858</v>
      </c>
      <c r="E211" s="37">
        <f>'GF + UG Iteration 9'!E211</f>
        <v>1981</v>
      </c>
      <c r="F211" s="35">
        <f>'GF + UG Iteration 9'!F211</f>
        <v>5.87</v>
      </c>
      <c r="G211" s="36">
        <f>'GF + UG Iteration 9'!G211</f>
        <v>7.4125108979310461</v>
      </c>
      <c r="H211" s="38">
        <f>'GF + UG Iteration 9'!H211</f>
        <v>2011</v>
      </c>
      <c r="I211" s="35">
        <f t="shared" si="20"/>
        <v>13.4</v>
      </c>
      <c r="J211" s="36">
        <f t="shared" si="21"/>
        <v>15.528718594760532</v>
      </c>
      <c r="K211" s="38">
        <f t="shared" si="22"/>
        <v>2011</v>
      </c>
      <c r="M211" s="21">
        <f t="shared" si="23"/>
        <v>2.5952547069568657</v>
      </c>
      <c r="N211" s="21">
        <f t="shared" si="24"/>
        <v>2.7426911221504362</v>
      </c>
    </row>
    <row r="212" spans="1:14" x14ac:dyDescent="0.2">
      <c r="A212" s="33">
        <f>'GF + UG Iteration 9'!A212</f>
        <v>552</v>
      </c>
      <c r="B212" s="34" t="str">
        <f>'GF + UG Iteration 9'!B212</f>
        <v>UG</v>
      </c>
      <c r="C212" s="35">
        <f>'GF + UG Iteration 9'!C212</f>
        <v>20.229999999999997</v>
      </c>
      <c r="D212" s="36">
        <f>'GF + UG Iteration 9'!P$16*(C212^'GF + UG Iteration 9'!P$15)</f>
        <v>14.29179131154088</v>
      </c>
      <c r="E212" s="37">
        <f>'GF + UG Iteration 9'!E212</f>
        <v>1991</v>
      </c>
      <c r="F212" s="35">
        <f>'GF + UG Iteration 9'!F212</f>
        <v>10.470000000000002</v>
      </c>
      <c r="G212" s="36">
        <f>'GF + UG Iteration 9'!G212</f>
        <v>1.1457716756011658</v>
      </c>
      <c r="H212" s="38">
        <f>'GF + UG Iteration 9'!H212</f>
        <v>2006</v>
      </c>
      <c r="I212" s="35">
        <f t="shared" si="20"/>
        <v>30.7</v>
      </c>
      <c r="J212" s="36">
        <f t="shared" si="21"/>
        <v>15.437562987142046</v>
      </c>
      <c r="K212" s="38">
        <f t="shared" si="22"/>
        <v>2006</v>
      </c>
      <c r="M212" s="21">
        <f t="shared" si="23"/>
        <v>3.4242626545931514</v>
      </c>
      <c r="N212" s="21">
        <f t="shared" si="24"/>
        <v>2.736803694518628</v>
      </c>
    </row>
    <row r="213" spans="1:14" x14ac:dyDescent="0.2">
      <c r="A213" s="33">
        <f>'GF + UG Iteration 9'!A213</f>
        <v>1311</v>
      </c>
      <c r="B213" s="34" t="str">
        <f>'GF + UG Iteration 9'!B213</f>
        <v>UG</v>
      </c>
      <c r="C213" s="35">
        <f>'GF + UG Iteration 9'!C213</f>
        <v>30.7</v>
      </c>
      <c r="D213" s="36">
        <f>'GF + UG Iteration 9'!P$16*(C213^'GF + UG Iteration 9'!P$15)</f>
        <v>18.146693065782895</v>
      </c>
      <c r="E213" s="37">
        <f>'GF + UG Iteration 9'!E213</f>
        <v>1991</v>
      </c>
      <c r="F213" s="35">
        <f>'GF + UG Iteration 9'!F213</f>
        <v>19.3</v>
      </c>
      <c r="G213" s="36">
        <f>'GF + UG Iteration 9'!G213</f>
        <v>5.9841430822776953</v>
      </c>
      <c r="H213" s="38">
        <f>'GF + UG Iteration 9'!H213</f>
        <v>2013</v>
      </c>
      <c r="I213" s="35">
        <f t="shared" si="20"/>
        <v>50</v>
      </c>
      <c r="J213" s="36">
        <f t="shared" si="21"/>
        <v>24.130836148060588</v>
      </c>
      <c r="K213" s="38">
        <f t="shared" si="22"/>
        <v>2013</v>
      </c>
      <c r="M213" s="21">
        <f t="shared" si="23"/>
        <v>3.912023005428146</v>
      </c>
      <c r="N213" s="21">
        <f t="shared" si="24"/>
        <v>3.1834905308418264</v>
      </c>
    </row>
    <row r="214" spans="1:14" x14ac:dyDescent="0.2">
      <c r="A214" s="33">
        <f>'GF + UG Iteration 9'!A214</f>
        <v>1078</v>
      </c>
      <c r="B214" s="34" t="str">
        <f>'GF + UG Iteration 9'!B214</f>
        <v>UG</v>
      </c>
      <c r="C214" s="35">
        <f>'GF + UG Iteration 9'!C214</f>
        <v>17.66</v>
      </c>
      <c r="D214" s="36">
        <f>'GF + UG Iteration 9'!P$16*(C214^'GF + UG Iteration 9'!P$15)</f>
        <v>13.222208448379506</v>
      </c>
      <c r="E214" s="37">
        <f>'GF + UG Iteration 9'!E214</f>
        <v>1957</v>
      </c>
      <c r="F214" s="35">
        <f>'GF + UG Iteration 9'!F214</f>
        <v>7.34</v>
      </c>
      <c r="G214" s="36">
        <f>'GF + UG Iteration 9'!G214</f>
        <v>1.0936387702296273</v>
      </c>
      <c r="H214" s="38">
        <f>'GF + UG Iteration 9'!H214</f>
        <v>2011</v>
      </c>
      <c r="I214" s="35">
        <f t="shared" si="20"/>
        <v>25</v>
      </c>
      <c r="J214" s="36">
        <f t="shared" si="21"/>
        <v>14.315847218609134</v>
      </c>
      <c r="K214" s="38">
        <f t="shared" si="22"/>
        <v>2011</v>
      </c>
      <c r="M214" s="21">
        <f t="shared" si="23"/>
        <v>3.2188758248682006</v>
      </c>
      <c r="N214" s="21">
        <f t="shared" si="24"/>
        <v>2.6613671207742655</v>
      </c>
    </row>
    <row r="215" spans="1:14" x14ac:dyDescent="0.2">
      <c r="A215" s="33">
        <f>'GF + UG Iteration 9'!A215</f>
        <v>495</v>
      </c>
      <c r="B215" s="34" t="str">
        <f>'GF + UG Iteration 9'!B215</f>
        <v>UG</v>
      </c>
      <c r="C215" s="35">
        <f>'GF + UG Iteration 9'!C215</f>
        <v>12.974</v>
      </c>
      <c r="D215" s="36">
        <f>'GF + UG Iteration 9'!P$16*(C215^'GF + UG Iteration 9'!P$15)</f>
        <v>11.082344281389528</v>
      </c>
      <c r="E215" s="37">
        <f>'GF + UG Iteration 9'!E215</f>
        <v>1982</v>
      </c>
      <c r="F215" s="35">
        <f>'GF + UG Iteration 9'!F215</f>
        <v>0</v>
      </c>
      <c r="G215" s="36">
        <f>'GF + UG Iteration 9'!G215</f>
        <v>3.5907902166068872</v>
      </c>
      <c r="H215" s="38">
        <f>'GF + UG Iteration 9'!H215</f>
        <v>2006</v>
      </c>
      <c r="I215" s="35">
        <f t="shared" si="20"/>
        <v>12.974</v>
      </c>
      <c r="J215" s="36">
        <f t="shared" si="21"/>
        <v>14.673134497996415</v>
      </c>
      <c r="K215" s="38">
        <f t="shared" si="22"/>
        <v>2006</v>
      </c>
      <c r="M215" s="21">
        <f t="shared" si="23"/>
        <v>2.5629473547908637</v>
      </c>
      <c r="N215" s="21">
        <f t="shared" si="24"/>
        <v>2.6860182365430556</v>
      </c>
    </row>
    <row r="216" spans="1:14" x14ac:dyDescent="0.2">
      <c r="A216" s="33">
        <f>'GF + UG Iteration 9'!A216</f>
        <v>383</v>
      </c>
      <c r="B216" s="34" t="str">
        <f>'GF + UG Iteration 9'!B216</f>
        <v>UG</v>
      </c>
      <c r="C216" s="35">
        <f>'GF + UG Iteration 9'!C216</f>
        <v>0.51</v>
      </c>
      <c r="D216" s="36">
        <f>'GF + UG Iteration 9'!P$16*(C216^'GF + UG Iteration 9'!P$15)</f>
        <v>1.7375142756149942</v>
      </c>
      <c r="E216" s="37">
        <f>'GF + UG Iteration 9'!E216</f>
        <v>1984</v>
      </c>
      <c r="F216" s="35">
        <f>'GF + UG Iteration 9'!F216</f>
        <v>8</v>
      </c>
      <c r="G216" s="36">
        <f>'GF + UG Iteration 9'!G216</f>
        <v>3.9501723720469593</v>
      </c>
      <c r="H216" s="38">
        <f>'GF + UG Iteration 9'!H216</f>
        <v>2005</v>
      </c>
      <c r="I216" s="35">
        <f t="shared" si="20"/>
        <v>8.51</v>
      </c>
      <c r="J216" s="36">
        <f t="shared" si="21"/>
        <v>5.6876866476619536</v>
      </c>
      <c r="K216" s="38">
        <f t="shared" si="22"/>
        <v>2005</v>
      </c>
      <c r="M216" s="21">
        <f t="shared" si="23"/>
        <v>2.1412419425852827</v>
      </c>
      <c r="N216" s="21">
        <f t="shared" si="24"/>
        <v>1.7383036009099297</v>
      </c>
    </row>
    <row r="217" spans="1:14" x14ac:dyDescent="0.2">
      <c r="A217" s="33">
        <f>'GF + UG Iteration 9'!A217</f>
        <v>1020</v>
      </c>
      <c r="B217" s="34" t="str">
        <f>'GF + UG Iteration 9'!B217</f>
        <v>UG</v>
      </c>
      <c r="C217" s="35">
        <f>'GF + UG Iteration 9'!C217</f>
        <v>13</v>
      </c>
      <c r="D217" s="36">
        <f>'GF + UG Iteration 9'!P$16*(C217^'GF + UG Iteration 9'!P$15)</f>
        <v>11.095054381545198</v>
      </c>
      <c r="E217" s="37">
        <f>'GF + UG Iteration 9'!E217</f>
        <v>1977</v>
      </c>
      <c r="F217" s="35">
        <f>'GF + UG Iteration 9'!F217</f>
        <v>9</v>
      </c>
      <c r="G217" s="36">
        <f>'GF + UG Iteration 9'!G217</f>
        <v>7.3449786888029998</v>
      </c>
      <c r="H217" s="38">
        <f>'GF + UG Iteration 9'!H217</f>
        <v>2010</v>
      </c>
      <c r="I217" s="35">
        <f t="shared" si="20"/>
        <v>22</v>
      </c>
      <c r="J217" s="36">
        <f t="shared" si="21"/>
        <v>18.4400330703482</v>
      </c>
      <c r="K217" s="38">
        <f t="shared" si="22"/>
        <v>2010</v>
      </c>
      <c r="M217" s="21">
        <f t="shared" si="23"/>
        <v>3.0910424533583161</v>
      </c>
      <c r="N217" s="21">
        <f t="shared" si="24"/>
        <v>2.9145240115296702</v>
      </c>
    </row>
    <row r="218" spans="1:14" x14ac:dyDescent="0.2">
      <c r="A218" s="33">
        <f>'GF + UG Iteration 9'!A218</f>
        <v>1364</v>
      </c>
      <c r="B218" s="34" t="str">
        <f>'GF + UG Iteration 9'!B218</f>
        <v>UG</v>
      </c>
      <c r="C218" s="35">
        <f>'GF + UG Iteration 9'!C218</f>
        <v>8.5</v>
      </c>
      <c r="D218" s="36">
        <f>'GF + UG Iteration 9'!P$16*(C218^'GF + UG Iteration 9'!P$15)</f>
        <v>8.6992602685052969</v>
      </c>
      <c r="E218" s="37">
        <f>'GF + UG Iteration 9'!E218</f>
        <v>0</v>
      </c>
      <c r="F218" s="35">
        <f>'GF + UG Iteration 9'!F218</f>
        <v>34</v>
      </c>
      <c r="G218" s="36">
        <f>'GF + UG Iteration 9'!G218</f>
        <v>8.7951197470845859</v>
      </c>
      <c r="H218" s="38">
        <f>'GF + UG Iteration 9'!H218</f>
        <v>2013</v>
      </c>
      <c r="I218" s="35">
        <f t="shared" si="20"/>
        <v>42.5</v>
      </c>
      <c r="J218" s="36">
        <f t="shared" si="21"/>
        <v>17.494380015589883</v>
      </c>
      <c r="K218" s="38">
        <f t="shared" si="22"/>
        <v>2013</v>
      </c>
      <c r="M218" s="21">
        <f t="shared" si="23"/>
        <v>3.7495040759303713</v>
      </c>
      <c r="N218" s="21">
        <f t="shared" si="24"/>
        <v>2.8618796873860521</v>
      </c>
    </row>
    <row r="219" spans="1:14" x14ac:dyDescent="0.2">
      <c r="A219" s="33">
        <f>'GF + UG Iteration 9'!A219</f>
        <v>503</v>
      </c>
      <c r="B219" s="34" t="str">
        <f>'GF + UG Iteration 9'!B219</f>
        <v>UG</v>
      </c>
      <c r="C219" s="35">
        <f>'GF + UG Iteration 9'!C219</f>
        <v>31</v>
      </c>
      <c r="D219" s="36">
        <f>'GF + UG Iteration 9'!P$16*(C219^'GF + UG Iteration 9'!P$15)</f>
        <v>18.24800960041005</v>
      </c>
      <c r="E219" s="37">
        <f>'GF + UG Iteration 9'!E219</f>
        <v>1972</v>
      </c>
      <c r="F219" s="35">
        <f>'GF + UG Iteration 9'!F219</f>
        <v>16</v>
      </c>
      <c r="G219" s="36">
        <f>'GF + UG Iteration 9'!G219</f>
        <v>3.8033222269089473</v>
      </c>
      <c r="H219" s="38">
        <f>'GF + UG Iteration 9'!H219</f>
        <v>2007</v>
      </c>
      <c r="I219" s="35">
        <f t="shared" si="20"/>
        <v>47</v>
      </c>
      <c r="J219" s="36">
        <f t="shared" si="21"/>
        <v>22.051331827318997</v>
      </c>
      <c r="K219" s="38">
        <f t="shared" si="22"/>
        <v>2007</v>
      </c>
      <c r="M219" s="21">
        <f t="shared" si="23"/>
        <v>3.8501476017100584</v>
      </c>
      <c r="N219" s="21">
        <f t="shared" si="24"/>
        <v>3.0933730004007556</v>
      </c>
    </row>
    <row r="220" spans="1:14" x14ac:dyDescent="0.2">
      <c r="A220" s="33">
        <f>'GF + UG Iteration 9'!A220</f>
        <v>925</v>
      </c>
      <c r="B220" s="34" t="str">
        <f>'GF + UG Iteration 9'!B220</f>
        <v>UG</v>
      </c>
      <c r="C220" s="35">
        <f>'GF + UG Iteration 9'!C220</f>
        <v>47</v>
      </c>
      <c r="D220" s="36">
        <f>'GF + UG Iteration 9'!P$16*(C220^'GF + UG Iteration 9'!P$15)</f>
        <v>23.157607569724846</v>
      </c>
      <c r="E220" s="37">
        <f>'GF + UG Iteration 9'!E220</f>
        <v>1972</v>
      </c>
      <c r="F220" s="35">
        <f>'GF + UG Iteration 9'!F220</f>
        <v>9</v>
      </c>
      <c r="G220" s="36">
        <f>'GF + UG Iteration 9'!G220</f>
        <v>3.3164697860941139</v>
      </c>
      <c r="H220" s="38">
        <f>'GF + UG Iteration 9'!H220</f>
        <v>2011</v>
      </c>
      <c r="I220" s="35">
        <f t="shared" si="20"/>
        <v>56</v>
      </c>
      <c r="J220" s="36">
        <f t="shared" si="21"/>
        <v>26.474077355818959</v>
      </c>
      <c r="K220" s="38">
        <f t="shared" si="22"/>
        <v>2011</v>
      </c>
      <c r="M220" s="21">
        <f t="shared" si="23"/>
        <v>4.0253516907351496</v>
      </c>
      <c r="N220" s="21">
        <f t="shared" si="24"/>
        <v>3.2761660412416411</v>
      </c>
    </row>
    <row r="221" spans="1:14" x14ac:dyDescent="0.2">
      <c r="A221" s="33">
        <f>'GF + UG Iteration 9'!A221</f>
        <v>821</v>
      </c>
      <c r="B221" s="34" t="str">
        <f>'GF + UG Iteration 9'!B221</f>
        <v>UG</v>
      </c>
      <c r="C221" s="35">
        <f>'GF + UG Iteration 9'!C221</f>
        <v>25</v>
      </c>
      <c r="D221" s="36">
        <f>'GF + UG Iteration 9'!P$16*(C221^'GF + UG Iteration 9'!P$15)</f>
        <v>16.133481838010393</v>
      </c>
      <c r="E221" s="37">
        <f>'GF + UG Iteration 9'!E221</f>
        <v>2006</v>
      </c>
      <c r="F221" s="35">
        <f>'GF + UG Iteration 9'!F221</f>
        <v>32</v>
      </c>
      <c r="G221" s="36">
        <f>'GF + UG Iteration 9'!G221</f>
        <v>9.4177371403666275</v>
      </c>
      <c r="H221" s="38">
        <f>'GF + UG Iteration 9'!H221</f>
        <v>2011</v>
      </c>
      <c r="I221" s="35">
        <f t="shared" si="20"/>
        <v>57</v>
      </c>
      <c r="J221" s="36">
        <f t="shared" si="21"/>
        <v>25.551218978377022</v>
      </c>
      <c r="K221" s="38">
        <f t="shared" si="22"/>
        <v>2011</v>
      </c>
      <c r="M221" s="21">
        <f t="shared" si="23"/>
        <v>4.0430512678345503</v>
      </c>
      <c r="N221" s="21">
        <f t="shared" si="24"/>
        <v>3.2406850250371697</v>
      </c>
    </row>
    <row r="222" spans="1:14" x14ac:dyDescent="0.2">
      <c r="A222" s="33">
        <f>'GF + UG Iteration 9'!A222</f>
        <v>486</v>
      </c>
      <c r="B222" s="34" t="str">
        <f>'GF + UG Iteration 9'!B222</f>
        <v>UG</v>
      </c>
      <c r="C222" s="35">
        <f>'GF + UG Iteration 9'!C222</f>
        <v>10.81</v>
      </c>
      <c r="D222" s="36">
        <f>'GF + UG Iteration 9'!P$16*(C222^'GF + UG Iteration 9'!P$15)</f>
        <v>9.9829544639516925</v>
      </c>
      <c r="E222" s="37">
        <f>'GF + UG Iteration 9'!E222</f>
        <v>1993</v>
      </c>
      <c r="F222" s="35">
        <f>'GF + UG Iteration 9'!F222</f>
        <v>3.1399999999999988</v>
      </c>
      <c r="G222" s="36">
        <f>'GF + UG Iteration 9'!G222</f>
        <v>0.34692120274319505</v>
      </c>
      <c r="H222" s="38">
        <f>'GF + UG Iteration 9'!H222</f>
        <v>2005</v>
      </c>
      <c r="I222" s="35">
        <f t="shared" si="20"/>
        <v>13.95</v>
      </c>
      <c r="J222" s="36">
        <f t="shared" si="21"/>
        <v>10.329875666694887</v>
      </c>
      <c r="K222" s="38">
        <f t="shared" si="22"/>
        <v>2005</v>
      </c>
      <c r="M222" s="21">
        <f t="shared" si="23"/>
        <v>2.6354795082673745</v>
      </c>
      <c r="N222" s="21">
        <f t="shared" si="24"/>
        <v>2.3350402469211535</v>
      </c>
    </row>
    <row r="223" spans="1:14" x14ac:dyDescent="0.2">
      <c r="A223" s="33">
        <f>'GF + UG Iteration 9'!A223</f>
        <v>779</v>
      </c>
      <c r="B223" s="34" t="str">
        <f>'GF + UG Iteration 9'!B223</f>
        <v>UG</v>
      </c>
      <c r="C223" s="35">
        <f>'GF + UG Iteration 9'!C223</f>
        <v>13.95</v>
      </c>
      <c r="D223" s="36">
        <f>'GF + UG Iteration 9'!P$16*(C223^'GF + UG Iteration 9'!P$15)</f>
        <v>11.552254324750447</v>
      </c>
      <c r="E223" s="37">
        <f>'GF + UG Iteration 9'!E223</f>
        <v>1993</v>
      </c>
      <c r="F223" s="35">
        <f>'GF + UG Iteration 9'!F223</f>
        <v>4.0500000000000007</v>
      </c>
      <c r="G223" s="36">
        <f>'GF + UG Iteration 9'!G223</f>
        <v>0.91575874480529229</v>
      </c>
      <c r="H223" s="38">
        <f>'GF + UG Iteration 9'!H223</f>
        <v>2008</v>
      </c>
      <c r="I223" s="35">
        <f t="shared" si="20"/>
        <v>18</v>
      </c>
      <c r="J223" s="36">
        <f t="shared" si="21"/>
        <v>12.468013069555738</v>
      </c>
      <c r="K223" s="38">
        <f t="shared" si="22"/>
        <v>2008</v>
      </c>
      <c r="M223" s="21">
        <f t="shared" si="23"/>
        <v>2.8903717578961645</v>
      </c>
      <c r="N223" s="21">
        <f t="shared" si="24"/>
        <v>2.5231664101525153</v>
      </c>
    </row>
    <row r="224" spans="1:14" x14ac:dyDescent="0.2">
      <c r="A224" s="33">
        <f>'GF + UG Iteration 9'!A224</f>
        <v>1416</v>
      </c>
      <c r="B224" s="34" t="str">
        <f>'GF + UG Iteration 9'!B224</f>
        <v>UG</v>
      </c>
      <c r="C224" s="35">
        <f>'GF + UG Iteration 9'!C224</f>
        <v>18</v>
      </c>
      <c r="D224" s="36">
        <f>'GF + UG Iteration 9'!P$16*(C224^'GF + UG Iteration 9'!P$15)</f>
        <v>13.367359929716722</v>
      </c>
      <c r="E224" s="37">
        <f>'GF + UG Iteration 9'!E224</f>
        <v>1993</v>
      </c>
      <c r="F224" s="35">
        <f>'GF + UG Iteration 9'!F224</f>
        <v>6</v>
      </c>
      <c r="G224" s="36">
        <f>'GF + UG Iteration 9'!G224</f>
        <v>1.4181567457767223</v>
      </c>
      <c r="H224" s="38">
        <f>'GF + UG Iteration 9'!H224</f>
        <v>2014</v>
      </c>
      <c r="I224" s="35">
        <f t="shared" si="20"/>
        <v>24</v>
      </c>
      <c r="J224" s="36">
        <f t="shared" si="21"/>
        <v>14.785516675493444</v>
      </c>
      <c r="K224" s="38">
        <f t="shared" si="22"/>
        <v>2014</v>
      </c>
      <c r="M224" s="21">
        <f t="shared" si="23"/>
        <v>3.1780538303479458</v>
      </c>
      <c r="N224" s="21">
        <f t="shared" si="24"/>
        <v>2.6936480986183264</v>
      </c>
    </row>
    <row r="225" spans="1:14" x14ac:dyDescent="0.2">
      <c r="A225" s="33">
        <f>'GF + UG Iteration 9'!A225</f>
        <v>554</v>
      </c>
      <c r="B225" s="34" t="str">
        <f>'GF + UG Iteration 9'!B225</f>
        <v>UG</v>
      </c>
      <c r="C225" s="35">
        <f>'GF + UG Iteration 9'!C225</f>
        <v>23</v>
      </c>
      <c r="D225" s="36">
        <f>'GF + UG Iteration 9'!P$16*(C225^'GF + UG Iteration 9'!P$15)</f>
        <v>15.381379452931855</v>
      </c>
      <c r="E225" s="37">
        <f>'GF + UG Iteration 9'!E225</f>
        <v>1968</v>
      </c>
      <c r="F225" s="35">
        <f>'GF + UG Iteration 9'!F225</f>
        <v>8.2600000000000016</v>
      </c>
      <c r="G225" s="36">
        <f>'GF + UG Iteration 9'!G225</f>
        <v>1.061095708813089</v>
      </c>
      <c r="H225" s="38">
        <f>'GF + UG Iteration 9'!H225</f>
        <v>2006</v>
      </c>
      <c r="I225" s="35">
        <f t="shared" si="20"/>
        <v>31.26</v>
      </c>
      <c r="J225" s="36">
        <f t="shared" si="21"/>
        <v>16.442475161744945</v>
      </c>
      <c r="K225" s="38">
        <f t="shared" si="22"/>
        <v>2006</v>
      </c>
      <c r="M225" s="21">
        <f t="shared" si="23"/>
        <v>3.4423393249933305</v>
      </c>
      <c r="N225" s="21">
        <f t="shared" si="24"/>
        <v>2.7998679355791793</v>
      </c>
    </row>
    <row r="226" spans="1:14" x14ac:dyDescent="0.2">
      <c r="A226" s="33">
        <f>'GF + UG Iteration 9'!A226</f>
        <v>1581</v>
      </c>
      <c r="B226" s="34" t="str">
        <f>'GF + UG Iteration 9'!B226</f>
        <v>UG</v>
      </c>
      <c r="C226" s="35">
        <f>'GF + UG Iteration 9'!C226</f>
        <v>7.44</v>
      </c>
      <c r="D226" s="36">
        <f>'GF + UG Iteration 9'!P$16*(C226^'GF + UG Iteration 9'!P$15)</f>
        <v>8.0605251872067267</v>
      </c>
      <c r="E226" s="37" t="str">
        <f>'GF + UG Iteration 9'!E226</f>
        <v>unknown</v>
      </c>
      <c r="F226" s="35">
        <f>'GF + UG Iteration 9'!F226</f>
        <v>9.36</v>
      </c>
      <c r="G226" s="36">
        <f>'GF + UG Iteration 9'!G226</f>
        <v>5.3848313505476417</v>
      </c>
      <c r="H226" s="38">
        <f>'GF + UG Iteration 9'!H226</f>
        <v>2015</v>
      </c>
      <c r="I226" s="35">
        <f t="shared" si="20"/>
        <v>16.8</v>
      </c>
      <c r="J226" s="36">
        <f t="shared" si="21"/>
        <v>13.445356537754368</v>
      </c>
      <c r="K226" s="38">
        <f t="shared" si="22"/>
        <v>2015</v>
      </c>
      <c r="M226" s="21">
        <f t="shared" si="23"/>
        <v>2.8213788864092133</v>
      </c>
      <c r="N226" s="21">
        <f t="shared" si="24"/>
        <v>2.5986338076105322</v>
      </c>
    </row>
    <row r="227" spans="1:14" x14ac:dyDescent="0.2">
      <c r="A227" s="33">
        <f>'GF + UG Iteration 9'!A227</f>
        <v>880</v>
      </c>
      <c r="B227" s="34" t="str">
        <f>'GF + UG Iteration 9'!B227</f>
        <v>UG</v>
      </c>
      <c r="C227" s="35">
        <f>'GF + UG Iteration 9'!C227</f>
        <v>8.9499999999999993</v>
      </c>
      <c r="D227" s="36">
        <f>'GF + UG Iteration 9'!P$16*(C227^'GF + UG Iteration 9'!P$15)</f>
        <v>8.960030997662173</v>
      </c>
      <c r="E227" s="37">
        <f>'GF + UG Iteration 9'!E227</f>
        <v>1966</v>
      </c>
      <c r="F227" s="35">
        <f>'GF + UG Iteration 9'!F227</f>
        <v>2.0500000000000007</v>
      </c>
      <c r="G227" s="36">
        <f>'GF + UG Iteration 9'!G227</f>
        <v>4.5763928166345611</v>
      </c>
      <c r="H227" s="38">
        <f>'GF + UG Iteration 9'!H227</f>
        <v>2010</v>
      </c>
      <c r="I227" s="35">
        <f t="shared" si="20"/>
        <v>11</v>
      </c>
      <c r="J227" s="36">
        <f t="shared" si="21"/>
        <v>13.536423814296734</v>
      </c>
      <c r="K227" s="38">
        <f t="shared" si="22"/>
        <v>2010</v>
      </c>
      <c r="M227" s="21">
        <f t="shared" si="23"/>
        <v>2.3978952727983707</v>
      </c>
      <c r="N227" s="21">
        <f t="shared" si="24"/>
        <v>2.6053841125315702</v>
      </c>
    </row>
    <row r="228" spans="1:14" x14ac:dyDescent="0.2">
      <c r="A228" s="33">
        <f>'GF + UG Iteration 9'!A228</f>
        <v>1047</v>
      </c>
      <c r="B228" s="34" t="str">
        <f>'GF + UG Iteration 9'!B228</f>
        <v>UG</v>
      </c>
      <c r="C228" s="35">
        <f>'GF + UG Iteration 9'!C228</f>
        <v>10</v>
      </c>
      <c r="D228" s="36">
        <f>'GF + UG Iteration 9'!P$16*(C228^'GF + UG Iteration 9'!P$15)</f>
        <v>9.5475649131071361</v>
      </c>
      <c r="E228" s="37">
        <f>'GF + UG Iteration 9'!E228</f>
        <v>1965</v>
      </c>
      <c r="F228" s="35">
        <f>'GF + UG Iteration 9'!F228</f>
        <v>5</v>
      </c>
      <c r="G228" s="36">
        <f>'GF + UG Iteration 9'!G228</f>
        <v>6.2586429220605622</v>
      </c>
      <c r="H228" s="38">
        <f>'GF + UG Iteration 9'!H228</f>
        <v>2012</v>
      </c>
      <c r="I228" s="35">
        <f t="shared" si="20"/>
        <v>15</v>
      </c>
      <c r="J228" s="36">
        <f t="shared" si="21"/>
        <v>15.806207835167697</v>
      </c>
      <c r="K228" s="38">
        <f t="shared" si="22"/>
        <v>2012</v>
      </c>
      <c r="M228" s="21">
        <f t="shared" si="23"/>
        <v>2.7080502011022101</v>
      </c>
      <c r="N228" s="21">
        <f t="shared" si="24"/>
        <v>2.7604027638275315</v>
      </c>
    </row>
    <row r="229" spans="1:14" x14ac:dyDescent="0.2">
      <c r="A229" s="33">
        <f>'GF + UG Iteration 9'!A229</f>
        <v>1045</v>
      </c>
      <c r="B229" s="34" t="str">
        <f>'GF + UG Iteration 9'!B229</f>
        <v>UG</v>
      </c>
      <c r="C229" s="35">
        <f>'GF + UG Iteration 9'!C229</f>
        <v>24.065999999999999</v>
      </c>
      <c r="D229" s="36">
        <f>'GF + UG Iteration 9'!P$16*(C229^'GF + UG Iteration 9'!P$15)</f>
        <v>15.785581075889613</v>
      </c>
      <c r="E229" s="37">
        <f>'GF + UG Iteration 9'!E229</f>
        <v>1971</v>
      </c>
      <c r="F229" s="35">
        <f>'GF + UG Iteration 9'!F229</f>
        <v>7.9340000000000011</v>
      </c>
      <c r="G229" s="36">
        <f>'GF + UG Iteration 9'!G229</f>
        <v>3.8009199870921253</v>
      </c>
      <c r="H229" s="38">
        <f>'GF + UG Iteration 9'!H229</f>
        <v>2011</v>
      </c>
      <c r="I229" s="35">
        <f t="shared" si="20"/>
        <v>32</v>
      </c>
      <c r="J229" s="36">
        <f t="shared" si="21"/>
        <v>19.586501062981739</v>
      </c>
      <c r="K229" s="38">
        <f t="shared" si="22"/>
        <v>2011</v>
      </c>
      <c r="M229" s="21">
        <f t="shared" si="23"/>
        <v>3.4657359027997265</v>
      </c>
      <c r="N229" s="21">
        <f t="shared" si="24"/>
        <v>2.9748406076825797</v>
      </c>
    </row>
    <row r="230" spans="1:14" x14ac:dyDescent="0.2">
      <c r="A230" s="33">
        <f>'GF + UG Iteration 9'!A230</f>
        <v>1616</v>
      </c>
      <c r="B230" s="34" t="str">
        <f>'GF + UG Iteration 9'!B230</f>
        <v>UG</v>
      </c>
      <c r="C230" s="35">
        <f>'GF + UG Iteration 9'!C230</f>
        <v>21.68</v>
      </c>
      <c r="D230" s="36">
        <f>'GF + UG Iteration 9'!P$16*(C230^'GF + UG Iteration 9'!P$15)</f>
        <v>14.869592951344602</v>
      </c>
      <c r="E230" s="37" t="str">
        <f>'GF + UG Iteration 9'!E230</f>
        <v>unknown</v>
      </c>
      <c r="F230" s="35">
        <f>'GF + UG Iteration 9'!F230</f>
        <v>25.75</v>
      </c>
      <c r="G230" s="36">
        <f>'GF + UG Iteration 9'!G230</f>
        <v>0.84818580502502572</v>
      </c>
      <c r="H230" s="38">
        <f>'GF + UG Iteration 9'!H230</f>
        <v>2015</v>
      </c>
      <c r="I230" s="35">
        <f t="shared" si="20"/>
        <v>47.43</v>
      </c>
      <c r="J230" s="36">
        <f t="shared" si="21"/>
        <v>15.717778756369627</v>
      </c>
      <c r="K230" s="38">
        <f t="shared" si="22"/>
        <v>2015</v>
      </c>
      <c r="M230" s="21">
        <f t="shared" si="23"/>
        <v>3.8592549398894902</v>
      </c>
      <c r="N230" s="21">
        <f t="shared" si="24"/>
        <v>2.7547924765318137</v>
      </c>
    </row>
    <row r="231" spans="1:14" x14ac:dyDescent="0.2">
      <c r="A231" s="33">
        <f>'GF + UG Iteration 9'!A231</f>
        <v>362</v>
      </c>
      <c r="B231" s="34" t="str">
        <f>'GF + UG Iteration 9'!B231</f>
        <v>UG</v>
      </c>
      <c r="C231" s="35">
        <f>'GF + UG Iteration 9'!C231</f>
        <v>51.8</v>
      </c>
      <c r="D231" s="36">
        <f>'GF + UG Iteration 9'!P$16*(C231^'GF + UG Iteration 9'!P$15)</f>
        <v>24.483473272316548</v>
      </c>
      <c r="E231" s="37">
        <f>'GF + UG Iteration 9'!E231</f>
        <v>1971</v>
      </c>
      <c r="F231" s="35">
        <f>'GF + UG Iteration 9'!F231</f>
        <v>1</v>
      </c>
      <c r="G231" s="36">
        <f>'GF + UG Iteration 9'!G231</f>
        <v>0.78848028183233532</v>
      </c>
      <c r="H231" s="38">
        <f>'GF + UG Iteration 9'!H231</f>
        <v>2004</v>
      </c>
      <c r="I231" s="35">
        <f t="shared" si="20"/>
        <v>52.8</v>
      </c>
      <c r="J231" s="36">
        <f t="shared" si="21"/>
        <v>25.271953554148883</v>
      </c>
      <c r="K231" s="38">
        <f t="shared" si="22"/>
        <v>2004</v>
      </c>
      <c r="M231" s="21">
        <f t="shared" si="23"/>
        <v>3.9665111907122159</v>
      </c>
      <c r="N231" s="21">
        <f t="shared" si="24"/>
        <v>3.2296952256597318</v>
      </c>
    </row>
    <row r="232" spans="1:14" x14ac:dyDescent="0.2">
      <c r="A232" s="33">
        <f>'GF + UG Iteration 9'!A232</f>
        <v>924</v>
      </c>
      <c r="B232" s="34" t="str">
        <f>'GF + UG Iteration 9'!B232</f>
        <v>UG</v>
      </c>
      <c r="C232" s="35">
        <f>'GF + UG Iteration 9'!C232</f>
        <v>45.94</v>
      </c>
      <c r="D232" s="36">
        <f>'GF + UG Iteration 9'!P$16*(C232^'GF + UG Iteration 9'!P$15)</f>
        <v>22.857126901670046</v>
      </c>
      <c r="E232" s="37">
        <f>'GF + UG Iteration 9'!E232</f>
        <v>1982</v>
      </c>
      <c r="F232" s="35">
        <f>'GF + UG Iteration 9'!F232</f>
        <v>6.0600000000000023</v>
      </c>
      <c r="G232" s="36">
        <f>'GF + UG Iteration 9'!G232</f>
        <v>1.4264307906682692</v>
      </c>
      <c r="H232" s="38">
        <f>'GF + UG Iteration 9'!H232</f>
        <v>2010</v>
      </c>
      <c r="I232" s="35">
        <f t="shared" si="20"/>
        <v>52</v>
      </c>
      <c r="J232" s="36">
        <f t="shared" si="21"/>
        <v>24.283557692338317</v>
      </c>
      <c r="K232" s="38">
        <f t="shared" si="22"/>
        <v>2010</v>
      </c>
      <c r="M232" s="21">
        <f t="shared" si="23"/>
        <v>3.9512437185814275</v>
      </c>
      <c r="N232" s="21">
        <f t="shared" si="24"/>
        <v>3.1897994831481986</v>
      </c>
    </row>
    <row r="233" spans="1:14" x14ac:dyDescent="0.2">
      <c r="A233" s="33">
        <f>'GF + UG Iteration 9'!A233</f>
        <v>1241</v>
      </c>
      <c r="B233" s="34" t="str">
        <f>'GF + UG Iteration 9'!B233</f>
        <v>UG</v>
      </c>
      <c r="C233" s="35">
        <f>'GF + UG Iteration 9'!C233</f>
        <v>20.29</v>
      </c>
      <c r="D233" s="36">
        <f>'GF + UG Iteration 9'!P$16*(C233^'GF + UG Iteration 9'!P$15)</f>
        <v>14.316044609004539</v>
      </c>
      <c r="E233" s="37" t="str">
        <f>'GF + UG Iteration 9'!E233</f>
        <v>unknown</v>
      </c>
      <c r="F233" s="35">
        <f>'GF + UG Iteration 9'!F233</f>
        <v>6</v>
      </c>
      <c r="G233" s="36">
        <f>'GF + UG Iteration 9'!G233</f>
        <v>2.625007735639064</v>
      </c>
      <c r="H233" s="38">
        <f>'GF + UG Iteration 9'!H233</f>
        <v>2012</v>
      </c>
      <c r="I233" s="35">
        <f t="shared" si="20"/>
        <v>26.29</v>
      </c>
      <c r="J233" s="36">
        <f t="shared" si="21"/>
        <v>16.941052344643602</v>
      </c>
      <c r="K233" s="38">
        <f t="shared" si="22"/>
        <v>2012</v>
      </c>
      <c r="M233" s="21">
        <f t="shared" si="23"/>
        <v>3.2691886387417899</v>
      </c>
      <c r="N233" s="21">
        <f t="shared" si="24"/>
        <v>2.8297398091742116</v>
      </c>
    </row>
    <row r="234" spans="1:14" x14ac:dyDescent="0.2">
      <c r="A234" s="33">
        <f>'GF + UG Iteration 9'!A234</f>
        <v>438</v>
      </c>
      <c r="B234" s="34" t="str">
        <f>'GF + UG Iteration 9'!B234</f>
        <v>UG</v>
      </c>
      <c r="C234" s="35">
        <f>'GF + UG Iteration 9'!C234</f>
        <v>8.2460000000000004</v>
      </c>
      <c r="D234" s="36">
        <f>'GF + UG Iteration 9'!P$16*(C234^'GF + UG Iteration 9'!P$15)</f>
        <v>8.5494623709429511</v>
      </c>
      <c r="E234" s="37">
        <f>'GF + UG Iteration 9'!E234</f>
        <v>1978</v>
      </c>
      <c r="F234" s="35">
        <f>'GF + UG Iteration 9'!F234</f>
        <v>1</v>
      </c>
      <c r="G234" s="36">
        <f>'GF + UG Iteration 9'!G234</f>
        <v>0.18095315250984781</v>
      </c>
      <c r="H234" s="38">
        <f>'GF + UG Iteration 9'!H234</f>
        <v>2004</v>
      </c>
      <c r="I234" s="35">
        <f t="shared" si="20"/>
        <v>9.2460000000000004</v>
      </c>
      <c r="J234" s="36">
        <f t="shared" si="21"/>
        <v>8.7304155234527983</v>
      </c>
      <c r="K234" s="38">
        <f t="shared" si="22"/>
        <v>2004</v>
      </c>
      <c r="M234" s="21">
        <f t="shared" si="23"/>
        <v>2.2241910255660335</v>
      </c>
      <c r="N234" s="21">
        <f t="shared" si="24"/>
        <v>2.166812965906979</v>
      </c>
    </row>
    <row r="235" spans="1:14" x14ac:dyDescent="0.2">
      <c r="A235" s="33">
        <f>'GF + UG Iteration 9'!A235</f>
        <v>748</v>
      </c>
      <c r="B235" s="34" t="str">
        <f>'GF + UG Iteration 9'!B235</f>
        <v>UG</v>
      </c>
      <c r="C235" s="35">
        <f>'GF + UG Iteration 9'!C235</f>
        <v>25.541</v>
      </c>
      <c r="D235" s="36">
        <f>'GF + UG Iteration 9'!P$16*(C235^'GF + UG Iteration 9'!P$15)</f>
        <v>16.332455821785135</v>
      </c>
      <c r="E235" s="37">
        <f>'GF + UG Iteration 9'!E235</f>
        <v>1995</v>
      </c>
      <c r="F235" s="35">
        <f>'GF + UG Iteration 9'!F235</f>
        <v>1</v>
      </c>
      <c r="G235" s="36">
        <f>'GF + UG Iteration 9'!G235</f>
        <v>0.38858476644316492</v>
      </c>
      <c r="H235" s="38">
        <f>'GF + UG Iteration 9'!H235</f>
        <v>2008</v>
      </c>
      <c r="I235" s="35">
        <f t="shared" si="20"/>
        <v>26.541</v>
      </c>
      <c r="J235" s="36">
        <f t="shared" si="21"/>
        <v>16.721040588228302</v>
      </c>
      <c r="K235" s="38">
        <f t="shared" si="22"/>
        <v>2008</v>
      </c>
      <c r="M235" s="21">
        <f t="shared" si="23"/>
        <v>3.2786907071693587</v>
      </c>
      <c r="N235" s="21">
        <f t="shared" si="24"/>
        <v>2.816667841858024</v>
      </c>
    </row>
    <row r="236" spans="1:14" x14ac:dyDescent="0.2">
      <c r="A236" s="33">
        <f>'GF + UG Iteration 9'!A236</f>
        <v>1319</v>
      </c>
      <c r="B236" s="34" t="str">
        <f>'GF + UG Iteration 9'!B236</f>
        <v>UG</v>
      </c>
      <c r="C236" s="35">
        <f>'GF + UG Iteration 9'!C236</f>
        <v>15.71</v>
      </c>
      <c r="D236" s="36">
        <f>'GF + UG Iteration 9'!P$16*(C236^'GF + UG Iteration 9'!P$15)</f>
        <v>12.365474793337714</v>
      </c>
      <c r="E236" s="37">
        <f>'GF + UG Iteration 9'!E236</f>
        <v>0</v>
      </c>
      <c r="F236" s="35">
        <f>'GF + UG Iteration 9'!F236</f>
        <v>4.2899999999999991</v>
      </c>
      <c r="G236" s="36">
        <f>'GF + UG Iteration 9'!G236</f>
        <v>3.2376779482440865</v>
      </c>
      <c r="H236" s="38">
        <f>'GF + UG Iteration 9'!H236</f>
        <v>2014</v>
      </c>
      <c r="I236" s="35">
        <f t="shared" si="20"/>
        <v>20</v>
      </c>
      <c r="J236" s="36">
        <f t="shared" si="21"/>
        <v>15.603152741581802</v>
      </c>
      <c r="K236" s="38">
        <f t="shared" si="22"/>
        <v>2014</v>
      </c>
      <c r="M236" s="21">
        <f t="shared" si="23"/>
        <v>2.9957322735539909</v>
      </c>
      <c r="N236" s="21">
        <f t="shared" si="24"/>
        <v>2.7474729926556223</v>
      </c>
    </row>
    <row r="237" spans="1:14" x14ac:dyDescent="0.2">
      <c r="A237" s="33">
        <f>'GF + UG Iteration 9'!A237</f>
        <v>892</v>
      </c>
      <c r="B237" s="34" t="str">
        <f>'GF + UG Iteration 9'!B237</f>
        <v>UG</v>
      </c>
      <c r="C237" s="35">
        <f>'GF + UG Iteration 9'!C237</f>
        <v>13.05</v>
      </c>
      <c r="D237" s="36">
        <f>'GF + UG Iteration 9'!P$16*(C237^'GF + UG Iteration 9'!P$15)</f>
        <v>11.119466380564077</v>
      </c>
      <c r="E237" s="37">
        <f>'GF + UG Iteration 9'!E237</f>
        <v>1972</v>
      </c>
      <c r="F237" s="35">
        <f>'GF + UG Iteration 9'!F237</f>
        <v>0</v>
      </c>
      <c r="G237" s="36">
        <f>'GF + UG Iteration 9'!G237</f>
        <v>3.2490818561124843</v>
      </c>
      <c r="H237" s="38">
        <f>'GF + UG Iteration 9'!H237</f>
        <v>2011</v>
      </c>
      <c r="I237" s="35">
        <f t="shared" si="20"/>
        <v>13.05</v>
      </c>
      <c r="J237" s="36">
        <f t="shared" si="21"/>
        <v>14.368548236676562</v>
      </c>
      <c r="K237" s="38">
        <f t="shared" si="22"/>
        <v>2011</v>
      </c>
      <c r="M237" s="21">
        <f t="shared" si="23"/>
        <v>2.5687881337687024</v>
      </c>
      <c r="N237" s="21">
        <f t="shared" si="24"/>
        <v>2.6650416676161739</v>
      </c>
    </row>
    <row r="238" spans="1:14" x14ac:dyDescent="0.2">
      <c r="A238" s="33">
        <f>'GF + UG Iteration 9'!A238</f>
        <v>504</v>
      </c>
      <c r="B238" s="34" t="str">
        <f>'GF + UG Iteration 9'!B238</f>
        <v>UG</v>
      </c>
      <c r="C238" s="35">
        <f>'GF + UG Iteration 9'!C238</f>
        <v>10.496</v>
      </c>
      <c r="D238" s="36">
        <f>'GF + UG Iteration 9'!P$16*(C238^'GF + UG Iteration 9'!P$15)</f>
        <v>9.8158868013325105</v>
      </c>
      <c r="E238" s="37">
        <f>'GF + UG Iteration 9'!E238</f>
        <v>2007</v>
      </c>
      <c r="F238" s="35">
        <f>'GF + UG Iteration 9'!F238</f>
        <v>0</v>
      </c>
      <c r="G238" s="36">
        <f>'GF + UG Iteration 9'!G238</f>
        <v>2.1923137026225539</v>
      </c>
      <c r="H238" s="38">
        <f>'GF + UG Iteration 9'!H238</f>
        <v>2006</v>
      </c>
      <c r="I238" s="35">
        <f t="shared" si="20"/>
        <v>10.496</v>
      </c>
      <c r="J238" s="36">
        <f t="shared" si="21"/>
        <v>12.008200503955065</v>
      </c>
      <c r="K238" s="38">
        <f t="shared" si="22"/>
        <v>2007</v>
      </c>
      <c r="M238" s="21">
        <f t="shared" si="23"/>
        <v>2.3509942322017334</v>
      </c>
      <c r="N238" s="21">
        <f t="shared" si="24"/>
        <v>2.485589791722993</v>
      </c>
    </row>
    <row r="239" spans="1:14" x14ac:dyDescent="0.2">
      <c r="A239" s="33">
        <f>'GF + UG Iteration 9'!A239</f>
        <v>618</v>
      </c>
      <c r="B239" s="34" t="str">
        <f>'GF + UG Iteration 9'!B239</f>
        <v>UG</v>
      </c>
      <c r="C239" s="35">
        <f>'GF + UG Iteration 9'!C239</f>
        <v>11</v>
      </c>
      <c r="D239" s="36">
        <f>'GF + UG Iteration 9'!P$16*(C239^'GF + UG Iteration 9'!P$15)</f>
        <v>10.083039640843909</v>
      </c>
      <c r="E239" s="37">
        <f>'GF + UG Iteration 9'!E239</f>
        <v>1995</v>
      </c>
      <c r="F239" s="35">
        <f>'GF + UG Iteration 9'!F239</f>
        <v>11.5</v>
      </c>
      <c r="G239" s="36">
        <f>'GF + UG Iteration 9'!G239</f>
        <v>2.3464649770982668</v>
      </c>
      <c r="H239" s="38">
        <f>'GF + UG Iteration 9'!H239</f>
        <v>2006</v>
      </c>
      <c r="I239" s="35">
        <f t="shared" si="20"/>
        <v>22.5</v>
      </c>
      <c r="J239" s="36">
        <f t="shared" si="21"/>
        <v>12.429504617942175</v>
      </c>
      <c r="K239" s="38">
        <f t="shared" si="22"/>
        <v>2006</v>
      </c>
      <c r="M239" s="21">
        <f t="shared" si="23"/>
        <v>3.1135153092103742</v>
      </c>
      <c r="N239" s="21">
        <f t="shared" si="24"/>
        <v>2.5200730509828366</v>
      </c>
    </row>
    <row r="240" spans="1:14" x14ac:dyDescent="0.2">
      <c r="A240" s="33">
        <f>'GF + UG Iteration 9'!A240</f>
        <v>712</v>
      </c>
      <c r="B240" s="34" t="str">
        <f>'GF + UG Iteration 9'!B240</f>
        <v>UG</v>
      </c>
      <c r="C240" s="35">
        <f>'GF + UG Iteration 9'!C240</f>
        <v>7.5</v>
      </c>
      <c r="D240" s="36">
        <f>'GF + UG Iteration 9'!P$16*(C240^'GF + UG Iteration 9'!P$15)</f>
        <v>8.0976786300807699</v>
      </c>
      <c r="E240" s="37">
        <f>'GF + UG Iteration 9'!E240</f>
        <v>1980</v>
      </c>
      <c r="F240" s="35">
        <f>'GF + UG Iteration 9'!F240</f>
        <v>1</v>
      </c>
      <c r="G240" s="36">
        <f>'GF + UG Iteration 9'!G240</f>
        <v>7.8904141673966368</v>
      </c>
      <c r="H240" s="38">
        <f>'GF + UG Iteration 9'!H240</f>
        <v>2011</v>
      </c>
      <c r="I240" s="35">
        <f t="shared" si="20"/>
        <v>8.5</v>
      </c>
      <c r="J240" s="36">
        <f t="shared" si="21"/>
        <v>15.988092797477407</v>
      </c>
      <c r="K240" s="38">
        <f t="shared" si="22"/>
        <v>2011</v>
      </c>
      <c r="M240" s="21">
        <f t="shared" si="23"/>
        <v>2.1400661634962708</v>
      </c>
      <c r="N240" s="21">
        <f t="shared" si="24"/>
        <v>2.7718442450277174</v>
      </c>
    </row>
    <row r="241" spans="1:14" x14ac:dyDescent="0.2">
      <c r="A241" s="33">
        <f>'GF + UG Iteration 9'!A241</f>
        <v>726</v>
      </c>
      <c r="B241" s="34" t="str">
        <f>'GF + UG Iteration 9'!B241</f>
        <v>UG</v>
      </c>
      <c r="C241" s="35">
        <f>'GF + UG Iteration 9'!C241</f>
        <v>25.635400000000001</v>
      </c>
      <c r="D241" s="36">
        <f>'GF + UG Iteration 9'!P$16*(C241^'GF + UG Iteration 9'!P$15)</f>
        <v>16.366989810535713</v>
      </c>
      <c r="E241" s="37">
        <f>'GF + UG Iteration 9'!E241</f>
        <v>1982</v>
      </c>
      <c r="F241" s="35">
        <f>'GF + UG Iteration 9'!F241</f>
        <v>5.3645999999999994</v>
      </c>
      <c r="G241" s="36">
        <f>'GF + UG Iteration 9'!G241</f>
        <v>1.031633192087684</v>
      </c>
      <c r="H241" s="38">
        <f>'GF + UG Iteration 9'!H241</f>
        <v>2008</v>
      </c>
      <c r="I241" s="35">
        <f t="shared" si="20"/>
        <v>31</v>
      </c>
      <c r="J241" s="36">
        <f t="shared" si="21"/>
        <v>17.398623002623399</v>
      </c>
      <c r="K241" s="38">
        <f t="shared" si="22"/>
        <v>2008</v>
      </c>
      <c r="M241" s="21">
        <f t="shared" si="23"/>
        <v>3.4339872044851463</v>
      </c>
      <c r="N241" s="21">
        <f t="shared" si="24"/>
        <v>2.8563910653086597</v>
      </c>
    </row>
    <row r="242" spans="1:14" x14ac:dyDescent="0.2">
      <c r="A242" s="33">
        <f>'GF + UG Iteration 9'!A242</f>
        <v>530</v>
      </c>
      <c r="B242" s="34" t="str">
        <f>'GF + UG Iteration 9'!B242</f>
        <v>UG</v>
      </c>
      <c r="C242" s="35">
        <f>'GF + UG Iteration 9'!C242</f>
        <v>25</v>
      </c>
      <c r="D242" s="36">
        <f>'GF + UG Iteration 9'!P$16*(C242^'GF + UG Iteration 9'!P$15)</f>
        <v>16.133481838010393</v>
      </c>
      <c r="E242" s="37">
        <f>'GF + UG Iteration 9'!E242</f>
        <v>1982</v>
      </c>
      <c r="F242" s="35">
        <f>'GF + UG Iteration 9'!F242</f>
        <v>20</v>
      </c>
      <c r="G242" s="36">
        <f>'GF + UG Iteration 9'!G242</f>
        <v>4.5022608459814819</v>
      </c>
      <c r="H242" s="38">
        <f>'GF + UG Iteration 9'!H242</f>
        <v>2006</v>
      </c>
      <c r="I242" s="35">
        <f t="shared" si="20"/>
        <v>45</v>
      </c>
      <c r="J242" s="36">
        <f t="shared" si="21"/>
        <v>20.635742683991875</v>
      </c>
      <c r="K242" s="38">
        <f t="shared" si="22"/>
        <v>2006</v>
      </c>
      <c r="M242" s="21">
        <f t="shared" si="23"/>
        <v>3.8066624897703196</v>
      </c>
      <c r="N242" s="21">
        <f t="shared" si="24"/>
        <v>3.0270246540272758</v>
      </c>
    </row>
    <row r="243" spans="1:14" x14ac:dyDescent="0.2">
      <c r="A243" s="33">
        <f>'GF + UG Iteration 9'!A243</f>
        <v>755</v>
      </c>
      <c r="B243" s="34" t="str">
        <f>'GF + UG Iteration 9'!B243</f>
        <v>UG</v>
      </c>
      <c r="C243" s="35">
        <f>'GF + UG Iteration 9'!C243</f>
        <v>8.6980000000000004</v>
      </c>
      <c r="D243" s="36">
        <f>'GF + UG Iteration 9'!P$16*(C243^'GF + UG Iteration 9'!P$15)</f>
        <v>8.8147088187458138</v>
      </c>
      <c r="E243" s="37">
        <f>'GF + UG Iteration 9'!E243</f>
        <v>1983</v>
      </c>
      <c r="F243" s="35">
        <f>'GF + UG Iteration 9'!F243</f>
        <v>3.3019999999999996</v>
      </c>
      <c r="G243" s="36">
        <f>'GF + UG Iteration 9'!G243</f>
        <v>0.74649134624932623</v>
      </c>
      <c r="H243" s="38">
        <f>'GF + UG Iteration 9'!H243</f>
        <v>2008</v>
      </c>
      <c r="I243" s="35">
        <f t="shared" si="20"/>
        <v>12</v>
      </c>
      <c r="J243" s="36">
        <f t="shared" si="21"/>
        <v>9.5612001649951406</v>
      </c>
      <c r="K243" s="38">
        <f t="shared" si="22"/>
        <v>2008</v>
      </c>
      <c r="M243" s="21">
        <f t="shared" si="23"/>
        <v>2.4849066497880004</v>
      </c>
      <c r="N243" s="21">
        <f t="shared" si="24"/>
        <v>2.2577132594552478</v>
      </c>
    </row>
    <row r="244" spans="1:14" x14ac:dyDescent="0.2">
      <c r="A244" s="33">
        <f>'GF + UG Iteration 9'!A244</f>
        <v>1081</v>
      </c>
      <c r="B244" s="34" t="str">
        <f>'GF + UG Iteration 9'!B244</f>
        <v>UG</v>
      </c>
      <c r="C244" s="35">
        <f>'GF + UG Iteration 9'!C244</f>
        <v>12</v>
      </c>
      <c r="D244" s="36">
        <f>'GF + UG Iteration 9'!P$16*(C244^'GF + UG Iteration 9'!P$15)</f>
        <v>10.598071226294408</v>
      </c>
      <c r="E244" s="37">
        <f>'GF + UG Iteration 9'!E244</f>
        <v>1983</v>
      </c>
      <c r="F244" s="35">
        <f>'GF + UG Iteration 9'!F244</f>
        <v>4</v>
      </c>
      <c r="G244" s="36">
        <f>'GF + UG Iteration 9'!G244</f>
        <v>0.74615854172219498</v>
      </c>
      <c r="H244" s="38">
        <f>'GF + UG Iteration 9'!H244</f>
        <v>2010</v>
      </c>
      <c r="I244" s="35">
        <f t="shared" si="20"/>
        <v>16</v>
      </c>
      <c r="J244" s="36">
        <f t="shared" si="21"/>
        <v>11.344229768016604</v>
      </c>
      <c r="K244" s="38">
        <f t="shared" si="22"/>
        <v>2010</v>
      </c>
      <c r="M244" s="21">
        <f t="shared" si="23"/>
        <v>2.7725887222397811</v>
      </c>
      <c r="N244" s="21">
        <f t="shared" si="24"/>
        <v>2.428709224170035</v>
      </c>
    </row>
    <row r="245" spans="1:14" x14ac:dyDescent="0.2">
      <c r="A245" s="33">
        <f>'GF + UG Iteration 9'!A245</f>
        <v>307</v>
      </c>
      <c r="B245" s="34" t="str">
        <f>'GF + UG Iteration 9'!B245</f>
        <v>UG</v>
      </c>
      <c r="C245" s="35">
        <f>'GF + UG Iteration 9'!C245</f>
        <v>9.07</v>
      </c>
      <c r="D245" s="36">
        <f>'GF + UG Iteration 9'!P$16*(C245^'GF + UG Iteration 9'!P$15)</f>
        <v>9.028616614541674</v>
      </c>
      <c r="E245" s="37">
        <f>'GF + UG Iteration 9'!E245</f>
        <v>1985</v>
      </c>
      <c r="F245" s="35">
        <f>'GF + UG Iteration 9'!F245</f>
        <v>1.0019999999999989</v>
      </c>
      <c r="G245" s="36">
        <f>'GF + UG Iteration 9'!G245</f>
        <v>2.5230801807757093</v>
      </c>
      <c r="H245" s="38">
        <f>'GF + UG Iteration 9'!H245</f>
        <v>2003</v>
      </c>
      <c r="I245" s="35">
        <f t="shared" si="20"/>
        <v>10.071999999999999</v>
      </c>
      <c r="J245" s="36">
        <f t="shared" si="21"/>
        <v>11.551696795317383</v>
      </c>
      <c r="K245" s="38">
        <f t="shared" si="22"/>
        <v>2003</v>
      </c>
      <c r="M245" s="21">
        <f t="shared" si="23"/>
        <v>2.3097592967420462</v>
      </c>
      <c r="N245" s="21">
        <f t="shared" si="24"/>
        <v>2.4468323348632661</v>
      </c>
    </row>
    <row r="246" spans="1:14" x14ac:dyDescent="0.2">
      <c r="A246" s="33">
        <f>'GF + UG Iteration 9'!A246</f>
        <v>1466</v>
      </c>
      <c r="B246" s="34" t="str">
        <f>'GF + UG Iteration 9'!B246</f>
        <v>UG</v>
      </c>
      <c r="C246" s="35">
        <f>'GF + UG Iteration 9'!C246</f>
        <v>10.07</v>
      </c>
      <c r="D246" s="36">
        <f>'GF + UG Iteration 9'!P$16*(C246^'GF + UG Iteration 9'!P$15)</f>
        <v>9.585772211934561</v>
      </c>
      <c r="E246" s="37">
        <f>'GF + UG Iteration 9'!E246</f>
        <v>1985</v>
      </c>
      <c r="F246" s="35">
        <f>'GF + UG Iteration 9'!F246</f>
        <v>4.93</v>
      </c>
      <c r="G246" s="36">
        <f>'GF + UG Iteration 9'!G246</f>
        <v>4.634839878669343</v>
      </c>
      <c r="H246" s="38">
        <f>'GF + UG Iteration 9'!H246</f>
        <v>2015</v>
      </c>
      <c r="I246" s="35">
        <f t="shared" si="20"/>
        <v>15</v>
      </c>
      <c r="J246" s="36">
        <f t="shared" si="21"/>
        <v>14.220612090603904</v>
      </c>
      <c r="K246" s="38">
        <f t="shared" si="22"/>
        <v>2015</v>
      </c>
      <c r="M246" s="21">
        <f t="shared" si="23"/>
        <v>2.7080502011022101</v>
      </c>
      <c r="N246" s="21">
        <f t="shared" si="24"/>
        <v>2.6546924677949795</v>
      </c>
    </row>
    <row r="247" spans="1:14" x14ac:dyDescent="0.2">
      <c r="A247" s="33">
        <f>'GF + UG Iteration 9'!A247</f>
        <v>1091</v>
      </c>
      <c r="B247" s="34" t="str">
        <f>'GF + UG Iteration 9'!B247</f>
        <v>UG</v>
      </c>
      <c r="C247" s="35">
        <f>'GF + UG Iteration 9'!C247</f>
        <v>16.059999999999999</v>
      </c>
      <c r="D247" s="36">
        <f>'GF + UG Iteration 9'!P$16*(C247^'GF + UG Iteration 9'!P$15)</f>
        <v>12.522458738347227</v>
      </c>
      <c r="E247" s="37">
        <f>'GF + UG Iteration 9'!E247</f>
        <v>1982</v>
      </c>
      <c r="F247" s="35">
        <f>'GF + UG Iteration 9'!F247</f>
        <v>24.34</v>
      </c>
      <c r="G247" s="36">
        <f>'GF + UG Iteration 9'!G247</f>
        <v>7.6638380518522098</v>
      </c>
      <c r="H247" s="38">
        <f>'GF + UG Iteration 9'!H247</f>
        <v>2011</v>
      </c>
      <c r="I247" s="35">
        <f t="shared" ref="I247:I292" si="30">C247+F247</f>
        <v>40.4</v>
      </c>
      <c r="J247" s="36">
        <f t="shared" ref="J247:J292" si="31">D247+G247</f>
        <v>20.186296790199435</v>
      </c>
      <c r="K247" s="38">
        <f t="shared" ref="K247:K292" si="32">MAX(E247,H247)</f>
        <v>2011</v>
      </c>
      <c r="M247" s="21">
        <f t="shared" si="23"/>
        <v>3.6988297849671046</v>
      </c>
      <c r="N247" s="21">
        <f t="shared" si="24"/>
        <v>3.0050039974827549</v>
      </c>
    </row>
    <row r="248" spans="1:14" x14ac:dyDescent="0.2">
      <c r="A248" s="33">
        <f>'GF + UG Iteration 9'!A248</f>
        <v>666</v>
      </c>
      <c r="B248" s="34" t="str">
        <f>'GF + UG Iteration 9'!B248</f>
        <v>UG</v>
      </c>
      <c r="C248" s="35">
        <f>'GF + UG Iteration 9'!C248</f>
        <v>25.92</v>
      </c>
      <c r="D248" s="36">
        <f>'GF + UG Iteration 9'!P$16*(C248^'GF + UG Iteration 9'!P$15)</f>
        <v>16.470776358347717</v>
      </c>
      <c r="E248" s="37">
        <f>'GF + UG Iteration 9'!E248</f>
        <v>1987</v>
      </c>
      <c r="F248" s="35">
        <f>'GF + UG Iteration 9'!F248</f>
        <v>14.079999999999998</v>
      </c>
      <c r="G248" s="36">
        <f>'GF + UG Iteration 9'!G248</f>
        <v>3.6887760601263184</v>
      </c>
      <c r="H248" s="38">
        <f>'GF + UG Iteration 9'!H248</f>
        <v>2008</v>
      </c>
      <c r="I248" s="35">
        <f t="shared" si="30"/>
        <v>40</v>
      </c>
      <c r="J248" s="36">
        <f t="shared" si="31"/>
        <v>20.159552418474036</v>
      </c>
      <c r="K248" s="38">
        <f t="shared" si="32"/>
        <v>2008</v>
      </c>
      <c r="M248" s="21">
        <f t="shared" ref="M248:M292" si="33">LN(I248)</f>
        <v>3.6888794541139363</v>
      </c>
      <c r="N248" s="21">
        <f t="shared" ref="N248:N292" si="34">LN(J248)</f>
        <v>3.0036782414921301</v>
      </c>
    </row>
    <row r="249" spans="1:14" x14ac:dyDescent="0.2">
      <c r="A249" s="33">
        <f>'GF + UG Iteration 9'!A249</f>
        <v>556</v>
      </c>
      <c r="B249" s="34" t="str">
        <f>'GF + UG Iteration 9'!B249</f>
        <v>UG</v>
      </c>
      <c r="C249" s="35">
        <f>'GF + UG Iteration 9'!C249</f>
        <v>8.6560000000000006</v>
      </c>
      <c r="D249" s="36">
        <f>'GF + UG Iteration 9'!P$16*(C249^'GF + UG Iteration 9'!P$15)</f>
        <v>8.7903143913039905</v>
      </c>
      <c r="E249" s="37">
        <f>'GF + UG Iteration 9'!E249</f>
        <v>1985</v>
      </c>
      <c r="F249" s="35">
        <f>'GF + UG Iteration 9'!F249</f>
        <v>4.3439999999999994</v>
      </c>
      <c r="G249" s="36">
        <f>'GF + UG Iteration 9'!G249</f>
        <v>3.2483692675760008</v>
      </c>
      <c r="H249" s="38">
        <f>'GF + UG Iteration 9'!H249</f>
        <v>2007</v>
      </c>
      <c r="I249" s="35">
        <f t="shared" si="30"/>
        <v>13</v>
      </c>
      <c r="J249" s="36">
        <f t="shared" si="31"/>
        <v>12.038683658879991</v>
      </c>
      <c r="K249" s="38">
        <f t="shared" si="32"/>
        <v>2007</v>
      </c>
      <c r="M249" s="21">
        <f t="shared" si="33"/>
        <v>2.5649493574615367</v>
      </c>
      <c r="N249" s="21">
        <f t="shared" si="34"/>
        <v>2.4881251032458351</v>
      </c>
    </row>
    <row r="250" spans="1:14" x14ac:dyDescent="0.2">
      <c r="A250" s="33">
        <f>'GF + UG Iteration 9'!A250</f>
        <v>452</v>
      </c>
      <c r="B250" s="34" t="str">
        <f>'GF + UG Iteration 9'!B250</f>
        <v>UG</v>
      </c>
      <c r="C250" s="35">
        <f>'GF + UG Iteration 9'!C250</f>
        <v>10.781000000000001</v>
      </c>
      <c r="D250" s="36">
        <f>'GF + UG Iteration 9'!P$16*(C250^'GF + UG Iteration 9'!P$15)</f>
        <v>9.9676123778538006</v>
      </c>
      <c r="E250" s="37">
        <f>'GF + UG Iteration 9'!E250</f>
        <v>1986</v>
      </c>
      <c r="F250" s="35">
        <f>'GF + UG Iteration 9'!F250</f>
        <v>3.6189999999999998</v>
      </c>
      <c r="G250" s="36">
        <f>'GF + UG Iteration 9'!G250</f>
        <v>3.4437072461958511</v>
      </c>
      <c r="H250" s="38">
        <f>'GF + UG Iteration 9'!H250</f>
        <v>2005</v>
      </c>
      <c r="I250" s="35">
        <f t="shared" si="30"/>
        <v>14.4</v>
      </c>
      <c r="J250" s="36">
        <f t="shared" si="31"/>
        <v>13.411319624049652</v>
      </c>
      <c r="K250" s="38">
        <f t="shared" si="32"/>
        <v>2005</v>
      </c>
      <c r="M250" s="21">
        <f t="shared" si="33"/>
        <v>2.6672282065819548</v>
      </c>
      <c r="N250" s="21">
        <f t="shared" si="34"/>
        <v>2.5960990984214374</v>
      </c>
    </row>
    <row r="251" spans="1:14" x14ac:dyDescent="0.2">
      <c r="A251" s="33">
        <f>'GF + UG Iteration 9'!A251</f>
        <v>613</v>
      </c>
      <c r="B251" s="34" t="str">
        <f>'GF + UG Iteration 9'!B251</f>
        <v>UG</v>
      </c>
      <c r="C251" s="35">
        <f>'GF + UG Iteration 9'!C251</f>
        <v>6.2</v>
      </c>
      <c r="D251" s="36">
        <f>'GF + UG Iteration 9'!P$16*(C251^'GF + UG Iteration 9'!P$15)</f>
        <v>7.2615465413794542</v>
      </c>
      <c r="E251" s="37">
        <f>'GF + UG Iteration 9'!E251</f>
        <v>1999</v>
      </c>
      <c r="F251" s="35">
        <f>'GF + UG Iteration 9'!F251</f>
        <v>2.2000000000000002</v>
      </c>
      <c r="G251" s="36">
        <f>'GF + UG Iteration 9'!G251</f>
        <v>0.43131820582676678</v>
      </c>
      <c r="H251" s="38">
        <f>'GF + UG Iteration 9'!H251</f>
        <v>2006</v>
      </c>
      <c r="I251" s="35">
        <f t="shared" si="30"/>
        <v>8.4</v>
      </c>
      <c r="J251" s="36">
        <f t="shared" si="31"/>
        <v>7.6928647472062206</v>
      </c>
      <c r="K251" s="38">
        <f t="shared" si="32"/>
        <v>2006</v>
      </c>
      <c r="M251" s="21">
        <f t="shared" si="33"/>
        <v>2.1282317058492679</v>
      </c>
      <c r="N251" s="21">
        <f t="shared" si="34"/>
        <v>2.0402932430413689</v>
      </c>
    </row>
    <row r="252" spans="1:14" x14ac:dyDescent="0.2">
      <c r="A252" s="33">
        <f>'GF + UG Iteration 9'!A252</f>
        <v>778</v>
      </c>
      <c r="B252" s="34" t="str">
        <f>'GF + UG Iteration 9'!B252</f>
        <v>UG</v>
      </c>
      <c r="C252" s="35">
        <f>'GF + UG Iteration 9'!C252</f>
        <v>0.1</v>
      </c>
      <c r="D252" s="36">
        <f>'GF + UG Iteration 9'!P$16*(C252^'GF + UG Iteration 9'!P$15)</f>
        <v>0.68362523729384805</v>
      </c>
      <c r="E252" s="37">
        <f>'GF + UG Iteration 9'!E252</f>
        <v>1988</v>
      </c>
      <c r="F252" s="35">
        <f>'GF + UG Iteration 9'!F252</f>
        <v>1.9</v>
      </c>
      <c r="G252" s="36">
        <f>'GF + UG Iteration 9'!G252</f>
        <v>0.48701021540648831</v>
      </c>
      <c r="H252" s="38">
        <f>'GF + UG Iteration 9'!H252</f>
        <v>2008</v>
      </c>
      <c r="I252" s="35">
        <f t="shared" si="30"/>
        <v>2</v>
      </c>
      <c r="J252" s="36">
        <f t="shared" si="31"/>
        <v>1.1706354527003364</v>
      </c>
      <c r="K252" s="38">
        <f t="shared" si="32"/>
        <v>2008</v>
      </c>
      <c r="M252" s="21">
        <f t="shared" si="33"/>
        <v>0.69314718055994529</v>
      </c>
      <c r="N252" s="21">
        <f t="shared" si="34"/>
        <v>0.15754672333841113</v>
      </c>
    </row>
    <row r="253" spans="1:14" x14ac:dyDescent="0.2">
      <c r="A253" s="33">
        <f>'GF + UG Iteration 9'!A253</f>
        <v>1571</v>
      </c>
      <c r="B253" s="34" t="str">
        <f>'GF + UG Iteration 9'!B253</f>
        <v>UG</v>
      </c>
      <c r="C253" s="35">
        <f>'GF + UG Iteration 9'!C253</f>
        <v>2</v>
      </c>
      <c r="D253" s="36">
        <f>'GF + UG Iteration 9'!P$16*(C253^'GF + UG Iteration 9'!P$15)</f>
        <v>3.7993232408103861</v>
      </c>
      <c r="E253" s="37">
        <f>'GF + UG Iteration 9'!E253</f>
        <v>1988</v>
      </c>
      <c r="F253" s="35">
        <f>'GF + UG Iteration 9'!F253</f>
        <v>11</v>
      </c>
      <c r="G253" s="36">
        <f>'GF + UG Iteration 9'!G253</f>
        <v>1.5920457896917759</v>
      </c>
      <c r="H253" s="38">
        <f>'GF + UG Iteration 9'!H253</f>
        <v>2016</v>
      </c>
      <c r="I253" s="35">
        <f t="shared" si="30"/>
        <v>13</v>
      </c>
      <c r="J253" s="36">
        <f t="shared" si="31"/>
        <v>5.3913690305021618</v>
      </c>
      <c r="K253" s="38">
        <f t="shared" si="32"/>
        <v>2016</v>
      </c>
      <c r="M253" s="21">
        <f t="shared" si="33"/>
        <v>2.5649493574615367</v>
      </c>
      <c r="N253" s="21">
        <f t="shared" si="34"/>
        <v>1.6847993471970595</v>
      </c>
    </row>
    <row r="254" spans="1:14" x14ac:dyDescent="0.2">
      <c r="A254" s="33">
        <f>'GF + UG Iteration 9'!A254</f>
        <v>525</v>
      </c>
      <c r="B254" s="34" t="str">
        <f>'GF + UG Iteration 9'!B254</f>
        <v>UG</v>
      </c>
      <c r="C254" s="35">
        <f>'GF + UG Iteration 9'!C254</f>
        <v>11.55</v>
      </c>
      <c r="D254" s="36">
        <f>'GF + UG Iteration 9'!P$16*(C254^'GF + UG Iteration 9'!P$15)</f>
        <v>10.368672038878492</v>
      </c>
      <c r="E254" s="37">
        <f>'GF + UG Iteration 9'!E254</f>
        <v>1995</v>
      </c>
      <c r="F254" s="35">
        <f>'GF + UG Iteration 9'!F254</f>
        <v>14</v>
      </c>
      <c r="G254" s="36">
        <f>'GF + UG Iteration 9'!G254</f>
        <v>2.107818995325883</v>
      </c>
      <c r="H254" s="38">
        <f>'GF + UG Iteration 9'!H254</f>
        <v>2006</v>
      </c>
      <c r="I254" s="35">
        <f t="shared" si="30"/>
        <v>25.55</v>
      </c>
      <c r="J254" s="36">
        <f t="shared" si="31"/>
        <v>12.476491034204376</v>
      </c>
      <c r="K254" s="38">
        <f t="shared" si="32"/>
        <v>2006</v>
      </c>
      <c r="M254" s="21">
        <f t="shared" si="33"/>
        <v>3.2406373166497136</v>
      </c>
      <c r="N254" s="21">
        <f t="shared" si="34"/>
        <v>2.5238461562753334</v>
      </c>
    </row>
    <row r="255" spans="1:14" x14ac:dyDescent="0.2">
      <c r="A255" s="33">
        <f>'GF + UG Iteration 9'!A255</f>
        <v>1324</v>
      </c>
      <c r="B255" s="34" t="str">
        <f>'GF + UG Iteration 9'!B255</f>
        <v>UG</v>
      </c>
      <c r="C255" s="35">
        <f>'GF + UG Iteration 9'!C255</f>
        <v>15.8</v>
      </c>
      <c r="D255" s="36">
        <f>'GF + UG Iteration 9'!P$16*(C255^'GF + UG Iteration 9'!P$15)</f>
        <v>12.405983673486686</v>
      </c>
      <c r="E255" s="37">
        <f>'GF + UG Iteration 9'!E255</f>
        <v>2012</v>
      </c>
      <c r="F255" s="35">
        <f>'GF + UG Iteration 9'!F255</f>
        <v>12.3</v>
      </c>
      <c r="G255" s="36">
        <f>'GF + UG Iteration 9'!G255</f>
        <v>2.2692987542218521</v>
      </c>
      <c r="H255" s="38">
        <f>'GF + UG Iteration 9'!H255</f>
        <v>2014</v>
      </c>
      <c r="I255" s="35">
        <f t="shared" si="30"/>
        <v>28.1</v>
      </c>
      <c r="J255" s="36">
        <f t="shared" si="31"/>
        <v>14.675282427708538</v>
      </c>
      <c r="K255" s="38">
        <f t="shared" si="32"/>
        <v>2014</v>
      </c>
      <c r="M255" s="21">
        <f t="shared" si="33"/>
        <v>3.3357695763396999</v>
      </c>
      <c r="N255" s="21">
        <f t="shared" si="34"/>
        <v>2.6861646110286981</v>
      </c>
    </row>
    <row r="256" spans="1:14" x14ac:dyDescent="0.2">
      <c r="A256" s="33">
        <f>'GF + UG Iteration 9'!A256</f>
        <v>511</v>
      </c>
      <c r="B256" s="34" t="str">
        <f>'GF + UG Iteration 9'!B256</f>
        <v>UG</v>
      </c>
      <c r="C256" s="35">
        <f>'GF + UG Iteration 9'!C256</f>
        <v>13.95</v>
      </c>
      <c r="D256" s="36">
        <f>'GF + UG Iteration 9'!P$16*(C256^'GF + UG Iteration 9'!P$15)</f>
        <v>11.552254324750447</v>
      </c>
      <c r="E256" s="37">
        <f>'GF + UG Iteration 9'!E256</f>
        <v>2004</v>
      </c>
      <c r="F256" s="35">
        <f>'GF + UG Iteration 9'!F256</f>
        <v>4.0500000000000007</v>
      </c>
      <c r="G256" s="36">
        <f>'GF + UG Iteration 9'!G256</f>
        <v>0.42903557118440139</v>
      </c>
      <c r="H256" s="38">
        <f>'GF + UG Iteration 9'!H256</f>
        <v>2004</v>
      </c>
      <c r="I256" s="35">
        <f t="shared" si="30"/>
        <v>18</v>
      </c>
      <c r="J256" s="36">
        <f t="shared" si="31"/>
        <v>11.981289895934848</v>
      </c>
      <c r="K256" s="38">
        <f t="shared" si="32"/>
        <v>2004</v>
      </c>
      <c r="M256" s="21">
        <f t="shared" si="33"/>
        <v>2.8903717578961645</v>
      </c>
      <c r="N256" s="21">
        <f t="shared" si="34"/>
        <v>2.4833462576704237</v>
      </c>
    </row>
    <row r="257" spans="1:14" x14ac:dyDescent="0.2">
      <c r="A257" s="33">
        <f>'GF + UG Iteration 9'!A257</f>
        <v>1094</v>
      </c>
      <c r="B257" s="34" t="str">
        <f>'GF + UG Iteration 9'!B257</f>
        <v>UG</v>
      </c>
      <c r="C257" s="35">
        <f>'GF + UG Iteration 9'!C257</f>
        <v>18</v>
      </c>
      <c r="D257" s="36">
        <f>'GF + UG Iteration 9'!P$16*(C257^'GF + UG Iteration 9'!P$15)</f>
        <v>13.367359929716722</v>
      </c>
      <c r="E257" s="37">
        <f>'GF + UG Iteration 9'!E257</f>
        <v>2004</v>
      </c>
      <c r="F257" s="35">
        <f>'GF + UG Iteration 9'!F257</f>
        <v>6</v>
      </c>
      <c r="G257" s="36">
        <f>'GF + UG Iteration 9'!G257</f>
        <v>1.0646458657975095</v>
      </c>
      <c r="H257" s="38">
        <f>'GF + UG Iteration 9'!H257</f>
        <v>2011</v>
      </c>
      <c r="I257" s="35">
        <f t="shared" si="30"/>
        <v>24</v>
      </c>
      <c r="J257" s="36">
        <f t="shared" si="31"/>
        <v>14.432005795514231</v>
      </c>
      <c r="K257" s="38">
        <f t="shared" si="32"/>
        <v>2011</v>
      </c>
      <c r="M257" s="21">
        <f t="shared" si="33"/>
        <v>3.1780538303479458</v>
      </c>
      <c r="N257" s="21">
        <f t="shared" si="34"/>
        <v>2.669448364894067</v>
      </c>
    </row>
    <row r="258" spans="1:14" x14ac:dyDescent="0.2">
      <c r="A258" s="33">
        <f>'GF + UG Iteration 9'!A258</f>
        <v>775</v>
      </c>
      <c r="B258" s="34" t="str">
        <f>'GF + UG Iteration 9'!B258</f>
        <v>UG</v>
      </c>
      <c r="C258" s="35">
        <f>'GF + UG Iteration 9'!C258</f>
        <v>8</v>
      </c>
      <c r="D258" s="36">
        <f>'GF + UG Iteration 9'!P$16*(C258^'GF + UG Iteration 9'!P$15)</f>
        <v>8.4024904175666713</v>
      </c>
      <c r="E258" s="37">
        <f>'GF + UG Iteration 9'!E258</f>
        <v>2002</v>
      </c>
      <c r="F258" s="35">
        <f>'GF + UG Iteration 9'!F258</f>
        <v>7</v>
      </c>
      <c r="G258" s="36">
        <f>'GF + UG Iteration 9'!G258</f>
        <v>1.4058744428987999</v>
      </c>
      <c r="H258" s="38">
        <f>'GF + UG Iteration 9'!H258</f>
        <v>2008</v>
      </c>
      <c r="I258" s="35">
        <f t="shared" si="30"/>
        <v>15</v>
      </c>
      <c r="J258" s="36">
        <f t="shared" si="31"/>
        <v>9.8083648604654705</v>
      </c>
      <c r="K258" s="38">
        <f t="shared" si="32"/>
        <v>2008</v>
      </c>
      <c r="M258" s="21">
        <f t="shared" si="33"/>
        <v>2.7080502011022101</v>
      </c>
      <c r="N258" s="21">
        <f t="shared" si="34"/>
        <v>2.2832355787940983</v>
      </c>
    </row>
    <row r="259" spans="1:14" x14ac:dyDescent="0.2">
      <c r="A259" s="33">
        <f>'GF + UG Iteration 9'!A259</f>
        <v>1646</v>
      </c>
      <c r="B259" s="34" t="str">
        <f>'GF + UG Iteration 9'!B259</f>
        <v>UG</v>
      </c>
      <c r="C259" s="35">
        <f>'GF + UG Iteration 9'!C259</f>
        <v>2.88</v>
      </c>
      <c r="D259" s="36">
        <f>'GF + UG Iteration 9'!P$16*(C259^'GF + UG Iteration 9'!P$15)</f>
        <v>4.6813883774719942</v>
      </c>
      <c r="E259" s="37" t="str">
        <f>'GF + UG Iteration 9'!E259</f>
        <v>unknown</v>
      </c>
      <c r="F259" s="35">
        <f>'GF + UG Iteration 9'!F259</f>
        <v>3.5200000000000005</v>
      </c>
      <c r="G259" s="36">
        <f>'GF + UG Iteration 9'!G259</f>
        <v>6.6895680450065891</v>
      </c>
      <c r="H259" s="38">
        <f>'GF + UG Iteration 9'!H259</f>
        <v>2016</v>
      </c>
      <c r="I259" s="35">
        <f t="shared" si="30"/>
        <v>6.4</v>
      </c>
      <c r="J259" s="36">
        <f t="shared" si="31"/>
        <v>11.370956422478583</v>
      </c>
      <c r="K259" s="38">
        <f t="shared" si="32"/>
        <v>2016</v>
      </c>
      <c r="M259" s="21">
        <f t="shared" si="33"/>
        <v>1.8562979903656263</v>
      </c>
      <c r="N259" s="21">
        <f t="shared" si="34"/>
        <v>2.431062422296713</v>
      </c>
    </row>
    <row r="260" spans="1:14" x14ac:dyDescent="0.2">
      <c r="A260" s="33">
        <f>'GF + UG Iteration 9'!A260</f>
        <v>467</v>
      </c>
      <c r="B260" s="34" t="str">
        <f>'GF + UG Iteration 9'!B260</f>
        <v>UG</v>
      </c>
      <c r="C260" s="35">
        <f>'GF + UG Iteration 9'!C260</f>
        <v>5.7</v>
      </c>
      <c r="D260" s="36">
        <f>'GF + UG Iteration 9'!P$16*(C260^'GF + UG Iteration 9'!P$15)</f>
        <v>6.920251482058478</v>
      </c>
      <c r="E260" s="37">
        <f>'GF + UG Iteration 9'!E260</f>
        <v>1996</v>
      </c>
      <c r="F260" s="35">
        <f>'GF + UG Iteration 9'!F260</f>
        <v>7.8999999999999995</v>
      </c>
      <c r="G260" s="36">
        <f>'GF + UG Iteration 9'!G260</f>
        <v>3.4855022233326953</v>
      </c>
      <c r="H260" s="38">
        <f>'GF + UG Iteration 9'!H260</f>
        <v>2005</v>
      </c>
      <c r="I260" s="35">
        <f t="shared" si="30"/>
        <v>13.6</v>
      </c>
      <c r="J260" s="36">
        <f t="shared" si="31"/>
        <v>10.405753705391174</v>
      </c>
      <c r="K260" s="38">
        <f t="shared" si="32"/>
        <v>2005</v>
      </c>
      <c r="M260" s="21">
        <f t="shared" si="33"/>
        <v>2.6100697927420065</v>
      </c>
      <c r="N260" s="21">
        <f t="shared" si="34"/>
        <v>2.342358894068997</v>
      </c>
    </row>
    <row r="261" spans="1:14" x14ac:dyDescent="0.2">
      <c r="A261" s="33">
        <f>'GF + UG Iteration 9'!A261</f>
        <v>437</v>
      </c>
      <c r="B261" s="34" t="str">
        <f>'GF + UG Iteration 9'!B261</f>
        <v>UG</v>
      </c>
      <c r="C261" s="35">
        <f>'GF + UG Iteration 9'!C261</f>
        <v>23</v>
      </c>
      <c r="D261" s="36">
        <f>'GF + UG Iteration 9'!P$16*(C261^'GF + UG Iteration 9'!P$15)</f>
        <v>15.381379452931855</v>
      </c>
      <c r="E261" s="37">
        <f>'GF + UG Iteration 9'!E261</f>
        <v>2001</v>
      </c>
      <c r="F261" s="35">
        <f>'GF + UG Iteration 9'!F261</f>
        <v>17</v>
      </c>
      <c r="G261" s="36">
        <f>'GF + UG Iteration 9'!G261</f>
        <v>3.6313804067567292</v>
      </c>
      <c r="H261" s="38">
        <f>'GF + UG Iteration 9'!H261</f>
        <v>2008</v>
      </c>
      <c r="I261" s="35">
        <f t="shared" si="30"/>
        <v>40</v>
      </c>
      <c r="J261" s="36">
        <f t="shared" si="31"/>
        <v>19.012759859688583</v>
      </c>
      <c r="K261" s="38">
        <f t="shared" si="32"/>
        <v>2008</v>
      </c>
      <c r="M261" s="21">
        <f t="shared" si="33"/>
        <v>3.6888794541139363</v>
      </c>
      <c r="N261" s="21">
        <f t="shared" si="34"/>
        <v>2.9451103253257265</v>
      </c>
    </row>
    <row r="262" spans="1:14" x14ac:dyDescent="0.2">
      <c r="A262" s="33">
        <f>'GF + UG Iteration 9'!A262</f>
        <v>1233</v>
      </c>
      <c r="B262" s="34" t="str">
        <f>'GF + UG Iteration 9'!B262</f>
        <v>UG</v>
      </c>
      <c r="C262" s="35">
        <f>'GF + UG Iteration 9'!C262</f>
        <v>40</v>
      </c>
      <c r="D262" s="36">
        <f>'GF + UG Iteration 9'!P$16*(C262^'GF + UG Iteration 9'!P$15)</f>
        <v>21.115161203385014</v>
      </c>
      <c r="E262" s="37">
        <f>'GF + UG Iteration 9'!E262</f>
        <v>2001</v>
      </c>
      <c r="F262" s="35">
        <f>'GF + UG Iteration 9'!F262</f>
        <v>10</v>
      </c>
      <c r="G262" s="36">
        <f>'GF + UG Iteration 9'!G262</f>
        <v>3.8904117673360803</v>
      </c>
      <c r="H262" s="38">
        <f>'GF + UG Iteration 9'!H262</f>
        <v>2011</v>
      </c>
      <c r="I262" s="35">
        <f t="shared" si="30"/>
        <v>50</v>
      </c>
      <c r="J262" s="36">
        <f t="shared" si="31"/>
        <v>25.005572970721094</v>
      </c>
      <c r="K262" s="38">
        <f t="shared" si="32"/>
        <v>2011</v>
      </c>
      <c r="M262" s="21">
        <f t="shared" si="33"/>
        <v>3.912023005428146</v>
      </c>
      <c r="N262" s="21">
        <f t="shared" si="34"/>
        <v>3.2190987188543341</v>
      </c>
    </row>
    <row r="263" spans="1:14" x14ac:dyDescent="0.2">
      <c r="A263" s="33">
        <f>'GF + UG Iteration 9'!A263</f>
        <v>361</v>
      </c>
      <c r="B263" s="34" t="str">
        <f>'GF + UG Iteration 9'!B263</f>
        <v>UG</v>
      </c>
      <c r="C263" s="35">
        <f>'GF + UG Iteration 9'!C263</f>
        <v>12.22</v>
      </c>
      <c r="D263" s="36">
        <f>'GF + UG Iteration 9'!P$16*(C263^'GF + UG Iteration 9'!P$15)</f>
        <v>10.708881922170228</v>
      </c>
      <c r="E263" s="37">
        <f>'GF + UG Iteration 9'!E263</f>
        <v>1986</v>
      </c>
      <c r="F263" s="35">
        <f>'GF + UG Iteration 9'!F263</f>
        <v>12.999999999999998</v>
      </c>
      <c r="G263" s="36">
        <f>'GF + UG Iteration 9'!G263</f>
        <v>1.1719780512644304</v>
      </c>
      <c r="H263" s="38">
        <f>'GF + UG Iteration 9'!H263</f>
        <v>2002</v>
      </c>
      <c r="I263" s="35">
        <f t="shared" si="30"/>
        <v>25.22</v>
      </c>
      <c r="J263" s="36">
        <f t="shared" si="31"/>
        <v>11.880859973434658</v>
      </c>
      <c r="K263" s="38">
        <f t="shared" si="32"/>
        <v>2002</v>
      </c>
      <c r="M263" s="21">
        <f t="shared" si="33"/>
        <v>3.2276373305367736</v>
      </c>
      <c r="N263" s="21">
        <f t="shared" si="34"/>
        <v>2.4749286996508402</v>
      </c>
    </row>
    <row r="264" spans="1:14" x14ac:dyDescent="0.2">
      <c r="A264" s="33">
        <f>'GF + UG Iteration 9'!A264</f>
        <v>645</v>
      </c>
      <c r="B264" s="34" t="str">
        <f>'GF + UG Iteration 9'!B264</f>
        <v>UG</v>
      </c>
      <c r="C264" s="35">
        <f>'GF + UG Iteration 9'!C264</f>
        <v>25.22</v>
      </c>
      <c r="D264" s="36">
        <f>'GF + UG Iteration 9'!P$16*(C264^'GF + UG Iteration 9'!P$15)</f>
        <v>16.214615361940954</v>
      </c>
      <c r="E264" s="37">
        <f>'GF + UG Iteration 9'!E264</f>
        <v>1986</v>
      </c>
      <c r="F264" s="35">
        <f>'GF + UG Iteration 9'!F264</f>
        <v>1</v>
      </c>
      <c r="G264" s="36">
        <f>'GF + UG Iteration 9'!G264</f>
        <v>0.22667756309168191</v>
      </c>
      <c r="H264" s="38">
        <f>'GF + UG Iteration 9'!H264</f>
        <v>2006</v>
      </c>
      <c r="I264" s="35">
        <f t="shared" si="30"/>
        <v>26.22</v>
      </c>
      <c r="J264" s="36">
        <f t="shared" si="31"/>
        <v>16.441292925032634</v>
      </c>
      <c r="K264" s="38">
        <f t="shared" si="32"/>
        <v>2006</v>
      </c>
      <c r="M264" s="21">
        <f t="shared" si="33"/>
        <v>3.2665224783355535</v>
      </c>
      <c r="N264" s="21">
        <f t="shared" si="34"/>
        <v>2.7997960316106498</v>
      </c>
    </row>
    <row r="265" spans="1:14" x14ac:dyDescent="0.2">
      <c r="A265" s="33">
        <f>'GF + UG Iteration 9'!A265</f>
        <v>720</v>
      </c>
      <c r="B265" s="34" t="str">
        <f>'GF + UG Iteration 9'!B265</f>
        <v>UG</v>
      </c>
      <c r="C265" s="35">
        <f>'GF + UG Iteration 9'!C265</f>
        <v>5.29</v>
      </c>
      <c r="D265" s="36">
        <f>'GF + UG Iteration 9'!P$16*(C265^'GF + UG Iteration 9'!P$15)</f>
        <v>6.6307199571050237</v>
      </c>
      <c r="E265" s="37">
        <f>'GF + UG Iteration 9'!E265</f>
        <v>1974</v>
      </c>
      <c r="F265" s="35">
        <f>'GF + UG Iteration 9'!F265</f>
        <v>3.9099999999999993</v>
      </c>
      <c r="G265" s="36">
        <f>'GF + UG Iteration 9'!G265</f>
        <v>3.214674226156069</v>
      </c>
      <c r="H265" s="38">
        <f>'GF + UG Iteration 9'!H265</f>
        <v>2009</v>
      </c>
      <c r="I265" s="35">
        <f t="shared" si="30"/>
        <v>9.1999999999999993</v>
      </c>
      <c r="J265" s="36">
        <f t="shared" si="31"/>
        <v>9.8453941832610923</v>
      </c>
      <c r="K265" s="38">
        <f t="shared" si="32"/>
        <v>2009</v>
      </c>
      <c r="M265" s="21">
        <f t="shared" si="33"/>
        <v>2.2192034840549946</v>
      </c>
      <c r="N265" s="21">
        <f t="shared" si="34"/>
        <v>2.287003750219069</v>
      </c>
    </row>
    <row r="266" spans="1:14" x14ac:dyDescent="0.2">
      <c r="A266" s="33">
        <f>'GF + UG Iteration 9'!A266</f>
        <v>1554</v>
      </c>
      <c r="B266" s="34" t="str">
        <f>'GF + UG Iteration 9'!B266</f>
        <v>UG</v>
      </c>
      <c r="C266" s="35">
        <f>'GF + UG Iteration 9'!C266</f>
        <v>18</v>
      </c>
      <c r="D266" s="36">
        <f>'GF + UG Iteration 9'!P$16*(C266^'GF + UG Iteration 9'!P$15)</f>
        <v>13.367359929716722</v>
      </c>
      <c r="E266" s="37">
        <f>'GF + UG Iteration 9'!E266</f>
        <v>2013</v>
      </c>
      <c r="F266" s="35">
        <f>'GF + UG Iteration 9'!F266</f>
        <v>13</v>
      </c>
      <c r="G266" s="36">
        <f>'GF + UG Iteration 9'!G266</f>
        <v>4.0040929633677633</v>
      </c>
      <c r="H266" s="38">
        <f>'GF + UG Iteration 9'!H266</f>
        <v>2015</v>
      </c>
      <c r="I266" s="35">
        <f t="shared" si="30"/>
        <v>31</v>
      </c>
      <c r="J266" s="36">
        <f t="shared" si="31"/>
        <v>17.371452893084484</v>
      </c>
      <c r="K266" s="38">
        <f t="shared" si="32"/>
        <v>2015</v>
      </c>
      <c r="M266" s="21">
        <f t="shared" si="33"/>
        <v>3.4339872044851463</v>
      </c>
      <c r="N266" s="21">
        <f t="shared" si="34"/>
        <v>2.8548282205710973</v>
      </c>
    </row>
    <row r="267" spans="1:14" x14ac:dyDescent="0.2">
      <c r="A267" s="33">
        <f>'GF + UG Iteration 9'!A267</f>
        <v>1570</v>
      </c>
      <c r="B267" s="34" t="str">
        <f>'GF + UG Iteration 9'!B267</f>
        <v>UG</v>
      </c>
      <c r="C267" s="35">
        <f>'GF + UG Iteration 9'!C267</f>
        <v>12</v>
      </c>
      <c r="D267" s="36">
        <f>'GF + UG Iteration 9'!P$16*(C267^'GF + UG Iteration 9'!P$15)</f>
        <v>10.598071226294408</v>
      </c>
      <c r="E267" s="37">
        <f>'GF + UG Iteration 9'!E267</f>
        <v>0</v>
      </c>
      <c r="F267" s="35">
        <f>'GF + UG Iteration 9'!F267</f>
        <v>7</v>
      </c>
      <c r="G267" s="36">
        <f>'GF + UG Iteration 9'!G267</f>
        <v>5.7128729653456798</v>
      </c>
      <c r="H267" s="38">
        <f>'GF + UG Iteration 9'!H267</f>
        <v>2016</v>
      </c>
      <c r="I267" s="35">
        <f t="shared" si="30"/>
        <v>19</v>
      </c>
      <c r="J267" s="36">
        <f t="shared" si="31"/>
        <v>16.31094419164009</v>
      </c>
      <c r="K267" s="38">
        <f t="shared" si="32"/>
        <v>2016</v>
      </c>
      <c r="M267" s="21">
        <f t="shared" si="33"/>
        <v>2.9444389791664403</v>
      </c>
      <c r="N267" s="21">
        <f t="shared" si="34"/>
        <v>2.7918363053092774</v>
      </c>
    </row>
    <row r="268" spans="1:14" x14ac:dyDescent="0.2">
      <c r="A268" s="33">
        <f>'GF + UG Iteration 9'!A268</f>
        <v>1280</v>
      </c>
      <c r="B268" s="34" t="str">
        <f>'GF + UG Iteration 9'!B268</f>
        <v>UG</v>
      </c>
      <c r="C268" s="35">
        <f>'GF + UG Iteration 9'!C268</f>
        <v>10</v>
      </c>
      <c r="D268" s="36">
        <f>'GF + UG Iteration 9'!P$16*(C268^'GF + UG Iteration 9'!P$15)</f>
        <v>9.5475649131071361</v>
      </c>
      <c r="E268" s="37">
        <f>'GF + UG Iteration 9'!E268</f>
        <v>0</v>
      </c>
      <c r="F268" s="35">
        <f>'GF + UG Iteration 9'!F268</f>
        <v>10</v>
      </c>
      <c r="G268" s="36">
        <f>'GF + UG Iteration 9'!G268</f>
        <v>3.9567117678399111</v>
      </c>
      <c r="H268" s="38">
        <f>'GF + UG Iteration 9'!H268</f>
        <v>2013</v>
      </c>
      <c r="I268" s="35">
        <f t="shared" si="30"/>
        <v>20</v>
      </c>
      <c r="J268" s="36">
        <f t="shared" si="31"/>
        <v>13.504276680947047</v>
      </c>
      <c r="K268" s="38">
        <f t="shared" si="32"/>
        <v>2013</v>
      </c>
      <c r="M268" s="21">
        <f t="shared" si="33"/>
        <v>2.9957322735539909</v>
      </c>
      <c r="N268" s="21">
        <f t="shared" si="34"/>
        <v>2.6030064264579149</v>
      </c>
    </row>
    <row r="269" spans="1:14" x14ac:dyDescent="0.2">
      <c r="A269" s="33">
        <f>'GF + UG Iteration 9'!A269</f>
        <v>659</v>
      </c>
      <c r="B269" s="34" t="str">
        <f>'GF + UG Iteration 9'!B269</f>
        <v>UG</v>
      </c>
      <c r="C269" s="35">
        <f>'GF + UG Iteration 9'!C269</f>
        <v>51</v>
      </c>
      <c r="D269" s="36">
        <f>'GF + UG Iteration 9'!P$16*(C269^'GF + UG Iteration 9'!P$15)</f>
        <v>24.266263778605769</v>
      </c>
      <c r="E269" s="37">
        <f>'GF + UG Iteration 9'!E269</f>
        <v>1974</v>
      </c>
      <c r="F269" s="35">
        <f>'GF + UG Iteration 9'!F269</f>
        <v>7</v>
      </c>
      <c r="G269" s="36">
        <f>'GF + UG Iteration 9'!G269</f>
        <v>0.19038861907506671</v>
      </c>
      <c r="H269" s="38">
        <f>'GF + UG Iteration 9'!H269</f>
        <v>2006</v>
      </c>
      <c r="I269" s="35">
        <f t="shared" si="30"/>
        <v>58</v>
      </c>
      <c r="J269" s="36">
        <f t="shared" si="31"/>
        <v>24.456652397680834</v>
      </c>
      <c r="K269" s="38">
        <f t="shared" si="32"/>
        <v>2006</v>
      </c>
      <c r="M269" s="21">
        <f t="shared" si="33"/>
        <v>4.0604430105464191</v>
      </c>
      <c r="N269" s="21">
        <f t="shared" si="34"/>
        <v>3.1969022606181041</v>
      </c>
    </row>
    <row r="270" spans="1:14" x14ac:dyDescent="0.2">
      <c r="A270" s="33">
        <f>'GF + UG Iteration 9'!A270</f>
        <v>1240</v>
      </c>
      <c r="B270" s="34" t="str">
        <f>'GF + UG Iteration 9'!B270</f>
        <v>UG</v>
      </c>
      <c r="C270" s="35">
        <f>'GF + UG Iteration 9'!C270</f>
        <v>9</v>
      </c>
      <c r="D270" s="36">
        <f>'GF + UG Iteration 9'!P$16*(C270^'GF + UG Iteration 9'!P$15)</f>
        <v>8.9886558164608683</v>
      </c>
      <c r="E270" s="37">
        <f>'GF + UG Iteration 9'!E270</f>
        <v>0</v>
      </c>
      <c r="F270" s="35">
        <f>'GF + UG Iteration 9'!F270</f>
        <v>12</v>
      </c>
      <c r="G270" s="36">
        <f>'GF + UG Iteration 9'!G270</f>
        <v>2.4762389627807444</v>
      </c>
      <c r="H270" s="38">
        <f>'GF + UG Iteration 9'!H270</f>
        <v>2013</v>
      </c>
      <c r="I270" s="35">
        <f t="shared" si="30"/>
        <v>21</v>
      </c>
      <c r="J270" s="36">
        <f t="shared" si="31"/>
        <v>11.464894779241613</v>
      </c>
      <c r="K270" s="38">
        <f t="shared" si="32"/>
        <v>2013</v>
      </c>
      <c r="M270" s="21">
        <f t="shared" si="33"/>
        <v>3.044522437723423</v>
      </c>
      <c r="N270" s="21">
        <f t="shared" si="34"/>
        <v>2.4392897387048764</v>
      </c>
    </row>
    <row r="271" spans="1:14" x14ac:dyDescent="0.2">
      <c r="A271" s="33">
        <f>'GF + UG Iteration 9'!A271</f>
        <v>317</v>
      </c>
      <c r="B271" s="34" t="str">
        <f>'GF + UG Iteration 9'!B271</f>
        <v>UG</v>
      </c>
      <c r="C271" s="35">
        <f>'GF + UG Iteration 9'!C271</f>
        <v>26.67</v>
      </c>
      <c r="D271" s="36">
        <f>'GF + UG Iteration 9'!P$16*(C271^'GF + UG Iteration 9'!P$15)</f>
        <v>16.741974364004523</v>
      </c>
      <c r="E271" s="37">
        <f>'GF + UG Iteration 9'!E271</f>
        <v>1978</v>
      </c>
      <c r="F271" s="35">
        <f>'GF + UG Iteration 9'!F271</f>
        <v>8.4600000000000009</v>
      </c>
      <c r="G271" s="36">
        <f>'GF + UG Iteration 9'!G271</f>
        <v>3.7336154837609361</v>
      </c>
      <c r="H271" s="38">
        <f>'GF + UG Iteration 9'!H271</f>
        <v>2002</v>
      </c>
      <c r="I271" s="35">
        <f t="shared" si="30"/>
        <v>35.130000000000003</v>
      </c>
      <c r="J271" s="36">
        <f t="shared" si="31"/>
        <v>20.475589847765459</v>
      </c>
      <c r="K271" s="38">
        <f t="shared" si="32"/>
        <v>2002</v>
      </c>
      <c r="M271" s="21">
        <f t="shared" si="33"/>
        <v>3.5590554662777358</v>
      </c>
      <c r="N271" s="21">
        <f t="shared" si="34"/>
        <v>3.0192334375178582</v>
      </c>
    </row>
    <row r="272" spans="1:14" x14ac:dyDescent="0.2">
      <c r="A272" s="33">
        <f>'GF + UG Iteration 9'!A272</f>
        <v>1510</v>
      </c>
      <c r="B272" s="34" t="str">
        <f>'GF + UG Iteration 9'!B272</f>
        <v>UG</v>
      </c>
      <c r="C272" s="35">
        <f>'GF + UG Iteration 9'!C272</f>
        <v>35.130000000000003</v>
      </c>
      <c r="D272" s="36">
        <f>'GF + UG Iteration 9'!P$16*(C272^'GF + UG Iteration 9'!P$15)</f>
        <v>19.602600809598748</v>
      </c>
      <c r="E272" s="37">
        <f>'GF + UG Iteration 9'!E272</f>
        <v>1978</v>
      </c>
      <c r="F272" s="35">
        <f>'GF + UG Iteration 9'!F272</f>
        <v>0</v>
      </c>
      <c r="G272" s="36">
        <f>'GF + UG Iteration 9'!G272</f>
        <v>1.0378442790997116</v>
      </c>
      <c r="H272" s="38">
        <f>'GF + UG Iteration 9'!H272</f>
        <v>2014</v>
      </c>
      <c r="I272" s="35">
        <f t="shared" si="30"/>
        <v>35.130000000000003</v>
      </c>
      <c r="J272" s="36">
        <f t="shared" si="31"/>
        <v>20.64044508869846</v>
      </c>
      <c r="K272" s="38">
        <f t="shared" si="32"/>
        <v>2014</v>
      </c>
      <c r="M272" s="21">
        <f t="shared" si="33"/>
        <v>3.5590554662777358</v>
      </c>
      <c r="N272" s="21">
        <f t="shared" si="34"/>
        <v>3.0272525047557797</v>
      </c>
    </row>
    <row r="273" spans="1:14" x14ac:dyDescent="0.2">
      <c r="A273" s="33">
        <f>'GF + UG Iteration 9'!A273</f>
        <v>1678</v>
      </c>
      <c r="B273" s="34" t="str">
        <f>'GF + UG Iteration 9'!B273</f>
        <v>UG</v>
      </c>
      <c r="C273" s="35">
        <f>'GF + UG Iteration 9'!C273</f>
        <v>71.19</v>
      </c>
      <c r="D273" s="36">
        <f>'GF + UG Iteration 9'!P$16*(C273^'GF + UG Iteration 9'!P$15)</f>
        <v>29.372050063235129</v>
      </c>
      <c r="E273" s="37">
        <f>'GF + UG Iteration 9'!E273</f>
        <v>0</v>
      </c>
      <c r="F273" s="35">
        <f>'GF + UG Iteration 9'!F273</f>
        <v>3.8100000000000023</v>
      </c>
      <c r="G273" s="36">
        <f>'GF + UG Iteration 9'!G273</f>
        <v>0.1876880715541229</v>
      </c>
      <c r="H273" s="38">
        <f>'GF + UG Iteration 9'!H273</f>
        <v>2015</v>
      </c>
      <c r="I273" s="35">
        <f t="shared" si="30"/>
        <v>75</v>
      </c>
      <c r="J273" s="36">
        <f t="shared" si="31"/>
        <v>29.559738134789253</v>
      </c>
      <c r="K273" s="38">
        <f t="shared" si="32"/>
        <v>2015</v>
      </c>
      <c r="M273" s="21">
        <f t="shared" si="33"/>
        <v>4.3174881135363101</v>
      </c>
      <c r="N273" s="21">
        <f t="shared" si="34"/>
        <v>3.3864132372717921</v>
      </c>
    </row>
    <row r="274" spans="1:14" x14ac:dyDescent="0.2">
      <c r="A274" s="33">
        <f>'GF + UG Iteration 9'!A274</f>
        <v>409</v>
      </c>
      <c r="B274" s="34" t="str">
        <f>'GF + UG Iteration 9'!B274</f>
        <v>UG</v>
      </c>
      <c r="C274" s="35">
        <f>'GF + UG Iteration 9'!C274</f>
        <v>50.9</v>
      </c>
      <c r="D274" s="36">
        <f>'GF + UG Iteration 9'!P$16*(C274^'GF + UG Iteration 9'!P$15)</f>
        <v>24.239010507619469</v>
      </c>
      <c r="E274" s="37" t="str">
        <f>'GF + UG Iteration 9'!E274</f>
        <v>unknown</v>
      </c>
      <c r="F274" s="35">
        <f>'GF + UG Iteration 9'!F274</f>
        <v>0</v>
      </c>
      <c r="G274" s="36">
        <f>'GF + UG Iteration 9'!G274</f>
        <v>6.9500275644125207</v>
      </c>
      <c r="H274" s="38">
        <f>'GF + UG Iteration 9'!H274</f>
        <v>2004</v>
      </c>
      <c r="I274" s="35">
        <f t="shared" si="30"/>
        <v>50.9</v>
      </c>
      <c r="J274" s="36">
        <f t="shared" si="31"/>
        <v>31.189038072031991</v>
      </c>
      <c r="K274" s="38">
        <f t="shared" si="32"/>
        <v>2004</v>
      </c>
      <c r="M274" s="21">
        <f t="shared" si="33"/>
        <v>3.929862923556477</v>
      </c>
      <c r="N274" s="21">
        <f t="shared" si="34"/>
        <v>3.4400666892345986</v>
      </c>
    </row>
    <row r="275" spans="1:14" x14ac:dyDescent="0.2">
      <c r="A275" s="33">
        <f>'GF + UG Iteration 9'!A275</f>
        <v>620</v>
      </c>
      <c r="B275" s="34" t="str">
        <f>'GF + UG Iteration 9'!B275</f>
        <v>UG</v>
      </c>
      <c r="C275" s="35">
        <f>'GF + UG Iteration 9'!C275</f>
        <v>66.040000000000006</v>
      </c>
      <c r="D275" s="36">
        <f>'GF + UG Iteration 9'!P$16*(C275^'GF + UG Iteration 9'!P$15)</f>
        <v>28.136023332931398</v>
      </c>
      <c r="E275" s="37" t="str">
        <f>'GF + UG Iteration 9'!E275</f>
        <v>unknown</v>
      </c>
      <c r="F275" s="35">
        <f>'GF + UG Iteration 9'!F275</f>
        <v>1</v>
      </c>
      <c r="G275" s="36">
        <f>'GF + UG Iteration 9'!G275</f>
        <v>5.2327101351069411E-2</v>
      </c>
      <c r="H275" s="38">
        <f>'GF + UG Iteration 9'!H275</f>
        <v>2006</v>
      </c>
      <c r="I275" s="35">
        <f t="shared" si="30"/>
        <v>67.040000000000006</v>
      </c>
      <c r="J275" s="36">
        <f t="shared" si="31"/>
        <v>28.188350434282466</v>
      </c>
      <c r="K275" s="38">
        <f t="shared" si="32"/>
        <v>2006</v>
      </c>
      <c r="M275" s="21">
        <f t="shared" si="33"/>
        <v>4.2052894561738281</v>
      </c>
      <c r="N275" s="21">
        <f t="shared" si="34"/>
        <v>3.3389087874253329</v>
      </c>
    </row>
    <row r="276" spans="1:14" x14ac:dyDescent="0.2">
      <c r="A276" s="33">
        <f>'GF + UG Iteration 9'!A276</f>
        <v>1085</v>
      </c>
      <c r="B276" s="34" t="str">
        <f>'GF + UG Iteration 9'!B276</f>
        <v>UG</v>
      </c>
      <c r="C276" s="35">
        <f>'GF + UG Iteration 9'!C276</f>
        <v>67.040000000000006</v>
      </c>
      <c r="D276" s="36">
        <f>'GF + UG Iteration 9'!P$16*(C276^'GF + UG Iteration 9'!P$15)</f>
        <v>28.379166266091076</v>
      </c>
      <c r="E276" s="37" t="str">
        <f>'GF + UG Iteration 9'!E276</f>
        <v>unknown</v>
      </c>
      <c r="F276" s="35">
        <f>'GF + UG Iteration 9'!F276</f>
        <v>2</v>
      </c>
      <c r="G276" s="36">
        <f>'GF + UG Iteration 9'!G276</f>
        <v>7.9312358901564406E-2</v>
      </c>
      <c r="H276" s="38">
        <f>'GF + UG Iteration 9'!H276</f>
        <v>2010</v>
      </c>
      <c r="I276" s="35">
        <f t="shared" si="30"/>
        <v>69.040000000000006</v>
      </c>
      <c r="J276" s="36">
        <f t="shared" si="31"/>
        <v>28.45847862499264</v>
      </c>
      <c r="K276" s="38">
        <f t="shared" si="32"/>
        <v>2010</v>
      </c>
      <c r="M276" s="21">
        <f t="shared" si="33"/>
        <v>4.234686046775173</v>
      </c>
      <c r="N276" s="21">
        <f t="shared" si="34"/>
        <v>3.3484461346268302</v>
      </c>
    </row>
    <row r="277" spans="1:14" x14ac:dyDescent="0.2">
      <c r="A277" s="33">
        <f>'GF + UG Iteration 9'!A277</f>
        <v>589</v>
      </c>
      <c r="B277" s="34" t="str">
        <f>'GF + UG Iteration 9'!B277</f>
        <v>UG</v>
      </c>
      <c r="C277" s="35">
        <f>'GF + UG Iteration 9'!C277</f>
        <v>36.963000000000001</v>
      </c>
      <c r="D277" s="36">
        <f>'GF + UG Iteration 9'!P$16*(C277^'GF + UG Iteration 9'!P$15)</f>
        <v>20.181828318513194</v>
      </c>
      <c r="E277" s="37">
        <f>'GF + UG Iteration 9'!E277</f>
        <v>1974</v>
      </c>
      <c r="F277" s="35">
        <f>'GF + UG Iteration 9'!F277</f>
        <v>0</v>
      </c>
      <c r="G277" s="36">
        <f>'GF + UG Iteration 9'!G277</f>
        <v>3.2007376892660457E-2</v>
      </c>
      <c r="H277" s="38">
        <f>'GF + UG Iteration 9'!H277</f>
        <v>2005</v>
      </c>
      <c r="I277" s="35">
        <f t="shared" si="30"/>
        <v>36.963000000000001</v>
      </c>
      <c r="J277" s="36">
        <f t="shared" si="31"/>
        <v>20.213835695405855</v>
      </c>
      <c r="K277" s="38">
        <f t="shared" si="32"/>
        <v>2005</v>
      </c>
      <c r="M277" s="21">
        <f t="shared" si="33"/>
        <v>3.609917412310641</v>
      </c>
      <c r="N277" s="21">
        <f t="shared" si="34"/>
        <v>3.0063673053620827</v>
      </c>
    </row>
    <row r="278" spans="1:14" x14ac:dyDescent="0.2">
      <c r="A278" s="33">
        <f>'GF + UG Iteration 9'!A278</f>
        <v>836</v>
      </c>
      <c r="B278" s="34" t="str">
        <f>'GF + UG Iteration 9'!B278</f>
        <v>UG</v>
      </c>
      <c r="C278" s="35">
        <f>'GF + UG Iteration 9'!C278</f>
        <v>33.963000000000001</v>
      </c>
      <c r="D278" s="36">
        <f>'GF + UG Iteration 9'!P$16*(C278^'GF + UG Iteration 9'!P$15)</f>
        <v>19.227081591232409</v>
      </c>
      <c r="E278" s="37">
        <f>'GF + UG Iteration 9'!E278</f>
        <v>1974</v>
      </c>
      <c r="F278" s="35">
        <f>'GF + UG Iteration 9'!F278</f>
        <v>10.036999999999999</v>
      </c>
      <c r="G278" s="36">
        <f>'GF + UG Iteration 9'!G278</f>
        <v>0.20824846319974696</v>
      </c>
      <c r="H278" s="38">
        <f>'GF + UG Iteration 9'!H278</f>
        <v>2008</v>
      </c>
      <c r="I278" s="35">
        <f t="shared" si="30"/>
        <v>44</v>
      </c>
      <c r="J278" s="36">
        <f t="shared" si="31"/>
        <v>19.435330054432157</v>
      </c>
      <c r="K278" s="38">
        <f t="shared" si="32"/>
        <v>2008</v>
      </c>
      <c r="M278" s="21">
        <f t="shared" si="33"/>
        <v>3.784189633918261</v>
      </c>
      <c r="N278" s="21">
        <f t="shared" si="34"/>
        <v>2.967092546636557</v>
      </c>
    </row>
    <row r="279" spans="1:14" x14ac:dyDescent="0.2">
      <c r="A279" s="33">
        <f>'GF + UG Iteration 9'!A279</f>
        <v>1417</v>
      </c>
      <c r="B279" s="34" t="str">
        <f>'GF + UG Iteration 9'!B279</f>
        <v>UG</v>
      </c>
      <c r="C279" s="35">
        <f>'GF + UG Iteration 9'!C279</f>
        <v>53.176000000000002</v>
      </c>
      <c r="D279" s="36">
        <f>'GF + UG Iteration 9'!P$16*(C279^'GF + UG Iteration 9'!P$15)</f>
        <v>24.853747577865434</v>
      </c>
      <c r="E279" s="37">
        <f>'GF + UG Iteration 9'!E279</f>
        <v>0</v>
      </c>
      <c r="F279" s="35">
        <f>'GF + UG Iteration 9'!F279</f>
        <v>2.8239999999999981</v>
      </c>
      <c r="G279" s="36">
        <f>'GF + UG Iteration 9'!G279</f>
        <v>0.36631755287404399</v>
      </c>
      <c r="H279" s="38">
        <f>'GF + UG Iteration 9'!H279</f>
        <v>2013</v>
      </c>
      <c r="I279" s="35">
        <f t="shared" si="30"/>
        <v>56</v>
      </c>
      <c r="J279" s="36">
        <f t="shared" si="31"/>
        <v>25.220065130739478</v>
      </c>
      <c r="K279" s="38">
        <f t="shared" si="32"/>
        <v>2013</v>
      </c>
      <c r="M279" s="21">
        <f t="shared" si="33"/>
        <v>4.0253516907351496</v>
      </c>
      <c r="N279" s="21">
        <f t="shared" si="34"/>
        <v>3.2276399130369868</v>
      </c>
    </row>
    <row r="280" spans="1:14" x14ac:dyDescent="0.2">
      <c r="A280" s="33">
        <f>'GF + UG Iteration 9'!A280</f>
        <v>1575</v>
      </c>
      <c r="B280" s="34" t="str">
        <f>'GF + UG Iteration 9'!B280</f>
        <v>UG</v>
      </c>
      <c r="C280" s="35">
        <f>'GF + UG Iteration 9'!C280</f>
        <v>107.8</v>
      </c>
      <c r="D280" s="36">
        <f>'GF + UG Iteration 9'!P$16*(C280^'GF + UG Iteration 9'!P$15)</f>
        <v>37.248204438402567</v>
      </c>
      <c r="E280" s="37">
        <f>'GF + UG Iteration 9'!E280</f>
        <v>0</v>
      </c>
      <c r="F280" s="35">
        <f>'GF + UG Iteration 9'!F280</f>
        <v>2.2000000000000028</v>
      </c>
      <c r="G280" s="36">
        <f>'GF + UG Iteration 9'!G280</f>
        <v>8.4606138058298655E-2</v>
      </c>
      <c r="H280" s="38">
        <f>'GF + UG Iteration 9'!H280</f>
        <v>2014</v>
      </c>
      <c r="I280" s="35">
        <f t="shared" si="30"/>
        <v>110</v>
      </c>
      <c r="J280" s="36">
        <f t="shared" si="31"/>
        <v>37.332810576460865</v>
      </c>
      <c r="K280" s="38">
        <f t="shared" si="32"/>
        <v>2014</v>
      </c>
      <c r="M280" s="21">
        <f t="shared" si="33"/>
        <v>4.7004803657924166</v>
      </c>
      <c r="N280" s="21">
        <f t="shared" si="34"/>
        <v>3.6198725801127232</v>
      </c>
    </row>
    <row r="281" spans="1:14" x14ac:dyDescent="0.2">
      <c r="A281" s="33">
        <f>'GF + UG Iteration 9'!A281</f>
        <v>1480</v>
      </c>
      <c r="B281" s="34" t="str">
        <f>'GF + UG Iteration 9'!B281</f>
        <v>UG</v>
      </c>
      <c r="C281" s="35">
        <f>'GF + UG Iteration 9'!C281</f>
        <v>92</v>
      </c>
      <c r="D281" s="36">
        <f>'GF + UG Iteration 9'!P$16*(C281^'GF + UG Iteration 9'!P$15)</f>
        <v>34.017082851484325</v>
      </c>
      <c r="E281" s="37">
        <f>'GF + UG Iteration 9'!E281</f>
        <v>0</v>
      </c>
      <c r="F281" s="35">
        <f>'GF + UG Iteration 9'!F281</f>
        <v>9</v>
      </c>
      <c r="G281" s="36">
        <f>'GF + UG Iteration 9'!G281</f>
        <v>1.4186292000498641</v>
      </c>
      <c r="H281" s="38">
        <f>'GF + UG Iteration 9'!H281</f>
        <v>2015</v>
      </c>
      <c r="I281" s="35">
        <f t="shared" si="30"/>
        <v>101</v>
      </c>
      <c r="J281" s="36">
        <f t="shared" si="31"/>
        <v>35.435712051534189</v>
      </c>
      <c r="K281" s="38">
        <f t="shared" si="32"/>
        <v>2015</v>
      </c>
      <c r="M281" s="21">
        <f t="shared" si="33"/>
        <v>4.6151205168412597</v>
      </c>
      <c r="N281" s="21">
        <f t="shared" si="34"/>
        <v>3.5677201266429193</v>
      </c>
    </row>
    <row r="282" spans="1:14" x14ac:dyDescent="0.2">
      <c r="A282" s="33">
        <f>'GF + UG Iteration 9'!A282</f>
        <v>1644</v>
      </c>
      <c r="B282" s="34" t="str">
        <f>'GF + UG Iteration 9'!B282</f>
        <v>UG</v>
      </c>
      <c r="C282" s="35">
        <f>'GF + UG Iteration 9'!C282</f>
        <v>25</v>
      </c>
      <c r="D282" s="36">
        <f>'GF + UG Iteration 9'!P$16*(C282^'GF + UG Iteration 9'!P$15)</f>
        <v>16.133481838010393</v>
      </c>
      <c r="E282" s="37">
        <f>'GF + UG Iteration 9'!E282</f>
        <v>0</v>
      </c>
      <c r="F282" s="35">
        <f>'GF + UG Iteration 9'!F282</f>
        <v>14</v>
      </c>
      <c r="G282" s="36">
        <f>'GF + UG Iteration 9'!G282</f>
        <v>6.4881768587089867</v>
      </c>
      <c r="H282" s="38">
        <f>'GF + UG Iteration 9'!H282</f>
        <v>2016</v>
      </c>
      <c r="I282" s="35">
        <f t="shared" si="30"/>
        <v>39</v>
      </c>
      <c r="J282" s="36">
        <f t="shared" si="31"/>
        <v>22.621658696719379</v>
      </c>
      <c r="K282" s="38">
        <f t="shared" si="32"/>
        <v>2016</v>
      </c>
      <c r="M282" s="21">
        <f t="shared" si="33"/>
        <v>3.6635616461296463</v>
      </c>
      <c r="N282" s="21">
        <f t="shared" si="34"/>
        <v>3.1189077967669867</v>
      </c>
    </row>
    <row r="283" spans="1:14" x14ac:dyDescent="0.2">
      <c r="A283" s="33">
        <f>'GF + UG Iteration 9'!A283</f>
        <v>1276</v>
      </c>
      <c r="B283" s="34" t="str">
        <f>'GF + UG Iteration 9'!B283</f>
        <v>UG</v>
      </c>
      <c r="C283" s="35">
        <f>'GF + UG Iteration 9'!C283</f>
        <v>34</v>
      </c>
      <c r="D283" s="36">
        <f>'GF + UG Iteration 9'!P$16*(C283^'GF + UG Iteration 9'!P$15)</f>
        <v>19.239071385366824</v>
      </c>
      <c r="E283" s="37" t="str">
        <f>'GF + UG Iteration 9'!E283</f>
        <v>unknown</v>
      </c>
      <c r="F283" s="35">
        <f>'GF + UG Iteration 9'!F283</f>
        <v>4</v>
      </c>
      <c r="G283" s="36">
        <f>'GF + UG Iteration 9'!G283</f>
        <v>0.69755192087391271</v>
      </c>
      <c r="H283" s="38">
        <f>'GF + UG Iteration 9'!H283</f>
        <v>2012</v>
      </c>
      <c r="I283" s="35">
        <f t="shared" si="30"/>
        <v>38</v>
      </c>
      <c r="J283" s="36">
        <f t="shared" si="31"/>
        <v>19.936623306240737</v>
      </c>
      <c r="K283" s="38">
        <f t="shared" si="32"/>
        <v>2012</v>
      </c>
      <c r="M283" s="21">
        <f t="shared" si="33"/>
        <v>3.6375861597263857</v>
      </c>
      <c r="N283" s="21">
        <f t="shared" si="34"/>
        <v>2.992558407477484</v>
      </c>
    </row>
    <row r="284" spans="1:14" x14ac:dyDescent="0.2">
      <c r="A284" s="33">
        <f>'GF + UG Iteration 9'!A284</f>
        <v>823</v>
      </c>
      <c r="B284" s="34" t="str">
        <f>'GF + UG Iteration 9'!B284</f>
        <v>UG</v>
      </c>
      <c r="C284" s="35">
        <f>'GF + UG Iteration 9'!C284</f>
        <v>10</v>
      </c>
      <c r="D284" s="36">
        <f>'GF + UG Iteration 9'!P$16*(C284^'GF + UG Iteration 9'!P$15)</f>
        <v>9.5475649131071361</v>
      </c>
      <c r="E284" s="37" t="str">
        <f>'GF + UG Iteration 9'!E284</f>
        <v>unknown</v>
      </c>
      <c r="F284" s="35">
        <f>'GF + UG Iteration 9'!F284</f>
        <v>25</v>
      </c>
      <c r="G284" s="36">
        <f>'GF + UG Iteration 9'!G284</f>
        <v>8.3156614233786232</v>
      </c>
      <c r="H284" s="38">
        <f>'GF + UG Iteration 9'!H284</f>
        <v>2009</v>
      </c>
      <c r="I284" s="35">
        <f t="shared" si="30"/>
        <v>35</v>
      </c>
      <c r="J284" s="36">
        <f t="shared" si="31"/>
        <v>17.863226336485759</v>
      </c>
      <c r="K284" s="38">
        <f t="shared" si="32"/>
        <v>2009</v>
      </c>
      <c r="M284" s="21">
        <f t="shared" si="33"/>
        <v>3.5553480614894135</v>
      </c>
      <c r="N284" s="21">
        <f t="shared" si="34"/>
        <v>2.882744205073692</v>
      </c>
    </row>
    <row r="285" spans="1:14" x14ac:dyDescent="0.2">
      <c r="A285" s="33">
        <f>'GF + UG Iteration 9'!A285</f>
        <v>1601</v>
      </c>
      <c r="B285" s="34" t="str">
        <f>'GF + UG Iteration 9'!B285</f>
        <v>UG</v>
      </c>
      <c r="C285" s="35">
        <f>'GF + UG Iteration 9'!C285</f>
        <v>77</v>
      </c>
      <c r="D285" s="36">
        <f>'GF + UG Iteration 9'!P$16*(C285^'GF + UG Iteration 9'!P$15)</f>
        <v>30.721441964221388</v>
      </c>
      <c r="E285" s="37">
        <f>'GF + UG Iteration 9'!E285</f>
        <v>0</v>
      </c>
      <c r="F285" s="35">
        <f>'GF + UG Iteration 9'!F285</f>
        <v>0</v>
      </c>
      <c r="G285" s="36">
        <f>'GF + UG Iteration 9'!G285</f>
        <v>4.0094648670350015</v>
      </c>
      <c r="H285" s="38">
        <f>'GF + UG Iteration 9'!H285</f>
        <v>2015</v>
      </c>
      <c r="I285" s="35">
        <f t="shared" si="30"/>
        <v>77</v>
      </c>
      <c r="J285" s="36">
        <f t="shared" si="31"/>
        <v>34.730906831256391</v>
      </c>
      <c r="K285" s="38">
        <f t="shared" si="32"/>
        <v>2015</v>
      </c>
      <c r="M285" s="21">
        <f t="shared" si="33"/>
        <v>4.3438054218536841</v>
      </c>
      <c r="N285" s="21">
        <f t="shared" si="34"/>
        <v>3.5476299773064435</v>
      </c>
    </row>
    <row r="286" spans="1:14" x14ac:dyDescent="0.2">
      <c r="A286" s="33">
        <f>'GF + UG Iteration 9'!A286</f>
        <v>1046</v>
      </c>
      <c r="B286" s="34" t="str">
        <f>'GF + UG Iteration 9'!B286</f>
        <v>UG</v>
      </c>
      <c r="C286" s="35">
        <f>'GF + UG Iteration 9'!C286</f>
        <v>33</v>
      </c>
      <c r="D286" s="36">
        <f>'GF + UG Iteration 9'!P$16*(C286^'GF + UG Iteration 9'!P$15)</f>
        <v>18.913032701723356</v>
      </c>
      <c r="E286" s="37" t="str">
        <f>'GF + UG Iteration 9'!E286</f>
        <v>unknown</v>
      </c>
      <c r="F286" s="35">
        <f>'GF + UG Iteration 9'!F286</f>
        <v>17</v>
      </c>
      <c r="G286" s="36">
        <f>'GF + UG Iteration 9'!G286</f>
        <v>13.838101419471103</v>
      </c>
      <c r="H286" s="38">
        <f>'GF + UG Iteration 9'!H286</f>
        <v>2011</v>
      </c>
      <c r="I286" s="35">
        <f t="shared" si="30"/>
        <v>50</v>
      </c>
      <c r="J286" s="36">
        <f t="shared" si="31"/>
        <v>32.751134121194461</v>
      </c>
      <c r="K286" s="38">
        <f t="shared" si="32"/>
        <v>2011</v>
      </c>
      <c r="M286" s="21">
        <f t="shared" si="33"/>
        <v>3.912023005428146</v>
      </c>
      <c r="N286" s="21">
        <f t="shared" si="34"/>
        <v>3.4889375911364611</v>
      </c>
    </row>
    <row r="287" spans="1:14" x14ac:dyDescent="0.2">
      <c r="A287" s="33">
        <f>'GF + UG Iteration 9'!A287</f>
        <v>873</v>
      </c>
      <c r="B287" s="34" t="str">
        <f>'GF + UG Iteration 9'!B287</f>
        <v>UG</v>
      </c>
      <c r="C287" s="35">
        <f>'GF + UG Iteration 9'!C287</f>
        <v>38</v>
      </c>
      <c r="D287" s="36">
        <f>'GF + UG Iteration 9'!P$16*(C287^'GF + UG Iteration 9'!P$15)</f>
        <v>20.504082247631015</v>
      </c>
      <c r="E287" s="37" t="str">
        <f>'GF + UG Iteration 9'!E287</f>
        <v>unknown</v>
      </c>
      <c r="F287" s="35">
        <f>'GF + UG Iteration 9'!F287</f>
        <v>10</v>
      </c>
      <c r="G287" s="36">
        <f>'GF + UG Iteration 9'!G287</f>
        <v>10.835025062169574</v>
      </c>
      <c r="H287" s="38">
        <f>'GF + UG Iteration 9'!H287</f>
        <v>2011</v>
      </c>
      <c r="I287" s="35">
        <f t="shared" si="30"/>
        <v>48</v>
      </c>
      <c r="J287" s="36">
        <f t="shared" si="31"/>
        <v>31.339107309800589</v>
      </c>
      <c r="K287" s="38">
        <f t="shared" si="32"/>
        <v>2011</v>
      </c>
      <c r="M287" s="21">
        <f t="shared" si="33"/>
        <v>3.8712010109078911</v>
      </c>
      <c r="N287" s="21">
        <f t="shared" si="34"/>
        <v>3.4448667524698862</v>
      </c>
    </row>
    <row r="288" spans="1:14" x14ac:dyDescent="0.2">
      <c r="A288" s="33">
        <f>'GF + UG Iteration 9'!A288</f>
        <v>630</v>
      </c>
      <c r="B288" s="34" t="str">
        <f>'GF + UG Iteration 9'!B288</f>
        <v>UG</v>
      </c>
      <c r="C288" s="35">
        <f>'GF + UG Iteration 9'!C288</f>
        <v>36.4</v>
      </c>
      <c r="D288" s="36">
        <f>'GF + UG Iteration 9'!P$16*(C288^'GF + UG Iteration 9'!P$15)</f>
        <v>20.005254104743447</v>
      </c>
      <c r="E288" s="37" t="str">
        <f>'GF + UG Iteration 9'!E288</f>
        <v>unknown</v>
      </c>
      <c r="F288" s="35">
        <f>'GF + UG Iteration 9'!F288</f>
        <v>3.6000000000000014</v>
      </c>
      <c r="G288" s="36">
        <f>'GF + UG Iteration 9'!G288</f>
        <v>0.76181860016629799</v>
      </c>
      <c r="H288" s="38">
        <f>'GF + UG Iteration 9'!H288</f>
        <v>2007</v>
      </c>
      <c r="I288" s="35">
        <f t="shared" si="30"/>
        <v>40</v>
      </c>
      <c r="J288" s="36">
        <f t="shared" si="31"/>
        <v>20.767072704909744</v>
      </c>
      <c r="K288" s="38">
        <f t="shared" si="32"/>
        <v>2007</v>
      </c>
      <c r="M288" s="21">
        <f t="shared" si="33"/>
        <v>3.6888794541139363</v>
      </c>
      <c r="N288" s="21">
        <f t="shared" si="34"/>
        <v>3.0333686893375105</v>
      </c>
    </row>
    <row r="289" spans="1:20" x14ac:dyDescent="0.2">
      <c r="A289" s="33">
        <f>'GF + UG Iteration 9'!A289</f>
        <v>1107</v>
      </c>
      <c r="B289" s="34" t="str">
        <f>'GF + UG Iteration 9'!B289</f>
        <v>UG</v>
      </c>
      <c r="C289" s="35">
        <f>'GF + UG Iteration 9'!C289</f>
        <v>16</v>
      </c>
      <c r="D289" s="36">
        <f>'GF + UG Iteration 9'!P$16*(C289^'GF + UG Iteration 9'!P$15)</f>
        <v>12.495651853964667</v>
      </c>
      <c r="E289" s="37">
        <f>'GF + UG Iteration 9'!E289</f>
        <v>2010</v>
      </c>
      <c r="F289" s="35">
        <f>'GF + UG Iteration 9'!F289</f>
        <v>24</v>
      </c>
      <c r="G289" s="36">
        <f>'GF + UG Iteration 9'!G289</f>
        <v>7.7000094501504579</v>
      </c>
      <c r="H289" s="38">
        <f>'GF + UG Iteration 9'!H289</f>
        <v>2014</v>
      </c>
      <c r="I289" s="35">
        <f t="shared" si="30"/>
        <v>40</v>
      </c>
      <c r="J289" s="36">
        <f t="shared" si="31"/>
        <v>20.195661304115124</v>
      </c>
      <c r="K289" s="38">
        <f t="shared" si="32"/>
        <v>2014</v>
      </c>
      <c r="M289" s="21">
        <f t="shared" si="33"/>
        <v>3.6888794541139363</v>
      </c>
      <c r="N289" s="21">
        <f t="shared" si="34"/>
        <v>3.0054677944121502</v>
      </c>
    </row>
    <row r="290" spans="1:20" x14ac:dyDescent="0.2">
      <c r="A290" s="33">
        <f>'GF + UG Iteration 9'!A290</f>
        <v>682</v>
      </c>
      <c r="B290" s="34" t="str">
        <f>'GF + UG Iteration 9'!B290</f>
        <v>UG</v>
      </c>
      <c r="C290" s="35">
        <f>'GF + UG Iteration 9'!C290</f>
        <v>12</v>
      </c>
      <c r="D290" s="36">
        <f>'GF + UG Iteration 9'!P$16*(C290^'GF + UG Iteration 9'!P$15)</f>
        <v>10.598071226294408</v>
      </c>
      <c r="E290" s="37">
        <f>'GF + UG Iteration 9'!E290</f>
        <v>2005</v>
      </c>
      <c r="F290" s="35">
        <f>'GF + UG Iteration 9'!F290</f>
        <v>18</v>
      </c>
      <c r="G290" s="36">
        <f>'GF + UG Iteration 9'!G290</f>
        <v>4.2252233548626927</v>
      </c>
      <c r="H290" s="38">
        <f>'GF + UG Iteration 9'!H290</f>
        <v>2009</v>
      </c>
      <c r="I290" s="35">
        <f t="shared" ref="I290:I291" si="35">C290+F290</f>
        <v>30</v>
      </c>
      <c r="J290" s="36">
        <f t="shared" ref="J290:J291" si="36">D290+G290</f>
        <v>14.8232945811571</v>
      </c>
      <c r="K290" s="38">
        <f t="shared" ref="K290:K291" si="37">MAX(E290,H290)</f>
        <v>2009</v>
      </c>
      <c r="M290" s="21">
        <f t="shared" ref="M290:M291" si="38">LN(I290)</f>
        <v>3.4011973816621555</v>
      </c>
      <c r="N290" s="21">
        <f t="shared" ref="N290:N291" si="39">LN(J290)</f>
        <v>2.696199901582387</v>
      </c>
    </row>
    <row r="291" spans="1:20" x14ac:dyDescent="0.2">
      <c r="A291" s="33">
        <f>'GF + UG Iteration 9'!A291</f>
        <v>677</v>
      </c>
      <c r="B291" s="34" t="str">
        <f>'GF + UG Iteration 9'!B291</f>
        <v>UG</v>
      </c>
      <c r="C291" s="35">
        <f>'GF + UG Iteration 9'!C291</f>
        <v>117</v>
      </c>
      <c r="D291" s="36">
        <f>'GF + UG Iteration 9'!P$16*(C291^'GF + UG Iteration 9'!P$15)</f>
        <v>39.036316722096224</v>
      </c>
      <c r="E291" s="37" t="str">
        <f>'GF + UG Iteration 9'!E291</f>
        <v>unknown</v>
      </c>
      <c r="F291" s="35">
        <f>'GF + UG Iteration 9'!F291</f>
        <v>0</v>
      </c>
      <c r="G291" s="36">
        <f>'GF + UG Iteration 9'!G291</f>
        <v>5.9672660834890454</v>
      </c>
      <c r="H291" s="38">
        <f>'GF + UG Iteration 9'!H291</f>
        <v>2009</v>
      </c>
      <c r="I291" s="35">
        <f t="shared" si="35"/>
        <v>117</v>
      </c>
      <c r="J291" s="36">
        <f t="shared" si="36"/>
        <v>45.003582805585268</v>
      </c>
      <c r="K291" s="38">
        <f t="shared" si="37"/>
        <v>2009</v>
      </c>
      <c r="M291" s="21">
        <f t="shared" si="38"/>
        <v>4.7621739347977563</v>
      </c>
      <c r="N291" s="21">
        <f t="shared" si="39"/>
        <v>3.8067421045028778</v>
      </c>
    </row>
    <row r="292" spans="1:20" x14ac:dyDescent="0.2">
      <c r="A292" s="33">
        <f>'GF + UG Iteration 9'!A292</f>
        <v>643</v>
      </c>
      <c r="B292" s="34" t="str">
        <f>'GF + UG Iteration 9'!B292</f>
        <v>UG</v>
      </c>
      <c r="C292" s="35">
        <f>'GF + UG Iteration 9'!C292</f>
        <v>53.37</v>
      </c>
      <c r="D292" s="36">
        <f>'GF + UG Iteration 9'!P$16*(C292^'GF + UG Iteration 9'!P$15)</f>
        <v>24.905620835446502</v>
      </c>
      <c r="E292" s="37" t="str">
        <f>'GF + UG Iteration 9'!E292</f>
        <v>unknown</v>
      </c>
      <c r="F292" s="35">
        <f>'GF + UG Iteration 9'!F292</f>
        <v>0.5</v>
      </c>
      <c r="G292" s="36">
        <f>'GF + UG Iteration 9'!G292</f>
        <v>4.4086715648995529</v>
      </c>
      <c r="H292" s="38">
        <f>'GF + UG Iteration 9'!H292</f>
        <v>2009</v>
      </c>
      <c r="I292" s="35">
        <f t="shared" si="30"/>
        <v>53.87</v>
      </c>
      <c r="J292" s="36">
        <f t="shared" si="31"/>
        <v>29.314292400346055</v>
      </c>
      <c r="K292" s="38">
        <f t="shared" si="32"/>
        <v>2009</v>
      </c>
      <c r="M292" s="21">
        <f t="shared" si="33"/>
        <v>3.9865737366924425</v>
      </c>
      <c r="N292" s="21">
        <f t="shared" si="34"/>
        <v>3.3780751923232555</v>
      </c>
    </row>
    <row r="294" spans="1:20" s="9" customFormat="1" x14ac:dyDescent="0.2">
      <c r="A294" s="26" t="s">
        <v>29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45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8" activePane="bottomLeft" state="frozen"/>
      <selection activeCell="A4" sqref="A4"/>
      <selection pane="bottomLeft" activeCell="A8" sqref="A8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54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G - Point of Delivery Cost Function Workbook</v>
      </c>
    </row>
    <row r="4" spans="1:20" s="1" customFormat="1" x14ac:dyDescent="0.2">
      <c r="A4" s="1" t="s">
        <v>979</v>
      </c>
      <c r="B4" s="42"/>
    </row>
    <row r="5" spans="1:20" s="1" customFormat="1" x14ac:dyDescent="0.2">
      <c r="A5" s="43" t="str">
        <f>TableDate</f>
        <v>August 17, 2018</v>
      </c>
      <c r="B5" s="44"/>
    </row>
    <row r="6" spans="1:20" x14ac:dyDescent="0.2">
      <c r="E6" s="28"/>
    </row>
    <row r="7" spans="1:20" ht="25.5" x14ac:dyDescent="0.2">
      <c r="A7" s="10" t="s">
        <v>0</v>
      </c>
      <c r="B7" s="11" t="s">
        <v>7</v>
      </c>
      <c r="C7" s="12" t="s">
        <v>8</v>
      </c>
      <c r="D7" s="13" t="s">
        <v>30</v>
      </c>
      <c r="E7" s="14" t="s">
        <v>10</v>
      </c>
      <c r="F7" s="12" t="s">
        <v>11</v>
      </c>
      <c r="G7" s="13" t="s">
        <v>12</v>
      </c>
      <c r="H7" s="14" t="s">
        <v>13</v>
      </c>
      <c r="I7" s="12" t="s">
        <v>2</v>
      </c>
      <c r="J7" s="13" t="s">
        <v>14</v>
      </c>
      <c r="K7" s="14" t="s">
        <v>15</v>
      </c>
      <c r="M7" s="11" t="s">
        <v>16</v>
      </c>
      <c r="N7" s="11" t="s">
        <v>17</v>
      </c>
      <c r="P7" s="41" t="s">
        <v>53</v>
      </c>
      <c r="Q7" s="15"/>
      <c r="T7" s="3"/>
    </row>
    <row r="8" spans="1:20" x14ac:dyDescent="0.2">
      <c r="A8" s="25">
        <f>'GF + UG Iteration 10'!A8</f>
        <v>476</v>
      </c>
      <c r="B8" s="25" t="str">
        <f>'GF + UG Iteration 10'!B8</f>
        <v>GF</v>
      </c>
      <c r="C8" s="18">
        <f>'GF + UG Iteration 10'!C8</f>
        <v>14</v>
      </c>
      <c r="D8" s="19">
        <f>'GF + UG Iteration 10'!D8</f>
        <v>16.861812370959647</v>
      </c>
      <c r="E8" s="30">
        <f>'GF + UG Iteration 10'!E8</f>
        <v>2003</v>
      </c>
      <c r="F8" s="18"/>
      <c r="G8" s="19"/>
      <c r="H8" s="20"/>
      <c r="I8" s="18">
        <f>C8+F8</f>
        <v>14</v>
      </c>
      <c r="J8" s="19">
        <f>D8+G8</f>
        <v>16.861812370959647</v>
      </c>
      <c r="K8" s="20">
        <f>MAX(E8,H8)</f>
        <v>2003</v>
      </c>
      <c r="M8" s="21">
        <f>LN(I8)</f>
        <v>2.6390573296152584</v>
      </c>
      <c r="N8" s="21">
        <f>LN(J8)</f>
        <v>2.8250514421084625</v>
      </c>
      <c r="O8" s="3" t="s">
        <v>19</v>
      </c>
      <c r="P8" s="22">
        <f t="array" ref="P8:Q12">LINEST(N8:N292,M8:M292,TRUE,TRUE)</f>
        <v>0.57259482632371472</v>
      </c>
      <c r="Q8" s="22">
        <v>0.93778408949476311</v>
      </c>
      <c r="R8" s="5" t="s">
        <v>20</v>
      </c>
    </row>
    <row r="9" spans="1:20" x14ac:dyDescent="0.2">
      <c r="A9" s="25">
        <f>'GF + UG Iteration 10'!A9</f>
        <v>478</v>
      </c>
      <c r="B9" s="25" t="str">
        <f>'GF + UG Iteration 10'!B9</f>
        <v>GF</v>
      </c>
      <c r="C9" s="18">
        <f>'GF + UG Iteration 10'!C9</f>
        <v>8.5</v>
      </c>
      <c r="D9" s="19">
        <f>'GF + UG Iteration 10'!D9</f>
        <v>6.0182252638842719</v>
      </c>
      <c r="E9" s="30">
        <f>'GF + UG Iteration 10'!E9</f>
        <v>2003</v>
      </c>
      <c r="F9" s="18"/>
      <c r="G9" s="19"/>
      <c r="H9" s="20"/>
      <c r="I9" s="18">
        <f t="shared" ref="I9:I71" si="0">C9+F9</f>
        <v>8.5</v>
      </c>
      <c r="J9" s="19">
        <f t="shared" ref="J9:J71" si="1">D9+G9</f>
        <v>6.0182252638842719</v>
      </c>
      <c r="K9" s="20">
        <f t="shared" ref="K9:K71" si="2">MAX(E9,H9)</f>
        <v>2003</v>
      </c>
      <c r="M9" s="21">
        <f t="shared" ref="M9:M71" si="3">LN(I9)</f>
        <v>2.1400661634962708</v>
      </c>
      <c r="N9" s="21">
        <f t="shared" ref="N9:N71" si="4">LN(J9)</f>
        <v>1.7947924091929603</v>
      </c>
      <c r="O9" s="3" t="s">
        <v>21</v>
      </c>
      <c r="P9" s="22">
        <v>3.2094287742151506E-2</v>
      </c>
      <c r="Q9" s="22">
        <v>0.10233966706856044</v>
      </c>
      <c r="R9" s="5" t="s">
        <v>22</v>
      </c>
    </row>
    <row r="10" spans="1:20" x14ac:dyDescent="0.2">
      <c r="A10" s="25">
        <f>'GF + UG Iteration 10'!A10</f>
        <v>473</v>
      </c>
      <c r="B10" s="25" t="str">
        <f>'GF + UG Iteration 10'!B10</f>
        <v>GF</v>
      </c>
      <c r="C10" s="18">
        <f>'GF + UG Iteration 10'!C10</f>
        <v>30</v>
      </c>
      <c r="D10" s="19">
        <f>'GF + UG Iteration 10'!D10</f>
        <v>14.998991377977235</v>
      </c>
      <c r="E10" s="30">
        <f>'GF + UG Iteration 10'!E10</f>
        <v>2003</v>
      </c>
      <c r="F10" s="18"/>
      <c r="G10" s="19"/>
      <c r="H10" s="20"/>
      <c r="I10" s="18">
        <f t="shared" si="0"/>
        <v>30</v>
      </c>
      <c r="J10" s="19">
        <f t="shared" si="1"/>
        <v>14.998991377977235</v>
      </c>
      <c r="K10" s="20">
        <f t="shared" si="2"/>
        <v>2003</v>
      </c>
      <c r="M10" s="21">
        <f t="shared" si="3"/>
        <v>3.4011973816621555</v>
      </c>
      <c r="N10" s="21">
        <f t="shared" si="4"/>
        <v>2.707982957373217</v>
      </c>
      <c r="O10" s="3" t="s">
        <v>1</v>
      </c>
      <c r="P10" s="22">
        <v>0.52935462682466461</v>
      </c>
      <c r="Q10" s="22">
        <v>0.39316059985664242</v>
      </c>
      <c r="R10" s="5" t="s">
        <v>23</v>
      </c>
    </row>
    <row r="11" spans="1:20" x14ac:dyDescent="0.2">
      <c r="A11" s="25">
        <f>'GF + UG Iteration 10'!A11</f>
        <v>1042</v>
      </c>
      <c r="B11" s="25" t="str">
        <f>'GF + UG Iteration 10'!B11</f>
        <v>GF</v>
      </c>
      <c r="C11" s="18">
        <f>'GF + UG Iteration 10'!C11</f>
        <v>13</v>
      </c>
      <c r="D11" s="19">
        <f>'GF + UG Iteration 10'!D11</f>
        <v>11.164764224012115</v>
      </c>
      <c r="E11" s="30">
        <f>'GF + UG Iteration 10'!E11</f>
        <v>2011</v>
      </c>
      <c r="F11" s="18"/>
      <c r="G11" s="19"/>
      <c r="H11" s="20"/>
      <c r="I11" s="18">
        <f t="shared" si="0"/>
        <v>13</v>
      </c>
      <c r="J11" s="19">
        <f t="shared" si="1"/>
        <v>11.164764224012115</v>
      </c>
      <c r="K11" s="20">
        <f t="shared" si="2"/>
        <v>2011</v>
      </c>
      <c r="M11" s="21">
        <f t="shared" si="3"/>
        <v>2.5649493574615367</v>
      </c>
      <c r="N11" s="21">
        <f t="shared" si="4"/>
        <v>2.4127627676497201</v>
      </c>
      <c r="O11" s="3" t="s">
        <v>24</v>
      </c>
      <c r="P11" s="22">
        <v>318.30199111629321</v>
      </c>
      <c r="Q11" s="22">
        <v>283</v>
      </c>
      <c r="R11" s="5" t="s">
        <v>25</v>
      </c>
    </row>
    <row r="12" spans="1:20" x14ac:dyDescent="0.2">
      <c r="A12" s="25">
        <f>'GF + UG Iteration 10'!A12</f>
        <v>443</v>
      </c>
      <c r="B12" s="25" t="str">
        <f>'GF + UG Iteration 10'!B12</f>
        <v>GF</v>
      </c>
      <c r="C12" s="18">
        <f>'GF + UG Iteration 10'!C12</f>
        <v>24.3</v>
      </c>
      <c r="D12" s="19">
        <f>'GF + UG Iteration 10'!D12</f>
        <v>11.705577131494863</v>
      </c>
      <c r="E12" s="30">
        <f>'GF + UG Iteration 10'!E12</f>
        <v>2006</v>
      </c>
      <c r="F12" s="18"/>
      <c r="G12" s="19"/>
      <c r="H12" s="20"/>
      <c r="I12" s="18">
        <f t="shared" si="0"/>
        <v>24.3</v>
      </c>
      <c r="J12" s="19">
        <f t="shared" si="1"/>
        <v>11.705577131494863</v>
      </c>
      <c r="K12" s="20">
        <f t="shared" si="2"/>
        <v>2006</v>
      </c>
      <c r="M12" s="21">
        <f t="shared" si="3"/>
        <v>3.1904763503465028</v>
      </c>
      <c r="N12" s="21">
        <f t="shared" si="4"/>
        <v>2.4600654061344325</v>
      </c>
      <c r="O12" s="3" t="s">
        <v>26</v>
      </c>
      <c r="P12" s="22">
        <v>49.201612169421082</v>
      </c>
      <c r="Q12" s="22">
        <v>43.744797810136674</v>
      </c>
      <c r="R12" s="5" t="s">
        <v>27</v>
      </c>
    </row>
    <row r="13" spans="1:20" x14ac:dyDescent="0.2">
      <c r="A13" s="25">
        <f>'GF + UG Iteration 10'!A13</f>
        <v>1195</v>
      </c>
      <c r="B13" s="25" t="str">
        <f>'GF + UG Iteration 10'!B13</f>
        <v>GF</v>
      </c>
      <c r="C13" s="18">
        <f>'GF + UG Iteration 10'!C13</f>
        <v>18</v>
      </c>
      <c r="D13" s="19">
        <f>'GF + UG Iteration 10'!D13</f>
        <v>31.659927445331629</v>
      </c>
      <c r="E13" s="30">
        <f>'GF + UG Iteration 10'!E13</f>
        <v>2011</v>
      </c>
      <c r="F13" s="18"/>
      <c r="G13" s="19"/>
      <c r="H13" s="20"/>
      <c r="I13" s="18">
        <f t="shared" si="0"/>
        <v>18</v>
      </c>
      <c r="J13" s="19">
        <f t="shared" si="1"/>
        <v>31.659927445331629</v>
      </c>
      <c r="K13" s="20">
        <f t="shared" si="2"/>
        <v>2011</v>
      </c>
      <c r="M13" s="21">
        <f t="shared" si="3"/>
        <v>2.8903717578961645</v>
      </c>
      <c r="N13" s="21">
        <f t="shared" si="4"/>
        <v>3.4550517627677269</v>
      </c>
    </row>
    <row r="14" spans="1:20" x14ac:dyDescent="0.2">
      <c r="A14" s="25">
        <f>'GF + UG Iteration 10'!A14</f>
        <v>420</v>
      </c>
      <c r="B14" s="25" t="str">
        <f>'GF + UG Iteration 10'!B14</f>
        <v>GF</v>
      </c>
      <c r="C14" s="18">
        <f>'GF + UG Iteration 10'!C14</f>
        <v>6</v>
      </c>
      <c r="D14" s="19">
        <f>'GF + UG Iteration 10'!D14</f>
        <v>9.6396451057157435</v>
      </c>
      <c r="E14" s="30">
        <f>'GF + UG Iteration 10'!E14</f>
        <v>2007</v>
      </c>
      <c r="F14" s="18"/>
      <c r="G14" s="19"/>
      <c r="H14" s="20"/>
      <c r="I14" s="18">
        <f t="shared" si="0"/>
        <v>6</v>
      </c>
      <c r="J14" s="19">
        <f t="shared" si="1"/>
        <v>9.6396451057157435</v>
      </c>
      <c r="K14" s="20">
        <f t="shared" si="2"/>
        <v>2007</v>
      </c>
      <c r="M14" s="21">
        <f t="shared" si="3"/>
        <v>1.791759469228055</v>
      </c>
      <c r="N14" s="21">
        <f t="shared" si="4"/>
        <v>2.2658842931849965</v>
      </c>
      <c r="P14" s="15" t="s">
        <v>6</v>
      </c>
      <c r="Q14" s="15"/>
    </row>
    <row r="15" spans="1:20" x14ac:dyDescent="0.2">
      <c r="A15" s="25">
        <f>'GF + UG Iteration 10'!A15</f>
        <v>440</v>
      </c>
      <c r="B15" s="25" t="str">
        <f>'GF + UG Iteration 10'!B15</f>
        <v>GF</v>
      </c>
      <c r="C15" s="18">
        <f>'GF + UG Iteration 10'!C15</f>
        <v>10</v>
      </c>
      <c r="D15" s="19">
        <f>'GF + UG Iteration 10'!D15</f>
        <v>16.009559216092757</v>
      </c>
      <c r="E15" s="30">
        <f>'GF + UG Iteration 10'!E15</f>
        <v>2006</v>
      </c>
      <c r="F15" s="18"/>
      <c r="G15" s="19"/>
      <c r="H15" s="20"/>
      <c r="I15" s="18">
        <f t="shared" si="0"/>
        <v>10</v>
      </c>
      <c r="J15" s="19">
        <f t="shared" si="1"/>
        <v>16.009559216092757</v>
      </c>
      <c r="K15" s="20">
        <f t="shared" si="2"/>
        <v>2006</v>
      </c>
      <c r="M15" s="21">
        <f t="shared" si="3"/>
        <v>2.3025850929940459</v>
      </c>
      <c r="N15" s="21">
        <f t="shared" si="4"/>
        <v>2.7731859948427808</v>
      </c>
      <c r="O15" s="3" t="s">
        <v>19</v>
      </c>
      <c r="P15" s="23">
        <f>P8</f>
        <v>0.57259482632371472</v>
      </c>
      <c r="Q15" s="31">
        <f>(P15-'GF + UG Iteration 10'!P15)/'GF + UG Iteration 10'!P15</f>
        <v>2.7299571115832016E-5</v>
      </c>
      <c r="R15" s="32" t="s">
        <v>31</v>
      </c>
    </row>
    <row r="16" spans="1:20" x14ac:dyDescent="0.2">
      <c r="A16" s="25">
        <f>'GF + UG Iteration 10'!A16</f>
        <v>1102</v>
      </c>
      <c r="B16" s="25" t="str">
        <f>'GF + UG Iteration 10'!B16</f>
        <v>GF</v>
      </c>
      <c r="C16" s="18">
        <f>'GF + UG Iteration 10'!C16</f>
        <v>20</v>
      </c>
      <c r="D16" s="19">
        <f>'GF + UG Iteration 10'!D16</f>
        <v>16.293644713264708</v>
      </c>
      <c r="E16" s="30">
        <f>'GF + UG Iteration 10'!E16</f>
        <v>2011</v>
      </c>
      <c r="F16" s="18"/>
      <c r="G16" s="19"/>
      <c r="H16" s="20"/>
      <c r="I16" s="18">
        <f t="shared" si="0"/>
        <v>20</v>
      </c>
      <c r="J16" s="19">
        <f t="shared" si="1"/>
        <v>16.293644713264708</v>
      </c>
      <c r="K16" s="20">
        <f t="shared" si="2"/>
        <v>2011</v>
      </c>
      <c r="M16" s="21">
        <f t="shared" si="3"/>
        <v>2.9957322735539909</v>
      </c>
      <c r="N16" s="21">
        <f t="shared" si="4"/>
        <v>2.7907751368922047</v>
      </c>
      <c r="O16" s="3" t="s">
        <v>28</v>
      </c>
      <c r="P16" s="23">
        <f>EXP(Q8)</f>
        <v>2.5543150090577282</v>
      </c>
      <c r="Q16" s="31">
        <f>(P16-'GF + UG Iteration 10'!P16)/'GF + UG Iteration 10'!P16</f>
        <v>-5.2731139172519877E-5</v>
      </c>
      <c r="R16" s="32" t="s">
        <v>32</v>
      </c>
    </row>
    <row r="17" spans="1:18" x14ac:dyDescent="0.2">
      <c r="A17" s="25">
        <f>'GF + UG Iteration 10'!A17</f>
        <v>324</v>
      </c>
      <c r="B17" s="25" t="str">
        <f>'GF + UG Iteration 10'!B17</f>
        <v>GF</v>
      </c>
      <c r="C17" s="18">
        <f>'GF + UG Iteration 10'!C17</f>
        <v>17.2</v>
      </c>
      <c r="D17" s="19">
        <f>'GF + UG Iteration 10'!D17</f>
        <v>8.9094125785416409</v>
      </c>
      <c r="E17" s="30">
        <f>'GF + UG Iteration 10'!E17</f>
        <v>2003</v>
      </c>
      <c r="F17" s="18"/>
      <c r="G17" s="19"/>
      <c r="H17" s="20"/>
      <c r="I17" s="18">
        <f t="shared" si="0"/>
        <v>17.2</v>
      </c>
      <c r="J17" s="19">
        <f t="shared" si="1"/>
        <v>8.9094125785416409</v>
      </c>
      <c r="K17" s="20">
        <f t="shared" si="2"/>
        <v>2003</v>
      </c>
      <c r="M17" s="21">
        <f t="shared" si="3"/>
        <v>2.8449093838194073</v>
      </c>
      <c r="N17" s="21">
        <f t="shared" si="4"/>
        <v>2.1871083109750784</v>
      </c>
      <c r="O17" s="3"/>
      <c r="P17" s="24"/>
      <c r="R17" s="32" t="s">
        <v>33</v>
      </c>
    </row>
    <row r="18" spans="1:18" x14ac:dyDescent="0.2">
      <c r="A18" s="25">
        <f>'GF + UG Iteration 10'!A18</f>
        <v>1103</v>
      </c>
      <c r="B18" s="25" t="str">
        <f>'GF + UG Iteration 10'!B18</f>
        <v>GF</v>
      </c>
      <c r="C18" s="18">
        <f>'GF + UG Iteration 10'!C18</f>
        <v>20</v>
      </c>
      <c r="D18" s="19">
        <f>'GF + UG Iteration 10'!D18</f>
        <v>17.299482978955592</v>
      </c>
      <c r="E18" s="30">
        <f>'GF + UG Iteration 10'!E18</f>
        <v>2011</v>
      </c>
      <c r="F18" s="18"/>
      <c r="G18" s="19"/>
      <c r="H18" s="20"/>
      <c r="I18" s="18">
        <f t="shared" si="0"/>
        <v>20</v>
      </c>
      <c r="J18" s="19">
        <f t="shared" si="1"/>
        <v>17.299482978955592</v>
      </c>
      <c r="K18" s="20">
        <f t="shared" si="2"/>
        <v>2011</v>
      </c>
      <c r="M18" s="21">
        <f t="shared" si="3"/>
        <v>2.9957322735539909</v>
      </c>
      <c r="N18" s="21">
        <f t="shared" si="4"/>
        <v>2.8506766154476462</v>
      </c>
      <c r="P18"/>
      <c r="Q18"/>
      <c r="R18" s="32" t="s">
        <v>34</v>
      </c>
    </row>
    <row r="19" spans="1:18" x14ac:dyDescent="0.2">
      <c r="A19" s="25">
        <f>'GF + UG Iteration 10'!A19</f>
        <v>386</v>
      </c>
      <c r="B19" s="25" t="str">
        <f>'GF + UG Iteration 10'!B19</f>
        <v>GF</v>
      </c>
      <c r="C19" s="18">
        <f>'GF + UG Iteration 10'!C19</f>
        <v>9</v>
      </c>
      <c r="D19" s="19">
        <f>'GF + UG Iteration 10'!D19</f>
        <v>9.9511250787738224</v>
      </c>
      <c r="E19" s="30">
        <f>'GF + UG Iteration 10'!E19</f>
        <v>2003</v>
      </c>
      <c r="F19" s="18"/>
      <c r="G19" s="19"/>
      <c r="H19" s="20"/>
      <c r="I19" s="18">
        <f t="shared" si="0"/>
        <v>9</v>
      </c>
      <c r="J19" s="19">
        <f t="shared" si="1"/>
        <v>9.9511250787738224</v>
      </c>
      <c r="K19" s="20">
        <f t="shared" si="2"/>
        <v>2003</v>
      </c>
      <c r="M19" s="21">
        <f t="shared" si="3"/>
        <v>2.1972245773362196</v>
      </c>
      <c r="N19" s="21">
        <f t="shared" si="4"/>
        <v>2.2976856180218044</v>
      </c>
      <c r="P19"/>
      <c r="Q19"/>
    </row>
    <row r="20" spans="1:18" x14ac:dyDescent="0.2">
      <c r="A20" s="25">
        <f>'GF + UG Iteration 10'!A20</f>
        <v>80</v>
      </c>
      <c r="B20" s="25" t="str">
        <f>'GF + UG Iteration 10'!B20</f>
        <v>GF</v>
      </c>
      <c r="C20" s="18">
        <f>'GF + UG Iteration 10'!C20</f>
        <v>8</v>
      </c>
      <c r="D20" s="19">
        <f>'GF + UG Iteration 10'!D20</f>
        <v>6.0754029342110369</v>
      </c>
      <c r="E20" s="30">
        <f>'GF + UG Iteration 10'!E20</f>
        <v>2001</v>
      </c>
      <c r="F20" s="18"/>
      <c r="G20" s="19"/>
      <c r="H20" s="20"/>
      <c r="I20" s="18">
        <f t="shared" si="0"/>
        <v>8</v>
      </c>
      <c r="J20" s="19">
        <f t="shared" si="1"/>
        <v>6.0754029342110369</v>
      </c>
      <c r="K20" s="20">
        <f t="shared" si="2"/>
        <v>2001</v>
      </c>
      <c r="M20" s="21">
        <f t="shared" si="3"/>
        <v>2.0794415416798357</v>
      </c>
      <c r="N20" s="21">
        <f t="shared" si="4"/>
        <v>1.8042483136462</v>
      </c>
      <c r="P20"/>
      <c r="Q20"/>
    </row>
    <row r="21" spans="1:18" x14ac:dyDescent="0.2">
      <c r="A21" s="25">
        <f>'GF + UG Iteration 10'!A21</f>
        <v>1052</v>
      </c>
      <c r="B21" s="25" t="str">
        <f>'GF + UG Iteration 10'!B21</f>
        <v>GF</v>
      </c>
      <c r="C21" s="18">
        <f>'GF + UG Iteration 10'!C21</f>
        <v>13.6</v>
      </c>
      <c r="D21" s="19">
        <f>'GF + UG Iteration 10'!D21</f>
        <v>10.90270245998838</v>
      </c>
      <c r="E21" s="30">
        <f>'GF + UG Iteration 10'!E21</f>
        <v>2011</v>
      </c>
      <c r="F21" s="18"/>
      <c r="G21" s="19"/>
      <c r="H21" s="20"/>
      <c r="I21" s="18">
        <f t="shared" si="0"/>
        <v>13.6</v>
      </c>
      <c r="J21" s="19">
        <f t="shared" si="1"/>
        <v>10.90270245998838</v>
      </c>
      <c r="K21" s="20">
        <f t="shared" si="2"/>
        <v>2011</v>
      </c>
      <c r="M21" s="21">
        <f t="shared" si="3"/>
        <v>2.6100697927420065</v>
      </c>
      <c r="N21" s="21">
        <f t="shared" si="4"/>
        <v>2.3890106906140374</v>
      </c>
      <c r="P21"/>
      <c r="Q21"/>
    </row>
    <row r="22" spans="1:18" x14ac:dyDescent="0.2">
      <c r="A22" s="25">
        <f>'GF + UG Iteration 10'!A22</f>
        <v>347</v>
      </c>
      <c r="B22" s="25" t="str">
        <f>'GF + UG Iteration 10'!B22</f>
        <v>GF</v>
      </c>
      <c r="C22" s="18">
        <f>'GF + UG Iteration 10'!C22</f>
        <v>10.548</v>
      </c>
      <c r="D22" s="19">
        <f>'GF + UG Iteration 10'!D22</f>
        <v>9.3004925979781259</v>
      </c>
      <c r="E22" s="30">
        <f>'GF + UG Iteration 10'!E22</f>
        <v>2003</v>
      </c>
      <c r="F22" s="18"/>
      <c r="G22" s="19"/>
      <c r="H22" s="20"/>
      <c r="I22" s="18">
        <f t="shared" si="0"/>
        <v>10.548</v>
      </c>
      <c r="J22" s="19">
        <f t="shared" si="1"/>
        <v>9.3004925979781259</v>
      </c>
      <c r="K22" s="20">
        <f t="shared" si="2"/>
        <v>2003</v>
      </c>
      <c r="M22" s="21">
        <f t="shared" si="3"/>
        <v>2.3559362684910403</v>
      </c>
      <c r="N22" s="21">
        <f t="shared" si="4"/>
        <v>2.23006736628101</v>
      </c>
    </row>
    <row r="23" spans="1:18" x14ac:dyDescent="0.2">
      <c r="A23" s="25">
        <f>'GF + UG Iteration 10'!A23</f>
        <v>1358</v>
      </c>
      <c r="B23" s="25" t="str">
        <f>'GF + UG Iteration 10'!B23</f>
        <v>GF</v>
      </c>
      <c r="C23" s="18">
        <f>'GF + UG Iteration 10'!C23</f>
        <v>27</v>
      </c>
      <c r="D23" s="19">
        <f>'GF + UG Iteration 10'!D23</f>
        <v>13.07265503282744</v>
      </c>
      <c r="E23" s="30">
        <f>'GF + UG Iteration 10'!E23</f>
        <v>2011</v>
      </c>
      <c r="F23" s="18"/>
      <c r="G23" s="19"/>
      <c r="H23" s="20"/>
      <c r="I23" s="18">
        <f t="shared" si="0"/>
        <v>27</v>
      </c>
      <c r="J23" s="19">
        <f t="shared" si="1"/>
        <v>13.07265503282744</v>
      </c>
      <c r="K23" s="20">
        <f t="shared" si="2"/>
        <v>2011</v>
      </c>
      <c r="M23" s="21">
        <f t="shared" si="3"/>
        <v>3.2958368660043291</v>
      </c>
      <c r="N23" s="21">
        <f t="shared" si="4"/>
        <v>2.5705226464726247</v>
      </c>
    </row>
    <row r="24" spans="1:18" x14ac:dyDescent="0.2">
      <c r="A24" s="25">
        <f>'GF + UG Iteration 10'!A24</f>
        <v>584</v>
      </c>
      <c r="B24" s="25" t="str">
        <f>'GF + UG Iteration 10'!B24</f>
        <v>GF</v>
      </c>
      <c r="C24" s="18">
        <f>'GF + UG Iteration 10'!C24</f>
        <v>28</v>
      </c>
      <c r="D24" s="19">
        <f>'GF + UG Iteration 10'!D24</f>
        <v>34.903749706800433</v>
      </c>
      <c r="E24" s="30">
        <f>'GF + UG Iteration 10'!E24</f>
        <v>2011</v>
      </c>
      <c r="F24" s="18"/>
      <c r="G24" s="19"/>
      <c r="H24" s="20"/>
      <c r="I24" s="18">
        <f t="shared" si="0"/>
        <v>28</v>
      </c>
      <c r="J24" s="19">
        <f t="shared" si="1"/>
        <v>34.903749706800433</v>
      </c>
      <c r="K24" s="20">
        <f t="shared" si="2"/>
        <v>2011</v>
      </c>
      <c r="M24" s="21">
        <f t="shared" si="3"/>
        <v>3.3322045101752038</v>
      </c>
      <c r="N24" s="21">
        <f t="shared" si="4"/>
        <v>3.5525942648925612</v>
      </c>
    </row>
    <row r="25" spans="1:18" x14ac:dyDescent="0.2">
      <c r="A25" s="25">
        <f>'GF + UG Iteration 10'!A25</f>
        <v>422</v>
      </c>
      <c r="B25" s="25" t="str">
        <f>'GF + UG Iteration 10'!B25</f>
        <v>GF</v>
      </c>
      <c r="C25" s="18">
        <f>'GF + UG Iteration 10'!C25</f>
        <v>24</v>
      </c>
      <c r="D25" s="19">
        <f>'GF + UG Iteration 10'!D25</f>
        <v>13.650794587226329</v>
      </c>
      <c r="E25" s="30">
        <f>'GF + UG Iteration 10'!E25</f>
        <v>2003</v>
      </c>
      <c r="F25" s="18"/>
      <c r="G25" s="19"/>
      <c r="H25" s="20"/>
      <c r="I25" s="18">
        <f t="shared" si="0"/>
        <v>24</v>
      </c>
      <c r="J25" s="19">
        <f t="shared" si="1"/>
        <v>13.650794587226329</v>
      </c>
      <c r="K25" s="20">
        <f t="shared" si="2"/>
        <v>2003</v>
      </c>
      <c r="M25" s="21">
        <f t="shared" si="3"/>
        <v>3.1780538303479458</v>
      </c>
      <c r="N25" s="21">
        <f t="shared" si="4"/>
        <v>2.6137977314551564</v>
      </c>
    </row>
    <row r="26" spans="1:18" x14ac:dyDescent="0.2">
      <c r="A26" s="25">
        <f>'GF + UG Iteration 10'!A26</f>
        <v>944</v>
      </c>
      <c r="B26" s="25" t="str">
        <f>'GF + UG Iteration 10'!B26</f>
        <v>GF</v>
      </c>
      <c r="C26" s="18">
        <f>'GF + UG Iteration 10'!C26</f>
        <v>43</v>
      </c>
      <c r="D26" s="19">
        <f>'GF + UG Iteration 10'!D26</f>
        <v>26.816090615909914</v>
      </c>
      <c r="E26" s="30">
        <f>'GF + UG Iteration 10'!E26</f>
        <v>2010</v>
      </c>
      <c r="F26" s="18"/>
      <c r="G26" s="19"/>
      <c r="H26" s="20"/>
      <c r="I26" s="18">
        <f t="shared" si="0"/>
        <v>43</v>
      </c>
      <c r="J26" s="19">
        <f t="shared" si="1"/>
        <v>26.816090615909914</v>
      </c>
      <c r="K26" s="20">
        <f t="shared" si="2"/>
        <v>2010</v>
      </c>
      <c r="M26" s="21">
        <f t="shared" si="3"/>
        <v>3.7612001156935624</v>
      </c>
      <c r="N26" s="21">
        <f t="shared" si="4"/>
        <v>3.2890021034672148</v>
      </c>
    </row>
    <row r="27" spans="1:18" x14ac:dyDescent="0.2">
      <c r="A27" s="25">
        <f>'GF + UG Iteration 10'!A27</f>
        <v>387</v>
      </c>
      <c r="B27" s="25" t="str">
        <f>'GF + UG Iteration 10'!B27</f>
        <v>GF</v>
      </c>
      <c r="C27" s="18">
        <f>'GF + UG Iteration 10'!C27</f>
        <v>7.5</v>
      </c>
      <c r="D27" s="19">
        <f>'GF + UG Iteration 10'!D27</f>
        <v>9.5130592102135658</v>
      </c>
      <c r="E27" s="30">
        <f>'GF + UG Iteration 10'!E27</f>
        <v>2003</v>
      </c>
      <c r="F27" s="18"/>
      <c r="G27" s="19"/>
      <c r="H27" s="20"/>
      <c r="I27" s="18">
        <f t="shared" si="0"/>
        <v>7.5</v>
      </c>
      <c r="J27" s="19">
        <f t="shared" si="1"/>
        <v>9.5130592102135658</v>
      </c>
      <c r="K27" s="20">
        <f t="shared" si="2"/>
        <v>2003</v>
      </c>
      <c r="M27" s="21">
        <f t="shared" si="3"/>
        <v>2.0149030205422647</v>
      </c>
      <c r="N27" s="21">
        <f t="shared" si="4"/>
        <v>2.2526655083417699</v>
      </c>
    </row>
    <row r="28" spans="1:18" x14ac:dyDescent="0.2">
      <c r="A28" s="25">
        <f>'GF + UG Iteration 10'!A28</f>
        <v>587</v>
      </c>
      <c r="B28" s="25" t="str">
        <f>'GF + UG Iteration 10'!B28</f>
        <v>GF</v>
      </c>
      <c r="C28" s="18">
        <f>'GF + UG Iteration 10'!C28</f>
        <v>17.8</v>
      </c>
      <c r="D28" s="19">
        <f>'GF + UG Iteration 10'!D28</f>
        <v>13.152201549137706</v>
      </c>
      <c r="E28" s="30">
        <f>'GF + UG Iteration 10'!E28</f>
        <v>2006</v>
      </c>
      <c r="F28" s="18"/>
      <c r="G28" s="19"/>
      <c r="H28" s="20"/>
      <c r="I28" s="18">
        <f t="shared" si="0"/>
        <v>17.8</v>
      </c>
      <c r="J28" s="19">
        <f t="shared" si="1"/>
        <v>13.152201549137706</v>
      </c>
      <c r="K28" s="20">
        <f t="shared" si="2"/>
        <v>2006</v>
      </c>
      <c r="M28" s="21">
        <f t="shared" si="3"/>
        <v>2.8791984572980396</v>
      </c>
      <c r="N28" s="21">
        <f t="shared" si="4"/>
        <v>2.57658916279629</v>
      </c>
    </row>
    <row r="29" spans="1:18" x14ac:dyDescent="0.2">
      <c r="A29" s="25">
        <f>'GF + UG Iteration 10'!A29</f>
        <v>585</v>
      </c>
      <c r="B29" s="25" t="str">
        <f>'GF + UG Iteration 10'!B29</f>
        <v>GF</v>
      </c>
      <c r="C29" s="18">
        <f>'GF + UG Iteration 10'!C29</f>
        <v>20.6</v>
      </c>
      <c r="D29" s="19">
        <f>'GF + UG Iteration 10'!D29</f>
        <v>11.291169205189183</v>
      </c>
      <c r="E29" s="30">
        <f>'GF + UG Iteration 10'!E29</f>
        <v>2007</v>
      </c>
      <c r="F29" s="18"/>
      <c r="G29" s="19"/>
      <c r="H29" s="20"/>
      <c r="I29" s="18">
        <f t="shared" si="0"/>
        <v>20.6</v>
      </c>
      <c r="J29" s="19">
        <f t="shared" si="1"/>
        <v>11.291169205189183</v>
      </c>
      <c r="K29" s="20">
        <f t="shared" si="2"/>
        <v>2007</v>
      </c>
      <c r="M29" s="21">
        <f t="shared" si="3"/>
        <v>3.0252910757955354</v>
      </c>
      <c r="N29" s="21">
        <f t="shared" si="4"/>
        <v>2.4240209339322751</v>
      </c>
    </row>
    <row r="30" spans="1:18" x14ac:dyDescent="0.2">
      <c r="A30" s="25">
        <f>'GF + UG Iteration 10'!A30</f>
        <v>831</v>
      </c>
      <c r="B30" s="25" t="str">
        <f>'GF + UG Iteration 10'!B30</f>
        <v>GF</v>
      </c>
      <c r="C30" s="18">
        <f>'GF + UG Iteration 10'!C30</f>
        <v>19.600000000000001</v>
      </c>
      <c r="D30" s="19">
        <f>'GF + UG Iteration 10'!D30</f>
        <v>20.965601428070691</v>
      </c>
      <c r="E30" s="30">
        <f>'GF + UG Iteration 10'!E30</f>
        <v>2011</v>
      </c>
      <c r="F30" s="18"/>
      <c r="G30" s="19"/>
      <c r="H30" s="20"/>
      <c r="I30" s="18">
        <f t="shared" si="0"/>
        <v>19.600000000000001</v>
      </c>
      <c r="J30" s="19">
        <f t="shared" si="1"/>
        <v>20.965601428070691</v>
      </c>
      <c r="K30" s="20">
        <f t="shared" si="2"/>
        <v>2011</v>
      </c>
      <c r="M30" s="21">
        <f t="shared" si="3"/>
        <v>2.9755295662364718</v>
      </c>
      <c r="N30" s="21">
        <f t="shared" si="4"/>
        <v>3.042883067455266</v>
      </c>
    </row>
    <row r="31" spans="1:18" x14ac:dyDescent="0.2">
      <c r="A31" s="25">
        <f>'GF + UG Iteration 10'!A31</f>
        <v>340</v>
      </c>
      <c r="B31" s="25" t="str">
        <f>'GF + UG Iteration 10'!B31</f>
        <v>GF</v>
      </c>
      <c r="C31" s="18">
        <f>'GF + UG Iteration 10'!C31</f>
        <v>22</v>
      </c>
      <c r="D31" s="19">
        <f>'GF + UG Iteration 10'!D31</f>
        <v>13.309615571039751</v>
      </c>
      <c r="E31" s="30">
        <f>'GF + UG Iteration 10'!E31</f>
        <v>2003</v>
      </c>
      <c r="F31" s="18"/>
      <c r="G31" s="19"/>
      <c r="H31" s="20"/>
      <c r="I31" s="18">
        <f t="shared" si="0"/>
        <v>22</v>
      </c>
      <c r="J31" s="19">
        <f t="shared" si="1"/>
        <v>13.309615571039751</v>
      </c>
      <c r="K31" s="20">
        <f t="shared" si="2"/>
        <v>2003</v>
      </c>
      <c r="M31" s="21">
        <f t="shared" si="3"/>
        <v>3.0910424533583161</v>
      </c>
      <c r="N31" s="21">
        <f t="shared" si="4"/>
        <v>2.5884867492731334</v>
      </c>
    </row>
    <row r="32" spans="1:18" x14ac:dyDescent="0.2">
      <c r="A32" s="25">
        <f>'GF + UG Iteration 10'!A32</f>
        <v>334</v>
      </c>
      <c r="B32" s="25" t="str">
        <f>'GF + UG Iteration 10'!B32</f>
        <v>GF</v>
      </c>
      <c r="C32" s="18">
        <f>'GF + UG Iteration 10'!C32</f>
        <v>18.8</v>
      </c>
      <c r="D32" s="19">
        <f>'GF + UG Iteration 10'!D32</f>
        <v>7.9463711126733889</v>
      </c>
      <c r="E32" s="30">
        <f>'GF + UG Iteration 10'!E32</f>
        <v>2003</v>
      </c>
      <c r="F32" s="18"/>
      <c r="G32" s="19"/>
      <c r="H32" s="20"/>
      <c r="I32" s="18">
        <f t="shared" si="0"/>
        <v>18.8</v>
      </c>
      <c r="J32" s="19">
        <f t="shared" si="1"/>
        <v>7.9463711126733889</v>
      </c>
      <c r="K32" s="20">
        <f t="shared" si="2"/>
        <v>2003</v>
      </c>
      <c r="M32" s="21">
        <f t="shared" si="3"/>
        <v>2.9338568698359038</v>
      </c>
      <c r="N32" s="21">
        <f t="shared" si="4"/>
        <v>2.072715360640252</v>
      </c>
    </row>
    <row r="33" spans="1:14" x14ac:dyDescent="0.2">
      <c r="A33" s="25">
        <f>'GF + UG Iteration 10'!A33</f>
        <v>343</v>
      </c>
      <c r="B33" s="25" t="str">
        <f>'GF + UG Iteration 10'!B33</f>
        <v>GF</v>
      </c>
      <c r="C33" s="18">
        <f>'GF + UG Iteration 10'!C33</f>
        <v>15.6</v>
      </c>
      <c r="D33" s="19">
        <f>'GF + UG Iteration 10'!D33</f>
        <v>13.99971574022935</v>
      </c>
      <c r="E33" s="30">
        <f>'GF + UG Iteration 10'!E33</f>
        <v>2003</v>
      </c>
      <c r="F33" s="18"/>
      <c r="G33" s="19"/>
      <c r="H33" s="20"/>
      <c r="I33" s="18">
        <f t="shared" si="0"/>
        <v>15.6</v>
      </c>
      <c r="J33" s="19">
        <f t="shared" si="1"/>
        <v>13.99971574022935</v>
      </c>
      <c r="K33" s="20">
        <f t="shared" si="2"/>
        <v>2003</v>
      </c>
      <c r="M33" s="21">
        <f t="shared" si="3"/>
        <v>2.7472709142554912</v>
      </c>
      <c r="N33" s="21">
        <f t="shared" si="4"/>
        <v>2.6390370251397921</v>
      </c>
    </row>
    <row r="34" spans="1:14" x14ac:dyDescent="0.2">
      <c r="A34" s="25">
        <f>'GF + UG Iteration 10'!A34</f>
        <v>358</v>
      </c>
      <c r="B34" s="25" t="str">
        <f>'GF + UG Iteration 10'!B34</f>
        <v>GF</v>
      </c>
      <c r="C34" s="18">
        <f>'GF + UG Iteration 10'!C34</f>
        <v>19.8</v>
      </c>
      <c r="D34" s="19">
        <f>'GF + UG Iteration 10'!D34</f>
        <v>7.2248521864398549</v>
      </c>
      <c r="E34" s="30">
        <f>'GF + UG Iteration 10'!E34</f>
        <v>2003</v>
      </c>
      <c r="F34" s="18"/>
      <c r="G34" s="19"/>
      <c r="H34" s="20"/>
      <c r="I34" s="18">
        <f t="shared" si="0"/>
        <v>19.8</v>
      </c>
      <c r="J34" s="19">
        <f t="shared" si="1"/>
        <v>7.2248521864398549</v>
      </c>
      <c r="K34" s="20">
        <f t="shared" si="2"/>
        <v>2003</v>
      </c>
      <c r="M34" s="21">
        <f t="shared" si="3"/>
        <v>2.9856819377004897</v>
      </c>
      <c r="N34" s="21">
        <f t="shared" si="4"/>
        <v>1.9775267751649739</v>
      </c>
    </row>
    <row r="35" spans="1:14" x14ac:dyDescent="0.2">
      <c r="A35" s="25">
        <f>'GF + UG Iteration 10'!A35</f>
        <v>702</v>
      </c>
      <c r="B35" s="25" t="str">
        <f>'GF + UG Iteration 10'!B35</f>
        <v>GF</v>
      </c>
      <c r="C35" s="18">
        <f>'GF + UG Iteration 10'!C35</f>
        <v>28.4</v>
      </c>
      <c r="D35" s="19">
        <f>'GF + UG Iteration 10'!D35</f>
        <v>5.2101531080390755</v>
      </c>
      <c r="E35" s="30">
        <f>'GF + UG Iteration 10'!E35</f>
        <v>2007</v>
      </c>
      <c r="F35" s="18"/>
      <c r="G35" s="19"/>
      <c r="H35" s="20"/>
      <c r="I35" s="18">
        <f t="shared" si="0"/>
        <v>28.4</v>
      </c>
      <c r="J35" s="19">
        <f t="shared" si="1"/>
        <v>5.2101531080390755</v>
      </c>
      <c r="K35" s="20">
        <f t="shared" si="2"/>
        <v>2007</v>
      </c>
      <c r="M35" s="21">
        <f t="shared" si="3"/>
        <v>3.3463891451671604</v>
      </c>
      <c r="N35" s="21">
        <f t="shared" si="4"/>
        <v>1.6506092426730299</v>
      </c>
    </row>
    <row r="36" spans="1:14" x14ac:dyDescent="0.2">
      <c r="A36" s="25">
        <f>'GF + UG Iteration 10'!A36</f>
        <v>526</v>
      </c>
      <c r="B36" s="25" t="str">
        <f>'GF + UG Iteration 10'!B36</f>
        <v>GF</v>
      </c>
      <c r="C36" s="18">
        <f>'GF + UG Iteration 10'!C36</f>
        <v>19</v>
      </c>
      <c r="D36" s="19">
        <f>'GF + UG Iteration 10'!D36</f>
        <v>13.758834109767626</v>
      </c>
      <c r="E36" s="30">
        <f>'GF + UG Iteration 10'!E36</f>
        <v>2007</v>
      </c>
      <c r="F36" s="18"/>
      <c r="G36" s="19"/>
      <c r="H36" s="20"/>
      <c r="I36" s="18">
        <f t="shared" si="0"/>
        <v>19</v>
      </c>
      <c r="J36" s="19">
        <f t="shared" si="1"/>
        <v>13.758834109767626</v>
      </c>
      <c r="K36" s="20">
        <f t="shared" si="2"/>
        <v>2007</v>
      </c>
      <c r="M36" s="21">
        <f t="shared" si="3"/>
        <v>2.9444389791664403</v>
      </c>
      <c r="N36" s="21">
        <f t="shared" si="4"/>
        <v>2.6216810985205803</v>
      </c>
    </row>
    <row r="37" spans="1:14" x14ac:dyDescent="0.2">
      <c r="A37" s="25">
        <f>'GF + UG Iteration 10'!A37</f>
        <v>288</v>
      </c>
      <c r="B37" s="25" t="str">
        <f>'GF + UG Iteration 10'!B37</f>
        <v>GF</v>
      </c>
      <c r="C37" s="18">
        <f>'GF + UG Iteration 10'!C37</f>
        <v>12</v>
      </c>
      <c r="D37" s="19">
        <f>'GF + UG Iteration 10'!D37</f>
        <v>4.4533584840568787</v>
      </c>
      <c r="E37" s="30">
        <f>'GF + UG Iteration 10'!E37</f>
        <v>2001</v>
      </c>
      <c r="F37" s="18"/>
      <c r="G37" s="19"/>
      <c r="H37" s="20"/>
      <c r="I37" s="18">
        <f t="shared" si="0"/>
        <v>12</v>
      </c>
      <c r="J37" s="19">
        <f t="shared" si="1"/>
        <v>4.4533584840568787</v>
      </c>
      <c r="K37" s="20">
        <f t="shared" si="2"/>
        <v>2001</v>
      </c>
      <c r="M37" s="21">
        <f t="shared" si="3"/>
        <v>2.4849066497880004</v>
      </c>
      <c r="N37" s="21">
        <f t="shared" si="4"/>
        <v>1.4936585270420049</v>
      </c>
    </row>
    <row r="38" spans="1:14" x14ac:dyDescent="0.2">
      <c r="A38" s="25">
        <f>'GF + UG Iteration 10'!A38</f>
        <v>851</v>
      </c>
      <c r="B38" s="25" t="str">
        <f>'GF + UG Iteration 10'!B38</f>
        <v>GF</v>
      </c>
      <c r="C38" s="18">
        <f>'GF + UG Iteration 10'!C38</f>
        <v>25</v>
      </c>
      <c r="D38" s="19">
        <f>'GF + UG Iteration 10'!D38</f>
        <v>12.931754132918639</v>
      </c>
      <c r="E38" s="30">
        <f>'GF + UG Iteration 10'!E38</f>
        <v>2007</v>
      </c>
      <c r="F38" s="18"/>
      <c r="G38" s="19"/>
      <c r="H38" s="20"/>
      <c r="I38" s="18">
        <f t="shared" si="0"/>
        <v>25</v>
      </c>
      <c r="J38" s="19">
        <f t="shared" si="1"/>
        <v>12.931754132918639</v>
      </c>
      <c r="K38" s="20">
        <f t="shared" si="2"/>
        <v>2007</v>
      </c>
      <c r="M38" s="21">
        <f t="shared" si="3"/>
        <v>3.2188758248682006</v>
      </c>
      <c r="N38" s="21">
        <f t="shared" si="4"/>
        <v>2.5596858473810773</v>
      </c>
    </row>
    <row r="39" spans="1:14" x14ac:dyDescent="0.2">
      <c r="A39" s="25">
        <f>'GF + UG Iteration 10'!A39</f>
        <v>648</v>
      </c>
      <c r="B39" s="25" t="str">
        <f>'GF + UG Iteration 10'!B39</f>
        <v>GF</v>
      </c>
      <c r="C39" s="18">
        <f>'GF + UG Iteration 10'!C39</f>
        <v>15</v>
      </c>
      <c r="D39" s="19">
        <f>'GF + UG Iteration 10'!D39</f>
        <v>14.973718181093032</v>
      </c>
      <c r="E39" s="30">
        <f>'GF + UG Iteration 10'!E39</f>
        <v>2007</v>
      </c>
      <c r="F39" s="18"/>
      <c r="G39" s="19"/>
      <c r="H39" s="20"/>
      <c r="I39" s="18">
        <f t="shared" si="0"/>
        <v>15</v>
      </c>
      <c r="J39" s="19">
        <f t="shared" si="1"/>
        <v>14.973718181093032</v>
      </c>
      <c r="K39" s="20">
        <f t="shared" si="2"/>
        <v>2007</v>
      </c>
      <c r="M39" s="21">
        <f t="shared" si="3"/>
        <v>2.7080502011022101</v>
      </c>
      <c r="N39" s="21">
        <f t="shared" si="4"/>
        <v>2.7062965430819679</v>
      </c>
    </row>
    <row r="40" spans="1:14" x14ac:dyDescent="0.2">
      <c r="A40" s="25">
        <f>'GF + UG Iteration 10'!A40</f>
        <v>855</v>
      </c>
      <c r="B40" s="25" t="str">
        <f>'GF + UG Iteration 10'!B40</f>
        <v>GF</v>
      </c>
      <c r="C40" s="18">
        <f>'GF + UG Iteration 10'!C40</f>
        <v>23</v>
      </c>
      <c r="D40" s="19">
        <f>'GF + UG Iteration 10'!D40</f>
        <v>28.66706963950903</v>
      </c>
      <c r="E40" s="30">
        <f>'GF + UG Iteration 10'!E40</f>
        <v>2011</v>
      </c>
      <c r="F40" s="18"/>
      <c r="G40" s="19"/>
      <c r="H40" s="20"/>
      <c r="I40" s="18">
        <f t="shared" si="0"/>
        <v>23</v>
      </c>
      <c r="J40" s="19">
        <f t="shared" si="1"/>
        <v>28.66706963950903</v>
      </c>
      <c r="K40" s="20">
        <f t="shared" si="2"/>
        <v>2011</v>
      </c>
      <c r="M40" s="21">
        <f t="shared" si="3"/>
        <v>3.1354942159291497</v>
      </c>
      <c r="N40" s="21">
        <f t="shared" si="4"/>
        <v>3.355749064678772</v>
      </c>
    </row>
    <row r="41" spans="1:14" x14ac:dyDescent="0.2">
      <c r="A41" s="25">
        <f>'GF + UG Iteration 10'!A41</f>
        <v>700</v>
      </c>
      <c r="B41" s="25" t="str">
        <f>'GF + UG Iteration 10'!B41</f>
        <v>GF</v>
      </c>
      <c r="C41" s="18">
        <f>'GF + UG Iteration 10'!C41</f>
        <v>9.8000000000000007</v>
      </c>
      <c r="D41" s="19">
        <f>'GF + UG Iteration 10'!D41</f>
        <v>7.0657947644327148</v>
      </c>
      <c r="E41" s="30">
        <f>'GF + UG Iteration 10'!E41</f>
        <v>2007</v>
      </c>
      <c r="F41" s="18"/>
      <c r="G41" s="19"/>
      <c r="H41" s="20"/>
      <c r="I41" s="18">
        <f t="shared" si="0"/>
        <v>9.8000000000000007</v>
      </c>
      <c r="J41" s="19">
        <f t="shared" si="1"/>
        <v>7.0657947644327148</v>
      </c>
      <c r="K41" s="20">
        <f t="shared" si="2"/>
        <v>2007</v>
      </c>
      <c r="M41" s="21">
        <f t="shared" si="3"/>
        <v>2.2823823856765264</v>
      </c>
      <c r="N41" s="21">
        <f t="shared" si="4"/>
        <v>1.9552655030060266</v>
      </c>
    </row>
    <row r="42" spans="1:14" x14ac:dyDescent="0.2">
      <c r="A42" s="25">
        <f>'GF + UG Iteration 10'!A42</f>
        <v>683</v>
      </c>
      <c r="B42" s="25" t="str">
        <f>'GF + UG Iteration 10'!B42</f>
        <v>GF</v>
      </c>
      <c r="C42" s="18">
        <f>'GF + UG Iteration 10'!C42</f>
        <v>30</v>
      </c>
      <c r="D42" s="19">
        <f>'GF + UG Iteration 10'!D42</f>
        <v>16.03232257186292</v>
      </c>
      <c r="E42" s="30">
        <f>'GF + UG Iteration 10'!E42</f>
        <v>2011</v>
      </c>
      <c r="F42" s="18"/>
      <c r="G42" s="19"/>
      <c r="H42" s="20"/>
      <c r="I42" s="18">
        <f t="shared" si="0"/>
        <v>30</v>
      </c>
      <c r="J42" s="19">
        <f t="shared" si="1"/>
        <v>16.03232257186292</v>
      </c>
      <c r="K42" s="20">
        <f t="shared" si="2"/>
        <v>2011</v>
      </c>
      <c r="M42" s="21">
        <f t="shared" si="3"/>
        <v>3.4011973816621555</v>
      </c>
      <c r="N42" s="21">
        <f t="shared" si="4"/>
        <v>2.7746068452004713</v>
      </c>
    </row>
    <row r="43" spans="1:14" x14ac:dyDescent="0.2">
      <c r="A43" s="25">
        <f>'GF + UG Iteration 10'!A43</f>
        <v>559</v>
      </c>
      <c r="B43" s="25" t="str">
        <f>'GF + UG Iteration 10'!B43</f>
        <v>GF</v>
      </c>
      <c r="C43" s="18">
        <f>'GF + UG Iteration 10'!C43</f>
        <v>115</v>
      </c>
      <c r="D43" s="19">
        <f>'GF + UG Iteration 10'!D43</f>
        <v>56.859498956472109</v>
      </c>
      <c r="E43" s="30">
        <f>'GF + UG Iteration 10'!E43</f>
        <v>2011</v>
      </c>
      <c r="F43" s="18"/>
      <c r="G43" s="19"/>
      <c r="H43" s="20"/>
      <c r="I43" s="18">
        <f t="shared" si="0"/>
        <v>115</v>
      </c>
      <c r="J43" s="19">
        <f t="shared" si="1"/>
        <v>56.859498956472109</v>
      </c>
      <c r="K43" s="20">
        <f t="shared" si="2"/>
        <v>2011</v>
      </c>
      <c r="M43" s="21">
        <f t="shared" si="3"/>
        <v>4.7449321283632502</v>
      </c>
      <c r="N43" s="21">
        <f t="shared" si="4"/>
        <v>4.0405832943034818</v>
      </c>
    </row>
    <row r="44" spans="1:14" x14ac:dyDescent="0.2">
      <c r="A44" s="25">
        <f>'GF + UG Iteration 10'!A44</f>
        <v>1074</v>
      </c>
      <c r="B44" s="25" t="str">
        <f>'GF + UG Iteration 10'!B44</f>
        <v>GF</v>
      </c>
      <c r="C44" s="18">
        <f>'GF + UG Iteration 10'!C44</f>
        <v>67</v>
      </c>
      <c r="D44" s="19">
        <f>'GF + UG Iteration 10'!D44</f>
        <v>43.13883453102715</v>
      </c>
      <c r="E44" s="30">
        <f>'GF + UG Iteration 10'!E44</f>
        <v>2011</v>
      </c>
      <c r="F44" s="18"/>
      <c r="G44" s="19"/>
      <c r="H44" s="20"/>
      <c r="I44" s="18">
        <f t="shared" si="0"/>
        <v>67</v>
      </c>
      <c r="J44" s="19">
        <f t="shared" si="1"/>
        <v>43.13883453102715</v>
      </c>
      <c r="K44" s="20">
        <f t="shared" si="2"/>
        <v>2011</v>
      </c>
      <c r="M44" s="21">
        <f t="shared" si="3"/>
        <v>4.2046926193909657</v>
      </c>
      <c r="N44" s="21">
        <f t="shared" si="4"/>
        <v>3.7644236246254454</v>
      </c>
    </row>
    <row r="45" spans="1:14" x14ac:dyDescent="0.2">
      <c r="A45" s="25">
        <f>'GF + UG Iteration 10'!A45</f>
        <v>34</v>
      </c>
      <c r="B45" s="25" t="str">
        <f>'GF + UG Iteration 10'!B45</f>
        <v>GF</v>
      </c>
      <c r="C45" s="18">
        <f>'GF + UG Iteration 10'!C45</f>
        <v>16</v>
      </c>
      <c r="D45" s="19">
        <f>'GF + UG Iteration 10'!D45</f>
        <v>7.5134124542159286</v>
      </c>
      <c r="E45" s="30">
        <f>'GF + UG Iteration 10'!E45</f>
        <v>2000</v>
      </c>
      <c r="F45" s="18"/>
      <c r="G45" s="19"/>
      <c r="H45" s="20"/>
      <c r="I45" s="18">
        <f t="shared" si="0"/>
        <v>16</v>
      </c>
      <c r="J45" s="19">
        <f t="shared" si="1"/>
        <v>7.5134124542159286</v>
      </c>
      <c r="K45" s="20">
        <f t="shared" si="2"/>
        <v>2000</v>
      </c>
      <c r="M45" s="21">
        <f t="shared" si="3"/>
        <v>2.7725887222397811</v>
      </c>
      <c r="N45" s="21">
        <f t="shared" si="4"/>
        <v>2.0166897506177883</v>
      </c>
    </row>
    <row r="46" spans="1:14" x14ac:dyDescent="0.2">
      <c r="A46" s="25">
        <f>'GF + UG Iteration 10'!A46</f>
        <v>433</v>
      </c>
      <c r="B46" s="25" t="str">
        <f>'GF + UG Iteration 10'!B46</f>
        <v>GF</v>
      </c>
      <c r="C46" s="18">
        <f>'GF + UG Iteration 10'!C46</f>
        <v>25</v>
      </c>
      <c r="D46" s="19">
        <f>'GF + UG Iteration 10'!D46</f>
        <v>22.308265318441425</v>
      </c>
      <c r="E46" s="30">
        <f>'GF + UG Iteration 10'!E46</f>
        <v>2003</v>
      </c>
      <c r="F46" s="18"/>
      <c r="G46" s="19"/>
      <c r="H46" s="20"/>
      <c r="I46" s="18">
        <f t="shared" si="0"/>
        <v>25</v>
      </c>
      <c r="J46" s="19">
        <f t="shared" si="1"/>
        <v>22.308265318441425</v>
      </c>
      <c r="K46" s="20">
        <f t="shared" si="2"/>
        <v>2003</v>
      </c>
      <c r="M46" s="21">
        <f t="shared" si="3"/>
        <v>3.2188758248682006</v>
      </c>
      <c r="N46" s="21">
        <f t="shared" si="4"/>
        <v>3.1049572518778392</v>
      </c>
    </row>
    <row r="47" spans="1:14" x14ac:dyDescent="0.2">
      <c r="A47" s="25" t="str">
        <f>'GF + UG Iteration 10'!A47</f>
        <v>79A</v>
      </c>
      <c r="B47" s="25" t="str">
        <f>'GF + UG Iteration 10'!B47</f>
        <v>GF</v>
      </c>
      <c r="C47" s="18">
        <f>'GF + UG Iteration 10'!C47</f>
        <v>8</v>
      </c>
      <c r="D47" s="19">
        <f>'GF + UG Iteration 10'!D47</f>
        <v>5.0823375539699818</v>
      </c>
      <c r="E47" s="30">
        <f>'GF + UG Iteration 10'!E47</f>
        <v>2000</v>
      </c>
      <c r="F47" s="18"/>
      <c r="G47" s="19"/>
      <c r="H47" s="20"/>
      <c r="I47" s="18">
        <f t="shared" si="0"/>
        <v>8</v>
      </c>
      <c r="J47" s="19">
        <f t="shared" si="1"/>
        <v>5.0823375539699818</v>
      </c>
      <c r="K47" s="20">
        <f t="shared" si="2"/>
        <v>2000</v>
      </c>
      <c r="M47" s="21">
        <f t="shared" si="3"/>
        <v>2.0794415416798357</v>
      </c>
      <c r="N47" s="21">
        <f t="shared" si="4"/>
        <v>1.62577130417386</v>
      </c>
    </row>
    <row r="48" spans="1:14" x14ac:dyDescent="0.2">
      <c r="A48" s="25" t="str">
        <f>'GF + UG Iteration 10'!A48</f>
        <v>10A</v>
      </c>
      <c r="B48" s="25" t="str">
        <f>'GF + UG Iteration 10'!B48</f>
        <v>GF</v>
      </c>
      <c r="C48" s="18">
        <f>'GF + UG Iteration 10'!C48</f>
        <v>6.2</v>
      </c>
      <c r="D48" s="19">
        <f>'GF + UG Iteration 10'!D48</f>
        <v>8.9160103759227685</v>
      </c>
      <c r="E48" s="30">
        <f>'GF + UG Iteration 10'!E48</f>
        <v>2001</v>
      </c>
      <c r="F48" s="18"/>
      <c r="G48" s="19"/>
      <c r="H48" s="20"/>
      <c r="I48" s="18">
        <f t="shared" si="0"/>
        <v>6.2</v>
      </c>
      <c r="J48" s="19">
        <f t="shared" si="1"/>
        <v>8.9160103759227685</v>
      </c>
      <c r="K48" s="20">
        <f t="shared" si="2"/>
        <v>2001</v>
      </c>
      <c r="M48" s="21">
        <f t="shared" si="3"/>
        <v>1.824549292051046</v>
      </c>
      <c r="N48" s="21">
        <f t="shared" si="4"/>
        <v>2.1878485792648439</v>
      </c>
    </row>
    <row r="49" spans="1:14" x14ac:dyDescent="0.2">
      <c r="A49" s="25">
        <f>'GF + UG Iteration 10'!A49</f>
        <v>345</v>
      </c>
      <c r="B49" s="25" t="str">
        <f>'GF + UG Iteration 10'!B49</f>
        <v>GF</v>
      </c>
      <c r="C49" s="18">
        <f>'GF + UG Iteration 10'!C49</f>
        <v>35</v>
      </c>
      <c r="D49" s="19">
        <f>'GF + UG Iteration 10'!D49</f>
        <v>8.3689831482940882</v>
      </c>
      <c r="E49" s="30">
        <f>'GF + UG Iteration 10'!E49</f>
        <v>2003</v>
      </c>
      <c r="F49" s="18"/>
      <c r="G49" s="19"/>
      <c r="H49" s="20"/>
      <c r="I49" s="18">
        <f t="shared" si="0"/>
        <v>35</v>
      </c>
      <c r="J49" s="19">
        <f t="shared" si="1"/>
        <v>8.3689831482940882</v>
      </c>
      <c r="K49" s="20">
        <f t="shared" si="2"/>
        <v>2003</v>
      </c>
      <c r="M49" s="21">
        <f t="shared" si="3"/>
        <v>3.5553480614894135</v>
      </c>
      <c r="N49" s="21">
        <f t="shared" si="4"/>
        <v>2.1245323894621508</v>
      </c>
    </row>
    <row r="50" spans="1:14" x14ac:dyDescent="0.2">
      <c r="A50" s="25">
        <f>'GF + UG Iteration 10'!A50</f>
        <v>1049</v>
      </c>
      <c r="B50" s="25" t="str">
        <f>'GF + UG Iteration 10'!B50</f>
        <v>GF</v>
      </c>
      <c r="C50" s="18">
        <f>'GF + UG Iteration 10'!C50</f>
        <v>15.2</v>
      </c>
      <c r="D50" s="19">
        <f>'GF + UG Iteration 10'!D50</f>
        <v>54.551770509232071</v>
      </c>
      <c r="E50" s="30">
        <f>'GF + UG Iteration 10'!E50</f>
        <v>2011</v>
      </c>
      <c r="F50" s="18"/>
      <c r="G50" s="19"/>
      <c r="H50" s="20"/>
      <c r="I50" s="18">
        <f t="shared" si="0"/>
        <v>15.2</v>
      </c>
      <c r="J50" s="19">
        <f t="shared" si="1"/>
        <v>54.551770509232071</v>
      </c>
      <c r="K50" s="20">
        <f t="shared" si="2"/>
        <v>2011</v>
      </c>
      <c r="M50" s="21">
        <f t="shared" si="3"/>
        <v>2.7212954278522306</v>
      </c>
      <c r="N50" s="21">
        <f t="shared" si="4"/>
        <v>3.9991501683835766</v>
      </c>
    </row>
    <row r="51" spans="1:14" x14ac:dyDescent="0.2">
      <c r="A51" s="25">
        <f>'GF + UG Iteration 10'!A51</f>
        <v>230</v>
      </c>
      <c r="B51" s="25" t="str">
        <f>'GF + UG Iteration 10'!B51</f>
        <v>GF</v>
      </c>
      <c r="C51" s="18">
        <f>'GF + UG Iteration 10'!C51</f>
        <v>17</v>
      </c>
      <c r="D51" s="19">
        <f>'GF + UG Iteration 10'!D51</f>
        <v>10.739901169983137</v>
      </c>
      <c r="E51" s="30">
        <f>'GF + UG Iteration 10'!E51</f>
        <v>2003</v>
      </c>
      <c r="F51" s="18"/>
      <c r="G51" s="19"/>
      <c r="H51" s="20"/>
      <c r="I51" s="18">
        <f t="shared" si="0"/>
        <v>17</v>
      </c>
      <c r="J51" s="19">
        <f t="shared" si="1"/>
        <v>10.739901169983137</v>
      </c>
      <c r="K51" s="20">
        <f t="shared" si="2"/>
        <v>2003</v>
      </c>
      <c r="M51" s="21">
        <f t="shared" si="3"/>
        <v>2.8332133440562162</v>
      </c>
      <c r="N51" s="21">
        <f t="shared" si="4"/>
        <v>2.3739658869883922</v>
      </c>
    </row>
    <row r="52" spans="1:14" x14ac:dyDescent="0.2">
      <c r="A52" s="25" t="str">
        <f>'GF + UG Iteration 10'!A52</f>
        <v>79B</v>
      </c>
      <c r="B52" s="25" t="str">
        <f>'GF + UG Iteration 10'!B52</f>
        <v>GF</v>
      </c>
      <c r="C52" s="18">
        <f>'GF + UG Iteration 10'!C52</f>
        <v>8</v>
      </c>
      <c r="D52" s="19">
        <f>'GF + UG Iteration 10'!D52</f>
        <v>3.3788339951362953</v>
      </c>
      <c r="E52" s="30">
        <f>'GF + UG Iteration 10'!E52</f>
        <v>2000</v>
      </c>
      <c r="F52" s="18"/>
      <c r="G52" s="19"/>
      <c r="H52" s="20"/>
      <c r="I52" s="18">
        <f t="shared" si="0"/>
        <v>8</v>
      </c>
      <c r="J52" s="19">
        <f t="shared" si="1"/>
        <v>3.3788339951362953</v>
      </c>
      <c r="K52" s="20">
        <f t="shared" si="2"/>
        <v>2000</v>
      </c>
      <c r="M52" s="21">
        <f t="shared" si="3"/>
        <v>2.0794415416798357</v>
      </c>
      <c r="N52" s="21">
        <f t="shared" si="4"/>
        <v>1.2175306781252826</v>
      </c>
    </row>
    <row r="53" spans="1:14" x14ac:dyDescent="0.2">
      <c r="A53" s="25" t="str">
        <f>'GF + UG Iteration 10'!A53</f>
        <v>10B</v>
      </c>
      <c r="B53" s="25" t="str">
        <f>'GF + UG Iteration 10'!B53</f>
        <v>GF</v>
      </c>
      <c r="C53" s="18">
        <f>'GF + UG Iteration 10'!C53</f>
        <v>9.4060000000000006</v>
      </c>
      <c r="D53" s="19">
        <f>'GF + UG Iteration 10'!D53</f>
        <v>9.7991326901064184</v>
      </c>
      <c r="E53" s="30">
        <f>'GF + UG Iteration 10'!E53</f>
        <v>2001</v>
      </c>
      <c r="F53" s="18"/>
      <c r="G53" s="19"/>
      <c r="H53" s="20"/>
      <c r="I53" s="18">
        <f t="shared" si="0"/>
        <v>9.4060000000000006</v>
      </c>
      <c r="J53" s="19">
        <f t="shared" si="1"/>
        <v>9.7991326901064184</v>
      </c>
      <c r="K53" s="20">
        <f t="shared" si="2"/>
        <v>2001</v>
      </c>
      <c r="M53" s="21">
        <f t="shared" si="3"/>
        <v>2.2413477835228561</v>
      </c>
      <c r="N53" s="21">
        <f t="shared" si="4"/>
        <v>2.2822938807505317</v>
      </c>
    </row>
    <row r="54" spans="1:14" x14ac:dyDescent="0.2">
      <c r="A54" s="25">
        <f>'GF + UG Iteration 10'!A54</f>
        <v>8</v>
      </c>
      <c r="B54" s="25" t="str">
        <f>'GF + UG Iteration 10'!B54</f>
        <v>GF</v>
      </c>
      <c r="C54" s="18">
        <f>'GF + UG Iteration 10'!C54</f>
        <v>18</v>
      </c>
      <c r="D54" s="19">
        <f>'GF + UG Iteration 10'!D54</f>
        <v>11.984110505191126</v>
      </c>
      <c r="E54" s="30">
        <f>'GF + UG Iteration 10'!E54</f>
        <v>2000</v>
      </c>
      <c r="F54" s="18"/>
      <c r="G54" s="19"/>
      <c r="H54" s="20"/>
      <c r="I54" s="18">
        <f t="shared" si="0"/>
        <v>18</v>
      </c>
      <c r="J54" s="19">
        <f t="shared" si="1"/>
        <v>11.984110505191126</v>
      </c>
      <c r="K54" s="20">
        <f t="shared" si="2"/>
        <v>2000</v>
      </c>
      <c r="M54" s="21">
        <f t="shared" si="3"/>
        <v>2.8903717578961645</v>
      </c>
      <c r="N54" s="21">
        <f t="shared" si="4"/>
        <v>2.4835816477930246</v>
      </c>
    </row>
    <row r="55" spans="1:14" x14ac:dyDescent="0.2">
      <c r="A55" s="25">
        <f>'GF + UG Iteration 10'!A55</f>
        <v>487</v>
      </c>
      <c r="B55" s="25" t="str">
        <f>'GF + UG Iteration 10'!B55</f>
        <v>GF</v>
      </c>
      <c r="C55" s="18">
        <f>'GF + UG Iteration 10'!C55</f>
        <v>22</v>
      </c>
      <c r="D55" s="19">
        <f>'GF + UG Iteration 10'!D55</f>
        <v>16.606728766354362</v>
      </c>
      <c r="E55" s="30">
        <f>'GF + UG Iteration 10'!E55</f>
        <v>2007</v>
      </c>
      <c r="F55" s="18"/>
      <c r="G55" s="19"/>
      <c r="H55" s="20"/>
      <c r="I55" s="18">
        <f t="shared" si="0"/>
        <v>22</v>
      </c>
      <c r="J55" s="19">
        <f t="shared" si="1"/>
        <v>16.606728766354362</v>
      </c>
      <c r="K55" s="20">
        <f t="shared" si="2"/>
        <v>2007</v>
      </c>
      <c r="M55" s="21">
        <f t="shared" si="3"/>
        <v>3.0910424533583161</v>
      </c>
      <c r="N55" s="21">
        <f t="shared" si="4"/>
        <v>2.8098079606021904</v>
      </c>
    </row>
    <row r="56" spans="1:14" x14ac:dyDescent="0.2">
      <c r="A56" s="25">
        <f>'GF + UG Iteration 10'!A56</f>
        <v>385</v>
      </c>
      <c r="B56" s="25" t="str">
        <f>'GF + UG Iteration 10'!B56</f>
        <v>GF</v>
      </c>
      <c r="C56" s="18">
        <f>'GF + UG Iteration 10'!C56</f>
        <v>7.5</v>
      </c>
      <c r="D56" s="19">
        <f>'GF + UG Iteration 10'!D56</f>
        <v>8.5880709825089685</v>
      </c>
      <c r="E56" s="30">
        <f>'GF + UG Iteration 10'!E56</f>
        <v>2003</v>
      </c>
      <c r="F56" s="18"/>
      <c r="G56" s="19"/>
      <c r="H56" s="20"/>
      <c r="I56" s="18">
        <f t="shared" si="0"/>
        <v>7.5</v>
      </c>
      <c r="J56" s="19">
        <f t="shared" si="1"/>
        <v>8.5880709825089685</v>
      </c>
      <c r="K56" s="20">
        <f t="shared" si="2"/>
        <v>2003</v>
      </c>
      <c r="M56" s="21">
        <f t="shared" si="3"/>
        <v>2.0149030205422647</v>
      </c>
      <c r="N56" s="21">
        <f t="shared" si="4"/>
        <v>2.1503741452954848</v>
      </c>
    </row>
    <row r="57" spans="1:14" x14ac:dyDescent="0.2">
      <c r="A57" s="25">
        <f>'GF + UG Iteration 10'!A57</f>
        <v>865</v>
      </c>
      <c r="B57" s="25" t="str">
        <f>'GF + UG Iteration 10'!B57</f>
        <v>GF</v>
      </c>
      <c r="C57" s="18">
        <f>'GF + UG Iteration 10'!C57</f>
        <v>25</v>
      </c>
      <c r="D57" s="19">
        <f>'GF + UG Iteration 10'!D57</f>
        <v>8.6091983279462436</v>
      </c>
      <c r="E57" s="30">
        <f>'GF + UG Iteration 10'!E57</f>
        <v>2007</v>
      </c>
      <c r="F57" s="18"/>
      <c r="G57" s="19"/>
      <c r="H57" s="20"/>
      <c r="I57" s="18">
        <f t="shared" si="0"/>
        <v>25</v>
      </c>
      <c r="J57" s="19">
        <f t="shared" si="1"/>
        <v>8.6091983279462436</v>
      </c>
      <c r="K57" s="20">
        <f t="shared" si="2"/>
        <v>2007</v>
      </c>
      <c r="M57" s="21">
        <f t="shared" si="3"/>
        <v>3.2188758248682006</v>
      </c>
      <c r="N57" s="21">
        <f t="shared" si="4"/>
        <v>2.1528312046907798</v>
      </c>
    </row>
    <row r="58" spans="1:14" x14ac:dyDescent="0.2">
      <c r="A58" s="25">
        <f>'GF + UG Iteration 10'!A58</f>
        <v>863</v>
      </c>
      <c r="B58" s="25" t="str">
        <f>'GF + UG Iteration 10'!B58</f>
        <v>GF</v>
      </c>
      <c r="C58" s="18">
        <f>'GF + UG Iteration 10'!C58</f>
        <v>25</v>
      </c>
      <c r="D58" s="19">
        <f>'GF + UG Iteration 10'!D58</f>
        <v>8.2434360504581008</v>
      </c>
      <c r="E58" s="30">
        <f>'GF + UG Iteration 10'!E58</f>
        <v>2007</v>
      </c>
      <c r="F58" s="18"/>
      <c r="G58" s="19"/>
      <c r="H58" s="20"/>
      <c r="I58" s="18">
        <f t="shared" si="0"/>
        <v>25</v>
      </c>
      <c r="J58" s="19">
        <f t="shared" si="1"/>
        <v>8.2434360504581008</v>
      </c>
      <c r="K58" s="20">
        <f t="shared" si="2"/>
        <v>2007</v>
      </c>
      <c r="M58" s="21">
        <f t="shared" si="3"/>
        <v>3.2188758248682006</v>
      </c>
      <c r="N58" s="21">
        <f t="shared" si="4"/>
        <v>2.1094172534173556</v>
      </c>
    </row>
    <row r="59" spans="1:14" x14ac:dyDescent="0.2">
      <c r="A59" s="25">
        <f>'GF + UG Iteration 10'!A59</f>
        <v>527</v>
      </c>
      <c r="B59" s="25" t="str">
        <f>'GF + UG Iteration 10'!B59</f>
        <v>GF</v>
      </c>
      <c r="C59" s="18">
        <f>'GF + UG Iteration 10'!C59</f>
        <v>17</v>
      </c>
      <c r="D59" s="19">
        <f>'GF + UG Iteration 10'!D59</f>
        <v>6.9318595783251213</v>
      </c>
      <c r="E59" s="30">
        <f>'GF + UG Iteration 10'!E59</f>
        <v>2007</v>
      </c>
      <c r="F59" s="18"/>
      <c r="G59" s="19"/>
      <c r="H59" s="20"/>
      <c r="I59" s="18">
        <f t="shared" si="0"/>
        <v>17</v>
      </c>
      <c r="J59" s="19">
        <f t="shared" si="1"/>
        <v>6.9318595783251213</v>
      </c>
      <c r="K59" s="20">
        <f t="shared" si="2"/>
        <v>2007</v>
      </c>
      <c r="M59" s="21">
        <f t="shared" si="3"/>
        <v>2.8332133440562162</v>
      </c>
      <c r="N59" s="21">
        <f t="shared" si="4"/>
        <v>1.936128114626418</v>
      </c>
    </row>
    <row r="60" spans="1:14" x14ac:dyDescent="0.2">
      <c r="A60" s="25">
        <f>'GF + UG Iteration 10'!A60</f>
        <v>595</v>
      </c>
      <c r="B60" s="25" t="str">
        <f>'GF + UG Iteration 10'!B60</f>
        <v>GF</v>
      </c>
      <c r="C60" s="18">
        <f>'GF + UG Iteration 10'!C60</f>
        <v>11</v>
      </c>
      <c r="D60" s="19">
        <f>'GF + UG Iteration 10'!D60</f>
        <v>19.087371326529755</v>
      </c>
      <c r="E60" s="30">
        <f>'GF + UG Iteration 10'!E60</f>
        <v>2007</v>
      </c>
      <c r="F60" s="18"/>
      <c r="G60" s="19"/>
      <c r="H60" s="20"/>
      <c r="I60" s="18">
        <f t="shared" si="0"/>
        <v>11</v>
      </c>
      <c r="J60" s="19">
        <f t="shared" si="1"/>
        <v>19.087371326529755</v>
      </c>
      <c r="K60" s="20">
        <f t="shared" si="2"/>
        <v>2007</v>
      </c>
      <c r="M60" s="21">
        <f t="shared" si="3"/>
        <v>2.3978952727983707</v>
      </c>
      <c r="N60" s="21">
        <f t="shared" si="4"/>
        <v>2.9490269292793174</v>
      </c>
    </row>
    <row r="61" spans="1:14" x14ac:dyDescent="0.2">
      <c r="A61" s="25">
        <f>'GF + UG Iteration 10'!A61</f>
        <v>528</v>
      </c>
      <c r="B61" s="25" t="str">
        <f>'GF + UG Iteration 10'!B61</f>
        <v>GF</v>
      </c>
      <c r="C61" s="18">
        <f>'GF + UG Iteration 10'!C61</f>
        <v>17</v>
      </c>
      <c r="D61" s="19">
        <f>'GF + UG Iteration 10'!D61</f>
        <v>5.2657663175025586</v>
      </c>
      <c r="E61" s="30">
        <f>'GF + UG Iteration 10'!E61</f>
        <v>2007</v>
      </c>
      <c r="F61" s="18"/>
      <c r="G61" s="19"/>
      <c r="H61" s="20"/>
      <c r="I61" s="18">
        <f t="shared" si="0"/>
        <v>17</v>
      </c>
      <c r="J61" s="19">
        <f t="shared" si="1"/>
        <v>5.2657663175025586</v>
      </c>
      <c r="K61" s="20">
        <f t="shared" si="2"/>
        <v>2007</v>
      </c>
      <c r="M61" s="21">
        <f t="shared" si="3"/>
        <v>2.8332133440562162</v>
      </c>
      <c r="N61" s="21">
        <f t="shared" si="4"/>
        <v>1.6612266843778571</v>
      </c>
    </row>
    <row r="62" spans="1:14" x14ac:dyDescent="0.2">
      <c r="A62" s="25">
        <f>'GF + UG Iteration 10'!A62</f>
        <v>529</v>
      </c>
      <c r="B62" s="25" t="str">
        <f>'GF + UG Iteration 10'!B62</f>
        <v>GF</v>
      </c>
      <c r="C62" s="18">
        <f>'GF + UG Iteration 10'!C62</f>
        <v>17</v>
      </c>
      <c r="D62" s="19">
        <f>'GF + UG Iteration 10'!D62</f>
        <v>7.7921694439597555</v>
      </c>
      <c r="E62" s="30">
        <f>'GF + UG Iteration 10'!E62</f>
        <v>2007</v>
      </c>
      <c r="F62" s="18"/>
      <c r="G62" s="19"/>
      <c r="H62" s="20"/>
      <c r="I62" s="18">
        <f t="shared" si="0"/>
        <v>17</v>
      </c>
      <c r="J62" s="19">
        <f t="shared" si="1"/>
        <v>7.7921694439597555</v>
      </c>
      <c r="K62" s="20">
        <f t="shared" si="2"/>
        <v>2007</v>
      </c>
      <c r="M62" s="21">
        <f t="shared" si="3"/>
        <v>2.8332133440562162</v>
      </c>
      <c r="N62" s="21">
        <f t="shared" si="4"/>
        <v>2.0531193119918547</v>
      </c>
    </row>
    <row r="63" spans="1:14" x14ac:dyDescent="0.2">
      <c r="A63" s="25">
        <f>'GF + UG Iteration 10'!A63</f>
        <v>1095</v>
      </c>
      <c r="B63" s="25" t="str">
        <f>'GF + UG Iteration 10'!B63</f>
        <v>GF</v>
      </c>
      <c r="C63" s="18">
        <f>'GF + UG Iteration 10'!C63</f>
        <v>18</v>
      </c>
      <c r="D63" s="19">
        <f>'GF + UG Iteration 10'!D63</f>
        <v>11.923356574074873</v>
      </c>
      <c r="E63" s="30">
        <f>'GF + UG Iteration 10'!E63</f>
        <v>2011</v>
      </c>
      <c r="F63" s="18"/>
      <c r="G63" s="19"/>
      <c r="H63" s="20"/>
      <c r="I63" s="18">
        <f t="shared" si="0"/>
        <v>18</v>
      </c>
      <c r="J63" s="19">
        <f t="shared" si="1"/>
        <v>11.923356574074873</v>
      </c>
      <c r="K63" s="20">
        <f t="shared" si="2"/>
        <v>2011</v>
      </c>
      <c r="M63" s="21">
        <f t="shared" si="3"/>
        <v>2.8903717578961645</v>
      </c>
      <c r="N63" s="21">
        <f t="shared" si="4"/>
        <v>2.4784992137824831</v>
      </c>
    </row>
    <row r="64" spans="1:14" x14ac:dyDescent="0.2">
      <c r="A64" s="25">
        <f>'GF + UG Iteration 10'!A64</f>
        <v>561</v>
      </c>
      <c r="B64" s="25" t="str">
        <f>'GF + UG Iteration 10'!B64</f>
        <v>GF</v>
      </c>
      <c r="C64" s="18">
        <f>'GF + UG Iteration 10'!C64</f>
        <v>46</v>
      </c>
      <c r="D64" s="19">
        <f>'GF + UG Iteration 10'!D64</f>
        <v>58.100097147658744</v>
      </c>
      <c r="E64" s="30">
        <f>'GF + UG Iteration 10'!E64</f>
        <v>2011</v>
      </c>
      <c r="F64" s="18"/>
      <c r="G64" s="19"/>
      <c r="H64" s="20"/>
      <c r="I64" s="18">
        <f t="shared" si="0"/>
        <v>46</v>
      </c>
      <c r="J64" s="19">
        <f t="shared" si="1"/>
        <v>58.100097147658744</v>
      </c>
      <c r="K64" s="20">
        <f t="shared" si="2"/>
        <v>2011</v>
      </c>
      <c r="M64" s="21">
        <f t="shared" si="3"/>
        <v>3.8286413964890951</v>
      </c>
      <c r="N64" s="21">
        <f t="shared" si="4"/>
        <v>4.0621673359332098</v>
      </c>
    </row>
    <row r="65" spans="1:14" x14ac:dyDescent="0.2">
      <c r="A65" s="25">
        <f>'GF + UG Iteration 10'!A65</f>
        <v>1018</v>
      </c>
      <c r="B65" s="25" t="str">
        <f>'GF + UG Iteration 10'!B65</f>
        <v>GF</v>
      </c>
      <c r="C65" s="18">
        <f>'GF + UG Iteration 10'!C65</f>
        <v>3</v>
      </c>
      <c r="D65" s="19">
        <f>'GF + UG Iteration 10'!D65</f>
        <v>10.634643135603309</v>
      </c>
      <c r="E65" s="30">
        <f>'GF + UG Iteration 10'!E65</f>
        <v>2011</v>
      </c>
      <c r="F65" s="18"/>
      <c r="G65" s="19"/>
      <c r="H65" s="20"/>
      <c r="I65" s="18">
        <f t="shared" si="0"/>
        <v>3</v>
      </c>
      <c r="J65" s="19">
        <f t="shared" si="1"/>
        <v>10.634643135603309</v>
      </c>
      <c r="K65" s="20">
        <f t="shared" si="2"/>
        <v>2011</v>
      </c>
      <c r="M65" s="21">
        <f t="shared" si="3"/>
        <v>1.0986122886681098</v>
      </c>
      <c r="N65" s="21">
        <f t="shared" si="4"/>
        <v>2.3641168924336546</v>
      </c>
    </row>
    <row r="66" spans="1:14" x14ac:dyDescent="0.2">
      <c r="A66" s="25">
        <f>'GF + UG Iteration 10'!A66</f>
        <v>360</v>
      </c>
      <c r="B66" s="25" t="str">
        <f>'GF + UG Iteration 10'!B66</f>
        <v>GF</v>
      </c>
      <c r="C66" s="18">
        <f>'GF + UG Iteration 10'!C66</f>
        <v>22</v>
      </c>
      <c r="D66" s="19">
        <f>'GF + UG Iteration 10'!D66</f>
        <v>7.1174715515965792</v>
      </c>
      <c r="E66" s="30">
        <f>'GF + UG Iteration 10'!E66</f>
        <v>2003</v>
      </c>
      <c r="F66" s="18"/>
      <c r="G66" s="19"/>
      <c r="H66" s="20"/>
      <c r="I66" s="18">
        <f t="shared" si="0"/>
        <v>22</v>
      </c>
      <c r="J66" s="19">
        <f t="shared" si="1"/>
        <v>7.1174715515965792</v>
      </c>
      <c r="K66" s="20">
        <f t="shared" si="2"/>
        <v>2003</v>
      </c>
      <c r="M66" s="21">
        <f t="shared" si="3"/>
        <v>3.0910424533583161</v>
      </c>
      <c r="N66" s="21">
        <f t="shared" si="4"/>
        <v>1.9625525431963604</v>
      </c>
    </row>
    <row r="67" spans="1:14" x14ac:dyDescent="0.2">
      <c r="A67" s="25">
        <f>'GF + UG Iteration 10'!A67</f>
        <v>1106</v>
      </c>
      <c r="B67" s="25" t="str">
        <f>'GF + UG Iteration 10'!B67</f>
        <v>GF</v>
      </c>
      <c r="C67" s="18">
        <f>'GF + UG Iteration 10'!C67</f>
        <v>12</v>
      </c>
      <c r="D67" s="19">
        <f>'GF + UG Iteration 10'!D67</f>
        <v>20.217898457447252</v>
      </c>
      <c r="E67" s="30">
        <f>'GF + UG Iteration 10'!E67</f>
        <v>2011</v>
      </c>
      <c r="F67" s="18"/>
      <c r="G67" s="19"/>
      <c r="H67" s="20"/>
      <c r="I67" s="18">
        <f t="shared" si="0"/>
        <v>12</v>
      </c>
      <c r="J67" s="19">
        <f t="shared" si="1"/>
        <v>20.217898457447252</v>
      </c>
      <c r="K67" s="20">
        <f t="shared" si="2"/>
        <v>2011</v>
      </c>
      <c r="M67" s="21">
        <f t="shared" si="3"/>
        <v>2.4849066497880004</v>
      </c>
      <c r="N67" s="21">
        <f t="shared" si="4"/>
        <v>3.0065682743355979</v>
      </c>
    </row>
    <row r="68" spans="1:14" x14ac:dyDescent="0.2">
      <c r="A68" s="25">
        <f>'GF + UG Iteration 10'!A68</f>
        <v>899</v>
      </c>
      <c r="B68" s="25" t="str">
        <f>'GF + UG Iteration 10'!B68</f>
        <v>GF</v>
      </c>
      <c r="C68" s="18">
        <f>'GF + UG Iteration 10'!C68</f>
        <v>25</v>
      </c>
      <c r="D68" s="19">
        <f>'GF + UG Iteration 10'!D68</f>
        <v>15.17251837286627</v>
      </c>
      <c r="E68" s="30">
        <f>'GF + UG Iteration 10'!E68</f>
        <v>2010</v>
      </c>
      <c r="F68" s="18"/>
      <c r="G68" s="19"/>
      <c r="H68" s="20"/>
      <c r="I68" s="18">
        <f t="shared" si="0"/>
        <v>25</v>
      </c>
      <c r="J68" s="19">
        <f t="shared" si="1"/>
        <v>15.17251837286627</v>
      </c>
      <c r="K68" s="20">
        <f t="shared" si="2"/>
        <v>2010</v>
      </c>
      <c r="M68" s="21">
        <f t="shared" si="3"/>
        <v>3.2188758248682006</v>
      </c>
      <c r="N68" s="21">
        <f t="shared" si="4"/>
        <v>2.7194857896591729</v>
      </c>
    </row>
    <row r="69" spans="1:14" x14ac:dyDescent="0.2">
      <c r="A69" s="25">
        <f>'GF + UG Iteration 10'!A69</f>
        <v>1191</v>
      </c>
      <c r="B69" s="25" t="str">
        <f>'GF + UG Iteration 10'!B69</f>
        <v>GF</v>
      </c>
      <c r="C69" s="18">
        <f>'GF + UG Iteration 10'!C69</f>
        <v>11</v>
      </c>
      <c r="D69" s="19">
        <f>'GF + UG Iteration 10'!D69</f>
        <v>12.628076471206382</v>
      </c>
      <c r="E69" s="30">
        <f>'GF + UG Iteration 10'!E69</f>
        <v>2011</v>
      </c>
      <c r="F69" s="18"/>
      <c r="G69" s="19"/>
      <c r="H69" s="20"/>
      <c r="I69" s="18">
        <f t="shared" si="0"/>
        <v>11</v>
      </c>
      <c r="J69" s="19">
        <f t="shared" si="1"/>
        <v>12.628076471206382</v>
      </c>
      <c r="K69" s="20">
        <f t="shared" si="2"/>
        <v>2011</v>
      </c>
      <c r="M69" s="21">
        <f t="shared" si="3"/>
        <v>2.3978952727983707</v>
      </c>
      <c r="N69" s="21">
        <f t="shared" si="4"/>
        <v>2.5359226263636927</v>
      </c>
    </row>
    <row r="70" spans="1:14" x14ac:dyDescent="0.2">
      <c r="A70" s="25">
        <f>'GF + UG Iteration 10'!A70</f>
        <v>1115</v>
      </c>
      <c r="B70" s="25" t="str">
        <f>'GF + UG Iteration 10'!B70</f>
        <v>GF</v>
      </c>
      <c r="C70" s="18">
        <f>'GF + UG Iteration 10'!C70</f>
        <v>10</v>
      </c>
      <c r="D70" s="19">
        <f>'GF + UG Iteration 10'!D70</f>
        <v>24.362790290493837</v>
      </c>
      <c r="E70" s="30">
        <f>'GF + UG Iteration 10'!E70</f>
        <v>2011</v>
      </c>
      <c r="F70" s="18"/>
      <c r="G70" s="19"/>
      <c r="H70" s="20"/>
      <c r="I70" s="18">
        <f t="shared" si="0"/>
        <v>10</v>
      </c>
      <c r="J70" s="19">
        <f t="shared" si="1"/>
        <v>24.362790290493837</v>
      </c>
      <c r="K70" s="20">
        <f t="shared" si="2"/>
        <v>2011</v>
      </c>
      <c r="M70" s="21">
        <f t="shared" si="3"/>
        <v>2.3025850929940459</v>
      </c>
      <c r="N70" s="21">
        <f t="shared" si="4"/>
        <v>3.1930569802267783</v>
      </c>
    </row>
    <row r="71" spans="1:14" x14ac:dyDescent="0.2">
      <c r="A71" s="25">
        <f>'GF + UG Iteration 10'!A71</f>
        <v>1053</v>
      </c>
      <c r="B71" s="25" t="str">
        <f>'GF + UG Iteration 10'!B71</f>
        <v>GF</v>
      </c>
      <c r="C71" s="18">
        <f>'GF + UG Iteration 10'!C71</f>
        <v>9</v>
      </c>
      <c r="D71" s="19">
        <f>'GF + UG Iteration 10'!D71</f>
        <v>14.71443826778331</v>
      </c>
      <c r="E71" s="30">
        <f>'GF + UG Iteration 10'!E71</f>
        <v>2011</v>
      </c>
      <c r="F71" s="18"/>
      <c r="G71" s="19"/>
      <c r="H71" s="20"/>
      <c r="I71" s="18">
        <f t="shared" si="0"/>
        <v>9</v>
      </c>
      <c r="J71" s="19">
        <f t="shared" si="1"/>
        <v>14.71443826778331</v>
      </c>
      <c r="K71" s="20">
        <f t="shared" si="2"/>
        <v>2011</v>
      </c>
      <c r="M71" s="21">
        <f t="shared" si="3"/>
        <v>2.1972245773362196</v>
      </c>
      <c r="N71" s="21">
        <f t="shared" si="4"/>
        <v>2.6888292068340069</v>
      </c>
    </row>
    <row r="72" spans="1:14" x14ac:dyDescent="0.2">
      <c r="A72" s="25">
        <f>'GF + UG Iteration 10'!A72</f>
        <v>864</v>
      </c>
      <c r="B72" s="25" t="str">
        <f>'GF + UG Iteration 10'!B72</f>
        <v>GF</v>
      </c>
      <c r="C72" s="18">
        <f>'GF + UG Iteration 10'!C72</f>
        <v>25</v>
      </c>
      <c r="D72" s="19">
        <f>'GF + UG Iteration 10'!D72</f>
        <v>9.825778201045452</v>
      </c>
      <c r="E72" s="30">
        <f>'GF + UG Iteration 10'!E72</f>
        <v>2007</v>
      </c>
      <c r="F72" s="18"/>
      <c r="G72" s="19"/>
      <c r="H72" s="20"/>
      <c r="I72" s="18">
        <f t="shared" ref="I72:I117" si="5">C72+F72</f>
        <v>25</v>
      </c>
      <c r="J72" s="19">
        <f t="shared" ref="J72:J117" si="6">D72+G72</f>
        <v>9.825778201045452</v>
      </c>
      <c r="K72" s="20">
        <f t="shared" ref="K72:K117" si="7">MAX(E72,H72)</f>
        <v>2007</v>
      </c>
      <c r="M72" s="21">
        <f t="shared" ref="M72:M135" si="8">LN(I72)</f>
        <v>3.2188758248682006</v>
      </c>
      <c r="N72" s="21">
        <f t="shared" ref="N72:N135" si="9">LN(J72)</f>
        <v>2.2850093608319559</v>
      </c>
    </row>
    <row r="73" spans="1:14" x14ac:dyDescent="0.2">
      <c r="A73" s="25">
        <f>'GF + UG Iteration 10'!A73</f>
        <v>834</v>
      </c>
      <c r="B73" s="25" t="str">
        <f>'GF + UG Iteration 10'!B73</f>
        <v>GF</v>
      </c>
      <c r="C73" s="18">
        <f>'GF + UG Iteration 10'!C73</f>
        <v>45</v>
      </c>
      <c r="D73" s="19">
        <f>'GF + UG Iteration 10'!D73</f>
        <v>25.798393978216257</v>
      </c>
      <c r="E73" s="30">
        <f>'GF + UG Iteration 10'!E73</f>
        <v>2010</v>
      </c>
      <c r="F73" s="18"/>
      <c r="G73" s="19"/>
      <c r="H73" s="20"/>
      <c r="I73" s="18">
        <f t="shared" si="5"/>
        <v>45</v>
      </c>
      <c r="J73" s="19">
        <f t="shared" si="6"/>
        <v>25.798393978216257</v>
      </c>
      <c r="K73" s="20">
        <f t="shared" si="7"/>
        <v>2010</v>
      </c>
      <c r="M73" s="21">
        <f t="shared" si="8"/>
        <v>3.8066624897703196</v>
      </c>
      <c r="N73" s="21">
        <f t="shared" si="9"/>
        <v>3.2503122410836816</v>
      </c>
    </row>
    <row r="74" spans="1:14" x14ac:dyDescent="0.2">
      <c r="A74" s="25">
        <f>'GF + UG Iteration 10'!A74</f>
        <v>722</v>
      </c>
      <c r="B74" s="25" t="str">
        <f>'GF + UG Iteration 10'!B74</f>
        <v>GF</v>
      </c>
      <c r="C74" s="18">
        <f>'GF + UG Iteration 10'!C74</f>
        <v>10.5</v>
      </c>
      <c r="D74" s="19">
        <f>'GF + UG Iteration 10'!D74</f>
        <v>13.501544643115857</v>
      </c>
      <c r="E74" s="30">
        <f>'GF + UG Iteration 10'!E74</f>
        <v>2010</v>
      </c>
      <c r="F74" s="18"/>
      <c r="G74" s="19"/>
      <c r="H74" s="20"/>
      <c r="I74" s="18">
        <f t="shared" si="5"/>
        <v>10.5</v>
      </c>
      <c r="J74" s="19">
        <f t="shared" si="6"/>
        <v>13.501544643115857</v>
      </c>
      <c r="K74" s="20">
        <f t="shared" si="7"/>
        <v>2010</v>
      </c>
      <c r="M74" s="21">
        <f t="shared" si="8"/>
        <v>2.3513752571634776</v>
      </c>
      <c r="N74" s="21">
        <f t="shared" si="9"/>
        <v>2.6028040969077249</v>
      </c>
    </row>
    <row r="75" spans="1:14" x14ac:dyDescent="0.2">
      <c r="A75" s="25">
        <f>'GF + UG Iteration 10'!A75</f>
        <v>927</v>
      </c>
      <c r="B75" s="25" t="str">
        <f>'GF + UG Iteration 10'!B75</f>
        <v>GF</v>
      </c>
      <c r="C75" s="18">
        <f>'GF + UG Iteration 10'!C75</f>
        <v>60</v>
      </c>
      <c r="D75" s="19">
        <f>'GF + UG Iteration 10'!D75</f>
        <v>25.887106037100622</v>
      </c>
      <c r="E75" s="30">
        <f>'GF + UG Iteration 10'!E75</f>
        <v>2011</v>
      </c>
      <c r="F75" s="18"/>
      <c r="G75" s="19"/>
      <c r="H75" s="20"/>
      <c r="I75" s="18">
        <f t="shared" si="5"/>
        <v>60</v>
      </c>
      <c r="J75" s="19">
        <f t="shared" si="6"/>
        <v>25.887106037100622</v>
      </c>
      <c r="K75" s="20">
        <f t="shared" si="7"/>
        <v>2011</v>
      </c>
      <c r="M75" s="21">
        <f t="shared" si="8"/>
        <v>4.0943445622221004</v>
      </c>
      <c r="N75" s="21">
        <f t="shared" si="9"/>
        <v>3.2537450083384241</v>
      </c>
    </row>
    <row r="76" spans="1:14" x14ac:dyDescent="0.2">
      <c r="A76" s="25">
        <f>'GF + UG Iteration 10'!A76</f>
        <v>1068</v>
      </c>
      <c r="B76" s="25" t="str">
        <f>'GF + UG Iteration 10'!B76</f>
        <v>GF</v>
      </c>
      <c r="C76" s="18">
        <f>'GF + UG Iteration 10'!C76</f>
        <v>11.2</v>
      </c>
      <c r="D76" s="19">
        <f>'GF + UG Iteration 10'!D76</f>
        <v>26.918199168374588</v>
      </c>
      <c r="E76" s="30">
        <f>'GF + UG Iteration 10'!E76</f>
        <v>2011</v>
      </c>
      <c r="F76" s="18"/>
      <c r="G76" s="19"/>
      <c r="H76" s="20"/>
      <c r="I76" s="18">
        <f t="shared" si="5"/>
        <v>11.2</v>
      </c>
      <c r="J76" s="19">
        <f t="shared" si="6"/>
        <v>26.918199168374588</v>
      </c>
      <c r="K76" s="20">
        <f t="shared" si="7"/>
        <v>2011</v>
      </c>
      <c r="M76" s="21">
        <f t="shared" si="8"/>
        <v>2.4159137783010487</v>
      </c>
      <c r="N76" s="21">
        <f t="shared" si="9"/>
        <v>3.2928026068618901</v>
      </c>
    </row>
    <row r="77" spans="1:14" x14ac:dyDescent="0.2">
      <c r="A77" s="25">
        <f>'GF + UG Iteration 10'!A77</f>
        <v>506</v>
      </c>
      <c r="B77" s="25" t="str">
        <f>'GF + UG Iteration 10'!B77</f>
        <v>GF</v>
      </c>
      <c r="C77" s="18">
        <f>'GF + UG Iteration 10'!C77</f>
        <v>20</v>
      </c>
      <c r="D77" s="19">
        <f>'GF + UG Iteration 10'!D77</f>
        <v>13.969254162639503</v>
      </c>
      <c r="E77" s="30">
        <f>'GF + UG Iteration 10'!E77</f>
        <v>2003</v>
      </c>
      <c r="F77" s="18"/>
      <c r="G77" s="19"/>
      <c r="H77" s="20"/>
      <c r="I77" s="18">
        <f t="shared" si="5"/>
        <v>20</v>
      </c>
      <c r="J77" s="19">
        <f t="shared" si="6"/>
        <v>13.969254162639503</v>
      </c>
      <c r="K77" s="20">
        <f t="shared" si="7"/>
        <v>2003</v>
      </c>
      <c r="M77" s="21">
        <f t="shared" si="8"/>
        <v>2.9957322735539909</v>
      </c>
      <c r="N77" s="21">
        <f t="shared" si="9"/>
        <v>2.6368587833425443</v>
      </c>
    </row>
    <row r="78" spans="1:14" x14ac:dyDescent="0.2">
      <c r="A78" s="25">
        <f>'GF + UG Iteration 10'!A78</f>
        <v>456</v>
      </c>
      <c r="B78" s="25" t="str">
        <f>'GF + UG Iteration 10'!B78</f>
        <v>GF</v>
      </c>
      <c r="C78" s="18">
        <f>'GF + UG Iteration 10'!C78</f>
        <v>16</v>
      </c>
      <c r="D78" s="19">
        <f>'GF + UG Iteration 10'!D78</f>
        <v>17.647037003819346</v>
      </c>
      <c r="E78" s="30">
        <f>'GF + UG Iteration 10'!E78</f>
        <v>2007</v>
      </c>
      <c r="F78" s="18"/>
      <c r="G78" s="19"/>
      <c r="H78" s="20"/>
      <c r="I78" s="18">
        <f t="shared" si="5"/>
        <v>16</v>
      </c>
      <c r="J78" s="19">
        <f t="shared" si="6"/>
        <v>17.647037003819346</v>
      </c>
      <c r="K78" s="20">
        <f t="shared" si="7"/>
        <v>2007</v>
      </c>
      <c r="M78" s="21">
        <f t="shared" si="8"/>
        <v>2.7725887222397811</v>
      </c>
      <c r="N78" s="21">
        <f t="shared" si="9"/>
        <v>2.8705678941489836</v>
      </c>
    </row>
    <row r="79" spans="1:14" x14ac:dyDescent="0.2">
      <c r="A79" s="25">
        <f>'GF + UG Iteration 10'!A79</f>
        <v>130</v>
      </c>
      <c r="B79" s="25" t="str">
        <f>'GF + UG Iteration 10'!B79</f>
        <v>GF</v>
      </c>
      <c r="C79" s="18">
        <f>'GF + UG Iteration 10'!C79</f>
        <v>18</v>
      </c>
      <c r="D79" s="19">
        <f>'GF + UG Iteration 10'!D79</f>
        <v>8.4369732753123952</v>
      </c>
      <c r="E79" s="30">
        <f>'GF + UG Iteration 10'!E79</f>
        <v>2001</v>
      </c>
      <c r="F79" s="18"/>
      <c r="G79" s="19"/>
      <c r="H79" s="20"/>
      <c r="I79" s="18">
        <f t="shared" si="5"/>
        <v>18</v>
      </c>
      <c r="J79" s="19">
        <f t="shared" si="6"/>
        <v>8.4369732753123952</v>
      </c>
      <c r="K79" s="20">
        <f t="shared" si="7"/>
        <v>2001</v>
      </c>
      <c r="M79" s="21">
        <f t="shared" si="8"/>
        <v>2.8903717578961645</v>
      </c>
      <c r="N79" s="21">
        <f t="shared" si="9"/>
        <v>2.1326236276203829</v>
      </c>
    </row>
    <row r="80" spans="1:14" x14ac:dyDescent="0.2">
      <c r="A80" s="25">
        <f>'GF + UG Iteration 10'!A80</f>
        <v>308</v>
      </c>
      <c r="B80" s="25" t="str">
        <f>'GF + UG Iteration 10'!B80</f>
        <v>GF</v>
      </c>
      <c r="C80" s="18">
        <f>'GF + UG Iteration 10'!C80</f>
        <v>10</v>
      </c>
      <c r="D80" s="19">
        <f>'GF + UG Iteration 10'!D80</f>
        <v>8.8753762889293544</v>
      </c>
      <c r="E80" s="30">
        <f>'GF + UG Iteration 10'!E80</f>
        <v>2003</v>
      </c>
      <c r="F80" s="18"/>
      <c r="G80" s="19"/>
      <c r="H80" s="20"/>
      <c r="I80" s="18">
        <f t="shared" si="5"/>
        <v>10</v>
      </c>
      <c r="J80" s="19">
        <f t="shared" si="6"/>
        <v>8.8753762889293544</v>
      </c>
      <c r="K80" s="20">
        <f t="shared" si="7"/>
        <v>2003</v>
      </c>
      <c r="M80" s="21">
        <f t="shared" si="8"/>
        <v>2.3025850929940459</v>
      </c>
      <c r="N80" s="21">
        <f t="shared" si="9"/>
        <v>2.1832807332152813</v>
      </c>
    </row>
    <row r="81" spans="1:14" x14ac:dyDescent="0.2">
      <c r="A81" s="25">
        <f>'GF + UG Iteration 10'!A81</f>
        <v>829</v>
      </c>
      <c r="B81" s="25" t="str">
        <f>'GF + UG Iteration 10'!B81</f>
        <v>GF</v>
      </c>
      <c r="C81" s="18">
        <f>'GF + UG Iteration 10'!C81</f>
        <v>20</v>
      </c>
      <c r="D81" s="19">
        <f>'GF + UG Iteration 10'!D81</f>
        <v>27.761077137379147</v>
      </c>
      <c r="E81" s="30">
        <f>'GF + UG Iteration 10'!E81</f>
        <v>2011</v>
      </c>
      <c r="F81" s="18"/>
      <c r="G81" s="19"/>
      <c r="H81" s="20"/>
      <c r="I81" s="18">
        <f t="shared" si="5"/>
        <v>20</v>
      </c>
      <c r="J81" s="19">
        <f t="shared" si="6"/>
        <v>27.761077137379147</v>
      </c>
      <c r="K81" s="20">
        <f t="shared" si="7"/>
        <v>2011</v>
      </c>
      <c r="M81" s="21">
        <f t="shared" si="8"/>
        <v>2.9957322735539909</v>
      </c>
      <c r="N81" s="21">
        <f t="shared" si="9"/>
        <v>3.3236349366646221</v>
      </c>
    </row>
    <row r="82" spans="1:14" x14ac:dyDescent="0.2">
      <c r="A82" s="25">
        <f>'GF + UG Iteration 10'!A82</f>
        <v>425</v>
      </c>
      <c r="B82" s="25" t="str">
        <f>'GF + UG Iteration 10'!B82</f>
        <v>GF</v>
      </c>
      <c r="C82" s="18">
        <f>'GF + UG Iteration 10'!C82</f>
        <v>17</v>
      </c>
      <c r="D82" s="19">
        <f>'GF + UG Iteration 10'!D82</f>
        <v>11.725448588458148</v>
      </c>
      <c r="E82" s="30">
        <f>'GF + UG Iteration 10'!E82</f>
        <v>2006</v>
      </c>
      <c r="F82" s="18"/>
      <c r="G82" s="19"/>
      <c r="H82" s="20"/>
      <c r="I82" s="18">
        <f t="shared" si="5"/>
        <v>17</v>
      </c>
      <c r="J82" s="19">
        <f t="shared" si="6"/>
        <v>11.725448588458148</v>
      </c>
      <c r="K82" s="20">
        <f t="shared" si="7"/>
        <v>2006</v>
      </c>
      <c r="M82" s="21">
        <f t="shared" si="8"/>
        <v>2.8332133440562162</v>
      </c>
      <c r="N82" s="21">
        <f t="shared" si="9"/>
        <v>2.4617615727440327</v>
      </c>
    </row>
    <row r="83" spans="1:14" x14ac:dyDescent="0.2">
      <c r="A83" s="25">
        <f>'GF + UG Iteration 10'!A83</f>
        <v>333</v>
      </c>
      <c r="B83" s="25" t="str">
        <f>'GF + UG Iteration 10'!B83</f>
        <v>GF</v>
      </c>
      <c r="C83" s="18">
        <f>'GF + UG Iteration 10'!C83</f>
        <v>12</v>
      </c>
      <c r="D83" s="19">
        <f>'GF + UG Iteration 10'!D83</f>
        <v>7.5607136656563343</v>
      </c>
      <c r="E83" s="30">
        <f>'GF + UG Iteration 10'!E83</f>
        <v>2003</v>
      </c>
      <c r="F83" s="18"/>
      <c r="G83" s="19"/>
      <c r="H83" s="20"/>
      <c r="I83" s="18">
        <f t="shared" si="5"/>
        <v>12</v>
      </c>
      <c r="J83" s="19">
        <f t="shared" si="6"/>
        <v>7.5607136656563343</v>
      </c>
      <c r="K83" s="20">
        <f t="shared" si="7"/>
        <v>2003</v>
      </c>
      <c r="M83" s="21">
        <f t="shared" si="8"/>
        <v>2.4849066497880004</v>
      </c>
      <c r="N83" s="21">
        <f t="shared" si="9"/>
        <v>2.022965585955113</v>
      </c>
    </row>
    <row r="84" spans="1:14" x14ac:dyDescent="0.2">
      <c r="A84" s="25">
        <f>'GF + UG Iteration 10'!A84</f>
        <v>769</v>
      </c>
      <c r="B84" s="25" t="str">
        <f>'GF + UG Iteration 10'!B84</f>
        <v>GF</v>
      </c>
      <c r="C84" s="18">
        <f>'GF + UG Iteration 10'!C84</f>
        <v>40</v>
      </c>
      <c r="D84" s="19">
        <f>'GF + UG Iteration 10'!D84</f>
        <v>26.381292343151443</v>
      </c>
      <c r="E84" s="30">
        <f>'GF + UG Iteration 10'!E84</f>
        <v>2007</v>
      </c>
      <c r="F84" s="18"/>
      <c r="G84" s="19"/>
      <c r="H84" s="20"/>
      <c r="I84" s="18">
        <f t="shared" si="5"/>
        <v>40</v>
      </c>
      <c r="J84" s="19">
        <f t="shared" si="6"/>
        <v>26.381292343151443</v>
      </c>
      <c r="K84" s="20">
        <f t="shared" si="7"/>
        <v>2007</v>
      </c>
      <c r="M84" s="21">
        <f t="shared" si="8"/>
        <v>3.6888794541139363</v>
      </c>
      <c r="N84" s="21">
        <f t="shared" si="9"/>
        <v>3.2726551355945839</v>
      </c>
    </row>
    <row r="85" spans="1:14" x14ac:dyDescent="0.2">
      <c r="A85" s="25">
        <f>'GF + UG Iteration 10'!A85</f>
        <v>948</v>
      </c>
      <c r="B85" s="25" t="str">
        <f>'GF + UG Iteration 10'!B85</f>
        <v>GF</v>
      </c>
      <c r="C85" s="18">
        <f>'GF + UG Iteration 10'!C85</f>
        <v>57</v>
      </c>
      <c r="D85" s="19">
        <f>'GF + UG Iteration 10'!D85</f>
        <v>12.653662771089085</v>
      </c>
      <c r="E85" s="30">
        <f>'GF + UG Iteration 10'!E85</f>
        <v>2014</v>
      </c>
      <c r="F85" s="18"/>
      <c r="G85" s="19"/>
      <c r="H85" s="20"/>
      <c r="I85" s="18">
        <f t="shared" si="5"/>
        <v>57</v>
      </c>
      <c r="J85" s="19">
        <f t="shared" si="6"/>
        <v>12.653662771089085</v>
      </c>
      <c r="K85" s="20">
        <f t="shared" si="7"/>
        <v>2014</v>
      </c>
      <c r="M85" s="21">
        <f t="shared" si="8"/>
        <v>4.0430512678345503</v>
      </c>
      <c r="N85" s="21">
        <f t="shared" si="9"/>
        <v>2.5379467203845181</v>
      </c>
    </row>
    <row r="86" spans="1:14" x14ac:dyDescent="0.2">
      <c r="A86" s="25">
        <f>'GF + UG Iteration 10'!A86</f>
        <v>1128</v>
      </c>
      <c r="B86" s="25" t="str">
        <f>'GF + UG Iteration 10'!B86</f>
        <v>GF</v>
      </c>
      <c r="C86" s="18">
        <f>'GF + UG Iteration 10'!C86</f>
        <v>45</v>
      </c>
      <c r="D86" s="19">
        <f>'GF + UG Iteration 10'!D86</f>
        <v>63.556235718349399</v>
      </c>
      <c r="E86" s="30">
        <f>'GF + UG Iteration 10'!E86</f>
        <v>2013</v>
      </c>
      <c r="F86" s="18"/>
      <c r="G86" s="19"/>
      <c r="H86" s="20"/>
      <c r="I86" s="18">
        <f t="shared" si="5"/>
        <v>45</v>
      </c>
      <c r="J86" s="19">
        <f t="shared" si="6"/>
        <v>63.556235718349399</v>
      </c>
      <c r="K86" s="20">
        <f t="shared" si="7"/>
        <v>2013</v>
      </c>
      <c r="M86" s="21">
        <f t="shared" si="8"/>
        <v>3.8066624897703196</v>
      </c>
      <c r="N86" s="21">
        <f t="shared" si="9"/>
        <v>4.1519251158484547</v>
      </c>
    </row>
    <row r="87" spans="1:14" x14ac:dyDescent="0.2">
      <c r="A87" s="25">
        <f>'GF + UG Iteration 10'!A87</f>
        <v>1214</v>
      </c>
      <c r="B87" s="25" t="str">
        <f>'GF + UG Iteration 10'!B87</f>
        <v>GF</v>
      </c>
      <c r="C87" s="18">
        <f>'GF + UG Iteration 10'!C87</f>
        <v>52</v>
      </c>
      <c r="D87" s="19">
        <f>'GF + UG Iteration 10'!D87</f>
        <v>22.631695273294461</v>
      </c>
      <c r="E87" s="30">
        <f>'GF + UG Iteration 10'!E87</f>
        <v>2013</v>
      </c>
      <c r="F87" s="18"/>
      <c r="G87" s="19"/>
      <c r="H87" s="20"/>
      <c r="I87" s="18">
        <f t="shared" si="5"/>
        <v>52</v>
      </c>
      <c r="J87" s="19">
        <f t="shared" si="6"/>
        <v>22.631695273294461</v>
      </c>
      <c r="K87" s="20">
        <f t="shared" si="7"/>
        <v>2013</v>
      </c>
      <c r="M87" s="21">
        <f t="shared" si="8"/>
        <v>3.9512437185814275</v>
      </c>
      <c r="N87" s="21">
        <f t="shared" si="9"/>
        <v>3.1193513694907367</v>
      </c>
    </row>
    <row r="88" spans="1:14" x14ac:dyDescent="0.2">
      <c r="A88" s="25">
        <f>'GF + UG Iteration 10'!A88</f>
        <v>1225</v>
      </c>
      <c r="B88" s="25" t="str">
        <f>'GF + UG Iteration 10'!B88</f>
        <v>GF</v>
      </c>
      <c r="C88" s="18">
        <f>'GF + UG Iteration 10'!C88</f>
        <v>20</v>
      </c>
      <c r="D88" s="19">
        <f>'GF + UG Iteration 10'!D88</f>
        <v>18.636695744675041</v>
      </c>
      <c r="E88" s="30">
        <f>'GF + UG Iteration 10'!E88</f>
        <v>2013</v>
      </c>
      <c r="F88" s="18"/>
      <c r="G88" s="19"/>
      <c r="H88" s="20"/>
      <c r="I88" s="18">
        <f t="shared" si="5"/>
        <v>20</v>
      </c>
      <c r="J88" s="19">
        <f t="shared" si="6"/>
        <v>18.636695744675041</v>
      </c>
      <c r="K88" s="20">
        <f t="shared" si="7"/>
        <v>2013</v>
      </c>
      <c r="M88" s="21">
        <f t="shared" si="8"/>
        <v>2.9957322735539909</v>
      </c>
      <c r="N88" s="21">
        <f t="shared" si="9"/>
        <v>2.925132526627233</v>
      </c>
    </row>
    <row r="89" spans="1:14" x14ac:dyDescent="0.2">
      <c r="A89" s="25">
        <f>'GF + UG Iteration 10'!A89</f>
        <v>1263</v>
      </c>
      <c r="B89" s="25" t="str">
        <f>'GF + UG Iteration 10'!B89</f>
        <v>GF</v>
      </c>
      <c r="C89" s="18">
        <f>'GF + UG Iteration 10'!C89</f>
        <v>8</v>
      </c>
      <c r="D89" s="19">
        <f>'GF + UG Iteration 10'!D89</f>
        <v>19.611656992669992</v>
      </c>
      <c r="E89" s="30">
        <f>'GF + UG Iteration 10'!E89</f>
        <v>2013</v>
      </c>
      <c r="F89" s="18"/>
      <c r="G89" s="19"/>
      <c r="H89" s="20"/>
      <c r="I89" s="18">
        <f t="shared" si="5"/>
        <v>8</v>
      </c>
      <c r="J89" s="19">
        <f t="shared" si="6"/>
        <v>19.611656992669992</v>
      </c>
      <c r="K89" s="20">
        <f t="shared" si="7"/>
        <v>2013</v>
      </c>
      <c r="M89" s="21">
        <f t="shared" si="8"/>
        <v>2.0794415416798357</v>
      </c>
      <c r="N89" s="21">
        <f t="shared" si="9"/>
        <v>2.9761241339700195</v>
      </c>
    </row>
    <row r="90" spans="1:14" x14ac:dyDescent="0.2">
      <c r="A90" s="25">
        <f>'GF + UG Iteration 10'!A90</f>
        <v>1309</v>
      </c>
      <c r="B90" s="25" t="str">
        <f>'GF + UG Iteration 10'!B90</f>
        <v>GF</v>
      </c>
      <c r="C90" s="18">
        <f>'GF + UG Iteration 10'!C90</f>
        <v>15</v>
      </c>
      <c r="D90" s="19">
        <f>'GF + UG Iteration 10'!D90</f>
        <v>16.109333942693336</v>
      </c>
      <c r="E90" s="30">
        <f>'GF + UG Iteration 10'!E90</f>
        <v>2013</v>
      </c>
      <c r="F90" s="18"/>
      <c r="G90" s="19"/>
      <c r="H90" s="20"/>
      <c r="I90" s="18">
        <f t="shared" si="5"/>
        <v>15</v>
      </c>
      <c r="J90" s="19">
        <f t="shared" si="6"/>
        <v>16.109333942693336</v>
      </c>
      <c r="K90" s="20">
        <f t="shared" si="7"/>
        <v>2013</v>
      </c>
      <c r="M90" s="21">
        <f t="shared" si="8"/>
        <v>2.7080502011022101</v>
      </c>
      <c r="N90" s="21">
        <f t="shared" si="9"/>
        <v>2.7793988519948485</v>
      </c>
    </row>
    <row r="91" spans="1:14" x14ac:dyDescent="0.2">
      <c r="A91" s="25">
        <f>'GF + UG Iteration 10'!A91</f>
        <v>1349</v>
      </c>
      <c r="B91" s="25" t="str">
        <f>'GF + UG Iteration 10'!B91</f>
        <v>GF</v>
      </c>
      <c r="C91" s="18">
        <f>'GF + UG Iteration 10'!C91</f>
        <v>34</v>
      </c>
      <c r="D91" s="19">
        <f>'GF + UG Iteration 10'!D91</f>
        <v>8.9679522578977586</v>
      </c>
      <c r="E91" s="30">
        <f>'GF + UG Iteration 10'!E91</f>
        <v>2013</v>
      </c>
      <c r="F91" s="18"/>
      <c r="G91" s="19"/>
      <c r="H91" s="20"/>
      <c r="I91" s="18">
        <f t="shared" si="5"/>
        <v>34</v>
      </c>
      <c r="J91" s="19">
        <f t="shared" si="6"/>
        <v>8.9679522578977586</v>
      </c>
      <c r="K91" s="20">
        <f t="shared" si="7"/>
        <v>2013</v>
      </c>
      <c r="M91" s="21">
        <f t="shared" si="8"/>
        <v>3.5263605246161616</v>
      </c>
      <c r="N91" s="21">
        <f t="shared" si="9"/>
        <v>2.193657362149283</v>
      </c>
    </row>
    <row r="92" spans="1:14" x14ac:dyDescent="0.2">
      <c r="A92" s="25">
        <f>'GF + UG Iteration 10'!A92</f>
        <v>1358</v>
      </c>
      <c r="B92" s="25" t="str">
        <f>'GF + UG Iteration 10'!B92</f>
        <v>GF</v>
      </c>
      <c r="C92" s="18">
        <f>'GF + UG Iteration 10'!C92</f>
        <v>27</v>
      </c>
      <c r="D92" s="19">
        <f>'GF + UG Iteration 10'!D92</f>
        <v>13.07265503282744</v>
      </c>
      <c r="E92" s="30">
        <f>'GF + UG Iteration 10'!E92</f>
        <v>2013</v>
      </c>
      <c r="F92" s="18"/>
      <c r="G92" s="19"/>
      <c r="H92" s="20"/>
      <c r="I92" s="18">
        <f t="shared" si="5"/>
        <v>27</v>
      </c>
      <c r="J92" s="19">
        <f t="shared" si="6"/>
        <v>13.07265503282744</v>
      </c>
      <c r="K92" s="20">
        <f t="shared" si="7"/>
        <v>2013</v>
      </c>
      <c r="M92" s="21">
        <f t="shared" si="8"/>
        <v>3.2958368660043291</v>
      </c>
      <c r="N92" s="21">
        <f t="shared" si="9"/>
        <v>2.5705226464726247</v>
      </c>
    </row>
    <row r="93" spans="1:14" x14ac:dyDescent="0.2">
      <c r="A93" s="25">
        <f>'GF + UG Iteration 10'!A93</f>
        <v>1404</v>
      </c>
      <c r="B93" s="25" t="str">
        <f>'GF + UG Iteration 10'!B93</f>
        <v>GF</v>
      </c>
      <c r="C93" s="18">
        <f>'GF + UG Iteration 10'!C93</f>
        <v>35</v>
      </c>
      <c r="D93" s="19">
        <f>'GF + UG Iteration 10'!D93</f>
        <v>35.276341164894447</v>
      </c>
      <c r="E93" s="30">
        <f>'GF + UG Iteration 10'!E93</f>
        <v>2013</v>
      </c>
      <c r="F93" s="18"/>
      <c r="G93" s="19"/>
      <c r="H93" s="20"/>
      <c r="I93" s="18">
        <f t="shared" si="5"/>
        <v>35</v>
      </c>
      <c r="J93" s="19">
        <f t="shared" si="6"/>
        <v>35.276341164894447</v>
      </c>
      <c r="K93" s="20">
        <f t="shared" si="7"/>
        <v>2013</v>
      </c>
      <c r="M93" s="21">
        <f t="shared" si="8"/>
        <v>3.5553480614894135</v>
      </c>
      <c r="N93" s="21">
        <f t="shared" si="9"/>
        <v>3.5632125172824458</v>
      </c>
    </row>
    <row r="94" spans="1:14" x14ac:dyDescent="0.2">
      <c r="A94" s="25">
        <f>'GF + UG Iteration 10'!A94</f>
        <v>1482</v>
      </c>
      <c r="B94" s="25" t="str">
        <f>'GF + UG Iteration 10'!B94</f>
        <v>GF</v>
      </c>
      <c r="C94" s="18">
        <f>'GF + UG Iteration 10'!C94</f>
        <v>18.399999999999999</v>
      </c>
      <c r="D94" s="19">
        <f>'GF + UG Iteration 10'!D94</f>
        <v>18.765793673519447</v>
      </c>
      <c r="E94" s="30">
        <f>'GF + UG Iteration 10'!E94</f>
        <v>2013</v>
      </c>
      <c r="F94" s="18"/>
      <c r="G94" s="19"/>
      <c r="H94" s="20"/>
      <c r="I94" s="18">
        <f t="shared" si="5"/>
        <v>18.399999999999999</v>
      </c>
      <c r="J94" s="19">
        <f t="shared" si="6"/>
        <v>18.765793673519447</v>
      </c>
      <c r="K94" s="20">
        <f t="shared" si="7"/>
        <v>2013</v>
      </c>
      <c r="M94" s="21">
        <f t="shared" si="8"/>
        <v>2.91235066461494</v>
      </c>
      <c r="N94" s="21">
        <f t="shared" si="9"/>
        <v>2.9320357271105943</v>
      </c>
    </row>
    <row r="95" spans="1:14" x14ac:dyDescent="0.2">
      <c r="A95" s="25">
        <f>'GF + UG Iteration 10'!A95</f>
        <v>1515</v>
      </c>
      <c r="B95" s="25" t="str">
        <f>'GF + UG Iteration 10'!B95</f>
        <v>GF</v>
      </c>
      <c r="C95" s="18">
        <f>'GF + UG Iteration 10'!C95</f>
        <v>7.2</v>
      </c>
      <c r="D95" s="19">
        <f>'GF + UG Iteration 10'!D95</f>
        <v>12.99271394051414</v>
      </c>
      <c r="E95" s="30">
        <f>'GF + UG Iteration 10'!E95</f>
        <v>2013</v>
      </c>
      <c r="F95" s="18"/>
      <c r="G95" s="19"/>
      <c r="H95" s="20"/>
      <c r="I95" s="18">
        <f t="shared" si="5"/>
        <v>7.2</v>
      </c>
      <c r="J95" s="19">
        <f t="shared" si="6"/>
        <v>12.99271394051414</v>
      </c>
      <c r="K95" s="20">
        <f t="shared" si="7"/>
        <v>2013</v>
      </c>
      <c r="M95" s="21">
        <f t="shared" si="8"/>
        <v>1.9740810260220096</v>
      </c>
      <c r="N95" s="21">
        <f t="shared" si="9"/>
        <v>2.5643887342273977</v>
      </c>
    </row>
    <row r="96" spans="1:14" x14ac:dyDescent="0.2">
      <c r="A96" s="25">
        <f>'GF + UG Iteration 10'!A96</f>
        <v>1618</v>
      </c>
      <c r="B96" s="25" t="str">
        <f>'GF + UG Iteration 10'!B96</f>
        <v>GF</v>
      </c>
      <c r="C96" s="18">
        <f>'GF + UG Iteration 10'!C96</f>
        <v>21</v>
      </c>
      <c r="D96" s="19">
        <f>'GF + UG Iteration 10'!D96</f>
        <v>15.965955598995766</v>
      </c>
      <c r="E96" s="30">
        <f>'GF + UG Iteration 10'!E96</f>
        <v>2016</v>
      </c>
      <c r="F96" s="18"/>
      <c r="G96" s="19"/>
      <c r="H96" s="20"/>
      <c r="I96" s="18">
        <f t="shared" si="5"/>
        <v>21</v>
      </c>
      <c r="J96" s="19">
        <f t="shared" si="6"/>
        <v>15.965955598995766</v>
      </c>
      <c r="K96" s="20">
        <f t="shared" si="7"/>
        <v>2016</v>
      </c>
      <c r="M96" s="21">
        <f t="shared" si="8"/>
        <v>3.044522437723423</v>
      </c>
      <c r="N96" s="21">
        <f t="shared" si="9"/>
        <v>2.7704586802474096</v>
      </c>
    </row>
    <row r="97" spans="1:14" x14ac:dyDescent="0.2">
      <c r="A97" s="25">
        <f>'GF + UG Iteration 10'!A97</f>
        <v>1634</v>
      </c>
      <c r="B97" s="25" t="str">
        <f>'GF + UG Iteration 10'!B97</f>
        <v>GF</v>
      </c>
      <c r="C97" s="18">
        <f>'GF + UG Iteration 10'!C97</f>
        <v>17.899999999999999</v>
      </c>
      <c r="D97" s="19">
        <f>'GF + UG Iteration 10'!D97</f>
        <v>17.172783979023848</v>
      </c>
      <c r="E97" s="30">
        <f>'GF + UG Iteration 10'!E97</f>
        <v>2015</v>
      </c>
      <c r="F97" s="18"/>
      <c r="G97" s="19"/>
      <c r="H97" s="20"/>
      <c r="I97" s="18">
        <f t="shared" si="5"/>
        <v>17.899999999999999</v>
      </c>
      <c r="J97" s="19">
        <f t="shared" si="6"/>
        <v>17.172783979023848</v>
      </c>
      <c r="K97" s="20">
        <f t="shared" si="7"/>
        <v>2015</v>
      </c>
      <c r="M97" s="21">
        <f t="shared" si="8"/>
        <v>2.884800712846709</v>
      </c>
      <c r="N97" s="21">
        <f t="shared" si="9"/>
        <v>2.8433258038172586</v>
      </c>
    </row>
    <row r="98" spans="1:14" x14ac:dyDescent="0.2">
      <c r="A98" s="25">
        <f>'GF + UG Iteration 10'!A98</f>
        <v>1258</v>
      </c>
      <c r="B98" s="25" t="str">
        <f>'GF + UG Iteration 10'!B98</f>
        <v>GF</v>
      </c>
      <c r="C98" s="18">
        <f>'GF + UG Iteration 10'!C98</f>
        <v>46</v>
      </c>
      <c r="D98" s="19">
        <f>'GF + UG Iteration 10'!D98</f>
        <v>53.518330212347877</v>
      </c>
      <c r="E98" s="30">
        <f>'GF + UG Iteration 10'!E98</f>
        <v>2017</v>
      </c>
      <c r="F98" s="18"/>
      <c r="G98" s="19"/>
      <c r="H98" s="20"/>
      <c r="I98" s="18">
        <f t="shared" si="5"/>
        <v>46</v>
      </c>
      <c r="J98" s="19">
        <f t="shared" si="6"/>
        <v>53.518330212347877</v>
      </c>
      <c r="K98" s="20">
        <f t="shared" si="7"/>
        <v>2017</v>
      </c>
      <c r="M98" s="21">
        <f t="shared" si="8"/>
        <v>3.8286413964890951</v>
      </c>
      <c r="N98" s="21">
        <f t="shared" si="9"/>
        <v>3.98002421601241</v>
      </c>
    </row>
    <row r="99" spans="1:14" x14ac:dyDescent="0.2">
      <c r="A99" s="25">
        <f>'GF + UG Iteration 10'!A99</f>
        <v>1284</v>
      </c>
      <c r="B99" s="25" t="str">
        <f>'GF + UG Iteration 10'!B99</f>
        <v>GF</v>
      </c>
      <c r="C99" s="18">
        <f>'GF + UG Iteration 10'!C99</f>
        <v>24.1</v>
      </c>
      <c r="D99" s="19">
        <f>'GF + UG Iteration 10'!D99</f>
        <v>7.0843108002972475</v>
      </c>
      <c r="E99" s="30">
        <f>'GF + UG Iteration 10'!E99</f>
        <v>2013</v>
      </c>
      <c r="F99" s="18"/>
      <c r="G99" s="19"/>
      <c r="H99" s="20"/>
      <c r="I99" s="18">
        <f t="shared" si="5"/>
        <v>24.1</v>
      </c>
      <c r="J99" s="19">
        <f t="shared" si="6"/>
        <v>7.0843108002972475</v>
      </c>
      <c r="K99" s="20">
        <f t="shared" si="7"/>
        <v>2013</v>
      </c>
      <c r="M99" s="21">
        <f t="shared" si="8"/>
        <v>3.1822118404966093</v>
      </c>
      <c r="N99" s="21">
        <f t="shared" si="9"/>
        <v>1.9578825925179175</v>
      </c>
    </row>
    <row r="100" spans="1:14" x14ac:dyDescent="0.2">
      <c r="A100" s="25" t="str">
        <f>'GF + UG Iteration 10'!A100</f>
        <v>Pre-01</v>
      </c>
      <c r="B100" s="25" t="str">
        <f>'GF + UG Iteration 10'!B100</f>
        <v>GF</v>
      </c>
      <c r="C100" s="18">
        <f>'GF + UG Iteration 10'!C100</f>
        <v>2.2000000000000002</v>
      </c>
      <c r="D100" s="19">
        <f>'GF + UG Iteration 10'!D100</f>
        <v>2.4933711786255444</v>
      </c>
      <c r="E100" s="30">
        <f>'GF + UG Iteration 10'!E100</f>
        <v>1990</v>
      </c>
      <c r="F100" s="18"/>
      <c r="G100" s="19"/>
      <c r="H100" s="20"/>
      <c r="I100" s="18">
        <f t="shared" si="5"/>
        <v>2.2000000000000002</v>
      </c>
      <c r="J100" s="19">
        <f t="shared" si="6"/>
        <v>2.4933711786255444</v>
      </c>
      <c r="K100" s="20">
        <f t="shared" si="7"/>
        <v>1990</v>
      </c>
      <c r="M100" s="21">
        <f t="shared" si="8"/>
        <v>0.78845736036427028</v>
      </c>
      <c r="N100" s="21">
        <f t="shared" si="9"/>
        <v>0.91363568179621524</v>
      </c>
    </row>
    <row r="101" spans="1:14" x14ac:dyDescent="0.2">
      <c r="A101" s="25" t="str">
        <f>'GF + UG Iteration 10'!A101</f>
        <v>Pre-02</v>
      </c>
      <c r="B101" s="25" t="str">
        <f>'GF + UG Iteration 10'!B101</f>
        <v>GF</v>
      </c>
      <c r="C101" s="18">
        <f>'GF + UG Iteration 10'!C101</f>
        <v>1.464</v>
      </c>
      <c r="D101" s="19">
        <f>'GF + UG Iteration 10'!D101</f>
        <v>1.4940223849019025</v>
      </c>
      <c r="E101" s="30">
        <f>'GF + UG Iteration 10'!E101</f>
        <v>1987</v>
      </c>
      <c r="F101" s="18"/>
      <c r="G101" s="19"/>
      <c r="H101" s="20"/>
      <c r="I101" s="18">
        <f t="shared" si="5"/>
        <v>1.464</v>
      </c>
      <c r="J101" s="19">
        <f t="shared" si="6"/>
        <v>1.4940223849019025</v>
      </c>
      <c r="K101" s="20">
        <f t="shared" si="7"/>
        <v>1987</v>
      </c>
      <c r="M101" s="21">
        <f t="shared" si="8"/>
        <v>0.38117241553911979</v>
      </c>
      <c r="N101" s="21">
        <f t="shared" si="9"/>
        <v>0.40147206979911648</v>
      </c>
    </row>
    <row r="102" spans="1:14" x14ac:dyDescent="0.2">
      <c r="A102" s="25" t="str">
        <f>'GF + UG Iteration 10'!A102</f>
        <v>Pre-03</v>
      </c>
      <c r="B102" s="25" t="str">
        <f>'GF + UG Iteration 10'!B102</f>
        <v>GF</v>
      </c>
      <c r="C102" s="18">
        <f>'GF + UG Iteration 10'!C102</f>
        <v>4.0750000000000002</v>
      </c>
      <c r="D102" s="19">
        <f>'GF + UG Iteration 10'!D102</f>
        <v>1.9369408873503524</v>
      </c>
      <c r="E102" s="30">
        <f>'GF + UG Iteration 10'!E102</f>
        <v>1990</v>
      </c>
      <c r="F102" s="18"/>
      <c r="G102" s="19"/>
      <c r="H102" s="20"/>
      <c r="I102" s="18">
        <f t="shared" si="5"/>
        <v>4.0750000000000002</v>
      </c>
      <c r="J102" s="19">
        <f t="shared" si="6"/>
        <v>1.9369408873503524</v>
      </c>
      <c r="K102" s="20">
        <f t="shared" si="7"/>
        <v>1990</v>
      </c>
      <c r="M102" s="21">
        <f t="shared" si="8"/>
        <v>1.4048707466928261</v>
      </c>
      <c r="N102" s="21">
        <f t="shared" si="9"/>
        <v>0.66110986632901214</v>
      </c>
    </row>
    <row r="103" spans="1:14" x14ac:dyDescent="0.2">
      <c r="A103" s="25" t="str">
        <f>'GF + UG Iteration 10'!A103</f>
        <v>Pre-04</v>
      </c>
      <c r="B103" s="25" t="str">
        <f>'GF + UG Iteration 10'!B103</f>
        <v>GF</v>
      </c>
      <c r="C103" s="18">
        <f>'GF + UG Iteration 10'!C103</f>
        <v>10</v>
      </c>
      <c r="D103" s="19">
        <f>'GF + UG Iteration 10'!D103</f>
        <v>8.526519330793306</v>
      </c>
      <c r="E103" s="30">
        <f>'GF + UG Iteration 10'!E103</f>
        <v>1991</v>
      </c>
      <c r="F103" s="18"/>
      <c r="G103" s="19"/>
      <c r="H103" s="20"/>
      <c r="I103" s="18">
        <f t="shared" si="5"/>
        <v>10</v>
      </c>
      <c r="J103" s="19">
        <f t="shared" si="6"/>
        <v>8.526519330793306</v>
      </c>
      <c r="K103" s="20">
        <f t="shared" si="7"/>
        <v>1991</v>
      </c>
      <c r="M103" s="21">
        <f t="shared" si="8"/>
        <v>2.3025850929940459</v>
      </c>
      <c r="N103" s="21">
        <f t="shared" si="9"/>
        <v>2.143181227911088</v>
      </c>
    </row>
    <row r="104" spans="1:14" x14ac:dyDescent="0.2">
      <c r="A104" s="25" t="str">
        <f>'GF + UG Iteration 10'!A104</f>
        <v>Pre-05</v>
      </c>
      <c r="B104" s="25" t="str">
        <f>'GF + UG Iteration 10'!B104</f>
        <v>GF</v>
      </c>
      <c r="C104" s="18">
        <f>'GF + UG Iteration 10'!C104</f>
        <v>4.8</v>
      </c>
      <c r="D104" s="19">
        <f>'GF + UG Iteration 10'!D104</f>
        <v>4.0521826998299986</v>
      </c>
      <c r="E104" s="30">
        <f>'GF + UG Iteration 10'!E104</f>
        <v>1988</v>
      </c>
      <c r="F104" s="18"/>
      <c r="G104" s="19"/>
      <c r="H104" s="20"/>
      <c r="I104" s="18">
        <f t="shared" si="5"/>
        <v>4.8</v>
      </c>
      <c r="J104" s="19">
        <f t="shared" si="6"/>
        <v>4.0521826998299986</v>
      </c>
      <c r="K104" s="20">
        <f t="shared" si="7"/>
        <v>1988</v>
      </c>
      <c r="M104" s="21">
        <f t="shared" si="8"/>
        <v>1.5686159179138452</v>
      </c>
      <c r="N104" s="21">
        <f t="shared" si="9"/>
        <v>1.3992556741730273</v>
      </c>
    </row>
    <row r="105" spans="1:14" x14ac:dyDescent="0.2">
      <c r="A105" s="25" t="str">
        <f>'GF + UG Iteration 10'!A105</f>
        <v>Pre-06</v>
      </c>
      <c r="B105" s="25" t="str">
        <f>'GF + UG Iteration 10'!B105</f>
        <v>GF</v>
      </c>
      <c r="C105" s="18">
        <f>'GF + UG Iteration 10'!C105</f>
        <v>5.0999999999999996</v>
      </c>
      <c r="D105" s="19">
        <f>'GF + UG Iteration 10'!D105</f>
        <v>9.6482174286466869</v>
      </c>
      <c r="E105" s="30">
        <f>'GF + UG Iteration 10'!E105</f>
        <v>1989</v>
      </c>
      <c r="F105" s="18"/>
      <c r="G105" s="19"/>
      <c r="H105" s="20"/>
      <c r="I105" s="18">
        <f t="shared" si="5"/>
        <v>5.0999999999999996</v>
      </c>
      <c r="J105" s="19">
        <f t="shared" si="6"/>
        <v>9.6482174286466869</v>
      </c>
      <c r="K105" s="20">
        <f t="shared" si="7"/>
        <v>1989</v>
      </c>
      <c r="M105" s="21">
        <f t="shared" si="8"/>
        <v>1.62924053973028</v>
      </c>
      <c r="N105" s="21">
        <f t="shared" si="9"/>
        <v>2.2667731758675744</v>
      </c>
    </row>
    <row r="106" spans="1:14" x14ac:dyDescent="0.2">
      <c r="A106" s="25" t="str">
        <f>'GF + UG Iteration 10'!A106</f>
        <v>Pre-07</v>
      </c>
      <c r="B106" s="25" t="str">
        <f>'GF + UG Iteration 10'!B106</f>
        <v>GF</v>
      </c>
      <c r="C106" s="18">
        <f>'GF + UG Iteration 10'!C106</f>
        <v>6.9</v>
      </c>
      <c r="D106" s="19">
        <f>'GF + UG Iteration 10'!D106</f>
        <v>5.029432718717521</v>
      </c>
      <c r="E106" s="30">
        <f>'GF + UG Iteration 10'!E106</f>
        <v>1997</v>
      </c>
      <c r="F106" s="18"/>
      <c r="G106" s="19"/>
      <c r="H106" s="20"/>
      <c r="I106" s="18">
        <f t="shared" si="5"/>
        <v>6.9</v>
      </c>
      <c r="J106" s="19">
        <f t="shared" si="6"/>
        <v>5.029432718717521</v>
      </c>
      <c r="K106" s="20">
        <f t="shared" si="7"/>
        <v>1997</v>
      </c>
      <c r="M106" s="21">
        <f t="shared" si="8"/>
        <v>1.9315214116032138</v>
      </c>
      <c r="N106" s="21">
        <f t="shared" si="9"/>
        <v>1.6153071981725313</v>
      </c>
    </row>
    <row r="107" spans="1:14" x14ac:dyDescent="0.2">
      <c r="A107" s="25" t="str">
        <f>'GF + UG Iteration 10'!A107</f>
        <v>Pre-08</v>
      </c>
      <c r="B107" s="25" t="str">
        <f>'GF + UG Iteration 10'!B107</f>
        <v>GF</v>
      </c>
      <c r="C107" s="18">
        <f>'GF + UG Iteration 10'!C107</f>
        <v>11.8</v>
      </c>
      <c r="D107" s="19">
        <f>'GF + UG Iteration 10'!D107</f>
        <v>6.372939235597177</v>
      </c>
      <c r="E107" s="30">
        <f>'GF + UG Iteration 10'!E107</f>
        <v>1987</v>
      </c>
      <c r="F107" s="18"/>
      <c r="G107" s="19"/>
      <c r="H107" s="20"/>
      <c r="I107" s="18">
        <f t="shared" si="5"/>
        <v>11.8</v>
      </c>
      <c r="J107" s="19">
        <f t="shared" si="6"/>
        <v>6.372939235597177</v>
      </c>
      <c r="K107" s="20">
        <f t="shared" si="7"/>
        <v>1987</v>
      </c>
      <c r="M107" s="21">
        <f t="shared" si="8"/>
        <v>2.4680995314716192</v>
      </c>
      <c r="N107" s="21">
        <f t="shared" si="9"/>
        <v>1.8520607816244041</v>
      </c>
    </row>
    <row r="108" spans="1:14" x14ac:dyDescent="0.2">
      <c r="A108" s="25" t="str">
        <f>'GF + UG Iteration 10'!A108</f>
        <v>Pre-09</v>
      </c>
      <c r="B108" s="25" t="str">
        <f>'GF + UG Iteration 10'!B108</f>
        <v>GF</v>
      </c>
      <c r="C108" s="18">
        <f>'GF + UG Iteration 10'!C108</f>
        <v>9.6999999999999993</v>
      </c>
      <c r="D108" s="19">
        <f>'GF + UG Iteration 10'!D108</f>
        <v>2.9443376052628771</v>
      </c>
      <c r="E108" s="30">
        <f>'GF + UG Iteration 10'!E108</f>
        <v>1997</v>
      </c>
      <c r="F108" s="18"/>
      <c r="G108" s="19"/>
      <c r="H108" s="20"/>
      <c r="I108" s="18">
        <f t="shared" si="5"/>
        <v>9.6999999999999993</v>
      </c>
      <c r="J108" s="19">
        <f t="shared" si="6"/>
        <v>2.9443376052628771</v>
      </c>
      <c r="K108" s="20">
        <f t="shared" si="7"/>
        <v>1997</v>
      </c>
      <c r="M108" s="21">
        <f t="shared" si="8"/>
        <v>2.2721258855093369</v>
      </c>
      <c r="N108" s="21">
        <f t="shared" si="9"/>
        <v>1.0798838699925799</v>
      </c>
    </row>
    <row r="109" spans="1:14" x14ac:dyDescent="0.2">
      <c r="A109" s="25" t="str">
        <f>'GF + UG Iteration 10'!A109</f>
        <v>Pre-10</v>
      </c>
      <c r="B109" s="25" t="str">
        <f>'GF + UG Iteration 10'!B109</f>
        <v>GF</v>
      </c>
      <c r="C109" s="18">
        <f>'GF + UG Iteration 10'!C109</f>
        <v>6.12</v>
      </c>
      <c r="D109" s="19">
        <f>'GF + UG Iteration 10'!D109</f>
        <v>13.481108575958453</v>
      </c>
      <c r="E109" s="30">
        <f>'GF + UG Iteration 10'!E109</f>
        <v>1990</v>
      </c>
      <c r="F109" s="18"/>
      <c r="G109" s="19"/>
      <c r="H109" s="20"/>
      <c r="I109" s="18">
        <f t="shared" si="5"/>
        <v>6.12</v>
      </c>
      <c r="J109" s="19">
        <f t="shared" si="6"/>
        <v>13.481108575958453</v>
      </c>
      <c r="K109" s="20">
        <f t="shared" si="7"/>
        <v>1990</v>
      </c>
      <c r="M109" s="21">
        <f t="shared" si="8"/>
        <v>1.8115620965242347</v>
      </c>
      <c r="N109" s="21">
        <f t="shared" si="9"/>
        <v>2.6012893406753403</v>
      </c>
    </row>
    <row r="110" spans="1:14" x14ac:dyDescent="0.2">
      <c r="A110" s="25" t="str">
        <f>'GF + UG Iteration 10'!A110</f>
        <v>Pre-11</v>
      </c>
      <c r="B110" s="25" t="str">
        <f>'GF + UG Iteration 10'!B110</f>
        <v>GF</v>
      </c>
      <c r="C110" s="18">
        <f>'GF + UG Iteration 10'!C110</f>
        <v>6.2671999999999999</v>
      </c>
      <c r="D110" s="19">
        <f>'GF + UG Iteration 10'!D110</f>
        <v>2.9102311039234974</v>
      </c>
      <c r="E110" s="30">
        <f>'GF + UG Iteration 10'!E110</f>
        <v>1987</v>
      </c>
      <c r="F110" s="18"/>
      <c r="G110" s="19"/>
      <c r="H110" s="20"/>
      <c r="I110" s="18">
        <f t="shared" si="5"/>
        <v>6.2671999999999999</v>
      </c>
      <c r="J110" s="19">
        <f t="shared" si="6"/>
        <v>2.9102311039234974</v>
      </c>
      <c r="K110" s="20">
        <f t="shared" si="7"/>
        <v>1987</v>
      </c>
      <c r="M110" s="21">
        <f t="shared" si="8"/>
        <v>1.8353296839294297</v>
      </c>
      <c r="N110" s="21">
        <f t="shared" si="9"/>
        <v>1.0682324951858668</v>
      </c>
    </row>
    <row r="111" spans="1:14" x14ac:dyDescent="0.2">
      <c r="A111" s="25" t="str">
        <f>'GF + UG Iteration 10'!A111</f>
        <v>Pre-12</v>
      </c>
      <c r="B111" s="25" t="str">
        <f>'GF + UG Iteration 10'!B111</f>
        <v>GF</v>
      </c>
      <c r="C111" s="18">
        <f>'GF + UG Iteration 10'!C111</f>
        <v>6.3659999999999997</v>
      </c>
      <c r="D111" s="19">
        <f>'GF + UG Iteration 10'!D111</f>
        <v>9.8906921245327926</v>
      </c>
      <c r="E111" s="30">
        <f>'GF + UG Iteration 10'!E111</f>
        <v>1993</v>
      </c>
      <c r="F111" s="18"/>
      <c r="G111" s="19"/>
      <c r="H111" s="20"/>
      <c r="I111" s="18">
        <f t="shared" si="5"/>
        <v>6.3659999999999997</v>
      </c>
      <c r="J111" s="19">
        <f t="shared" si="6"/>
        <v>9.8906921245327926</v>
      </c>
      <c r="K111" s="20">
        <f t="shared" si="7"/>
        <v>1993</v>
      </c>
      <c r="M111" s="21">
        <f t="shared" si="8"/>
        <v>1.850971328859901</v>
      </c>
      <c r="N111" s="21">
        <f t="shared" si="9"/>
        <v>2.2915941254440955</v>
      </c>
    </row>
    <row r="112" spans="1:14" x14ac:dyDescent="0.2">
      <c r="A112" s="25" t="str">
        <f>'GF + UG Iteration 10'!A112</f>
        <v>Pre-13</v>
      </c>
      <c r="B112" s="25" t="str">
        <f>'GF + UG Iteration 10'!B112</f>
        <v>GF</v>
      </c>
      <c r="C112" s="18">
        <f>'GF + UG Iteration 10'!C112</f>
        <v>8.5</v>
      </c>
      <c r="D112" s="19">
        <f>'GF + UG Iteration 10'!D112</f>
        <v>5.9446476688134462</v>
      </c>
      <c r="E112" s="30">
        <f>'GF + UG Iteration 10'!E112</f>
        <v>1990</v>
      </c>
      <c r="F112" s="18"/>
      <c r="G112" s="19"/>
      <c r="H112" s="20"/>
      <c r="I112" s="18">
        <f t="shared" si="5"/>
        <v>8.5</v>
      </c>
      <c r="J112" s="19">
        <f t="shared" si="6"/>
        <v>5.9446476688134462</v>
      </c>
      <c r="K112" s="20">
        <f t="shared" si="7"/>
        <v>1990</v>
      </c>
      <c r="M112" s="21">
        <f t="shared" si="8"/>
        <v>2.1400661634962708</v>
      </c>
      <c r="N112" s="21">
        <f t="shared" si="9"/>
        <v>1.7824912632583982</v>
      </c>
    </row>
    <row r="113" spans="1:14" x14ac:dyDescent="0.2">
      <c r="A113" s="25" t="str">
        <f>'GF + UG Iteration 10'!A113</f>
        <v>Pre-14</v>
      </c>
      <c r="B113" s="25" t="str">
        <f>'GF + UG Iteration 10'!B113</f>
        <v>GF</v>
      </c>
      <c r="C113" s="18">
        <f>'GF + UG Iteration 10'!C113</f>
        <v>46.55</v>
      </c>
      <c r="D113" s="19">
        <f>'GF + UG Iteration 10'!D113</f>
        <v>7.1936227504100643</v>
      </c>
      <c r="E113" s="30">
        <f>'GF + UG Iteration 10'!E113</f>
        <v>1991</v>
      </c>
      <c r="F113" s="18"/>
      <c r="G113" s="19"/>
      <c r="H113" s="20"/>
      <c r="I113" s="18">
        <f t="shared" si="5"/>
        <v>46.55</v>
      </c>
      <c r="J113" s="19">
        <f t="shared" si="6"/>
        <v>7.1936227504100643</v>
      </c>
      <c r="K113" s="20">
        <f t="shared" si="7"/>
        <v>1991</v>
      </c>
      <c r="M113" s="21">
        <f t="shared" si="8"/>
        <v>3.8405270037230759</v>
      </c>
      <c r="N113" s="21">
        <f t="shared" si="9"/>
        <v>1.9731949044224915</v>
      </c>
    </row>
    <row r="114" spans="1:14" x14ac:dyDescent="0.2">
      <c r="A114" s="25" t="str">
        <f>'GF + UG Iteration 10'!A114</f>
        <v>Pre-15</v>
      </c>
      <c r="B114" s="25" t="str">
        <f>'GF + UG Iteration 10'!B114</f>
        <v>GF</v>
      </c>
      <c r="C114" s="18">
        <f>'GF + UG Iteration 10'!C114</f>
        <v>56.8</v>
      </c>
      <c r="D114" s="19">
        <f>'GF + UG Iteration 10'!D114</f>
        <v>17.594466678549747</v>
      </c>
      <c r="E114" s="30">
        <f>'GF + UG Iteration 10'!E114</f>
        <v>1990</v>
      </c>
      <c r="F114" s="18"/>
      <c r="G114" s="19"/>
      <c r="H114" s="20"/>
      <c r="I114" s="18">
        <f t="shared" si="5"/>
        <v>56.8</v>
      </c>
      <c r="J114" s="19">
        <f t="shared" si="6"/>
        <v>17.594466678549747</v>
      </c>
      <c r="K114" s="20">
        <f t="shared" si="7"/>
        <v>1990</v>
      </c>
      <c r="M114" s="21">
        <f t="shared" si="8"/>
        <v>4.0395363257271057</v>
      </c>
      <c r="N114" s="21">
        <f t="shared" si="9"/>
        <v>2.867584459347964</v>
      </c>
    </row>
    <row r="115" spans="1:14" x14ac:dyDescent="0.2">
      <c r="A115" s="25" t="str">
        <f>'GF + UG Iteration 10'!A115</f>
        <v>Pre-16</v>
      </c>
      <c r="B115" s="25" t="str">
        <f>'GF + UG Iteration 10'!B115</f>
        <v>GF</v>
      </c>
      <c r="C115" s="18">
        <f>'GF + UG Iteration 10'!C115</f>
        <v>81.575999999999993</v>
      </c>
      <c r="D115" s="19">
        <f>'GF + UG Iteration 10'!D115</f>
        <v>14.026199251012313</v>
      </c>
      <c r="E115" s="30">
        <f>'GF + UG Iteration 10'!E115</f>
        <v>1988</v>
      </c>
      <c r="F115" s="18"/>
      <c r="G115" s="19"/>
      <c r="H115" s="20"/>
      <c r="I115" s="18">
        <f t="shared" si="5"/>
        <v>81.575999999999993</v>
      </c>
      <c r="J115" s="19">
        <f t="shared" si="6"/>
        <v>14.026199251012313</v>
      </c>
      <c r="K115" s="20">
        <f t="shared" si="7"/>
        <v>1988</v>
      </c>
      <c r="M115" s="21">
        <f t="shared" si="8"/>
        <v>4.4015351010619241</v>
      </c>
      <c r="N115" s="21">
        <f t="shared" si="9"/>
        <v>2.6409269558467208</v>
      </c>
    </row>
    <row r="116" spans="1:14" x14ac:dyDescent="0.2">
      <c r="A116" s="25" t="str">
        <f>'GF + UG Iteration 10'!A116</f>
        <v>Pre-17</v>
      </c>
      <c r="B116" s="25" t="str">
        <f>'GF + UG Iteration 10'!B116</f>
        <v>GF</v>
      </c>
      <c r="C116" s="18">
        <f>'GF + UG Iteration 10'!C116</f>
        <v>95.2</v>
      </c>
      <c r="D116" s="19">
        <f>'GF + UG Iteration 10'!D116</f>
        <v>14.219904176944949</v>
      </c>
      <c r="E116" s="30">
        <f>'GF + UG Iteration 10'!E116</f>
        <v>1999</v>
      </c>
      <c r="F116" s="18"/>
      <c r="G116" s="19"/>
      <c r="H116" s="20"/>
      <c r="I116" s="18">
        <f t="shared" si="5"/>
        <v>95.2</v>
      </c>
      <c r="J116" s="19">
        <f t="shared" si="6"/>
        <v>14.219904176944949</v>
      </c>
      <c r="K116" s="20">
        <f t="shared" si="7"/>
        <v>1999</v>
      </c>
      <c r="M116" s="21">
        <f t="shared" si="8"/>
        <v>4.5559799417973199</v>
      </c>
      <c r="N116" s="21">
        <f t="shared" si="9"/>
        <v>2.654642685740924</v>
      </c>
    </row>
    <row r="117" spans="1:14" x14ac:dyDescent="0.2">
      <c r="A117" s="25" t="str">
        <f>'GF + UG Iteration 10'!A117</f>
        <v>Pre-18</v>
      </c>
      <c r="B117" s="25" t="str">
        <f>'GF + UG Iteration 10'!B117</f>
        <v>GF</v>
      </c>
      <c r="C117" s="18">
        <f>'GF + UG Iteration 10'!C117</f>
        <v>122.77200000000001</v>
      </c>
      <c r="D117" s="19">
        <f>'GF + UG Iteration 10'!D117</f>
        <v>23.447549869052086</v>
      </c>
      <c r="E117" s="30">
        <f>'GF + UG Iteration 10'!E117</f>
        <v>1990</v>
      </c>
      <c r="F117" s="18"/>
      <c r="G117" s="19"/>
      <c r="H117" s="20"/>
      <c r="I117" s="18">
        <f t="shared" si="5"/>
        <v>122.77200000000001</v>
      </c>
      <c r="J117" s="19">
        <f t="shared" si="6"/>
        <v>23.447549869052086</v>
      </c>
      <c r="K117" s="20">
        <f t="shared" si="7"/>
        <v>1990</v>
      </c>
      <c r="M117" s="21">
        <f t="shared" si="8"/>
        <v>4.8103289766848034</v>
      </c>
      <c r="N117" s="21">
        <f t="shared" si="9"/>
        <v>3.1547660062374661</v>
      </c>
    </row>
    <row r="118" spans="1:14" x14ac:dyDescent="0.2">
      <c r="A118" s="33">
        <f>'GF + UG Iteration 10'!A118</f>
        <v>1184</v>
      </c>
      <c r="B118" s="34" t="str">
        <f>'GF + UG Iteration 10'!B118</f>
        <v>UG</v>
      </c>
      <c r="C118" s="35">
        <f>'GF + UG Iteration 10'!C118</f>
        <v>30</v>
      </c>
      <c r="D118" s="36">
        <f>'GF + UG Iteration 10'!P$16*(C118^'GF + UG Iteration 10'!P$15)</f>
        <v>17.908790494629194</v>
      </c>
      <c r="E118" s="37">
        <f>'GF + UG Iteration 10'!E118</f>
        <v>2013</v>
      </c>
      <c r="F118" s="35">
        <f>'GF + UG Iteration 10'!F118</f>
        <v>18.200000000000003</v>
      </c>
      <c r="G118" s="36">
        <f>'GF + UG Iteration 10'!G118</f>
        <v>18.869341885211266</v>
      </c>
      <c r="H118" s="38">
        <f>'GF + UG Iteration 10'!H118</f>
        <v>2012</v>
      </c>
      <c r="I118" s="35">
        <f>C118+F118</f>
        <v>48.2</v>
      </c>
      <c r="J118" s="36">
        <f>D118+G118</f>
        <v>36.778132379840457</v>
      </c>
      <c r="K118" s="38">
        <f>MAX(E118,H118)</f>
        <v>2013</v>
      </c>
      <c r="M118" s="21">
        <f t="shared" si="8"/>
        <v>3.8753590210565547</v>
      </c>
      <c r="N118" s="21">
        <f t="shared" si="9"/>
        <v>3.6049034397422899</v>
      </c>
    </row>
    <row r="119" spans="1:14" x14ac:dyDescent="0.2">
      <c r="A119" s="33">
        <f>'GF + UG Iteration 10'!A119</f>
        <v>1481</v>
      </c>
      <c r="B119" s="34" t="str">
        <f>'GF + UG Iteration 10'!B119</f>
        <v>UG</v>
      </c>
      <c r="C119" s="35">
        <f>'GF + UG Iteration 10'!C119</f>
        <v>48.2</v>
      </c>
      <c r="D119" s="36">
        <f>'GF + UG Iteration 10'!P$16*(C119^'GF + UG Iteration 10'!P$15)</f>
        <v>23.494979763564793</v>
      </c>
      <c r="E119" s="37">
        <f>'GF + UG Iteration 10'!E119</f>
        <v>2013</v>
      </c>
      <c r="F119" s="35">
        <f>'GF + UG Iteration 10'!F119</f>
        <v>0</v>
      </c>
      <c r="G119" s="36">
        <f>'GF + UG Iteration 10'!G119</f>
        <v>1.1114331301697908</v>
      </c>
      <c r="H119" s="38">
        <f>'GF + UG Iteration 10'!H119</f>
        <v>2014</v>
      </c>
      <c r="I119" s="35">
        <f t="shared" ref="I119:I183" si="10">C119+F119</f>
        <v>48.2</v>
      </c>
      <c r="J119" s="36">
        <f t="shared" ref="J119:J183" si="11">D119+G119</f>
        <v>24.606412893734582</v>
      </c>
      <c r="K119" s="38">
        <f t="shared" ref="K119:K183" si="12">MAX(E119,H119)</f>
        <v>2014</v>
      </c>
      <c r="M119" s="21">
        <f t="shared" si="8"/>
        <v>3.8753590210565547</v>
      </c>
      <c r="N119" s="21">
        <f t="shared" si="9"/>
        <v>3.203007095702612</v>
      </c>
    </row>
    <row r="120" spans="1:14" x14ac:dyDescent="0.2">
      <c r="A120" s="33">
        <f>'GF + UG Iteration 10'!A120</f>
        <v>457</v>
      </c>
      <c r="B120" s="34" t="str">
        <f>'GF + UG Iteration 10'!B120</f>
        <v>UG</v>
      </c>
      <c r="C120" s="35">
        <f>'GF + UG Iteration 10'!C120</f>
        <v>10.77</v>
      </c>
      <c r="D120" s="36">
        <f>'GF + UG Iteration 10'!P$16*(C120^'GF + UG Iteration 10'!P$15)</f>
        <v>9.9614507782484409</v>
      </c>
      <c r="E120" s="37">
        <f>'GF + UG Iteration 10'!E120</f>
        <v>1990</v>
      </c>
      <c r="F120" s="35">
        <f>'GF + UG Iteration 10'!F120</f>
        <v>10</v>
      </c>
      <c r="G120" s="36">
        <f>'GF + UG Iteration 10'!G120</f>
        <v>3.289132084924363</v>
      </c>
      <c r="H120" s="38">
        <f>'GF + UG Iteration 10'!H120</f>
        <v>2006</v>
      </c>
      <c r="I120" s="35">
        <f t="shared" si="10"/>
        <v>20.77</v>
      </c>
      <c r="J120" s="36">
        <f t="shared" si="11"/>
        <v>13.250582863172804</v>
      </c>
      <c r="K120" s="38">
        <f t="shared" si="12"/>
        <v>2006</v>
      </c>
      <c r="M120" s="21">
        <f t="shared" si="8"/>
        <v>3.0335096378880211</v>
      </c>
      <c r="N120" s="21">
        <f t="shared" si="9"/>
        <v>2.584041541138133</v>
      </c>
    </row>
    <row r="121" spans="1:14" x14ac:dyDescent="0.2">
      <c r="A121" s="33">
        <f>'GF + UG Iteration 10'!A121</f>
        <v>407</v>
      </c>
      <c r="B121" s="34" t="str">
        <f>'GF + UG Iteration 10'!B121</f>
        <v>UG</v>
      </c>
      <c r="C121" s="35">
        <f>'GF + UG Iteration 10'!C121</f>
        <v>25.4</v>
      </c>
      <c r="D121" s="36">
        <f>'GF + UG Iteration 10'!P$16*(C121^'GF + UG Iteration 10'!P$15)</f>
        <v>16.280806531965958</v>
      </c>
      <c r="E121" s="37">
        <f>'GF + UG Iteration 10'!E121</f>
        <v>1982</v>
      </c>
      <c r="F121" s="35">
        <f>'GF + UG Iteration 10'!F121</f>
        <v>2</v>
      </c>
      <c r="G121" s="36">
        <f>'GF + UG Iteration 10'!G121</f>
        <v>0.60106525862386018</v>
      </c>
      <c r="H121" s="38">
        <f>'GF + UG Iteration 10'!H121</f>
        <v>2004</v>
      </c>
      <c r="I121" s="35">
        <f t="shared" si="10"/>
        <v>27.4</v>
      </c>
      <c r="J121" s="36">
        <f t="shared" si="11"/>
        <v>16.881871790589816</v>
      </c>
      <c r="K121" s="38">
        <f t="shared" si="12"/>
        <v>2004</v>
      </c>
      <c r="M121" s="21">
        <f t="shared" si="8"/>
        <v>3.3105430133940246</v>
      </c>
      <c r="N121" s="21">
        <f t="shared" si="9"/>
        <v>2.8262403710883008</v>
      </c>
    </row>
    <row r="122" spans="1:14" x14ac:dyDescent="0.2">
      <c r="A122" s="33">
        <f>'GF + UG Iteration 10'!A122</f>
        <v>706</v>
      </c>
      <c r="B122" s="34" t="str">
        <f>'GF + UG Iteration 10'!B122</f>
        <v>UG</v>
      </c>
      <c r="C122" s="35">
        <f>'GF + UG Iteration 10'!C122</f>
        <v>14.85</v>
      </c>
      <c r="D122" s="36">
        <f>'GF + UG Iteration 10'!P$16*(C122^'GF + UG Iteration 10'!P$15)</f>
        <v>11.973015548962755</v>
      </c>
      <c r="E122" s="37">
        <f>'GF + UG Iteration 10'!E122</f>
        <v>1984</v>
      </c>
      <c r="F122" s="35">
        <f>'GF + UG Iteration 10'!F122</f>
        <v>14.250000000000002</v>
      </c>
      <c r="G122" s="36">
        <f>'GF + UG Iteration 10'!G122</f>
        <v>5.8346214151737739</v>
      </c>
      <c r="H122" s="38">
        <f>'GF + UG Iteration 10'!H122</f>
        <v>2008</v>
      </c>
      <c r="I122" s="35">
        <f t="shared" si="10"/>
        <v>29.1</v>
      </c>
      <c r="J122" s="36">
        <f t="shared" si="11"/>
        <v>17.807636964136528</v>
      </c>
      <c r="K122" s="38">
        <f t="shared" si="12"/>
        <v>2008</v>
      </c>
      <c r="M122" s="21">
        <f t="shared" si="8"/>
        <v>3.3707381741774469</v>
      </c>
      <c r="N122" s="21">
        <f t="shared" si="9"/>
        <v>2.8796274082144575</v>
      </c>
    </row>
    <row r="123" spans="1:14" x14ac:dyDescent="0.2">
      <c r="A123" s="33">
        <f>'GF + UG Iteration 10'!A123</f>
        <v>1070</v>
      </c>
      <c r="B123" s="34" t="str">
        <f>'GF + UG Iteration 10'!B123</f>
        <v>UG</v>
      </c>
      <c r="C123" s="35">
        <f>'GF + UG Iteration 10'!C123</f>
        <v>34</v>
      </c>
      <c r="D123" s="36">
        <f>'GF + UG Iteration 10'!P$16*(C123^'GF + UG Iteration 10'!P$15)</f>
        <v>19.239346770872075</v>
      </c>
      <c r="E123" s="37">
        <f>'GF + UG Iteration 10'!E123</f>
        <v>1984</v>
      </c>
      <c r="F123" s="35">
        <f>'GF + UG Iteration 10'!F123</f>
        <v>4.8999999999999986</v>
      </c>
      <c r="G123" s="36">
        <f>'GF + UG Iteration 10'!G123</f>
        <v>0.83607952853202894</v>
      </c>
      <c r="H123" s="38">
        <f>'GF + UG Iteration 10'!H123</f>
        <v>2011</v>
      </c>
      <c r="I123" s="35">
        <f t="shared" si="10"/>
        <v>38.9</v>
      </c>
      <c r="J123" s="36">
        <f t="shared" si="11"/>
        <v>20.075426299404104</v>
      </c>
      <c r="K123" s="38">
        <f t="shared" si="12"/>
        <v>2011</v>
      </c>
      <c r="M123" s="21">
        <f t="shared" si="8"/>
        <v>3.6609942506244004</v>
      </c>
      <c r="N123" s="21">
        <f t="shared" si="9"/>
        <v>2.9994964949450478</v>
      </c>
    </row>
    <row r="124" spans="1:14" x14ac:dyDescent="0.2">
      <c r="A124" s="33">
        <f>'GF + UG Iteration 10'!A124</f>
        <v>1264</v>
      </c>
      <c r="B124" s="34" t="str">
        <f>'GF + UG Iteration 10'!B124</f>
        <v>UG</v>
      </c>
      <c r="C124" s="35">
        <f>'GF + UG Iteration 10'!C124</f>
        <v>38.9</v>
      </c>
      <c r="D124" s="36">
        <f>'GF + UG Iteration 10'!P$16*(C124^'GF + UG Iteration 10'!P$15)</f>
        <v>20.78114247114992</v>
      </c>
      <c r="E124" s="37">
        <f>'GF + UG Iteration 10'!E124</f>
        <v>1984</v>
      </c>
      <c r="F124" s="35">
        <f>'GF + UG Iteration 10'!F124</f>
        <v>7.2000000000000028</v>
      </c>
      <c r="G124" s="36">
        <f>'GF + UG Iteration 10'!G124</f>
        <v>8.0578720930203094</v>
      </c>
      <c r="H124" s="38">
        <f>'GF + UG Iteration 10'!H124</f>
        <v>2013</v>
      </c>
      <c r="I124" s="35">
        <f t="shared" si="10"/>
        <v>46.1</v>
      </c>
      <c r="J124" s="36">
        <f t="shared" si="11"/>
        <v>28.839014564170228</v>
      </c>
      <c r="K124" s="38">
        <f t="shared" si="12"/>
        <v>2013</v>
      </c>
      <c r="M124" s="21">
        <f t="shared" si="8"/>
        <v>3.8308129500026027</v>
      </c>
      <c r="N124" s="21">
        <f t="shared" si="9"/>
        <v>3.3617291427681399</v>
      </c>
    </row>
    <row r="125" spans="1:14" x14ac:dyDescent="0.2">
      <c r="A125" s="33">
        <f>'GF + UG Iteration 10'!A125</f>
        <v>1208</v>
      </c>
      <c r="B125" s="34" t="str">
        <f>'GF + UG Iteration 10'!B125</f>
        <v>UG</v>
      </c>
      <c r="C125" s="35">
        <f>'GF + UG Iteration 10'!C125</f>
        <v>14.1</v>
      </c>
      <c r="D125" s="36">
        <f>'GF + UG Iteration 10'!P$16*(C125^'GF + UG Iteration 10'!P$15)</f>
        <v>11.622948441582622</v>
      </c>
      <c r="E125" s="37">
        <f>'GF + UG Iteration 10'!E125</f>
        <v>1961</v>
      </c>
      <c r="F125" s="35">
        <f>'GF + UG Iteration 10'!F125</f>
        <v>11.500000000000002</v>
      </c>
      <c r="G125" s="36">
        <f>'GF + UG Iteration 10'!G125</f>
        <v>2.7992110812000917</v>
      </c>
      <c r="H125" s="38">
        <f>'GF + UG Iteration 10'!H125</f>
        <v>2012</v>
      </c>
      <c r="I125" s="35">
        <f t="shared" si="10"/>
        <v>25.6</v>
      </c>
      <c r="J125" s="36">
        <f t="shared" si="11"/>
        <v>14.422159522782714</v>
      </c>
      <c r="K125" s="38">
        <f t="shared" si="12"/>
        <v>2012</v>
      </c>
      <c r="M125" s="21">
        <f t="shared" si="8"/>
        <v>3.2425923514855168</v>
      </c>
      <c r="N125" s="21">
        <f t="shared" si="9"/>
        <v>2.668765879505556</v>
      </c>
    </row>
    <row r="126" spans="1:14" x14ac:dyDescent="0.2">
      <c r="A126" s="33">
        <f>'GF + UG Iteration 10'!A126</f>
        <v>655</v>
      </c>
      <c r="B126" s="34" t="str">
        <f>'GF + UG Iteration 10'!B126</f>
        <v>UG</v>
      </c>
      <c r="C126" s="35">
        <f>'GF + UG Iteration 10'!C126</f>
        <v>12.052999999999999</v>
      </c>
      <c r="D126" s="36">
        <f>'GF + UG Iteration 10'!P$16*(C126^'GF + UG Iteration 10'!P$15)</f>
        <v>10.624535485044861</v>
      </c>
      <c r="E126" s="37">
        <f>'GF + UG Iteration 10'!E126</f>
        <v>1974</v>
      </c>
      <c r="F126" s="35">
        <f>'GF + UG Iteration 10'!F126</f>
        <v>2.3390000000000004</v>
      </c>
      <c r="G126" s="36">
        <f>'GF + UG Iteration 10'!G126</f>
        <v>0.59464786373478107</v>
      </c>
      <c r="H126" s="38">
        <f>'GF + UG Iteration 10'!H126</f>
        <v>2007</v>
      </c>
      <c r="I126" s="35">
        <f t="shared" si="10"/>
        <v>14.391999999999999</v>
      </c>
      <c r="J126" s="36">
        <f t="shared" si="11"/>
        <v>11.219183348779643</v>
      </c>
      <c r="K126" s="38">
        <f t="shared" si="12"/>
        <v>2007</v>
      </c>
      <c r="M126" s="21">
        <f t="shared" si="8"/>
        <v>2.666672496648232</v>
      </c>
      <c r="N126" s="21">
        <f t="shared" si="9"/>
        <v>2.4176251121318133</v>
      </c>
    </row>
    <row r="127" spans="1:14" x14ac:dyDescent="0.2">
      <c r="A127" s="33">
        <f>'GF + UG Iteration 10'!A127</f>
        <v>733</v>
      </c>
      <c r="B127" s="34" t="str">
        <f>'GF + UG Iteration 10'!B127</f>
        <v>UG</v>
      </c>
      <c r="C127" s="35">
        <f>'GF + UG Iteration 10'!C127</f>
        <v>24.3</v>
      </c>
      <c r="D127" s="36">
        <f>'GF + UG Iteration 10'!P$16*(C127^'GF + UG Iteration 10'!P$15)</f>
        <v>15.87328016542773</v>
      </c>
      <c r="E127" s="37">
        <f>'GF + UG Iteration 10'!E127</f>
        <v>2007</v>
      </c>
      <c r="F127" s="35">
        <f>'GF + UG Iteration 10'!F127</f>
        <v>17.099999999999998</v>
      </c>
      <c r="G127" s="36">
        <f>'GF + UG Iteration 10'!G127</f>
        <v>6.7726080218724345</v>
      </c>
      <c r="H127" s="38">
        <f>'GF + UG Iteration 10'!H127</f>
        <v>2009</v>
      </c>
      <c r="I127" s="35">
        <f t="shared" si="10"/>
        <v>41.4</v>
      </c>
      <c r="J127" s="36">
        <f t="shared" si="11"/>
        <v>22.645888187300166</v>
      </c>
      <c r="K127" s="38">
        <f t="shared" si="12"/>
        <v>2009</v>
      </c>
      <c r="M127" s="21">
        <f t="shared" si="8"/>
        <v>3.7232808808312687</v>
      </c>
      <c r="N127" s="21">
        <f t="shared" si="9"/>
        <v>3.11997829846467</v>
      </c>
    </row>
    <row r="128" spans="1:14" x14ac:dyDescent="0.2">
      <c r="A128" s="33">
        <f>'GF + UG Iteration 10'!A128</f>
        <v>1700</v>
      </c>
      <c r="B128" s="34" t="str">
        <f>'GF + UG Iteration 10'!B128</f>
        <v>UG</v>
      </c>
      <c r="C128" s="35">
        <f>'GF + UG Iteration 10'!C128</f>
        <v>13.4</v>
      </c>
      <c r="D128" s="36">
        <f>'GF + UG Iteration 10'!P$16*(C128^'GF + UG Iteration 10'!P$15)</f>
        <v>11.288964700281348</v>
      </c>
      <c r="E128" s="37">
        <f>'GF + UG Iteration 10'!E128</f>
        <v>0</v>
      </c>
      <c r="F128" s="35">
        <f>'GF + UG Iteration 10'!F128</f>
        <v>0</v>
      </c>
      <c r="G128" s="36">
        <f>'GF + UG Iteration 10'!G128</f>
        <v>4.0238803148956235</v>
      </c>
      <c r="H128" s="38">
        <f>'GF + UG Iteration 10'!H128</f>
        <v>2016</v>
      </c>
      <c r="I128" s="35">
        <f t="shared" ref="I128" si="13">C128+F128</f>
        <v>13.4</v>
      </c>
      <c r="J128" s="36">
        <f t="shared" ref="J128" si="14">D128+G128</f>
        <v>15.312845015176972</v>
      </c>
      <c r="K128" s="38">
        <f t="shared" ref="K128" si="15">MAX(E128,H128)</f>
        <v>2016</v>
      </c>
      <c r="M128" s="21">
        <f t="shared" ref="M128" si="16">LN(I128)</f>
        <v>2.5952547069568657</v>
      </c>
      <c r="N128" s="21">
        <f t="shared" ref="N128" si="17">LN(J128)</f>
        <v>2.728692019654507</v>
      </c>
    </row>
    <row r="129" spans="1:14" x14ac:dyDescent="0.2">
      <c r="A129" s="33">
        <f>'GF + UG Iteration 10'!A129</f>
        <v>1569</v>
      </c>
      <c r="B129" s="34" t="str">
        <f>'GF + UG Iteration 10'!B129</f>
        <v>UG</v>
      </c>
      <c r="C129" s="35">
        <f>'GF + UG Iteration 10'!C129</f>
        <v>17.7</v>
      </c>
      <c r="D129" s="36">
        <f>'GF + UG Iteration 10'!P$16*(C129^'GF + UG Iteration 10'!P$15)</f>
        <v>13.239173850813508</v>
      </c>
      <c r="E129" s="37">
        <f>'GF + UG Iteration 10'!E129</f>
        <v>1997</v>
      </c>
      <c r="F129" s="35">
        <f>'GF + UG Iteration 10'!F129</f>
        <v>0</v>
      </c>
      <c r="G129" s="36">
        <f>'GF + UG Iteration 10'!G129</f>
        <v>3.7372730134616279</v>
      </c>
      <c r="H129" s="38">
        <f>'GF + UG Iteration 10'!H129</f>
        <v>2015</v>
      </c>
      <c r="I129" s="35">
        <f t="shared" si="10"/>
        <v>17.7</v>
      </c>
      <c r="J129" s="36">
        <f t="shared" si="11"/>
        <v>16.976446864275136</v>
      </c>
      <c r="K129" s="38">
        <f t="shared" si="12"/>
        <v>2015</v>
      </c>
      <c r="M129" s="21">
        <f t="shared" si="8"/>
        <v>2.8735646395797834</v>
      </c>
      <c r="N129" s="21">
        <f t="shared" si="9"/>
        <v>2.8318269048213076</v>
      </c>
    </row>
    <row r="130" spans="1:14" x14ac:dyDescent="0.2">
      <c r="A130" s="33">
        <f>'GF + UG Iteration 10'!A130</f>
        <v>401</v>
      </c>
      <c r="B130" s="34" t="str">
        <f>'GF + UG Iteration 10'!B130</f>
        <v>UG</v>
      </c>
      <c r="C130" s="35">
        <f>'GF + UG Iteration 10'!C130</f>
        <v>2</v>
      </c>
      <c r="D130" s="36">
        <f>'GF + UG Iteration 10'!P$16*(C130^'GF + UG Iteration 10'!P$15)</f>
        <v>3.7989263099515189</v>
      </c>
      <c r="E130" s="37">
        <f>'GF + UG Iteration 10'!E130</f>
        <v>1986</v>
      </c>
      <c r="F130" s="35">
        <f>'GF + UG Iteration 10'!F130</f>
        <v>1.5</v>
      </c>
      <c r="G130" s="36">
        <f>'GF + UG Iteration 10'!G130</f>
        <v>0.36204281296556784</v>
      </c>
      <c r="H130" s="38">
        <f>'GF + UG Iteration 10'!H130</f>
        <v>2004</v>
      </c>
      <c r="I130" s="35">
        <f t="shared" si="10"/>
        <v>3.5</v>
      </c>
      <c r="J130" s="36">
        <f t="shared" si="11"/>
        <v>4.1609691229170869</v>
      </c>
      <c r="K130" s="38">
        <f t="shared" si="12"/>
        <v>2004</v>
      </c>
      <c r="M130" s="21">
        <f t="shared" si="8"/>
        <v>1.2527629684953681</v>
      </c>
      <c r="N130" s="21">
        <f t="shared" si="9"/>
        <v>1.4257480093813673</v>
      </c>
    </row>
    <row r="131" spans="1:14" x14ac:dyDescent="0.2">
      <c r="A131" s="33">
        <f>'GF + UG Iteration 10'!A131</f>
        <v>1412</v>
      </c>
      <c r="B131" s="34" t="str">
        <f>'GF + UG Iteration 10'!B131</f>
        <v>UG</v>
      </c>
      <c r="C131" s="35">
        <f>'GF + UG Iteration 10'!C131</f>
        <v>3.5</v>
      </c>
      <c r="D131" s="36">
        <f>'GF + UG Iteration 10'!P$16*(C131^'GF + UG Iteration 10'!P$15)</f>
        <v>5.2338274385985422</v>
      </c>
      <c r="E131" s="37">
        <f>'GF + UG Iteration 10'!E131</f>
        <v>1986</v>
      </c>
      <c r="F131" s="35">
        <f>'GF + UG Iteration 10'!F131</f>
        <v>11</v>
      </c>
      <c r="G131" s="36">
        <f>'GF + UG Iteration 10'!G131</f>
        <v>4.3574845496482366</v>
      </c>
      <c r="H131" s="38">
        <f>'GF + UG Iteration 10'!H131</f>
        <v>2015</v>
      </c>
      <c r="I131" s="35">
        <f t="shared" si="10"/>
        <v>14.5</v>
      </c>
      <c r="J131" s="36">
        <f t="shared" si="11"/>
        <v>9.5913119882467797</v>
      </c>
      <c r="K131" s="38">
        <f t="shared" si="12"/>
        <v>2015</v>
      </c>
      <c r="M131" s="21">
        <f t="shared" si="8"/>
        <v>2.6741486494265287</v>
      </c>
      <c r="N131" s="21">
        <f t="shared" si="9"/>
        <v>2.2608576874886475</v>
      </c>
    </row>
    <row r="132" spans="1:14" x14ac:dyDescent="0.2">
      <c r="A132" s="33">
        <f>'GF + UG Iteration 10'!A132</f>
        <v>1318</v>
      </c>
      <c r="B132" s="34" t="str">
        <f>'GF + UG Iteration 10'!B132</f>
        <v>UG</v>
      </c>
      <c r="C132" s="35">
        <f>'GF + UG Iteration 10'!C132</f>
        <v>22.3</v>
      </c>
      <c r="D132" s="36">
        <f>'GF + UG Iteration 10'!P$16*(C132^'GF + UG Iteration 10'!P$15)</f>
        <v>15.111538085765659</v>
      </c>
      <c r="E132" s="37">
        <f>'GF + UG Iteration 10'!E132</f>
        <v>1997</v>
      </c>
      <c r="F132" s="35">
        <f>'GF + UG Iteration 10'!F132</f>
        <v>28.900000000000002</v>
      </c>
      <c r="G132" s="36">
        <f>'GF + UG Iteration 10'!G132</f>
        <v>1.6878206182928517</v>
      </c>
      <c r="H132" s="38">
        <f>'GF + UG Iteration 10'!H132</f>
        <v>2013</v>
      </c>
      <c r="I132" s="35">
        <f t="shared" si="10"/>
        <v>51.2</v>
      </c>
      <c r="J132" s="36">
        <f t="shared" si="11"/>
        <v>16.799358704058509</v>
      </c>
      <c r="K132" s="38">
        <f t="shared" si="12"/>
        <v>2013</v>
      </c>
      <c r="M132" s="21">
        <f t="shared" si="8"/>
        <v>3.9357395320454622</v>
      </c>
      <c r="N132" s="21">
        <f t="shared" si="9"/>
        <v>2.8213407133031598</v>
      </c>
    </row>
    <row r="133" spans="1:14" x14ac:dyDescent="0.2">
      <c r="A133" s="33">
        <f>'GF + UG Iteration 10'!A133</f>
        <v>1194</v>
      </c>
      <c r="B133" s="34" t="str">
        <f>'GF + UG Iteration 10'!B133</f>
        <v>UG</v>
      </c>
      <c r="C133" s="35">
        <f>'GF + UG Iteration 10'!C133</f>
        <v>5.8</v>
      </c>
      <c r="D133" s="36">
        <f>'GF + UG Iteration 10'!P$16*(C133^'GF + UG Iteration 10'!P$15)</f>
        <v>6.9890853303557243</v>
      </c>
      <c r="E133" s="37">
        <f>'GF + UG Iteration 10'!E133</f>
        <v>1980</v>
      </c>
      <c r="F133" s="35">
        <f>'GF + UG Iteration 10'!F133</f>
        <v>9.6000000000000014</v>
      </c>
      <c r="G133" s="36">
        <f>'GF + UG Iteration 10'!G133</f>
        <v>1.6086060831571487</v>
      </c>
      <c r="H133" s="38">
        <f>'GF + UG Iteration 10'!H133</f>
        <v>2011</v>
      </c>
      <c r="I133" s="35">
        <f t="shared" si="10"/>
        <v>15.400000000000002</v>
      </c>
      <c r="J133" s="36">
        <f t="shared" si="11"/>
        <v>8.597691413512873</v>
      </c>
      <c r="K133" s="38">
        <f t="shared" si="12"/>
        <v>2011</v>
      </c>
      <c r="M133" s="21">
        <f t="shared" si="8"/>
        <v>2.7343675094195836</v>
      </c>
      <c r="N133" s="21">
        <f t="shared" si="9"/>
        <v>2.1514937269337175</v>
      </c>
    </row>
    <row r="134" spans="1:14" x14ac:dyDescent="0.2">
      <c r="A134" s="33">
        <f>'GF + UG Iteration 10'!A134</f>
        <v>801</v>
      </c>
      <c r="B134" s="34" t="str">
        <f>'GF + UG Iteration 10'!B134</f>
        <v>UG</v>
      </c>
      <c r="C134" s="35">
        <f>'GF + UG Iteration 10'!C134</f>
        <v>10</v>
      </c>
      <c r="D134" s="36">
        <f>'GF + UG Iteration 10'!P$16*(C134^'GF + UG Iteration 10'!P$15)</f>
        <v>9.5472116816385544</v>
      </c>
      <c r="E134" s="37">
        <f>'GF + UG Iteration 10'!E134</f>
        <v>2008</v>
      </c>
      <c r="F134" s="35">
        <f>'GF + UG Iteration 10'!F134</f>
        <v>0</v>
      </c>
      <c r="G134" s="36">
        <f>'GF + UG Iteration 10'!G134</f>
        <v>6.3106495854024782</v>
      </c>
      <c r="H134" s="38">
        <f>'GF + UG Iteration 10'!H134</f>
        <v>2009</v>
      </c>
      <c r="I134" s="35">
        <f t="shared" si="10"/>
        <v>10</v>
      </c>
      <c r="J134" s="36">
        <f t="shared" si="11"/>
        <v>15.857861267041033</v>
      </c>
      <c r="K134" s="38">
        <f t="shared" si="12"/>
        <v>2009</v>
      </c>
      <c r="M134" s="21">
        <f t="shared" si="8"/>
        <v>2.3025850929940459</v>
      </c>
      <c r="N134" s="21">
        <f t="shared" si="9"/>
        <v>2.7636653563594882</v>
      </c>
    </row>
    <row r="135" spans="1:14" x14ac:dyDescent="0.2">
      <c r="A135" s="33">
        <f>'GF + UG Iteration 10'!A135</f>
        <v>804</v>
      </c>
      <c r="B135" s="34" t="str">
        <f>'GF + UG Iteration 10'!B135</f>
        <v>UG</v>
      </c>
      <c r="C135" s="35">
        <f>'GF + UG Iteration 10'!C135</f>
        <v>14.429</v>
      </c>
      <c r="D135" s="36">
        <f>'GF + UG Iteration 10'!P$16*(C135^'GF + UG Iteration 10'!P$15)</f>
        <v>11.777467277141993</v>
      </c>
      <c r="E135" s="37">
        <f>'GF + UG Iteration 10'!E135</f>
        <v>1982</v>
      </c>
      <c r="F135" s="35">
        <f>'GF + UG Iteration 10'!F135</f>
        <v>9.8710000000000004</v>
      </c>
      <c r="G135" s="36">
        <f>'GF + UG Iteration 10'!G135</f>
        <v>9.1566982400815444</v>
      </c>
      <c r="H135" s="38">
        <f>'GF + UG Iteration 10'!H135</f>
        <v>2009</v>
      </c>
      <c r="I135" s="35">
        <f t="shared" si="10"/>
        <v>24.3</v>
      </c>
      <c r="J135" s="36">
        <f t="shared" si="11"/>
        <v>20.934165517223537</v>
      </c>
      <c r="K135" s="38">
        <f t="shared" si="12"/>
        <v>2009</v>
      </c>
      <c r="M135" s="21">
        <f t="shared" si="8"/>
        <v>3.1904763503465028</v>
      </c>
      <c r="N135" s="21">
        <f t="shared" si="9"/>
        <v>3.0413825380233677</v>
      </c>
    </row>
    <row r="136" spans="1:14" x14ac:dyDescent="0.2">
      <c r="A136" s="33">
        <f>'GF + UG Iteration 10'!A136</f>
        <v>365</v>
      </c>
      <c r="B136" s="34" t="str">
        <f>'GF + UG Iteration 10'!B136</f>
        <v>UG</v>
      </c>
      <c r="C136" s="35">
        <f>'GF + UG Iteration 10'!C136</f>
        <v>15.9</v>
      </c>
      <c r="D136" s="36">
        <f>'GF + UG Iteration 10'!P$16*(C136^'GF + UG Iteration 10'!P$15)</f>
        <v>12.450659471834554</v>
      </c>
      <c r="E136" s="37">
        <f>'GF + UG Iteration 10'!E136</f>
        <v>1982</v>
      </c>
      <c r="F136" s="35">
        <f>'GF + UG Iteration 10'!F136</f>
        <v>0.26900000000000013</v>
      </c>
      <c r="G136" s="36">
        <f>'GF + UG Iteration 10'!G136</f>
        <v>0.59607313292480213</v>
      </c>
      <c r="H136" s="38">
        <f>'GF + UG Iteration 10'!H136</f>
        <v>2003</v>
      </c>
      <c r="I136" s="35">
        <f t="shared" si="10"/>
        <v>16.169</v>
      </c>
      <c r="J136" s="36">
        <f t="shared" si="11"/>
        <v>13.046732604759356</v>
      </c>
      <c r="K136" s="38">
        <f t="shared" si="12"/>
        <v>2003</v>
      </c>
      <c r="M136" s="21">
        <f t="shared" ref="M136:M183" si="18">LN(I136)</f>
        <v>2.7830958287576775</v>
      </c>
      <c r="N136" s="21">
        <f t="shared" ref="N136:N183" si="19">LN(J136)</f>
        <v>2.5685377273053951</v>
      </c>
    </row>
    <row r="137" spans="1:14" x14ac:dyDescent="0.2">
      <c r="A137" s="33">
        <f>'GF + UG Iteration 10'!A137</f>
        <v>708</v>
      </c>
      <c r="B137" s="34" t="str">
        <f>'GF + UG Iteration 10'!B137</f>
        <v>UG</v>
      </c>
      <c r="C137" s="35">
        <f>'GF + UG Iteration 10'!C137</f>
        <v>16.2</v>
      </c>
      <c r="D137" s="36">
        <f>'GF + UG Iteration 10'!P$16*(C137^'GF + UG Iteration 10'!P$15)</f>
        <v>12.584631126744545</v>
      </c>
      <c r="E137" s="37">
        <f>'GF + UG Iteration 10'!E137</f>
        <v>1982</v>
      </c>
      <c r="F137" s="35">
        <f>'GF + UG Iteration 10'!F137</f>
        <v>11.5</v>
      </c>
      <c r="G137" s="36">
        <f>'GF + UG Iteration 10'!G137</f>
        <v>6.8374623210633541</v>
      </c>
      <c r="H137" s="38">
        <f>'GF + UG Iteration 10'!H137</f>
        <v>2007</v>
      </c>
      <c r="I137" s="35">
        <f t="shared" si="10"/>
        <v>27.7</v>
      </c>
      <c r="J137" s="36">
        <f t="shared" si="11"/>
        <v>19.422093447807899</v>
      </c>
      <c r="K137" s="38">
        <f t="shared" si="12"/>
        <v>2007</v>
      </c>
      <c r="M137" s="21">
        <f t="shared" si="18"/>
        <v>3.3214324131932926</v>
      </c>
      <c r="N137" s="21">
        <f t="shared" si="19"/>
        <v>2.9664112556016282</v>
      </c>
    </row>
    <row r="138" spans="1:14" x14ac:dyDescent="0.2">
      <c r="A138" s="33">
        <f>'GF + UG Iteration 10'!A138</f>
        <v>1568</v>
      </c>
      <c r="B138" s="34" t="str">
        <f>'GF + UG Iteration 10'!B138</f>
        <v>UG</v>
      </c>
      <c r="C138" s="35">
        <f>'GF + UG Iteration 10'!C138</f>
        <v>27.7</v>
      </c>
      <c r="D138" s="36">
        <f>'GF + UG Iteration 10'!P$16*(C138^'GF + UG Iteration 10'!P$15)</f>
        <v>17.109261412071078</v>
      </c>
      <c r="E138" s="37">
        <f>'GF + UG Iteration 10'!E138</f>
        <v>1997</v>
      </c>
      <c r="F138" s="35">
        <f>'GF + UG Iteration 10'!F138</f>
        <v>8.0999999999999979</v>
      </c>
      <c r="G138" s="36">
        <f>'GF + UG Iteration 10'!G138</f>
        <v>3.5848996641236104</v>
      </c>
      <c r="H138" s="38">
        <f>'GF + UG Iteration 10'!H138</f>
        <v>2015</v>
      </c>
      <c r="I138" s="35">
        <f t="shared" si="10"/>
        <v>35.799999999999997</v>
      </c>
      <c r="J138" s="36">
        <f t="shared" si="11"/>
        <v>20.694161076194689</v>
      </c>
      <c r="K138" s="38">
        <f t="shared" si="12"/>
        <v>2015</v>
      </c>
      <c r="M138" s="21">
        <f t="shared" si="18"/>
        <v>3.5779478934066544</v>
      </c>
      <c r="N138" s="21">
        <f t="shared" si="19"/>
        <v>3.0298515868672959</v>
      </c>
    </row>
    <row r="139" spans="1:14" x14ac:dyDescent="0.2">
      <c r="A139" s="33">
        <f>'GF + UG Iteration 10'!A139</f>
        <v>398</v>
      </c>
      <c r="B139" s="34" t="str">
        <f>'GF + UG Iteration 10'!B139</f>
        <v>UG</v>
      </c>
      <c r="C139" s="35">
        <f>'GF + UG Iteration 10'!C139</f>
        <v>27.329000000000001</v>
      </c>
      <c r="D139" s="36">
        <f>'GF + UG Iteration 10'!P$16*(C139^'GF + UG Iteration 10'!P$15)</f>
        <v>16.977675241280689</v>
      </c>
      <c r="E139" s="37">
        <f>'GF + UG Iteration 10'!E139</f>
        <v>1981</v>
      </c>
      <c r="F139" s="35">
        <f>'GF + UG Iteration 10'!F139</f>
        <v>2</v>
      </c>
      <c r="G139" s="36">
        <f>'GF + UG Iteration 10'!G139</f>
        <v>1.454685054931611</v>
      </c>
      <c r="H139" s="38">
        <f>'GF + UG Iteration 10'!H139</f>
        <v>2004</v>
      </c>
      <c r="I139" s="35">
        <f t="shared" si="10"/>
        <v>29.329000000000001</v>
      </c>
      <c r="J139" s="36">
        <f t="shared" si="11"/>
        <v>18.432360296212302</v>
      </c>
      <c r="K139" s="38">
        <f t="shared" si="12"/>
        <v>2004</v>
      </c>
      <c r="M139" s="21">
        <f t="shared" si="18"/>
        <v>3.3785767876246213</v>
      </c>
      <c r="N139" s="21">
        <f t="shared" si="19"/>
        <v>2.9141078316429803</v>
      </c>
    </row>
    <row r="140" spans="1:14" x14ac:dyDescent="0.2">
      <c r="A140" s="33">
        <f>'GF + UG Iteration 10'!A140</f>
        <v>1642</v>
      </c>
      <c r="B140" s="34" t="str">
        <f>'GF + UG Iteration 10'!B140</f>
        <v>UG</v>
      </c>
      <c r="C140" s="35">
        <f>'GF + UG Iteration 10'!C140</f>
        <v>16.12</v>
      </c>
      <c r="D140" s="36">
        <f>'GF + UG Iteration 10'!P$16*(C140^'GF + UG Iteration 10'!P$15)</f>
        <v>12.549009790994493</v>
      </c>
      <c r="E140" s="37" t="str">
        <f>'GF + UG Iteration 10'!E140</f>
        <v>unknown</v>
      </c>
      <c r="F140" s="35">
        <f>'GF + UG Iteration 10'!F140</f>
        <v>2.7799999999999976</v>
      </c>
      <c r="G140" s="36">
        <f>'GF + UG Iteration 10'!G140</f>
        <v>10.134123990225088</v>
      </c>
      <c r="H140" s="38">
        <f>'GF + UG Iteration 10'!H140</f>
        <v>2015</v>
      </c>
      <c r="I140" s="35">
        <f t="shared" si="10"/>
        <v>18.899999999999999</v>
      </c>
      <c r="J140" s="36">
        <f t="shared" si="11"/>
        <v>22.683133781219581</v>
      </c>
      <c r="K140" s="38">
        <f t="shared" si="12"/>
        <v>2015</v>
      </c>
      <c r="M140" s="21">
        <f t="shared" si="18"/>
        <v>2.9391619220655967</v>
      </c>
      <c r="N140" s="21">
        <f t="shared" si="19"/>
        <v>3.1216216430895485</v>
      </c>
    </row>
    <row r="141" spans="1:14" x14ac:dyDescent="0.2">
      <c r="A141" s="33">
        <f>'GF + UG Iteration 10'!A141</f>
        <v>522</v>
      </c>
      <c r="B141" s="34" t="str">
        <f>'GF + UG Iteration 10'!B141</f>
        <v>UG</v>
      </c>
      <c r="C141" s="35">
        <f>'GF + UG Iteration 10'!C141</f>
        <v>38.700000000000003</v>
      </c>
      <c r="D141" s="36">
        <f>'GF + UG Iteration 10'!P$16*(C141^'GF + UG Iteration 10'!P$15)</f>
        <v>20.719898481479021</v>
      </c>
      <c r="E141" s="37">
        <f>'GF + UG Iteration 10'!E141</f>
        <v>1981</v>
      </c>
      <c r="F141" s="35">
        <f>'GF + UG Iteration 10'!F141</f>
        <v>2.2999999999999972</v>
      </c>
      <c r="G141" s="36">
        <f>'GF + UG Iteration 10'!G141</f>
        <v>0.49326793696611254</v>
      </c>
      <c r="H141" s="38">
        <f>'GF + UG Iteration 10'!H141</f>
        <v>2006</v>
      </c>
      <c r="I141" s="35">
        <f t="shared" si="10"/>
        <v>41</v>
      </c>
      <c r="J141" s="36">
        <f t="shared" si="11"/>
        <v>21.213166418445134</v>
      </c>
      <c r="K141" s="38">
        <f t="shared" si="12"/>
        <v>2006</v>
      </c>
      <c r="M141" s="21">
        <f t="shared" si="18"/>
        <v>3.713572066704308</v>
      </c>
      <c r="N141" s="21">
        <f t="shared" si="19"/>
        <v>3.0546220463754135</v>
      </c>
    </row>
    <row r="142" spans="1:14" x14ac:dyDescent="0.2">
      <c r="A142" s="33">
        <f>'GF + UG Iteration 10'!A142</f>
        <v>170</v>
      </c>
      <c r="B142" s="34" t="str">
        <f>'GF + UG Iteration 10'!B142</f>
        <v>UG</v>
      </c>
      <c r="C142" s="35">
        <f>'GF + UG Iteration 10'!C142</f>
        <v>20.399999999999999</v>
      </c>
      <c r="D142" s="36">
        <f>'GF + UG Iteration 10'!P$16*(C142^'GF + UG Iteration 10'!P$15)</f>
        <v>14.360327482121097</v>
      </c>
      <c r="E142" s="37" t="str">
        <f>'GF + UG Iteration 10'!E142</f>
        <v>unknown</v>
      </c>
      <c r="F142" s="35">
        <f>'GF + UG Iteration 10'!F142</f>
        <v>5.6000000000000014</v>
      </c>
      <c r="G142" s="36">
        <f>'GF + UG Iteration 10'!G142</f>
        <v>4.433742547698083</v>
      </c>
      <c r="H142" s="38">
        <f>'GF + UG Iteration 10'!H142</f>
        <v>2001</v>
      </c>
      <c r="I142" s="35">
        <f t="shared" si="10"/>
        <v>26</v>
      </c>
      <c r="J142" s="36">
        <f t="shared" si="11"/>
        <v>18.794070029819181</v>
      </c>
      <c r="K142" s="38">
        <f t="shared" si="12"/>
        <v>2001</v>
      </c>
      <c r="M142" s="21">
        <f t="shared" si="18"/>
        <v>3.2580965380214821</v>
      </c>
      <c r="N142" s="21">
        <f t="shared" si="19"/>
        <v>2.9335413961335193</v>
      </c>
    </row>
    <row r="143" spans="1:14" x14ac:dyDescent="0.2">
      <c r="A143" s="33">
        <f>'GF + UG Iteration 10'!A143</f>
        <v>1312</v>
      </c>
      <c r="B143" s="34" t="str">
        <f>'GF + UG Iteration 10'!B143</f>
        <v>UG</v>
      </c>
      <c r="C143" s="35">
        <f>'GF + UG Iteration 10'!C143</f>
        <v>23.63</v>
      </c>
      <c r="D143" s="36">
        <f>'GF + UG Iteration 10'!P$16*(C143^'GF + UG Iteration 10'!P$15)</f>
        <v>15.621189795132784</v>
      </c>
      <c r="E143" s="37" t="str">
        <f>'GF + UG Iteration 10'!E143</f>
        <v>unknown</v>
      </c>
      <c r="F143" s="35">
        <f>'GF + UG Iteration 10'!F143</f>
        <v>0</v>
      </c>
      <c r="G143" s="36">
        <f>'GF + UG Iteration 10'!G143</f>
        <v>6.0245111186360631</v>
      </c>
      <c r="H143" s="38">
        <f>'GF + UG Iteration 10'!H143</f>
        <v>2013</v>
      </c>
      <c r="I143" s="35">
        <f t="shared" si="10"/>
        <v>23.63</v>
      </c>
      <c r="J143" s="36">
        <f t="shared" si="11"/>
        <v>21.645700913768849</v>
      </c>
      <c r="K143" s="38">
        <f t="shared" si="12"/>
        <v>2013</v>
      </c>
      <c r="M143" s="21">
        <f t="shared" si="18"/>
        <v>3.1625170911988163</v>
      </c>
      <c r="N143" s="21">
        <f t="shared" si="19"/>
        <v>3.0748068626181531</v>
      </c>
    </row>
    <row r="144" spans="1:14" x14ac:dyDescent="0.2">
      <c r="A144" s="33">
        <f>'GF + UG Iteration 10'!A144</f>
        <v>170</v>
      </c>
      <c r="B144" s="34" t="str">
        <f>'GF + UG Iteration 10'!B144</f>
        <v>UG</v>
      </c>
      <c r="C144" s="35">
        <f>'GF + UG Iteration 10'!C144</f>
        <v>21.6</v>
      </c>
      <c r="D144" s="36">
        <f>'GF + UG Iteration 10'!P$16*(C144^'GF + UG Iteration 10'!P$15)</f>
        <v>14.838083528490193</v>
      </c>
      <c r="E144" s="37" t="str">
        <f>'GF + UG Iteration 10'!E144</f>
        <v>unknown</v>
      </c>
      <c r="F144" s="35">
        <f>'GF + UG Iteration 10'!F144</f>
        <v>1</v>
      </c>
      <c r="G144" s="36">
        <f>'GF + UG Iteration 10'!G144</f>
        <v>4.8829870198591019</v>
      </c>
      <c r="H144" s="38">
        <f>'GF + UG Iteration 10'!H144</f>
        <v>2001</v>
      </c>
      <c r="I144" s="35">
        <f t="shared" si="10"/>
        <v>22.6</v>
      </c>
      <c r="J144" s="36">
        <f t="shared" si="11"/>
        <v>19.721070548349296</v>
      </c>
      <c r="K144" s="38">
        <f t="shared" si="12"/>
        <v>2001</v>
      </c>
      <c r="M144" s="21">
        <f t="shared" si="18"/>
        <v>3.1179499062782403</v>
      </c>
      <c r="N144" s="21">
        <f t="shared" si="19"/>
        <v>2.9816876351426274</v>
      </c>
    </row>
    <row r="145" spans="1:14" x14ac:dyDescent="0.2">
      <c r="A145" s="33">
        <f>'GF + UG Iteration 10'!A145</f>
        <v>1366</v>
      </c>
      <c r="B145" s="34" t="str">
        <f>'GF + UG Iteration 10'!B145</f>
        <v>UG</v>
      </c>
      <c r="C145" s="35">
        <f>'GF + UG Iteration 10'!C145</f>
        <v>25.5</v>
      </c>
      <c r="D145" s="36">
        <f>'GF + UG Iteration 10'!P$16*(C145^'GF + UG Iteration 10'!P$15)</f>
        <v>16.317476698797442</v>
      </c>
      <c r="E145" s="37">
        <f>'GF + UG Iteration 10'!E145</f>
        <v>0</v>
      </c>
      <c r="F145" s="35">
        <f>'GF + UG Iteration 10'!F145</f>
        <v>14</v>
      </c>
      <c r="G145" s="36">
        <f>'GF + UG Iteration 10'!G145</f>
        <v>5.5737060104438019</v>
      </c>
      <c r="H145" s="38">
        <f>'GF + UG Iteration 10'!H145</f>
        <v>2013</v>
      </c>
      <c r="I145" s="35">
        <f t="shared" si="10"/>
        <v>39.5</v>
      </c>
      <c r="J145" s="36">
        <f t="shared" si="11"/>
        <v>21.891182709241242</v>
      </c>
      <c r="K145" s="38">
        <f t="shared" si="12"/>
        <v>2013</v>
      </c>
      <c r="M145" s="21">
        <f t="shared" si="18"/>
        <v>3.6763006719070761</v>
      </c>
      <c r="N145" s="21">
        <f t="shared" si="19"/>
        <v>3.0860839397344839</v>
      </c>
    </row>
    <row r="146" spans="1:14" x14ac:dyDescent="0.2">
      <c r="A146" s="33">
        <f>'GF + UG Iteration 10'!A146</f>
        <v>170</v>
      </c>
      <c r="B146" s="34" t="str">
        <f>'GF + UG Iteration 10'!B146</f>
        <v>UG</v>
      </c>
      <c r="C146" s="35">
        <f>'GF + UG Iteration 10'!C146</f>
        <v>5.4</v>
      </c>
      <c r="D146" s="36">
        <f>'GF + UG Iteration 10'!P$16*(C146^'GF + UG Iteration 10'!P$15)</f>
        <v>6.7088917779455777</v>
      </c>
      <c r="E146" s="37" t="str">
        <f>'GF + UG Iteration 10'!E146</f>
        <v>unknown</v>
      </c>
      <c r="F146" s="35">
        <f>'GF + UG Iteration 10'!F146</f>
        <v>10.6</v>
      </c>
      <c r="G146" s="36">
        <f>'GF + UG Iteration 10'!G146</f>
        <v>5.2097107088088661</v>
      </c>
      <c r="H146" s="38">
        <f>'GF + UG Iteration 10'!H146</f>
        <v>2001</v>
      </c>
      <c r="I146" s="35">
        <f t="shared" si="10"/>
        <v>16</v>
      </c>
      <c r="J146" s="36">
        <f t="shared" si="11"/>
        <v>11.918602486754445</v>
      </c>
      <c r="K146" s="38">
        <f t="shared" si="12"/>
        <v>2001</v>
      </c>
      <c r="M146" s="21">
        <f t="shared" si="18"/>
        <v>2.7725887222397811</v>
      </c>
      <c r="N146" s="21">
        <f t="shared" si="19"/>
        <v>2.478100413719845</v>
      </c>
    </row>
    <row r="147" spans="1:14" x14ac:dyDescent="0.2">
      <c r="A147" s="33">
        <f>'GF + UG Iteration 10'!A147</f>
        <v>1350</v>
      </c>
      <c r="B147" s="34" t="str">
        <f>'GF + UG Iteration 10'!B147</f>
        <v>UG</v>
      </c>
      <c r="C147" s="35">
        <f>'GF + UG Iteration 10'!C147</f>
        <v>16</v>
      </c>
      <c r="D147" s="36">
        <f>'GF + UG Iteration 10'!P$16*(C147^'GF + UG Iteration 10'!P$15)</f>
        <v>12.495435793459116</v>
      </c>
      <c r="E147" s="37">
        <f>'GF + UG Iteration 10'!E147</f>
        <v>0</v>
      </c>
      <c r="F147" s="35">
        <f>'GF + UG Iteration 10'!F147</f>
        <v>20</v>
      </c>
      <c r="G147" s="36">
        <f>'GF + UG Iteration 10'!G147</f>
        <v>6.5300342953877131</v>
      </c>
      <c r="H147" s="38">
        <f>'GF + UG Iteration 10'!H147</f>
        <v>2013</v>
      </c>
      <c r="I147" s="35">
        <f t="shared" si="10"/>
        <v>36</v>
      </c>
      <c r="J147" s="36">
        <f t="shared" si="11"/>
        <v>19.025470088846831</v>
      </c>
      <c r="K147" s="38">
        <f t="shared" si="12"/>
        <v>2013</v>
      </c>
      <c r="M147" s="21">
        <f t="shared" si="18"/>
        <v>3.5835189384561099</v>
      </c>
      <c r="N147" s="21">
        <f t="shared" si="19"/>
        <v>2.9457786124488909</v>
      </c>
    </row>
    <row r="148" spans="1:14" x14ac:dyDescent="0.2">
      <c r="A148" s="33">
        <f>'GF + UG Iteration 10'!A148</f>
        <v>658</v>
      </c>
      <c r="B148" s="34" t="str">
        <f>'GF + UG Iteration 10'!B148</f>
        <v>UG</v>
      </c>
      <c r="C148" s="35">
        <f>'GF + UG Iteration 10'!C148</f>
        <v>1.6</v>
      </c>
      <c r="D148" s="36">
        <f>'GF + UG Iteration 10'!P$16*(C148^'GF + UG Iteration 10'!P$15)</f>
        <v>3.3432758568222853</v>
      </c>
      <c r="E148" s="37">
        <f>'GF + UG Iteration 10'!E148</f>
        <v>1996</v>
      </c>
      <c r="F148" s="35">
        <f>'GF + UG Iteration 10'!F148</f>
        <v>13.200000000000001</v>
      </c>
      <c r="G148" s="36">
        <f>'GF + UG Iteration 10'!G148</f>
        <v>7.1146692323992218</v>
      </c>
      <c r="H148" s="38">
        <f>'GF + UG Iteration 10'!H148</f>
        <v>2008</v>
      </c>
      <c r="I148" s="35">
        <f t="shared" si="10"/>
        <v>14.8</v>
      </c>
      <c r="J148" s="36">
        <f t="shared" si="11"/>
        <v>10.457945089221507</v>
      </c>
      <c r="K148" s="38">
        <f t="shared" si="12"/>
        <v>2008</v>
      </c>
      <c r="M148" s="21">
        <f t="shared" si="18"/>
        <v>2.6946271807700692</v>
      </c>
      <c r="N148" s="21">
        <f t="shared" si="19"/>
        <v>2.3473619851518013</v>
      </c>
    </row>
    <row r="149" spans="1:14" x14ac:dyDescent="0.2">
      <c r="A149" s="33">
        <f>'GF + UG Iteration 10'!A149</f>
        <v>897</v>
      </c>
      <c r="B149" s="34" t="str">
        <f>'GF + UG Iteration 10'!B149</f>
        <v>UG</v>
      </c>
      <c r="C149" s="35">
        <f>'GF + UG Iteration 10'!C149</f>
        <v>14.8</v>
      </c>
      <c r="D149" s="36">
        <f>'GF + UG Iteration 10'!P$16*(C149^'GF + UG Iteration 10'!P$15)</f>
        <v>11.949916422720573</v>
      </c>
      <c r="E149" s="37">
        <f>'GF + UG Iteration 10'!E149</f>
        <v>1996</v>
      </c>
      <c r="F149" s="35">
        <f>'GF + UG Iteration 10'!F149</f>
        <v>3</v>
      </c>
      <c r="G149" s="36">
        <f>'GF + UG Iteration 10'!G149</f>
        <v>6.2372112776035529</v>
      </c>
      <c r="H149" s="38">
        <f>'GF + UG Iteration 10'!H149</f>
        <v>2010</v>
      </c>
      <c r="I149" s="35">
        <f t="shared" si="10"/>
        <v>17.8</v>
      </c>
      <c r="J149" s="36">
        <f t="shared" si="11"/>
        <v>18.187127700324126</v>
      </c>
      <c r="K149" s="38">
        <f t="shared" si="12"/>
        <v>2010</v>
      </c>
      <c r="M149" s="21">
        <f t="shared" si="18"/>
        <v>2.8791984572980396</v>
      </c>
      <c r="N149" s="21">
        <f t="shared" si="19"/>
        <v>2.9007140746369249</v>
      </c>
    </row>
    <row r="150" spans="1:14" x14ac:dyDescent="0.2">
      <c r="A150" s="33">
        <f>'GF + UG Iteration 10'!A150</f>
        <v>483</v>
      </c>
      <c r="B150" s="34" t="str">
        <f>'GF + UG Iteration 10'!B150</f>
        <v>UG</v>
      </c>
      <c r="C150" s="35">
        <f>'GF + UG Iteration 10'!C150</f>
        <v>20.7</v>
      </c>
      <c r="D150" s="36">
        <f>'GF + UG Iteration 10'!P$16*(C150^'GF + UG Iteration 10'!P$15)</f>
        <v>14.48086810762427</v>
      </c>
      <c r="E150" s="37">
        <f>'GF + UG Iteration 10'!E150</f>
        <v>1986</v>
      </c>
      <c r="F150" s="35">
        <f>'GF + UG Iteration 10'!F150</f>
        <v>18.099999999999998</v>
      </c>
      <c r="G150" s="36">
        <f>'GF + UG Iteration 10'!G150</f>
        <v>3.6200694377675466</v>
      </c>
      <c r="H150" s="38">
        <f>'GF + UG Iteration 10'!H150</f>
        <v>2005</v>
      </c>
      <c r="I150" s="35">
        <f t="shared" si="10"/>
        <v>38.799999999999997</v>
      </c>
      <c r="J150" s="36">
        <f t="shared" si="11"/>
        <v>18.100937545391815</v>
      </c>
      <c r="K150" s="38">
        <f t="shared" si="12"/>
        <v>2005</v>
      </c>
      <c r="M150" s="21">
        <f t="shared" si="18"/>
        <v>3.6584202466292277</v>
      </c>
      <c r="N150" s="21">
        <f t="shared" si="19"/>
        <v>2.8959637350182512</v>
      </c>
    </row>
    <row r="151" spans="1:14" x14ac:dyDescent="0.2">
      <c r="A151" s="33">
        <f>'GF + UG Iteration 10'!A151</f>
        <v>1494</v>
      </c>
      <c r="B151" s="34" t="str">
        <f>'GF + UG Iteration 10'!B151</f>
        <v>UG</v>
      </c>
      <c r="C151" s="35">
        <f>'GF + UG Iteration 10'!C151</f>
        <v>13.3</v>
      </c>
      <c r="D151" s="36">
        <f>'GF + UG Iteration 10'!P$16*(C151^'GF + UG Iteration 10'!P$15)</f>
        <v>11.240649984227693</v>
      </c>
      <c r="E151" s="37">
        <f>'GF + UG Iteration 10'!E151</f>
        <v>0</v>
      </c>
      <c r="F151" s="35">
        <f>'GF + UG Iteration 10'!F151</f>
        <v>6</v>
      </c>
      <c r="G151" s="36">
        <f>'GF + UG Iteration 10'!G151</f>
        <v>6.4297485673579153</v>
      </c>
      <c r="H151" s="38">
        <f>'GF + UG Iteration 10'!H151</f>
        <v>2014</v>
      </c>
      <c r="I151" s="35">
        <f t="shared" si="10"/>
        <v>19.3</v>
      </c>
      <c r="J151" s="36">
        <f t="shared" si="11"/>
        <v>17.670398551585606</v>
      </c>
      <c r="K151" s="38">
        <f t="shared" si="12"/>
        <v>2014</v>
      </c>
      <c r="M151" s="21">
        <f t="shared" si="18"/>
        <v>2.9601050959108397</v>
      </c>
      <c r="N151" s="21">
        <f t="shared" si="19"/>
        <v>2.8718908413452415</v>
      </c>
    </row>
    <row r="152" spans="1:14" x14ac:dyDescent="0.2">
      <c r="A152" s="33">
        <f>'GF + UG Iteration 10'!A152</f>
        <v>488</v>
      </c>
      <c r="B152" s="34" t="str">
        <f>'GF + UG Iteration 10'!B152</f>
        <v>UG</v>
      </c>
      <c r="C152" s="35">
        <f>'GF + UG Iteration 10'!C152</f>
        <v>41.3</v>
      </c>
      <c r="D152" s="36">
        <f>'GF + UG Iteration 10'!P$16*(C152^'GF + UG Iteration 10'!P$15)</f>
        <v>21.505856159274344</v>
      </c>
      <c r="E152" s="37">
        <f>'GF + UG Iteration 10'!E152</f>
        <v>1982</v>
      </c>
      <c r="F152" s="35">
        <f>'GF + UG Iteration 10'!F152</f>
        <v>24.200000000000003</v>
      </c>
      <c r="G152" s="36">
        <f>'GF + UG Iteration 10'!G152</f>
        <v>0.40462675342078769</v>
      </c>
      <c r="H152" s="38">
        <f>'GF + UG Iteration 10'!H152</f>
        <v>2006</v>
      </c>
      <c r="I152" s="35">
        <f t="shared" si="10"/>
        <v>65.5</v>
      </c>
      <c r="J152" s="36">
        <f t="shared" si="11"/>
        <v>21.910482912695134</v>
      </c>
      <c r="K152" s="38">
        <f t="shared" si="12"/>
        <v>2006</v>
      </c>
      <c r="M152" s="21">
        <f t="shared" si="18"/>
        <v>4.1820501426412067</v>
      </c>
      <c r="N152" s="21">
        <f t="shared" si="19"/>
        <v>3.0869651941082119</v>
      </c>
    </row>
    <row r="153" spans="1:14" x14ac:dyDescent="0.2">
      <c r="A153" s="33">
        <f>'GF + UG Iteration 10'!A153</f>
        <v>1692</v>
      </c>
      <c r="B153" s="34" t="str">
        <f>'GF + UG Iteration 10'!B153</f>
        <v>UG</v>
      </c>
      <c r="C153" s="35">
        <f>'GF + UG Iteration 10'!C153</f>
        <v>65.5</v>
      </c>
      <c r="D153" s="36">
        <f>'GF + UG Iteration 10'!P$16*(C153^'GF + UG Iteration 10'!P$15)</f>
        <v>28.005242556367669</v>
      </c>
      <c r="E153" s="37">
        <f>'GF + UG Iteration 10'!E153</f>
        <v>0</v>
      </c>
      <c r="F153" s="35">
        <f>'GF + UG Iteration 10'!F153</f>
        <v>0</v>
      </c>
      <c r="G153" s="36">
        <f>'GF + UG Iteration 10'!G153</f>
        <v>2.2188176481219593</v>
      </c>
      <c r="H153" s="38">
        <f>'GF + UG Iteration 10'!H153</f>
        <v>2016</v>
      </c>
      <c r="I153" s="35">
        <f t="shared" si="10"/>
        <v>65.5</v>
      </c>
      <c r="J153" s="36">
        <f t="shared" si="11"/>
        <v>30.224060204489628</v>
      </c>
      <c r="K153" s="38">
        <f t="shared" si="12"/>
        <v>2016</v>
      </c>
      <c r="M153" s="21">
        <f t="shared" si="18"/>
        <v>4.1820501426412067</v>
      </c>
      <c r="N153" s="21">
        <f t="shared" si="19"/>
        <v>3.4086383027003153</v>
      </c>
    </row>
    <row r="154" spans="1:14" x14ac:dyDescent="0.2">
      <c r="A154" s="33">
        <f>'GF + UG Iteration 10'!A154</f>
        <v>318</v>
      </c>
      <c r="B154" s="34" t="str">
        <f>'GF + UG Iteration 10'!B154</f>
        <v>UG</v>
      </c>
      <c r="C154" s="35">
        <f>'GF + UG Iteration 10'!C154</f>
        <v>22.87</v>
      </c>
      <c r="D154" s="36">
        <f>'GF + UG Iteration 10'!P$16*(C154^'GF + UG Iteration 10'!P$15)</f>
        <v>15.331508328562457</v>
      </c>
      <c r="E154" s="37">
        <f>'GF + UG Iteration 10'!E154</f>
        <v>1996</v>
      </c>
      <c r="F154" s="35">
        <f>'GF + UG Iteration 10'!F154</f>
        <v>1</v>
      </c>
      <c r="G154" s="36">
        <f>'GF + UG Iteration 10'!G154</f>
        <v>0.76702040063252341</v>
      </c>
      <c r="H154" s="38">
        <f>'GF + UG Iteration 10'!H154</f>
        <v>2001</v>
      </c>
      <c r="I154" s="35">
        <f t="shared" si="10"/>
        <v>23.87</v>
      </c>
      <c r="J154" s="36">
        <f t="shared" si="11"/>
        <v>16.098528729194982</v>
      </c>
      <c r="K154" s="38">
        <f t="shared" si="12"/>
        <v>2001</v>
      </c>
      <c r="M154" s="21">
        <f t="shared" si="18"/>
        <v>3.1726224403507386</v>
      </c>
      <c r="N154" s="21">
        <f t="shared" si="19"/>
        <v>2.7787278845348964</v>
      </c>
    </row>
    <row r="155" spans="1:14" x14ac:dyDescent="0.2">
      <c r="A155" s="33">
        <f>'GF + UG Iteration 10'!A155</f>
        <v>806</v>
      </c>
      <c r="B155" s="34" t="str">
        <f>'GF + UG Iteration 10'!B155</f>
        <v>UG</v>
      </c>
      <c r="C155" s="35">
        <f>'GF + UG Iteration 10'!C155</f>
        <v>23.867000000000001</v>
      </c>
      <c r="D155" s="36">
        <f>'GF + UG Iteration 10'!P$16*(C155^'GF + UG Iteration 10'!P$15)</f>
        <v>15.710707067609773</v>
      </c>
      <c r="E155" s="37">
        <f>'GF + UG Iteration 10'!E155</f>
        <v>1996</v>
      </c>
      <c r="F155" s="35">
        <f>'GF + UG Iteration 10'!F155</f>
        <v>5.4329999999999998</v>
      </c>
      <c r="G155" s="36">
        <f>'GF + UG Iteration 10'!G155</f>
        <v>0.68947713107767894</v>
      </c>
      <c r="H155" s="38">
        <f>'GF + UG Iteration 10'!H155</f>
        <v>2008</v>
      </c>
      <c r="I155" s="35">
        <f t="shared" si="10"/>
        <v>29.3</v>
      </c>
      <c r="J155" s="36">
        <f t="shared" si="11"/>
        <v>16.400184198687452</v>
      </c>
      <c r="K155" s="38">
        <f t="shared" si="12"/>
        <v>2008</v>
      </c>
      <c r="M155" s="21">
        <f t="shared" si="18"/>
        <v>3.3775875160230218</v>
      </c>
      <c r="N155" s="21">
        <f t="shared" si="19"/>
        <v>2.7972925663943622</v>
      </c>
    </row>
    <row r="156" spans="1:14" x14ac:dyDescent="0.2">
      <c r="A156" s="33">
        <f>'GF + UG Iteration 10'!A156</f>
        <v>1495</v>
      </c>
      <c r="B156" s="34" t="str">
        <f>'GF + UG Iteration 10'!B156</f>
        <v>UG</v>
      </c>
      <c r="C156" s="35">
        <f>'GF + UG Iteration 10'!C156</f>
        <v>29.3</v>
      </c>
      <c r="D156" s="36">
        <f>'GF + UG Iteration 10'!P$16*(C156^'GF + UG Iteration 10'!P$15)</f>
        <v>17.668319259892705</v>
      </c>
      <c r="E156" s="37">
        <f>'GF + UG Iteration 10'!E156</f>
        <v>1996</v>
      </c>
      <c r="F156" s="35">
        <f>'GF + UG Iteration 10'!F156</f>
        <v>0</v>
      </c>
      <c r="G156" s="36">
        <f>'GF + UG Iteration 10'!G156</f>
        <v>5.142810508174632</v>
      </c>
      <c r="H156" s="38">
        <f>'GF + UG Iteration 10'!H156</f>
        <v>2014</v>
      </c>
      <c r="I156" s="35">
        <f t="shared" si="10"/>
        <v>29.3</v>
      </c>
      <c r="J156" s="36">
        <f t="shared" si="11"/>
        <v>22.811129768067339</v>
      </c>
      <c r="K156" s="38">
        <f t="shared" si="12"/>
        <v>2014</v>
      </c>
      <c r="M156" s="21">
        <f t="shared" si="18"/>
        <v>3.3775875160230218</v>
      </c>
      <c r="N156" s="21">
        <f t="shared" si="19"/>
        <v>3.1272485645773065</v>
      </c>
    </row>
    <row r="157" spans="1:14" x14ac:dyDescent="0.2">
      <c r="A157" s="33">
        <f>'GF + UG Iteration 10'!A157</f>
        <v>1386</v>
      </c>
      <c r="B157" s="34" t="str">
        <f>'GF + UG Iteration 10'!B157</f>
        <v>UG</v>
      </c>
      <c r="C157" s="35">
        <f>'GF + UG Iteration 10'!C157</f>
        <v>32.700000000000003</v>
      </c>
      <c r="D157" s="36">
        <f>'GF + UG Iteration 10'!P$16*(C157^'GF + UG Iteration 10'!P$15)</f>
        <v>18.814639005630518</v>
      </c>
      <c r="E157" s="37">
        <f>'GF + UG Iteration 10'!E157</f>
        <v>0</v>
      </c>
      <c r="F157" s="35">
        <f>'GF + UG Iteration 10'!F157</f>
        <v>13.5</v>
      </c>
      <c r="G157" s="36">
        <f>'GF + UG Iteration 10'!G157</f>
        <v>0.85934464632152285</v>
      </c>
      <c r="H157" s="38">
        <f>'GF + UG Iteration 10'!H157</f>
        <v>2013</v>
      </c>
      <c r="I157" s="35">
        <f t="shared" si="10"/>
        <v>46.2</v>
      </c>
      <c r="J157" s="36">
        <f t="shared" si="11"/>
        <v>19.673983651952042</v>
      </c>
      <c r="K157" s="38">
        <f t="shared" si="12"/>
        <v>2013</v>
      </c>
      <c r="M157" s="21">
        <f t="shared" si="18"/>
        <v>3.8329797980876932</v>
      </c>
      <c r="N157" s="21">
        <f t="shared" si="19"/>
        <v>2.9792971361433898</v>
      </c>
    </row>
    <row r="158" spans="1:14" x14ac:dyDescent="0.2">
      <c r="A158" s="33">
        <f>'GF + UG Iteration 10'!A158</f>
        <v>928</v>
      </c>
      <c r="B158" s="34" t="str">
        <f>'GF + UG Iteration 10'!B158</f>
        <v>UG</v>
      </c>
      <c r="C158" s="35">
        <f>'GF + UG Iteration 10'!C158</f>
        <v>18.02</v>
      </c>
      <c r="D158" s="36">
        <f>'GF + UG Iteration 10'!P$16*(C158^'GF + UG Iteration 10'!P$15)</f>
        <v>13.375696989503902</v>
      </c>
      <c r="E158" s="37">
        <f>'GF + UG Iteration 10'!E158</f>
        <v>1992</v>
      </c>
      <c r="F158" s="35">
        <f>'GF + UG Iteration 10'!F158</f>
        <v>3.4800000000000004</v>
      </c>
      <c r="G158" s="36">
        <f>'GF + UG Iteration 10'!G158</f>
        <v>10.364367944955573</v>
      </c>
      <c r="H158" s="38">
        <f>'GF + UG Iteration 10'!H158</f>
        <v>2010</v>
      </c>
      <c r="I158" s="35">
        <f t="shared" si="10"/>
        <v>21.5</v>
      </c>
      <c r="J158" s="36">
        <f t="shared" si="11"/>
        <v>23.740064934459475</v>
      </c>
      <c r="K158" s="38">
        <f t="shared" si="12"/>
        <v>2010</v>
      </c>
      <c r="M158" s="21">
        <f t="shared" si="18"/>
        <v>3.068052935133617</v>
      </c>
      <c r="N158" s="21">
        <f t="shared" si="19"/>
        <v>3.167164124411963</v>
      </c>
    </row>
    <row r="159" spans="1:14" x14ac:dyDescent="0.2">
      <c r="A159" s="33">
        <f>'GF + UG Iteration 10'!A159</f>
        <v>1450</v>
      </c>
      <c r="B159" s="34" t="str">
        <f>'GF + UG Iteration 10'!B159</f>
        <v>UG</v>
      </c>
      <c r="C159" s="35">
        <f>'GF + UG Iteration 10'!C159</f>
        <v>21.5</v>
      </c>
      <c r="D159" s="36">
        <f>'GF + UG Iteration 10'!P$16*(C159^'GF + UG Iteration 10'!P$15)</f>
        <v>14.798711295092476</v>
      </c>
      <c r="E159" s="37">
        <f>'GF + UG Iteration 10'!E159</f>
        <v>1992</v>
      </c>
      <c r="F159" s="35">
        <f>'GF + UG Iteration 10'!F159</f>
        <v>16.299999999999997</v>
      </c>
      <c r="G159" s="36">
        <f>'GF + UG Iteration 10'!G159</f>
        <v>5.1529943993409928</v>
      </c>
      <c r="H159" s="38">
        <f>'GF + UG Iteration 10'!H159</f>
        <v>2014</v>
      </c>
      <c r="I159" s="35">
        <f t="shared" si="10"/>
        <v>37.799999999999997</v>
      </c>
      <c r="J159" s="36">
        <f t="shared" si="11"/>
        <v>19.951705694433468</v>
      </c>
      <c r="K159" s="38">
        <f t="shared" si="12"/>
        <v>2014</v>
      </c>
      <c r="M159" s="21">
        <f t="shared" si="18"/>
        <v>3.6323091026255421</v>
      </c>
      <c r="N159" s="21">
        <f t="shared" si="19"/>
        <v>2.99331463814893</v>
      </c>
    </row>
    <row r="160" spans="1:14" x14ac:dyDescent="0.2">
      <c r="A160" s="33">
        <f>'GF + UG Iteration 10'!A160</f>
        <v>170</v>
      </c>
      <c r="B160" s="34" t="str">
        <f>'GF + UG Iteration 10'!B160</f>
        <v>UG</v>
      </c>
      <c r="C160" s="35">
        <f>'GF + UG Iteration 10'!C160</f>
        <v>17.7</v>
      </c>
      <c r="D160" s="36">
        <f>'GF + UG Iteration 10'!P$16*(C160^'GF + UG Iteration 10'!P$15)</f>
        <v>13.239173850813508</v>
      </c>
      <c r="E160" s="37" t="str">
        <f>'GF + UG Iteration 10'!E160</f>
        <v>unknown</v>
      </c>
      <c r="F160" s="35">
        <f>'GF + UG Iteration 10'!F160</f>
        <v>8.8000000000000007</v>
      </c>
      <c r="G160" s="36">
        <f>'GF + UG Iteration 10'!G160</f>
        <v>1.1342290648673055</v>
      </c>
      <c r="H160" s="38">
        <f>'GF + UG Iteration 10'!H160</f>
        <v>2001</v>
      </c>
      <c r="I160" s="35">
        <f t="shared" si="10"/>
        <v>26.5</v>
      </c>
      <c r="J160" s="36">
        <f t="shared" si="11"/>
        <v>14.373402915680813</v>
      </c>
      <c r="K160" s="38">
        <f t="shared" si="12"/>
        <v>2001</v>
      </c>
      <c r="M160" s="21">
        <f t="shared" si="18"/>
        <v>3.2771447329921766</v>
      </c>
      <c r="N160" s="21">
        <f t="shared" si="19"/>
        <v>2.6653794789933269</v>
      </c>
    </row>
    <row r="161" spans="1:14" x14ac:dyDescent="0.2">
      <c r="A161" s="33">
        <f>'GF + UG Iteration 10'!A161</f>
        <v>649</v>
      </c>
      <c r="B161" s="34" t="str">
        <f>'GF + UG Iteration 10'!B161</f>
        <v>UG</v>
      </c>
      <c r="C161" s="35">
        <f>'GF + UG Iteration 10'!C161</f>
        <v>26.5</v>
      </c>
      <c r="D161" s="36">
        <f>'GF + UG Iteration 10'!P$16*(C161^'GF + UG Iteration 10'!P$15)</f>
        <v>16.680856018283933</v>
      </c>
      <c r="E161" s="37">
        <f>'GF + UG Iteration 10'!E161</f>
        <v>1997</v>
      </c>
      <c r="F161" s="35">
        <f>'GF + UG Iteration 10'!F161</f>
        <v>33.799999999999997</v>
      </c>
      <c r="G161" s="36">
        <f>'GF + UG Iteration 10'!G161</f>
        <v>5.0180795362586865</v>
      </c>
      <c r="H161" s="38">
        <f>'GF + UG Iteration 10'!H161</f>
        <v>2007</v>
      </c>
      <c r="I161" s="35">
        <f t="shared" si="10"/>
        <v>60.3</v>
      </c>
      <c r="J161" s="36">
        <f t="shared" si="11"/>
        <v>21.698935554542619</v>
      </c>
      <c r="K161" s="38">
        <f t="shared" si="12"/>
        <v>2007</v>
      </c>
      <c r="M161" s="21">
        <f t="shared" si="18"/>
        <v>4.0993321037331398</v>
      </c>
      <c r="N161" s="21">
        <f t="shared" si="19"/>
        <v>3.0772632065572321</v>
      </c>
    </row>
    <row r="162" spans="1:14" x14ac:dyDescent="0.2">
      <c r="A162" s="33">
        <f>'GF + UG Iteration 10'!A162</f>
        <v>1203</v>
      </c>
      <c r="B162" s="34" t="str">
        <f>'GF + UG Iteration 10'!B162</f>
        <v>UG</v>
      </c>
      <c r="C162" s="35">
        <f>'GF + UG Iteration 10'!C162</f>
        <v>20.5</v>
      </c>
      <c r="D162" s="36">
        <f>'GF + UG Iteration 10'!P$16*(C162^'GF + UG Iteration 10'!P$15)</f>
        <v>14.400591359429029</v>
      </c>
      <c r="E162" s="37">
        <f>'GF + UG Iteration 10'!E162</f>
        <v>1977</v>
      </c>
      <c r="F162" s="35">
        <f>'GF + UG Iteration 10'!F162</f>
        <v>4.1000000000000014</v>
      </c>
      <c r="G162" s="36">
        <f>'GF + UG Iteration 10'!G162</f>
        <v>12.443615523285567</v>
      </c>
      <c r="H162" s="38">
        <f>'GF + UG Iteration 10'!H162</f>
        <v>2012</v>
      </c>
      <c r="I162" s="35">
        <f t="shared" si="10"/>
        <v>24.6</v>
      </c>
      <c r="J162" s="36">
        <f t="shared" si="11"/>
        <v>26.844206882714595</v>
      </c>
      <c r="K162" s="38">
        <f t="shared" si="12"/>
        <v>2012</v>
      </c>
      <c r="M162" s="21">
        <f t="shared" si="18"/>
        <v>3.202746442938317</v>
      </c>
      <c r="N162" s="21">
        <f t="shared" si="19"/>
        <v>3.2900500391175318</v>
      </c>
    </row>
    <row r="163" spans="1:14" x14ac:dyDescent="0.2">
      <c r="A163" s="33">
        <f>'GF + UG Iteration 10'!A163</f>
        <v>170</v>
      </c>
      <c r="B163" s="34" t="str">
        <f>'GF + UG Iteration 10'!B163</f>
        <v>UG</v>
      </c>
      <c r="C163" s="35">
        <f>'GF + UG Iteration 10'!C163</f>
        <v>7.9</v>
      </c>
      <c r="D163" s="36">
        <f>'GF + UG Iteration 10'!P$16*(C163^'GF + UG Iteration 10'!P$15)</f>
        <v>8.341803477883996</v>
      </c>
      <c r="E163" s="37">
        <f>'GF + UG Iteration 10'!E163</f>
        <v>1972</v>
      </c>
      <c r="F163" s="35">
        <f>'GF + UG Iteration 10'!F163</f>
        <v>6.1</v>
      </c>
      <c r="G163" s="36">
        <f>'GF + UG Iteration 10'!G163</f>
        <v>2.9004939377112939</v>
      </c>
      <c r="H163" s="38">
        <f>'GF + UG Iteration 10'!H163</f>
        <v>2001</v>
      </c>
      <c r="I163" s="35">
        <f t="shared" si="10"/>
        <v>14</v>
      </c>
      <c r="J163" s="36">
        <f t="shared" si="11"/>
        <v>11.24229741559529</v>
      </c>
      <c r="K163" s="38">
        <f t="shared" si="12"/>
        <v>2001</v>
      </c>
      <c r="M163" s="21">
        <f t="shared" si="18"/>
        <v>2.6390573296152584</v>
      </c>
      <c r="N163" s="21">
        <f t="shared" si="19"/>
        <v>2.4196832199847207</v>
      </c>
    </row>
    <row r="164" spans="1:14" x14ac:dyDescent="0.2">
      <c r="A164" s="33">
        <f>'GF + UG Iteration 10'!A164</f>
        <v>363</v>
      </c>
      <c r="B164" s="34" t="str">
        <f>'GF + UG Iteration 10'!B164</f>
        <v>UG</v>
      </c>
      <c r="C164" s="35">
        <f>'GF + UG Iteration 10'!C164</f>
        <v>21.225999999999999</v>
      </c>
      <c r="D164" s="36">
        <f>'GF + UG Iteration 10'!P$16*(C164^'GF + UG Iteration 10'!P$15)</f>
        <v>14.690428366144554</v>
      </c>
      <c r="E164" s="37">
        <f>'GF + UG Iteration 10'!E164</f>
        <v>1975</v>
      </c>
      <c r="F164" s="35">
        <f>'GF + UG Iteration 10'!F164</f>
        <v>4.1999999999999993</v>
      </c>
      <c r="G164" s="36">
        <f>'GF + UG Iteration 10'!G164</f>
        <v>0.82194253395528394</v>
      </c>
      <c r="H164" s="38">
        <f>'GF + UG Iteration 10'!H164</f>
        <v>2004</v>
      </c>
      <c r="I164" s="35">
        <f t="shared" si="10"/>
        <v>25.425999999999998</v>
      </c>
      <c r="J164" s="36">
        <f t="shared" si="11"/>
        <v>15.512370900099837</v>
      </c>
      <c r="K164" s="38">
        <f t="shared" si="12"/>
        <v>2004</v>
      </c>
      <c r="M164" s="21">
        <f t="shared" si="18"/>
        <v>3.2357722725279308</v>
      </c>
      <c r="N164" s="21">
        <f t="shared" si="19"/>
        <v>2.7416378281818217</v>
      </c>
    </row>
    <row r="165" spans="1:14" x14ac:dyDescent="0.2">
      <c r="A165" s="33">
        <f>'GF + UG Iteration 10'!A165</f>
        <v>493</v>
      </c>
      <c r="B165" s="34" t="str">
        <f>'GF + UG Iteration 10'!B165</f>
        <v>UG</v>
      </c>
      <c r="C165" s="35">
        <f>'GF + UG Iteration 10'!C165</f>
        <v>25.4</v>
      </c>
      <c r="D165" s="36">
        <f>'GF + UG Iteration 10'!P$16*(C165^'GF + UG Iteration 10'!P$15)</f>
        <v>16.280806531965958</v>
      </c>
      <c r="E165" s="37">
        <f>'GF + UG Iteration 10'!E165</f>
        <v>1975</v>
      </c>
      <c r="F165" s="35">
        <f>'GF + UG Iteration 10'!F165</f>
        <v>3.3000000000000007</v>
      </c>
      <c r="G165" s="36">
        <f>'GF + UG Iteration 10'!G165</f>
        <v>3.4002692913337142</v>
      </c>
      <c r="H165" s="38">
        <f>'GF + UG Iteration 10'!H165</f>
        <v>2006</v>
      </c>
      <c r="I165" s="35">
        <f t="shared" si="10"/>
        <v>28.7</v>
      </c>
      <c r="J165" s="36">
        <f t="shared" si="11"/>
        <v>19.681075823299672</v>
      </c>
      <c r="K165" s="38">
        <f t="shared" si="12"/>
        <v>2006</v>
      </c>
      <c r="M165" s="21">
        <f t="shared" si="18"/>
        <v>3.3568971227655755</v>
      </c>
      <c r="N165" s="21">
        <f t="shared" si="19"/>
        <v>2.9796575559480587</v>
      </c>
    </row>
    <row r="166" spans="1:14" x14ac:dyDescent="0.2">
      <c r="A166" s="33">
        <f>'GF + UG Iteration 10'!A166</f>
        <v>685</v>
      </c>
      <c r="B166" s="34" t="str">
        <f>'GF + UG Iteration 10'!B166</f>
        <v>UG</v>
      </c>
      <c r="C166" s="35">
        <f>'GF + UG Iteration 10'!C166</f>
        <v>28.7</v>
      </c>
      <c r="D166" s="36">
        <f>'GF + UG Iteration 10'!P$16*(C166^'GF + UG Iteration 10'!P$15)</f>
        <v>17.460239629522416</v>
      </c>
      <c r="E166" s="37">
        <f>'GF + UG Iteration 10'!E166</f>
        <v>1975</v>
      </c>
      <c r="F166" s="35">
        <f>'GF + UG Iteration 10'!F166</f>
        <v>4.1999999999999993</v>
      </c>
      <c r="G166" s="36">
        <f>'GF + UG Iteration 10'!G166</f>
        <v>0.94606982488538283</v>
      </c>
      <c r="H166" s="38">
        <f>'GF + UG Iteration 10'!H166</f>
        <v>2007</v>
      </c>
      <c r="I166" s="35">
        <f t="shared" si="10"/>
        <v>32.9</v>
      </c>
      <c r="J166" s="36">
        <f t="shared" si="11"/>
        <v>18.406309454407801</v>
      </c>
      <c r="K166" s="38">
        <f t="shared" si="12"/>
        <v>2007</v>
      </c>
      <c r="M166" s="21">
        <f t="shared" si="18"/>
        <v>3.493472657771326</v>
      </c>
      <c r="N166" s="21">
        <f t="shared" si="19"/>
        <v>2.9126935109672707</v>
      </c>
    </row>
    <row r="167" spans="1:14" x14ac:dyDescent="0.2">
      <c r="A167" s="33">
        <f>'GF + UG Iteration 10'!A167</f>
        <v>1574</v>
      </c>
      <c r="B167" s="34" t="str">
        <f>'GF + UG Iteration 10'!B167</f>
        <v>UG</v>
      </c>
      <c r="C167" s="35">
        <f>'GF + UG Iteration 10'!C167</f>
        <v>28</v>
      </c>
      <c r="D167" s="36">
        <f>'GF + UG Iteration 10'!P$16*(C167^'GF + UG Iteration 10'!P$15)</f>
        <v>17.215115371344822</v>
      </c>
      <c r="E167" s="37">
        <f>'GF + UG Iteration 10'!E167</f>
        <v>2013</v>
      </c>
      <c r="F167" s="35">
        <f>'GF + UG Iteration 10'!F167</f>
        <v>0</v>
      </c>
      <c r="G167" s="36">
        <f>'GF + UG Iteration 10'!G167</f>
        <v>6.2662260340537754</v>
      </c>
      <c r="H167" s="38">
        <f>'GF + UG Iteration 10'!H167</f>
        <v>2015</v>
      </c>
      <c r="I167" s="35">
        <f t="shared" si="10"/>
        <v>28</v>
      </c>
      <c r="J167" s="36">
        <f t="shared" si="11"/>
        <v>23.481341405398599</v>
      </c>
      <c r="K167" s="38">
        <f t="shared" si="12"/>
        <v>2015</v>
      </c>
      <c r="M167" s="21">
        <f t="shared" si="18"/>
        <v>3.3322045101752038</v>
      </c>
      <c r="N167" s="21">
        <f t="shared" si="19"/>
        <v>3.1562061230298708</v>
      </c>
    </row>
    <row r="168" spans="1:14" x14ac:dyDescent="0.2">
      <c r="A168" s="33">
        <f>'GF + UG Iteration 10'!A168</f>
        <v>435</v>
      </c>
      <c r="B168" s="34" t="str">
        <f>'GF + UG Iteration 10'!B168</f>
        <v>UG</v>
      </c>
      <c r="C168" s="35">
        <f>'GF + UG Iteration 10'!C168</f>
        <v>10.6</v>
      </c>
      <c r="D168" s="36">
        <f>'GF + UG Iteration 10'!P$16*(C168^'GF + UG Iteration 10'!P$15)</f>
        <v>9.8711139162662018</v>
      </c>
      <c r="E168" s="37">
        <f>'GF + UG Iteration 10'!E168</f>
        <v>1990</v>
      </c>
      <c r="F168" s="35">
        <f>'GF + UG Iteration 10'!F168</f>
        <v>8.4</v>
      </c>
      <c r="G168" s="36">
        <f>'GF + UG Iteration 10'!G168</f>
        <v>3.0773639102073269</v>
      </c>
      <c r="H168" s="38">
        <f>'GF + UG Iteration 10'!H168</f>
        <v>2004</v>
      </c>
      <c r="I168" s="35">
        <f t="shared" si="10"/>
        <v>19</v>
      </c>
      <c r="J168" s="36">
        <f t="shared" si="11"/>
        <v>12.948477826473528</v>
      </c>
      <c r="K168" s="38">
        <f t="shared" si="12"/>
        <v>2004</v>
      </c>
      <c r="M168" s="21">
        <f t="shared" si="18"/>
        <v>2.9444389791664403</v>
      </c>
      <c r="N168" s="21">
        <f t="shared" si="19"/>
        <v>2.5609782388796458</v>
      </c>
    </row>
    <row r="169" spans="1:14" x14ac:dyDescent="0.2">
      <c r="A169" s="33">
        <f>'GF + UG Iteration 10'!A169</f>
        <v>652</v>
      </c>
      <c r="B169" s="34" t="str">
        <f>'GF + UG Iteration 10'!B169</f>
        <v>UG</v>
      </c>
      <c r="C169" s="35">
        <f>'GF + UG Iteration 10'!C169</f>
        <v>10.195</v>
      </c>
      <c r="D169" s="36">
        <f>'GF + UG Iteration 10'!P$16*(C169^'GF + UG Iteration 10'!P$15)</f>
        <v>9.6533689542959369</v>
      </c>
      <c r="E169" s="37">
        <f>'GF + UG Iteration 10'!E169</f>
        <v>1986</v>
      </c>
      <c r="F169" s="35">
        <f>'GF + UG Iteration 10'!F169</f>
        <v>3.4049999999999994</v>
      </c>
      <c r="G169" s="36">
        <f>'GF + UG Iteration 10'!G169</f>
        <v>4.380227937072533</v>
      </c>
      <c r="H169" s="38">
        <f>'GF + UG Iteration 10'!H169</f>
        <v>2007</v>
      </c>
      <c r="I169" s="35">
        <f t="shared" si="10"/>
        <v>13.6</v>
      </c>
      <c r="J169" s="36">
        <f t="shared" si="11"/>
        <v>14.03359689136847</v>
      </c>
      <c r="K169" s="38">
        <f t="shared" si="12"/>
        <v>2007</v>
      </c>
      <c r="M169" s="21">
        <f t="shared" si="18"/>
        <v>2.6100697927420065</v>
      </c>
      <c r="N169" s="21">
        <f t="shared" si="19"/>
        <v>2.6414542327014785</v>
      </c>
    </row>
    <row r="170" spans="1:14" x14ac:dyDescent="0.2">
      <c r="A170" s="33">
        <f>'GF + UG Iteration 10'!A170</f>
        <v>366</v>
      </c>
      <c r="B170" s="34" t="str">
        <f>'GF + UG Iteration 10'!B170</f>
        <v>UG</v>
      </c>
      <c r="C170" s="35">
        <f>'GF + UG Iteration 10'!C170</f>
        <v>11.1</v>
      </c>
      <c r="D170" s="36">
        <f>'GF + UG Iteration 10'!P$16*(C170^'GF + UG Iteration 10'!P$15)</f>
        <v>10.135088529904456</v>
      </c>
      <c r="E170" s="37">
        <f>'GF + UG Iteration 10'!E170</f>
        <v>1981</v>
      </c>
      <c r="F170" s="35">
        <f>'GF + UG Iteration 10'!F170</f>
        <v>4.8000000000000007</v>
      </c>
      <c r="G170" s="36">
        <f>'GF + UG Iteration 10'!G170</f>
        <v>0.60207988766843201</v>
      </c>
      <c r="H170" s="38">
        <f>'GF + UG Iteration 10'!H170</f>
        <v>2003</v>
      </c>
      <c r="I170" s="35">
        <f t="shared" si="10"/>
        <v>15.9</v>
      </c>
      <c r="J170" s="36">
        <f t="shared" si="11"/>
        <v>10.737168417572889</v>
      </c>
      <c r="K170" s="38">
        <f t="shared" si="12"/>
        <v>2003</v>
      </c>
      <c r="M170" s="21">
        <f t="shared" si="18"/>
        <v>2.7663191092261861</v>
      </c>
      <c r="N170" s="21">
        <f t="shared" si="19"/>
        <v>2.3737114060487228</v>
      </c>
    </row>
    <row r="171" spans="1:14" x14ac:dyDescent="0.2">
      <c r="A171" s="33">
        <f>'GF + UG Iteration 10'!A171</f>
        <v>1640</v>
      </c>
      <c r="B171" s="34" t="str">
        <f>'GF + UG Iteration 10'!B171</f>
        <v>UG</v>
      </c>
      <c r="C171" s="35">
        <f>'GF + UG Iteration 10'!C171</f>
        <v>15.9</v>
      </c>
      <c r="D171" s="36">
        <f>'GF + UG Iteration 10'!P$16*(C171^'GF + UG Iteration 10'!P$15)</f>
        <v>12.450659471834554</v>
      </c>
      <c r="E171" s="37">
        <f>'GF + UG Iteration 10'!E171</f>
        <v>1981</v>
      </c>
      <c r="F171" s="35">
        <f>'GF + UG Iteration 10'!F171</f>
        <v>2.4999999999999982</v>
      </c>
      <c r="G171" s="36">
        <f>'GF + UG Iteration 10'!G171</f>
        <v>8.3244002844443177</v>
      </c>
      <c r="H171" s="38">
        <f>'GF + UG Iteration 10'!H171</f>
        <v>2015</v>
      </c>
      <c r="I171" s="35">
        <f t="shared" si="10"/>
        <v>18.399999999999999</v>
      </c>
      <c r="J171" s="36">
        <f t="shared" si="11"/>
        <v>20.775059756278871</v>
      </c>
      <c r="K171" s="38">
        <f t="shared" si="12"/>
        <v>2015</v>
      </c>
      <c r="M171" s="21">
        <f t="shared" si="18"/>
        <v>2.91235066461494</v>
      </c>
      <c r="N171" s="21">
        <f t="shared" si="19"/>
        <v>3.0337532170925554</v>
      </c>
    </row>
    <row r="172" spans="1:14" x14ac:dyDescent="0.2">
      <c r="A172" s="33">
        <f>'GF + UG Iteration 10'!A172</f>
        <v>367</v>
      </c>
      <c r="B172" s="34" t="str">
        <f>'GF + UG Iteration 10'!B172</f>
        <v>UG</v>
      </c>
      <c r="C172" s="35">
        <f>'GF + UG Iteration 10'!C172</f>
        <v>11.211</v>
      </c>
      <c r="D172" s="36">
        <f>'GF + UG Iteration 10'!P$16*(C172^'GF + UG Iteration 10'!P$15)</f>
        <v>10.192996505616293</v>
      </c>
      <c r="E172" s="37">
        <f>'GF + UG Iteration 10'!E172</f>
        <v>1988</v>
      </c>
      <c r="F172" s="35">
        <f>'GF + UG Iteration 10'!F172</f>
        <v>1</v>
      </c>
      <c r="G172" s="36">
        <f>'GF + UG Iteration 10'!G172</f>
        <v>0.55588557988620213</v>
      </c>
      <c r="H172" s="38">
        <f>'GF + UG Iteration 10'!H172</f>
        <v>2004</v>
      </c>
      <c r="I172" s="35">
        <f t="shared" si="10"/>
        <v>12.211</v>
      </c>
      <c r="J172" s="36">
        <f t="shared" si="11"/>
        <v>10.748882085502494</v>
      </c>
      <c r="K172" s="38">
        <f t="shared" si="12"/>
        <v>2004</v>
      </c>
      <c r="M172" s="21">
        <f t="shared" si="18"/>
        <v>2.5023371848508846</v>
      </c>
      <c r="N172" s="21">
        <f t="shared" si="19"/>
        <v>2.3748017571198443</v>
      </c>
    </row>
    <row r="173" spans="1:14" x14ac:dyDescent="0.2">
      <c r="A173" s="33">
        <f>'GF + UG Iteration 10'!A173</f>
        <v>650</v>
      </c>
      <c r="B173" s="34" t="str">
        <f>'GF + UG Iteration 10'!B173</f>
        <v>UG</v>
      </c>
      <c r="C173" s="35">
        <f>'GF + UG Iteration 10'!C173</f>
        <v>23</v>
      </c>
      <c r="D173" s="36">
        <f>'GF + UG Iteration 10'!P$16*(C173^'GF + UG Iteration 10'!P$15)</f>
        <v>15.381347539644631</v>
      </c>
      <c r="E173" s="37">
        <f>'GF + UG Iteration 10'!E173</f>
        <v>1981</v>
      </c>
      <c r="F173" s="35">
        <f>'GF + UG Iteration 10'!F173</f>
        <v>0</v>
      </c>
      <c r="G173" s="36">
        <f>'GF + UG Iteration 10'!G173</f>
        <v>5.9476879309059552</v>
      </c>
      <c r="H173" s="38">
        <f>'GF + UG Iteration 10'!H173</f>
        <v>2007</v>
      </c>
      <c r="I173" s="35">
        <f t="shared" si="10"/>
        <v>23</v>
      </c>
      <c r="J173" s="36">
        <f t="shared" si="11"/>
        <v>21.329035470550586</v>
      </c>
      <c r="K173" s="38">
        <f t="shared" si="12"/>
        <v>2007</v>
      </c>
      <c r="M173" s="21">
        <f t="shared" si="18"/>
        <v>3.1354942159291497</v>
      </c>
      <c r="N173" s="21">
        <f t="shared" si="19"/>
        <v>3.0600693120773621</v>
      </c>
    </row>
    <row r="174" spans="1:14" x14ac:dyDescent="0.2">
      <c r="A174" s="33">
        <f>'GF + UG Iteration 10'!A174</f>
        <v>902</v>
      </c>
      <c r="B174" s="34" t="str">
        <f>'GF + UG Iteration 10'!B174</f>
        <v>UG</v>
      </c>
      <c r="C174" s="35">
        <f>'GF + UG Iteration 10'!C174</f>
        <v>19.2</v>
      </c>
      <c r="D174" s="36">
        <f>'GF + UG Iteration 10'!P$16*(C174^'GF + UG Iteration 10'!P$15)</f>
        <v>13.870398588313405</v>
      </c>
      <c r="E174" s="37">
        <f>'GF + UG Iteration 10'!E174</f>
        <v>2002</v>
      </c>
      <c r="F174" s="35">
        <f>'GF + UG Iteration 10'!F174</f>
        <v>13.500000000000004</v>
      </c>
      <c r="G174" s="36">
        <f>'GF + UG Iteration 10'!G174</f>
        <v>0.54699963688402187</v>
      </c>
      <c r="H174" s="38">
        <f>'GF + UG Iteration 10'!H174</f>
        <v>2009</v>
      </c>
      <c r="I174" s="35">
        <f t="shared" si="10"/>
        <v>32.700000000000003</v>
      </c>
      <c r="J174" s="36">
        <f t="shared" si="11"/>
        <v>14.417398225197427</v>
      </c>
      <c r="K174" s="38">
        <f t="shared" si="12"/>
        <v>2009</v>
      </c>
      <c r="M174" s="21">
        <f t="shared" si="18"/>
        <v>3.487375077903208</v>
      </c>
      <c r="N174" s="21">
        <f t="shared" si="19"/>
        <v>2.6684356873666784</v>
      </c>
    </row>
    <row r="175" spans="1:14" x14ac:dyDescent="0.2">
      <c r="A175" s="33">
        <f>'GF + UG Iteration 10'!A175</f>
        <v>1202</v>
      </c>
      <c r="B175" s="34" t="str">
        <f>'GF + UG Iteration 10'!B175</f>
        <v>UG</v>
      </c>
      <c r="C175" s="35">
        <f>'GF + UG Iteration 10'!C175</f>
        <v>19.399999999999999</v>
      </c>
      <c r="D175" s="36">
        <f>'GF + UG Iteration 10'!P$16*(C175^'GF + UG Iteration 10'!P$15)</f>
        <v>13.952943472404341</v>
      </c>
      <c r="E175" s="37">
        <f>'GF + UG Iteration 10'!E175</f>
        <v>1989</v>
      </c>
      <c r="F175" s="35">
        <f>'GF + UG Iteration 10'!F175</f>
        <v>1.6000000000000014</v>
      </c>
      <c r="G175" s="36">
        <f>'GF + UG Iteration 10'!G175</f>
        <v>10.745042225505973</v>
      </c>
      <c r="H175" s="38">
        <f>'GF + UG Iteration 10'!H175</f>
        <v>2012</v>
      </c>
      <c r="I175" s="35">
        <f t="shared" si="10"/>
        <v>21</v>
      </c>
      <c r="J175" s="36">
        <f t="shared" si="11"/>
        <v>24.697985697910312</v>
      </c>
      <c r="K175" s="38">
        <f t="shared" si="12"/>
        <v>2012</v>
      </c>
      <c r="M175" s="21">
        <f t="shared" si="18"/>
        <v>3.044522437723423</v>
      </c>
      <c r="N175" s="21">
        <f t="shared" si="19"/>
        <v>3.2067216896166029</v>
      </c>
    </row>
    <row r="176" spans="1:14" x14ac:dyDescent="0.2">
      <c r="A176" s="33">
        <f>'GF + UG Iteration 10'!A176</f>
        <v>1338</v>
      </c>
      <c r="B176" s="34" t="str">
        <f>'GF + UG Iteration 10'!B176</f>
        <v>UG</v>
      </c>
      <c r="C176" s="35">
        <f>'GF + UG Iteration 10'!C176</f>
        <v>7.5</v>
      </c>
      <c r="D176" s="36">
        <f>'GF + UG Iteration 10'!P$16*(C176^'GF + UG Iteration 10'!P$15)</f>
        <v>8.0972813686939151</v>
      </c>
      <c r="E176" s="37" t="str">
        <f>'GF + UG Iteration 10'!E176</f>
        <v>unknown</v>
      </c>
      <c r="F176" s="35">
        <f>'GF + UG Iteration 10'!F176</f>
        <v>2</v>
      </c>
      <c r="G176" s="36">
        <f>'GF + UG Iteration 10'!G176</f>
        <v>6.6635813355623759</v>
      </c>
      <c r="H176" s="38">
        <f>'GF + UG Iteration 10'!H176</f>
        <v>2013</v>
      </c>
      <c r="I176" s="35">
        <f t="shared" si="10"/>
        <v>9.5</v>
      </c>
      <c r="J176" s="36">
        <f t="shared" si="11"/>
        <v>14.76086270425629</v>
      </c>
      <c r="K176" s="38">
        <f t="shared" si="12"/>
        <v>2013</v>
      </c>
      <c r="M176" s="21">
        <f t="shared" si="18"/>
        <v>2.2512917986064953</v>
      </c>
      <c r="N176" s="21">
        <f t="shared" si="19"/>
        <v>2.6919792662621136</v>
      </c>
    </row>
    <row r="177" spans="1:14" x14ac:dyDescent="0.2">
      <c r="A177" s="33">
        <f>'GF + UG Iteration 10'!A177</f>
        <v>212</v>
      </c>
      <c r="B177" s="34" t="str">
        <f>'GF + UG Iteration 10'!B177</f>
        <v>UG</v>
      </c>
      <c r="C177" s="35">
        <f>'GF + UG Iteration 10'!C177</f>
        <v>36.549999999999997</v>
      </c>
      <c r="D177" s="36">
        <f>'GF + UG Iteration 10'!P$16*(C177^'GF + UG Iteration 10'!P$15)</f>
        <v>20.052759982044542</v>
      </c>
      <c r="E177" s="37">
        <f>'GF + UG Iteration 10'!E177</f>
        <v>1978</v>
      </c>
      <c r="F177" s="35">
        <f>'GF + UG Iteration 10'!F177</f>
        <v>28</v>
      </c>
      <c r="G177" s="36">
        <f>'GF + UG Iteration 10'!G177</f>
        <v>4.6264535731184777</v>
      </c>
      <c r="H177" s="38">
        <f>'GF + UG Iteration 10'!H177</f>
        <v>2003</v>
      </c>
      <c r="I177" s="35">
        <f t="shared" si="10"/>
        <v>64.55</v>
      </c>
      <c r="J177" s="36">
        <f t="shared" si="11"/>
        <v>24.67921355516302</v>
      </c>
      <c r="K177" s="38">
        <f t="shared" si="12"/>
        <v>2003</v>
      </c>
      <c r="M177" s="21">
        <f t="shared" si="18"/>
        <v>4.1674401172926512</v>
      </c>
      <c r="N177" s="21">
        <f t="shared" si="19"/>
        <v>3.2059613328553578</v>
      </c>
    </row>
    <row r="178" spans="1:14" x14ac:dyDescent="0.2">
      <c r="A178" s="33">
        <f>'GF + UG Iteration 10'!A178</f>
        <v>653</v>
      </c>
      <c r="B178" s="34" t="str">
        <f>'GF + UG Iteration 10'!B178</f>
        <v>UG</v>
      </c>
      <c r="C178" s="35">
        <f>'GF + UG Iteration 10'!C178</f>
        <v>64.55</v>
      </c>
      <c r="D178" s="36">
        <f>'GF + UG Iteration 10'!P$16*(C178^'GF + UG Iteration 10'!P$15)</f>
        <v>27.771944771509716</v>
      </c>
      <c r="E178" s="37">
        <f>'GF + UG Iteration 10'!E178</f>
        <v>1977</v>
      </c>
      <c r="F178" s="35">
        <f>'GF + UG Iteration 10'!F178</f>
        <v>1.3200000000000074</v>
      </c>
      <c r="G178" s="36">
        <f>'GF + UG Iteration 10'!G178</f>
        <v>0.56894692945086811</v>
      </c>
      <c r="H178" s="38">
        <f>'GF + UG Iteration 10'!H178</f>
        <v>2007</v>
      </c>
      <c r="I178" s="35">
        <f t="shared" si="10"/>
        <v>65.87</v>
      </c>
      <c r="J178" s="36">
        <f t="shared" si="11"/>
        <v>28.340891700960583</v>
      </c>
      <c r="K178" s="38">
        <f t="shared" si="12"/>
        <v>2007</v>
      </c>
      <c r="M178" s="21">
        <f t="shared" si="18"/>
        <v>4.1876831026526018</v>
      </c>
      <c r="N178" s="21">
        <f t="shared" si="19"/>
        <v>3.3443056981627626</v>
      </c>
    </row>
    <row r="179" spans="1:14" x14ac:dyDescent="0.2">
      <c r="A179" s="33">
        <f>'GF + UG Iteration 10'!A179</f>
        <v>1679</v>
      </c>
      <c r="B179" s="34" t="str">
        <f>'GF + UG Iteration 10'!B179</f>
        <v>UG</v>
      </c>
      <c r="C179" s="35">
        <f>'GF + UG Iteration 10'!C179</f>
        <v>65.87</v>
      </c>
      <c r="D179" s="36">
        <f>'GF + UG Iteration 10'!P$16*(C179^'GF + UG Iteration 10'!P$15)</f>
        <v>28.095714126397365</v>
      </c>
      <c r="E179" s="37">
        <f>'GF + UG Iteration 10'!E179</f>
        <v>1977</v>
      </c>
      <c r="F179" s="35">
        <f>'GF + UG Iteration 10'!F179</f>
        <v>0</v>
      </c>
      <c r="G179" s="36">
        <f>'GF + UG Iteration 10'!G179</f>
        <v>3.0359489017822221</v>
      </c>
      <c r="H179" s="38">
        <f>'GF + UG Iteration 10'!H179</f>
        <v>2016</v>
      </c>
      <c r="I179" s="35">
        <f t="shared" si="10"/>
        <v>65.87</v>
      </c>
      <c r="J179" s="36">
        <f t="shared" si="11"/>
        <v>31.131663028179588</v>
      </c>
      <c r="K179" s="38">
        <f t="shared" si="12"/>
        <v>2016</v>
      </c>
      <c r="M179" s="21">
        <f t="shared" si="18"/>
        <v>4.1876831026526018</v>
      </c>
      <c r="N179" s="21">
        <f t="shared" si="19"/>
        <v>3.4382254050689998</v>
      </c>
    </row>
    <row r="180" spans="1:14" x14ac:dyDescent="0.2">
      <c r="A180" s="33">
        <f>'GF + UG Iteration 10'!A180</f>
        <v>1382</v>
      </c>
      <c r="B180" s="34" t="str">
        <f>'GF + UG Iteration 10'!B180</f>
        <v>UG</v>
      </c>
      <c r="C180" s="35">
        <f>'GF + UG Iteration 10'!C180</f>
        <v>24.2</v>
      </c>
      <c r="D180" s="36">
        <f>'GF + UG Iteration 10'!P$16*(C180^'GF + UG Iteration 10'!P$15)</f>
        <v>15.835845108269165</v>
      </c>
      <c r="E180" s="37" t="str">
        <f>'GF + UG Iteration 10'!E180</f>
        <v>unknown</v>
      </c>
      <c r="F180" s="35">
        <f>'GF + UG Iteration 10'!F180</f>
        <v>11.900000000000002</v>
      </c>
      <c r="G180" s="36">
        <f>'GF + UG Iteration 10'!G180</f>
        <v>2.4484361075925429</v>
      </c>
      <c r="H180" s="38">
        <f>'GF + UG Iteration 10'!H180</f>
        <v>2013</v>
      </c>
      <c r="I180" s="35">
        <f t="shared" si="10"/>
        <v>36.1</v>
      </c>
      <c r="J180" s="36">
        <f t="shared" si="11"/>
        <v>18.284281215861707</v>
      </c>
      <c r="K180" s="38">
        <f t="shared" si="12"/>
        <v>2013</v>
      </c>
      <c r="M180" s="21">
        <f t="shared" si="18"/>
        <v>3.5862928653388351</v>
      </c>
      <c r="N180" s="21">
        <f t="shared" si="19"/>
        <v>2.906041740785573</v>
      </c>
    </row>
    <row r="181" spans="1:14" x14ac:dyDescent="0.2">
      <c r="A181" s="33">
        <f>'GF + UG Iteration 10'!A181</f>
        <v>1638</v>
      </c>
      <c r="B181" s="34" t="str">
        <f>'GF + UG Iteration 10'!B181</f>
        <v>UG</v>
      </c>
      <c r="C181" s="35">
        <f>'GF + UG Iteration 10'!C181</f>
        <v>36.1</v>
      </c>
      <c r="D181" s="36">
        <f>'GF + UG Iteration 10'!P$16*(C181^'GF + UG Iteration 10'!P$15)</f>
        <v>19.911023129154632</v>
      </c>
      <c r="E181" s="37" t="str">
        <f>'GF + UG Iteration 10'!E181</f>
        <v>unknown</v>
      </c>
      <c r="F181" s="35">
        <f>'GF + UG Iteration 10'!F181</f>
        <v>0</v>
      </c>
      <c r="G181" s="36">
        <f>'GF + UG Iteration 10'!G181</f>
        <v>1.4307693737810239</v>
      </c>
      <c r="H181" s="38">
        <f>'GF + UG Iteration 10'!H181</f>
        <v>2015</v>
      </c>
      <c r="I181" s="35">
        <f t="shared" si="10"/>
        <v>36.1</v>
      </c>
      <c r="J181" s="36">
        <f t="shared" si="11"/>
        <v>21.341792502935657</v>
      </c>
      <c r="K181" s="38">
        <f t="shared" si="12"/>
        <v>2015</v>
      </c>
      <c r="M181" s="21">
        <f t="shared" si="18"/>
        <v>3.5862928653388351</v>
      </c>
      <c r="N181" s="21">
        <f t="shared" si="19"/>
        <v>3.0606672396719738</v>
      </c>
    </row>
    <row r="182" spans="1:14" x14ac:dyDescent="0.2">
      <c r="A182" s="33">
        <f>'GF + UG Iteration 10'!A182</f>
        <v>874</v>
      </c>
      <c r="B182" s="34" t="str">
        <f>'GF + UG Iteration 10'!B182</f>
        <v>UG</v>
      </c>
      <c r="C182" s="35">
        <f>'GF + UG Iteration 10'!C182</f>
        <v>6.4</v>
      </c>
      <c r="D182" s="36">
        <f>'GF + UG Iteration 10'!P$16*(C182^'GF + UG Iteration 10'!P$15)</f>
        <v>7.3943369582129073</v>
      </c>
      <c r="E182" s="37">
        <f>'GF + UG Iteration 10'!E182</f>
        <v>1997</v>
      </c>
      <c r="F182" s="35">
        <f>'GF + UG Iteration 10'!F182</f>
        <v>0.5</v>
      </c>
      <c r="G182" s="36">
        <f>'GF + UG Iteration 10'!G182</f>
        <v>3.6333602061432981</v>
      </c>
      <c r="H182" s="38">
        <f>'GF + UG Iteration 10'!H182</f>
        <v>2009</v>
      </c>
      <c r="I182" s="35">
        <f t="shared" si="10"/>
        <v>6.9</v>
      </c>
      <c r="J182" s="36">
        <f t="shared" si="11"/>
        <v>11.027697164356205</v>
      </c>
      <c r="K182" s="38">
        <f t="shared" si="12"/>
        <v>2009</v>
      </c>
      <c r="M182" s="21">
        <f t="shared" si="18"/>
        <v>1.9315214116032138</v>
      </c>
      <c r="N182" s="21">
        <f t="shared" si="19"/>
        <v>2.4004100321711714</v>
      </c>
    </row>
    <row r="183" spans="1:14" x14ac:dyDescent="0.2">
      <c r="A183" s="33">
        <f>'GF + UG Iteration 10'!A183</f>
        <v>491</v>
      </c>
      <c r="B183" s="34" t="str">
        <f>'GF + UG Iteration 10'!B183</f>
        <v>UG</v>
      </c>
      <c r="C183" s="35">
        <f>'GF + UG Iteration 10'!C183</f>
        <v>27.9</v>
      </c>
      <c r="D183" s="36">
        <f>'GF + UG Iteration 10'!P$16*(C183^'GF + UG Iteration 10'!P$15)</f>
        <v>17.179884824564386</v>
      </c>
      <c r="E183" s="37">
        <f>'GF + UG Iteration 10'!E183</f>
        <v>1984</v>
      </c>
      <c r="F183" s="35">
        <f>'GF + UG Iteration 10'!F183</f>
        <v>1</v>
      </c>
      <c r="G183" s="36">
        <f>'GF + UG Iteration 10'!G183</f>
        <v>0.19252271805052243</v>
      </c>
      <c r="H183" s="38">
        <f>'GF + UG Iteration 10'!H183</f>
        <v>2006</v>
      </c>
      <c r="I183" s="35">
        <f t="shared" si="10"/>
        <v>28.9</v>
      </c>
      <c r="J183" s="36">
        <f t="shared" si="11"/>
        <v>17.372407542614908</v>
      </c>
      <c r="K183" s="38">
        <f t="shared" si="12"/>
        <v>2006</v>
      </c>
      <c r="M183" s="21">
        <f t="shared" si="18"/>
        <v>3.3638415951183864</v>
      </c>
      <c r="N183" s="21">
        <f t="shared" si="19"/>
        <v>2.8548831741380694</v>
      </c>
    </row>
    <row r="184" spans="1:14" x14ac:dyDescent="0.2">
      <c r="A184" s="33">
        <f>'GF + UG Iteration 10'!A184</f>
        <v>1396</v>
      </c>
      <c r="B184" s="34" t="str">
        <f>'GF + UG Iteration 10'!B184</f>
        <v>UG</v>
      </c>
      <c r="C184" s="35">
        <f>'GF + UG Iteration 10'!C184</f>
        <v>20.6</v>
      </c>
      <c r="D184" s="36">
        <f>'GF + UG Iteration 10'!P$16*(C184^'GF + UG Iteration 10'!P$15)</f>
        <v>14.440771374429046</v>
      </c>
      <c r="E184" s="37">
        <f>'GF + UG Iteration 10'!E184</f>
        <v>2009</v>
      </c>
      <c r="F184" s="35">
        <f>'GF + UG Iteration 10'!F184</f>
        <v>5.3999999999999986</v>
      </c>
      <c r="G184" s="36">
        <f>'GF + UG Iteration 10'!G184</f>
        <v>0.37351117224616898</v>
      </c>
      <c r="H184" s="38">
        <f>'GF + UG Iteration 10'!H184</f>
        <v>2013</v>
      </c>
      <c r="I184" s="35">
        <f t="shared" ref="I184:I246" si="20">C184+F184</f>
        <v>26</v>
      </c>
      <c r="J184" s="36">
        <f t="shared" ref="J184:J246" si="21">D184+G184</f>
        <v>14.814282546675214</v>
      </c>
      <c r="K184" s="38">
        <f t="shared" ref="K184:K246" si="22">MAX(E184,H184)</f>
        <v>2013</v>
      </c>
      <c r="M184" s="21">
        <f>LN(I184)</f>
        <v>3.2580965380214821</v>
      </c>
      <c r="N184" s="21">
        <f>LN(J184)</f>
        <v>2.6955917523588004</v>
      </c>
    </row>
    <row r="185" spans="1:14" x14ac:dyDescent="0.2">
      <c r="A185" s="33">
        <f>'GF + UG Iteration 10'!A185</f>
        <v>1597</v>
      </c>
      <c r="B185" s="34" t="str">
        <f>'GF + UG Iteration 10'!B185</f>
        <v>UG</v>
      </c>
      <c r="C185" s="35">
        <f>'GF + UG Iteration 10'!C185</f>
        <v>26</v>
      </c>
      <c r="D185" s="36">
        <f>'GF + UG Iteration 10'!P$16*(C185^'GF + UG Iteration 10'!P$15)</f>
        <v>16.499913121173638</v>
      </c>
      <c r="E185" s="37">
        <f>'GF + UG Iteration 10'!E185</f>
        <v>2009</v>
      </c>
      <c r="F185" s="35">
        <f>'GF + UG Iteration 10'!F185</f>
        <v>27.299999999999997</v>
      </c>
      <c r="G185" s="36">
        <f>'GF + UG Iteration 10'!G185</f>
        <v>4.2355817632178319</v>
      </c>
      <c r="H185" s="38">
        <f>'GF + UG Iteration 10'!H185</f>
        <v>2015</v>
      </c>
      <c r="I185" s="35">
        <f t="shared" si="20"/>
        <v>53.3</v>
      </c>
      <c r="J185" s="36">
        <f t="shared" si="21"/>
        <v>20.735494884391471</v>
      </c>
      <c r="K185" s="38">
        <f t="shared" si="22"/>
        <v>2015</v>
      </c>
      <c r="M185" s="21">
        <f t="shared" ref="M185:M247" si="23">LN(I185)</f>
        <v>3.9759363311717988</v>
      </c>
      <c r="N185" s="21">
        <f t="shared" ref="N185:N247" si="24">LN(J185)</f>
        <v>3.0318469605170493</v>
      </c>
    </row>
    <row r="186" spans="1:14" x14ac:dyDescent="0.2">
      <c r="A186" s="33">
        <f>'GF + UG Iteration 10'!A186</f>
        <v>1292</v>
      </c>
      <c r="B186" s="34" t="str">
        <f>'GF + UG Iteration 10'!B186</f>
        <v>UG</v>
      </c>
      <c r="C186" s="35">
        <f>'GF + UG Iteration 10'!C186</f>
        <v>30.3</v>
      </c>
      <c r="D186" s="36">
        <f>'GF + UG Iteration 10'!P$16*(C186^'GF + UG Iteration 10'!P$15)</f>
        <v>18.011114396579469</v>
      </c>
      <c r="E186" s="37" t="str">
        <f>'GF + UG Iteration 10'!E186</f>
        <v>unknown</v>
      </c>
      <c r="F186" s="35">
        <f>'GF + UG Iteration 10'!F186</f>
        <v>2.4999999999999964</v>
      </c>
      <c r="G186" s="36">
        <f>'GF + UG Iteration 10'!G186</f>
        <v>4.47116983018676</v>
      </c>
      <c r="H186" s="38">
        <f>'GF + UG Iteration 10'!H186</f>
        <v>2013</v>
      </c>
      <c r="I186" s="35">
        <f t="shared" si="20"/>
        <v>32.799999999999997</v>
      </c>
      <c r="J186" s="36">
        <f t="shared" si="21"/>
        <v>22.482284226766229</v>
      </c>
      <c r="K186" s="38">
        <f t="shared" si="22"/>
        <v>2013</v>
      </c>
      <c r="M186" s="21">
        <f t="shared" si="23"/>
        <v>3.4904285153900978</v>
      </c>
      <c r="N186" s="21">
        <f t="shared" si="24"/>
        <v>3.1127276313743435</v>
      </c>
    </row>
    <row r="187" spans="1:14" x14ac:dyDescent="0.2">
      <c r="A187" s="33">
        <f>'GF + UG Iteration 10'!A187</f>
        <v>364</v>
      </c>
      <c r="B187" s="34" t="str">
        <f>'GF + UG Iteration 10'!B187</f>
        <v>UG</v>
      </c>
      <c r="C187" s="35">
        <f>'GF + UG Iteration 10'!C187</f>
        <v>44.904000000000003</v>
      </c>
      <c r="D187" s="36">
        <f>'GF + UG Iteration 10'!P$16*(C187^'GF + UG Iteration 10'!P$15)</f>
        <v>22.561158101022382</v>
      </c>
      <c r="E187" s="37">
        <f>'GF + UG Iteration 10'!E187</f>
        <v>1975</v>
      </c>
      <c r="F187" s="35">
        <f>'GF + UG Iteration 10'!F187</f>
        <v>2</v>
      </c>
      <c r="G187" s="36">
        <f>'GF + UG Iteration 10'!G187</f>
        <v>1.3174901179839253</v>
      </c>
      <c r="H187" s="38">
        <f>'GF + UG Iteration 10'!H187</f>
        <v>2004</v>
      </c>
      <c r="I187" s="35">
        <f t="shared" si="20"/>
        <v>46.904000000000003</v>
      </c>
      <c r="J187" s="36">
        <f t="shared" si="21"/>
        <v>23.878648219006308</v>
      </c>
      <c r="K187" s="38">
        <f t="shared" si="22"/>
        <v>2004</v>
      </c>
      <c r="M187" s="21">
        <f t="shared" si="23"/>
        <v>3.8481029596619138</v>
      </c>
      <c r="N187" s="21">
        <f t="shared" si="24"/>
        <v>3.1729846796778589</v>
      </c>
    </row>
    <row r="188" spans="1:14" x14ac:dyDescent="0.2">
      <c r="A188" s="33">
        <f>'GF + UG Iteration 10'!A188</f>
        <v>1306</v>
      </c>
      <c r="B188" s="34" t="str">
        <f>'GF + UG Iteration 10'!B188</f>
        <v>UG</v>
      </c>
      <c r="C188" s="35">
        <f>'GF + UG Iteration 10'!C188</f>
        <v>23.1</v>
      </c>
      <c r="D188" s="36">
        <f>'GF + UG Iteration 10'!P$16*(C188^'GF + UG Iteration 10'!P$15)</f>
        <v>15.419603510045825</v>
      </c>
      <c r="E188" s="37">
        <f>'GF + UG Iteration 10'!E188</f>
        <v>1985</v>
      </c>
      <c r="F188" s="35">
        <f>'GF + UG Iteration 10'!F188</f>
        <v>2.0999999999999979</v>
      </c>
      <c r="G188" s="36">
        <f>'GF + UG Iteration 10'!G188</f>
        <v>5.9848606370399509</v>
      </c>
      <c r="H188" s="38">
        <f>'GF + UG Iteration 10'!H188</f>
        <v>2013</v>
      </c>
      <c r="I188" s="35">
        <f t="shared" si="20"/>
        <v>25.2</v>
      </c>
      <c r="J188" s="36">
        <f t="shared" si="21"/>
        <v>21.404464147085775</v>
      </c>
      <c r="K188" s="38">
        <f t="shared" si="22"/>
        <v>2013</v>
      </c>
      <c r="M188" s="21">
        <f t="shared" si="23"/>
        <v>3.2268439945173775</v>
      </c>
      <c r="N188" s="21">
        <f t="shared" si="24"/>
        <v>3.0635995052768155</v>
      </c>
    </row>
    <row r="189" spans="1:14" x14ac:dyDescent="0.2">
      <c r="A189" s="33">
        <f>'GF + UG Iteration 10'!A189</f>
        <v>858</v>
      </c>
      <c r="B189" s="34" t="str">
        <f>'GF + UG Iteration 10'!B189</f>
        <v>UG</v>
      </c>
      <c r="C189" s="35">
        <f>'GF + UG Iteration 10'!C189</f>
        <v>28.4</v>
      </c>
      <c r="D189" s="36">
        <f>'GF + UG Iteration 10'!P$16*(C189^'GF + UG Iteration 10'!P$15)</f>
        <v>17.355502888079535</v>
      </c>
      <c r="E189" s="37">
        <f>'GF + UG Iteration 10'!E189</f>
        <v>2009</v>
      </c>
      <c r="F189" s="35">
        <f>'GF + UG Iteration 10'!F189</f>
        <v>13.300000000000004</v>
      </c>
      <c r="G189" s="36">
        <f>'GF + UG Iteration 10'!G189</f>
        <v>5.4358775042665943</v>
      </c>
      <c r="H189" s="38">
        <f>'GF + UG Iteration 10'!H189</f>
        <v>2010</v>
      </c>
      <c r="I189" s="35">
        <f t="shared" si="20"/>
        <v>41.7</v>
      </c>
      <c r="J189" s="36">
        <f t="shared" si="21"/>
        <v>22.791380392346127</v>
      </c>
      <c r="K189" s="38">
        <f t="shared" si="22"/>
        <v>2010</v>
      </c>
      <c r="M189" s="21">
        <f t="shared" si="23"/>
        <v>3.730501128804756</v>
      </c>
      <c r="N189" s="21">
        <f t="shared" si="24"/>
        <v>3.1263824115130809</v>
      </c>
    </row>
    <row r="190" spans="1:14" x14ac:dyDescent="0.2">
      <c r="A190" s="33">
        <f>'GF + UG Iteration 10'!A190</f>
        <v>1454</v>
      </c>
      <c r="B190" s="34" t="str">
        <f>'GF + UG Iteration 10'!B190</f>
        <v>UG</v>
      </c>
      <c r="C190" s="35">
        <f>'GF + UG Iteration 10'!C190</f>
        <v>41.7</v>
      </c>
      <c r="D190" s="36">
        <f>'GF + UG Iteration 10'!P$16*(C190^'GF + UG Iteration 10'!P$15)</f>
        <v>21.624872479277592</v>
      </c>
      <c r="E190" s="37">
        <f>'GF + UG Iteration 10'!E190</f>
        <v>2009</v>
      </c>
      <c r="F190" s="35">
        <f>'GF + UG Iteration 10'!F190</f>
        <v>5.6999999999999957</v>
      </c>
      <c r="G190" s="36">
        <f>'GF + UG Iteration 10'!G190</f>
        <v>0.45762240995573644</v>
      </c>
      <c r="H190" s="38">
        <f>'GF + UG Iteration 10'!H190</f>
        <v>2013</v>
      </c>
      <c r="I190" s="35">
        <f t="shared" si="20"/>
        <v>47.4</v>
      </c>
      <c r="J190" s="36">
        <f t="shared" si="21"/>
        <v>22.082494889233327</v>
      </c>
      <c r="K190" s="38">
        <f t="shared" si="22"/>
        <v>2013</v>
      </c>
      <c r="M190" s="21">
        <f t="shared" si="23"/>
        <v>3.858622228701031</v>
      </c>
      <c r="N190" s="21">
        <f t="shared" si="24"/>
        <v>3.0947852081974463</v>
      </c>
    </row>
    <row r="191" spans="1:14" x14ac:dyDescent="0.2">
      <c r="A191" s="33">
        <f>'GF + UG Iteration 10'!A191</f>
        <v>637</v>
      </c>
      <c r="B191" s="34" t="str">
        <f>'GF + UG Iteration 10'!B191</f>
        <v>UG</v>
      </c>
      <c r="C191" s="35">
        <f>'GF + UG Iteration 10'!C191</f>
        <v>15.499999999999998</v>
      </c>
      <c r="D191" s="36">
        <f>'GF + UG Iteration 10'!P$16*(C191^'GF + UG Iteration 10'!P$15)</f>
        <v>12.270337899045572</v>
      </c>
      <c r="E191" s="37">
        <f>'GF + UG Iteration 10'!E191</f>
        <v>1989</v>
      </c>
      <c r="F191" s="35">
        <f>'GF + UG Iteration 10'!F191</f>
        <v>8.4</v>
      </c>
      <c r="G191" s="36">
        <f>'GF + UG Iteration 10'!G191</f>
        <v>5.068859840469166</v>
      </c>
      <c r="H191" s="38">
        <f>'GF + UG Iteration 10'!H191</f>
        <v>2007</v>
      </c>
      <c r="I191" s="35">
        <f t="shared" si="20"/>
        <v>23.9</v>
      </c>
      <c r="J191" s="36">
        <f t="shared" si="21"/>
        <v>17.339197739514738</v>
      </c>
      <c r="K191" s="38">
        <f t="shared" si="22"/>
        <v>2007</v>
      </c>
      <c r="M191" s="21">
        <f t="shared" si="23"/>
        <v>3.1738784589374651</v>
      </c>
      <c r="N191" s="21">
        <f t="shared" si="24"/>
        <v>2.8529697038180988</v>
      </c>
    </row>
    <row r="192" spans="1:14" x14ac:dyDescent="0.2">
      <c r="A192" s="33">
        <f>'GF + UG Iteration 10'!A192</f>
        <v>1254</v>
      </c>
      <c r="B192" s="34" t="str">
        <f>'GF + UG Iteration 10'!B192</f>
        <v>UG</v>
      </c>
      <c r="C192" s="35">
        <f>'GF + UG Iteration 10'!C192</f>
        <v>23.9</v>
      </c>
      <c r="D192" s="36">
        <f>'GF + UG Iteration 10'!P$16*(C192^'GF + UG Iteration 10'!P$15)</f>
        <v>15.723141304517398</v>
      </c>
      <c r="E192" s="37">
        <f>'GF + UG Iteration 10'!E192</f>
        <v>1989</v>
      </c>
      <c r="F192" s="35">
        <f>'GF + UG Iteration 10'!F192</f>
        <v>15.399999999999999</v>
      </c>
      <c r="G192" s="36">
        <f>'GF + UG Iteration 10'!G192</f>
        <v>6.528436764593768</v>
      </c>
      <c r="H192" s="38">
        <f>'GF + UG Iteration 10'!H192</f>
        <v>2012</v>
      </c>
      <c r="I192" s="35">
        <f t="shared" si="20"/>
        <v>39.299999999999997</v>
      </c>
      <c r="J192" s="36">
        <f t="shared" si="21"/>
        <v>22.251578069111165</v>
      </c>
      <c r="K192" s="38">
        <f t="shared" si="22"/>
        <v>2012</v>
      </c>
      <c r="M192" s="21">
        <f t="shared" si="23"/>
        <v>3.6712245188752153</v>
      </c>
      <c r="N192" s="21">
        <f t="shared" si="24"/>
        <v>3.1024129305516635</v>
      </c>
    </row>
    <row r="193" spans="1:14" x14ac:dyDescent="0.2">
      <c r="A193" s="33">
        <f>'GF + UG Iteration 10'!A193</f>
        <v>734</v>
      </c>
      <c r="B193" s="34" t="str">
        <f>'GF + UG Iteration 10'!B193</f>
        <v>UG</v>
      </c>
      <c r="C193" s="35">
        <f>'GF + UG Iteration 10'!C193</f>
        <v>20</v>
      </c>
      <c r="D193" s="36">
        <f>'GF + UG Iteration 10'!P$16*(C193^'GF + UG Iteration 10'!P$15)</f>
        <v>14.19842149525774</v>
      </c>
      <c r="E193" s="37">
        <f>'GF + UG Iteration 10'!E193</f>
        <v>1974</v>
      </c>
      <c r="F193" s="35">
        <f>'GF + UG Iteration 10'!F193</f>
        <v>4.3999999999999986</v>
      </c>
      <c r="G193" s="36">
        <f>'GF + UG Iteration 10'!G193</f>
        <v>11.261124599264825</v>
      </c>
      <c r="H193" s="38">
        <f>'GF + UG Iteration 10'!H193</f>
        <v>2011</v>
      </c>
      <c r="I193" s="35">
        <f t="shared" ref="I193" si="25">C193+F193</f>
        <v>24.4</v>
      </c>
      <c r="J193" s="36">
        <f t="shared" ref="J193" si="26">D193+G193</f>
        <v>25.459546094522565</v>
      </c>
      <c r="K193" s="38">
        <f t="shared" ref="K193" si="27">MAX(E193,H193)</f>
        <v>2011</v>
      </c>
      <c r="M193" s="21">
        <f t="shared" ref="M193" si="28">LN(I193)</f>
        <v>3.1945831322991562</v>
      </c>
      <c r="N193" s="21">
        <f t="shared" ref="N193" si="29">LN(J193)</f>
        <v>3.2370907647897615</v>
      </c>
    </row>
    <row r="194" spans="1:14" x14ac:dyDescent="0.2">
      <c r="A194" s="33">
        <f>'GF + UG Iteration 10'!A194</f>
        <v>1594</v>
      </c>
      <c r="B194" s="34" t="str">
        <f>'GF + UG Iteration 10'!B194</f>
        <v>UG</v>
      </c>
      <c r="C194" s="35">
        <f>'GF + UG Iteration 10'!C194</f>
        <v>24.4</v>
      </c>
      <c r="D194" s="36">
        <f>'GF + UG Iteration 10'!P$16*(C194^'GF + UG Iteration 10'!P$15)</f>
        <v>15.910649434465723</v>
      </c>
      <c r="E194" s="37">
        <f>'GF + UG Iteration 10'!E194</f>
        <v>1974</v>
      </c>
      <c r="F194" s="35">
        <f>'GF + UG Iteration 10'!F194</f>
        <v>0</v>
      </c>
      <c r="G194" s="36">
        <f>'GF + UG Iteration 10'!G194</f>
        <v>17.2334453477478</v>
      </c>
      <c r="H194" s="38">
        <f>'GF + UG Iteration 10'!H194</f>
        <v>2017</v>
      </c>
      <c r="I194" s="35">
        <f t="shared" si="20"/>
        <v>24.4</v>
      </c>
      <c r="J194" s="36">
        <f t="shared" si="21"/>
        <v>33.144094782213521</v>
      </c>
      <c r="K194" s="38">
        <f t="shared" si="22"/>
        <v>2017</v>
      </c>
      <c r="M194" s="21">
        <f t="shared" si="23"/>
        <v>3.1945831322991562</v>
      </c>
      <c r="N194" s="21">
        <f t="shared" si="24"/>
        <v>3.5008645644805676</v>
      </c>
    </row>
    <row r="195" spans="1:14" x14ac:dyDescent="0.2">
      <c r="A195" s="33">
        <f>'GF + UG Iteration 10'!A195</f>
        <v>1674</v>
      </c>
      <c r="B195" s="34" t="str">
        <f>'GF + UG Iteration 10'!B195</f>
        <v>UG</v>
      </c>
      <c r="C195" s="35">
        <f>'GF + UG Iteration 10'!C195</f>
        <v>17.399999999999999</v>
      </c>
      <c r="D195" s="36">
        <f>'GF + UG Iteration 10'!P$16*(C195^'GF + UG Iteration 10'!P$15)</f>
        <v>13.110222031752949</v>
      </c>
      <c r="E195" s="37">
        <f>'GF + UG Iteration 10'!E195</f>
        <v>0</v>
      </c>
      <c r="F195" s="35">
        <f>'GF + UG Iteration 10'!F195</f>
        <v>3.7000000000000028</v>
      </c>
      <c r="G195" s="36">
        <f>'GF + UG Iteration 10'!G195</f>
        <v>10.327278566796926</v>
      </c>
      <c r="H195" s="38">
        <f>'GF + UG Iteration 10'!H195</f>
        <v>2016</v>
      </c>
      <c r="I195" s="35">
        <f t="shared" si="20"/>
        <v>21.1</v>
      </c>
      <c r="J195" s="36">
        <f t="shared" si="21"/>
        <v>23.437500598549875</v>
      </c>
      <c r="K195" s="38">
        <f t="shared" si="22"/>
        <v>2016</v>
      </c>
      <c r="M195" s="21">
        <f t="shared" si="23"/>
        <v>3.0492730404820207</v>
      </c>
      <c r="N195" s="21">
        <f t="shared" si="24"/>
        <v>3.1543373292687571</v>
      </c>
    </row>
    <row r="196" spans="1:14" x14ac:dyDescent="0.2">
      <c r="A196" s="33">
        <f>'GF + UG Iteration 10'!A196</f>
        <v>711</v>
      </c>
      <c r="B196" s="34" t="str">
        <f>'GF + UG Iteration 10'!B196</f>
        <v>UG</v>
      </c>
      <c r="C196" s="35">
        <f>'GF + UG Iteration 10'!C196</f>
        <v>11.5</v>
      </c>
      <c r="D196" s="36">
        <f>'GF + UG Iteration 10'!P$16*(C196^'GF + UG Iteration 10'!P$15)</f>
        <v>10.342627239153671</v>
      </c>
      <c r="E196" s="37">
        <f>'GF + UG Iteration 10'!E196</f>
        <v>1976</v>
      </c>
      <c r="F196" s="35">
        <f>'GF + UG Iteration 10'!F196</f>
        <v>13.7</v>
      </c>
      <c r="G196" s="36">
        <f>'GF + UG Iteration 10'!G196</f>
        <v>9.2617881543087019</v>
      </c>
      <c r="H196" s="38">
        <f>'GF + UG Iteration 10'!H196</f>
        <v>2009</v>
      </c>
      <c r="I196" s="35">
        <f t="shared" si="20"/>
        <v>25.2</v>
      </c>
      <c r="J196" s="36">
        <f t="shared" si="21"/>
        <v>19.604415393462375</v>
      </c>
      <c r="K196" s="38">
        <f t="shared" si="22"/>
        <v>2009</v>
      </c>
      <c r="M196" s="21">
        <f t="shared" si="23"/>
        <v>3.2268439945173775</v>
      </c>
      <c r="N196" s="21">
        <f t="shared" si="24"/>
        <v>2.9757548160424809</v>
      </c>
    </row>
    <row r="197" spans="1:14" x14ac:dyDescent="0.2">
      <c r="A197" s="33">
        <f>'GF + UG Iteration 10'!A197</f>
        <v>408</v>
      </c>
      <c r="B197" s="34" t="str">
        <f>'GF + UG Iteration 10'!B197</f>
        <v>UG</v>
      </c>
      <c r="C197" s="35">
        <f>'GF + UG Iteration 10'!C197</f>
        <v>37.700000000000003</v>
      </c>
      <c r="D197" s="36">
        <f>'GF + UG Iteration 10'!P$16*(C197^'GF + UG Iteration 10'!P$15)</f>
        <v>20.411626757733259</v>
      </c>
      <c r="E197" s="37">
        <f>'GF + UG Iteration 10'!E197</f>
        <v>1976</v>
      </c>
      <c r="F197" s="35">
        <f>'GF + UG Iteration 10'!F197</f>
        <v>2.0419999999999945</v>
      </c>
      <c r="G197" s="36">
        <f>'GF + UG Iteration 10'!G197</f>
        <v>0.58015876995711901</v>
      </c>
      <c r="H197" s="38">
        <f>'GF + UG Iteration 10'!H197</f>
        <v>2004</v>
      </c>
      <c r="I197" s="35">
        <f t="shared" si="20"/>
        <v>39.741999999999997</v>
      </c>
      <c r="J197" s="36">
        <f t="shared" si="21"/>
        <v>20.991785527690379</v>
      </c>
      <c r="K197" s="38">
        <f t="shared" si="22"/>
        <v>2004</v>
      </c>
      <c r="M197" s="21">
        <f t="shared" si="23"/>
        <v>3.6824085629836243</v>
      </c>
      <c r="N197" s="21">
        <f t="shared" si="24"/>
        <v>3.0441311958502242</v>
      </c>
    </row>
    <row r="198" spans="1:14" x14ac:dyDescent="0.2">
      <c r="A198" s="33">
        <f>'GF + UG Iteration 10'!A198</f>
        <v>698</v>
      </c>
      <c r="B198" s="34" t="str">
        <f>'GF + UG Iteration 10'!B198</f>
        <v>UG</v>
      </c>
      <c r="C198" s="35">
        <f>'GF + UG Iteration 10'!C198</f>
        <v>39.700000000000003</v>
      </c>
      <c r="D198" s="36">
        <f>'GF + UG Iteration 10'!P$16*(C198^'GF + UG Iteration 10'!P$15)</f>
        <v>21.024783786441454</v>
      </c>
      <c r="E198" s="37">
        <f>'GF + UG Iteration 10'!E198</f>
        <v>1976</v>
      </c>
      <c r="F198" s="35">
        <f>'GF + UG Iteration 10'!F198</f>
        <v>20.9</v>
      </c>
      <c r="G198" s="36">
        <f>'GF + UG Iteration 10'!G198</f>
        <v>1.4406821685518079</v>
      </c>
      <c r="H198" s="38">
        <f>'GF + UG Iteration 10'!H198</f>
        <v>2007</v>
      </c>
      <c r="I198" s="35">
        <f t="shared" si="20"/>
        <v>60.6</v>
      </c>
      <c r="J198" s="36">
        <f t="shared" si="21"/>
        <v>22.465465954993263</v>
      </c>
      <c r="K198" s="38">
        <f t="shared" si="22"/>
        <v>2007</v>
      </c>
      <c r="M198" s="21">
        <f t="shared" si="23"/>
        <v>4.1042948930752692</v>
      </c>
      <c r="N198" s="21">
        <f t="shared" si="24"/>
        <v>3.1119792836821971</v>
      </c>
    </row>
    <row r="199" spans="1:14" x14ac:dyDescent="0.2">
      <c r="A199" s="33">
        <f>'GF + UG Iteration 10'!A199</f>
        <v>696</v>
      </c>
      <c r="B199" s="34" t="str">
        <f>'GF + UG Iteration 10'!B199</f>
        <v>UG</v>
      </c>
      <c r="C199" s="35">
        <f>'GF + UG Iteration 10'!C199</f>
        <v>9.1370000000000005</v>
      </c>
      <c r="D199" s="36">
        <f>'GF + UG Iteration 10'!P$16*(C199^'GF + UG Iteration 10'!P$15)</f>
        <v>9.0663717593502469</v>
      </c>
      <c r="E199" s="37">
        <f>'GF + UG Iteration 10'!E199</f>
        <v>1981</v>
      </c>
      <c r="F199" s="35">
        <f>'GF + UG Iteration 10'!F199</f>
        <v>8.0629999999999988</v>
      </c>
      <c r="G199" s="36">
        <f>'GF + UG Iteration 10'!G199</f>
        <v>0.26810351472539734</v>
      </c>
      <c r="H199" s="38">
        <f>'GF + UG Iteration 10'!H199</f>
        <v>2007</v>
      </c>
      <c r="I199" s="35">
        <f t="shared" si="20"/>
        <v>17.2</v>
      </c>
      <c r="J199" s="36">
        <f t="shared" si="21"/>
        <v>9.3344752740756434</v>
      </c>
      <c r="K199" s="38">
        <f t="shared" si="22"/>
        <v>2007</v>
      </c>
      <c r="M199" s="21">
        <f t="shared" si="23"/>
        <v>2.8449093838194073</v>
      </c>
      <c r="N199" s="21">
        <f t="shared" si="24"/>
        <v>2.2337145648166654</v>
      </c>
    </row>
    <row r="200" spans="1:14" x14ac:dyDescent="0.2">
      <c r="A200" s="33">
        <f>'GF + UG Iteration 10'!A200</f>
        <v>1636</v>
      </c>
      <c r="B200" s="34" t="str">
        <f>'GF + UG Iteration 10'!B200</f>
        <v>UG</v>
      </c>
      <c r="C200" s="35">
        <f>'GF + UG Iteration 10'!C200</f>
        <v>17.2</v>
      </c>
      <c r="D200" s="36">
        <f>'GF + UG Iteration 10'!P$16*(C200^'GF + UG Iteration 10'!P$15)</f>
        <v>13.023725692009362</v>
      </c>
      <c r="E200" s="37">
        <f>'GF + UG Iteration 10'!E200</f>
        <v>1981</v>
      </c>
      <c r="F200" s="35">
        <f>'GF + UG Iteration 10'!F200</f>
        <v>0</v>
      </c>
      <c r="G200" s="36">
        <f>'GF + UG Iteration 10'!G200</f>
        <v>6.6058972937468434</v>
      </c>
      <c r="H200" s="38">
        <f>'GF + UG Iteration 10'!H200</f>
        <v>2015</v>
      </c>
      <c r="I200" s="35">
        <f t="shared" si="20"/>
        <v>17.2</v>
      </c>
      <c r="J200" s="36">
        <f t="shared" si="21"/>
        <v>19.629622985756207</v>
      </c>
      <c r="K200" s="38">
        <f t="shared" si="22"/>
        <v>2015</v>
      </c>
      <c r="M200" s="21">
        <f t="shared" si="23"/>
        <v>2.8449093838194073</v>
      </c>
      <c r="N200" s="21">
        <f t="shared" si="24"/>
        <v>2.9770398020803048</v>
      </c>
    </row>
    <row r="201" spans="1:14" x14ac:dyDescent="0.2">
      <c r="A201" s="33">
        <f>'GF + UG Iteration 10'!A201</f>
        <v>1185</v>
      </c>
      <c r="B201" s="34" t="str">
        <f>'GF + UG Iteration 10'!B201</f>
        <v>UG</v>
      </c>
      <c r="C201" s="35">
        <f>'GF + UG Iteration 10'!C201</f>
        <v>32.4</v>
      </c>
      <c r="D201" s="36">
        <f>'GF + UG Iteration 10'!P$16*(C201^'GF + UG Iteration 10'!P$15)</f>
        <v>18.715610699562159</v>
      </c>
      <c r="E201" s="37">
        <f>'GF + UG Iteration 10'!E201</f>
        <v>1988</v>
      </c>
      <c r="F201" s="35">
        <f>'GF + UG Iteration 10'!F201</f>
        <v>2.5</v>
      </c>
      <c r="G201" s="36">
        <f>'GF + UG Iteration 10'!G201</f>
        <v>2.8087836612562955</v>
      </c>
      <c r="H201" s="38">
        <f>'GF + UG Iteration 10'!H201</f>
        <v>2011</v>
      </c>
      <c r="I201" s="35">
        <f t="shared" si="20"/>
        <v>34.9</v>
      </c>
      <c r="J201" s="36">
        <f t="shared" si="21"/>
        <v>21.524394360818455</v>
      </c>
      <c r="K201" s="38">
        <f t="shared" si="22"/>
        <v>2011</v>
      </c>
      <c r="M201" s="21">
        <f t="shared" si="23"/>
        <v>3.5524868292083815</v>
      </c>
      <c r="N201" s="21">
        <f t="shared" si="24"/>
        <v>3.0691869133706122</v>
      </c>
    </row>
    <row r="202" spans="1:14" x14ac:dyDescent="0.2">
      <c r="A202" s="33">
        <f>'GF + UG Iteration 10'!A202</f>
        <v>568</v>
      </c>
      <c r="B202" s="34" t="str">
        <f>'GF + UG Iteration 10'!B202</f>
        <v>UG</v>
      </c>
      <c r="C202" s="35">
        <f>'GF + UG Iteration 10'!C202</f>
        <v>38.04</v>
      </c>
      <c r="D202" s="36">
        <f>'GF + UG Iteration 10'!P$16*(C202^'GF + UG Iteration 10'!P$15)</f>
        <v>20.51682693650762</v>
      </c>
      <c r="E202" s="37">
        <f>'GF + UG Iteration 10'!E202</f>
        <v>1978</v>
      </c>
      <c r="F202" s="35">
        <f>'GF + UG Iteration 10'!F202</f>
        <v>1</v>
      </c>
      <c r="G202" s="36">
        <f>'GF + UG Iteration 10'!G202</f>
        <v>2.8818936071529556E-2</v>
      </c>
      <c r="H202" s="38">
        <f>'GF + UG Iteration 10'!H202</f>
        <v>2006</v>
      </c>
      <c r="I202" s="35">
        <f t="shared" si="20"/>
        <v>39.04</v>
      </c>
      <c r="J202" s="36">
        <f t="shared" si="21"/>
        <v>20.545645872579151</v>
      </c>
      <c r="K202" s="38">
        <f t="shared" si="22"/>
        <v>2006</v>
      </c>
      <c r="M202" s="21">
        <f t="shared" si="23"/>
        <v>3.6645867615448919</v>
      </c>
      <c r="N202" s="21">
        <f t="shared" si="24"/>
        <v>3.0226490388127263</v>
      </c>
    </row>
    <row r="203" spans="1:14" x14ac:dyDescent="0.2">
      <c r="A203" s="33">
        <f>'GF + UG Iteration 10'!A203</f>
        <v>853</v>
      </c>
      <c r="B203" s="34" t="str">
        <f>'GF + UG Iteration 10'!B203</f>
        <v>UG</v>
      </c>
      <c r="C203" s="35">
        <f>'GF + UG Iteration 10'!C203</f>
        <v>20</v>
      </c>
      <c r="D203" s="36">
        <f>'GF + UG Iteration 10'!P$16*(C203^'GF + UG Iteration 10'!P$15)</f>
        <v>14.19842149525774</v>
      </c>
      <c r="E203" s="37">
        <f>'GF + UG Iteration 10'!E203</f>
        <v>1991</v>
      </c>
      <c r="F203" s="35">
        <f>'GF + UG Iteration 10'!F203</f>
        <v>21.700000000000003</v>
      </c>
      <c r="G203" s="36">
        <f>'GF + UG Iteration 10'!G203</f>
        <v>4.2556245512411124</v>
      </c>
      <c r="H203" s="38">
        <f>'GF + UG Iteration 10'!H203</f>
        <v>2009</v>
      </c>
      <c r="I203" s="35">
        <f t="shared" si="20"/>
        <v>41.7</v>
      </c>
      <c r="J203" s="36">
        <f t="shared" si="21"/>
        <v>18.454046046498853</v>
      </c>
      <c r="K203" s="38">
        <f t="shared" si="22"/>
        <v>2009</v>
      </c>
      <c r="M203" s="21">
        <f t="shared" si="23"/>
        <v>3.730501128804756</v>
      </c>
      <c r="N203" s="21">
        <f t="shared" si="24"/>
        <v>2.9152836443574808</v>
      </c>
    </row>
    <row r="204" spans="1:14" x14ac:dyDescent="0.2">
      <c r="A204" s="33">
        <f>'GF + UG Iteration 10'!A204</f>
        <v>1201</v>
      </c>
      <c r="B204" s="34" t="str">
        <f>'GF + UG Iteration 10'!B204</f>
        <v>UG</v>
      </c>
      <c r="C204" s="35">
        <f>'GF + UG Iteration 10'!C204</f>
        <v>13.3</v>
      </c>
      <c r="D204" s="36">
        <f>'GF + UG Iteration 10'!P$16*(C204^'GF + UG Iteration 10'!P$15)</f>
        <v>11.240649984227693</v>
      </c>
      <c r="E204" s="37" t="str">
        <f>'GF + UG Iteration 10'!E204</f>
        <v>unknown</v>
      </c>
      <c r="F204" s="35">
        <f>'GF + UG Iteration 10'!F204</f>
        <v>10.599999999999998</v>
      </c>
      <c r="G204" s="36">
        <f>'GF + UG Iteration 10'!G204</f>
        <v>7.6364894321569698</v>
      </c>
      <c r="H204" s="38">
        <f>'GF + UG Iteration 10'!H204</f>
        <v>2012</v>
      </c>
      <c r="I204" s="35">
        <f t="shared" si="20"/>
        <v>23.9</v>
      </c>
      <c r="J204" s="36">
        <f t="shared" si="21"/>
        <v>18.877139416384662</v>
      </c>
      <c r="K204" s="38">
        <f t="shared" si="22"/>
        <v>2012</v>
      </c>
      <c r="M204" s="21">
        <f t="shared" si="23"/>
        <v>3.1738784589374651</v>
      </c>
      <c r="N204" s="21">
        <f t="shared" si="24"/>
        <v>2.9379516352752777</v>
      </c>
    </row>
    <row r="205" spans="1:14" x14ac:dyDescent="0.2">
      <c r="A205" s="33">
        <f>'GF + UG Iteration 10'!A205</f>
        <v>654</v>
      </c>
      <c r="B205" s="34" t="str">
        <f>'GF + UG Iteration 10'!B205</f>
        <v>UG</v>
      </c>
      <c r="C205" s="35">
        <f>'GF + UG Iteration 10'!C205</f>
        <v>7.29</v>
      </c>
      <c r="D205" s="36">
        <f>'GF + UG Iteration 10'!P$16*(C205^'GF + UG Iteration 10'!P$15)</f>
        <v>7.9666766513951153</v>
      </c>
      <c r="E205" s="37">
        <f>'GF + UG Iteration 10'!E205</f>
        <v>1976</v>
      </c>
      <c r="F205" s="35">
        <f>'GF + UG Iteration 10'!F205</f>
        <v>4.4099999999999993</v>
      </c>
      <c r="G205" s="36">
        <f>'GF + UG Iteration 10'!G205</f>
        <v>0.73672544554632269</v>
      </c>
      <c r="H205" s="38">
        <f>'GF + UG Iteration 10'!H205</f>
        <v>2007</v>
      </c>
      <c r="I205" s="35">
        <f t="shared" si="20"/>
        <v>11.7</v>
      </c>
      <c r="J205" s="36">
        <f t="shared" si="21"/>
        <v>8.7034020969414385</v>
      </c>
      <c r="K205" s="38">
        <f t="shared" si="22"/>
        <v>2007</v>
      </c>
      <c r="M205" s="21">
        <f t="shared" si="23"/>
        <v>2.4595888418037104</v>
      </c>
      <c r="N205" s="21">
        <f t="shared" si="24"/>
        <v>2.1637139948475768</v>
      </c>
    </row>
    <row r="206" spans="1:14" x14ac:dyDescent="0.2">
      <c r="A206" s="33">
        <f>'GF + UG Iteration 10'!A206</f>
        <v>1394</v>
      </c>
      <c r="B206" s="34" t="str">
        <f>'GF + UG Iteration 10'!B206</f>
        <v>UG</v>
      </c>
      <c r="C206" s="35">
        <f>'GF + UG Iteration 10'!C206</f>
        <v>11.7</v>
      </c>
      <c r="D206" s="36">
        <f>'GF + UG Iteration 10'!P$16*(C206^'GF + UG Iteration 10'!P$15)</f>
        <v>10.445238425236699</v>
      </c>
      <c r="E206" s="37">
        <f>'GF + UG Iteration 10'!E206</f>
        <v>1976</v>
      </c>
      <c r="F206" s="35">
        <f>'GF + UG Iteration 10'!F206</f>
        <v>10</v>
      </c>
      <c r="G206" s="36">
        <f>'GF + UG Iteration 10'!G206</f>
        <v>5.0057806862702598</v>
      </c>
      <c r="H206" s="38">
        <f>'GF + UG Iteration 10'!H206</f>
        <v>2014</v>
      </c>
      <c r="I206" s="35">
        <f t="shared" si="20"/>
        <v>21.7</v>
      </c>
      <c r="J206" s="36">
        <f t="shared" si="21"/>
        <v>15.451019111506959</v>
      </c>
      <c r="K206" s="38">
        <f t="shared" si="22"/>
        <v>2014</v>
      </c>
      <c r="M206" s="21">
        <f t="shared" si="23"/>
        <v>3.0773122605464138</v>
      </c>
      <c r="N206" s="21">
        <f t="shared" si="24"/>
        <v>2.7376749630781987</v>
      </c>
    </row>
    <row r="207" spans="1:14" x14ac:dyDescent="0.2">
      <c r="A207" s="33">
        <f>'GF + UG Iteration 10'!A207</f>
        <v>1294</v>
      </c>
      <c r="B207" s="34" t="str">
        <f>'GF + UG Iteration 10'!B207</f>
        <v>UG</v>
      </c>
      <c r="C207" s="35">
        <f>'GF + UG Iteration 10'!C207</f>
        <v>8.5</v>
      </c>
      <c r="D207" s="36">
        <f>'GF + UG Iteration 10'!P$16*(C207^'GF + UG Iteration 10'!P$15)</f>
        <v>8.6988791454310572</v>
      </c>
      <c r="E207" s="37">
        <f>'GF + UG Iteration 10'!E207</f>
        <v>0</v>
      </c>
      <c r="F207" s="35">
        <f>'GF + UG Iteration 10'!F207</f>
        <v>1.5999999999999996</v>
      </c>
      <c r="G207" s="36">
        <f>'GF + UG Iteration 10'!G207</f>
        <v>4.5619922667121129</v>
      </c>
      <c r="H207" s="38">
        <f>'GF + UG Iteration 10'!H207</f>
        <v>2014</v>
      </c>
      <c r="I207" s="35">
        <f t="shared" si="20"/>
        <v>10.1</v>
      </c>
      <c r="J207" s="36">
        <f t="shared" si="21"/>
        <v>13.260871412143171</v>
      </c>
      <c r="K207" s="38">
        <f t="shared" si="22"/>
        <v>2014</v>
      </c>
      <c r="M207" s="21">
        <f t="shared" si="23"/>
        <v>2.3125354238472138</v>
      </c>
      <c r="N207" s="21">
        <f t="shared" si="24"/>
        <v>2.5848176999546224</v>
      </c>
    </row>
    <row r="208" spans="1:14" x14ac:dyDescent="0.2">
      <c r="A208" s="33">
        <f>'GF + UG Iteration 10'!A208</f>
        <v>1670</v>
      </c>
      <c r="B208" s="34" t="str">
        <f>'GF + UG Iteration 10'!B208</f>
        <v>UG</v>
      </c>
      <c r="C208" s="35">
        <f>'GF + UG Iteration 10'!C208</f>
        <v>31.45</v>
      </c>
      <c r="D208" s="36">
        <f>'GF + UG Iteration 10'!P$16*(C208^'GF + UG Iteration 10'!P$15)</f>
        <v>18.399405170006847</v>
      </c>
      <c r="E208" s="37">
        <f>'GF + UG Iteration 10'!E208</f>
        <v>0</v>
      </c>
      <c r="F208" s="35">
        <f>'GF + UG Iteration 10'!F208</f>
        <v>24.250000000000004</v>
      </c>
      <c r="G208" s="36">
        <f>'GF + UG Iteration 10'!G208</f>
        <v>2.7943521582603679</v>
      </c>
      <c r="H208" s="38">
        <f>'GF + UG Iteration 10'!H208</f>
        <v>2016</v>
      </c>
      <c r="I208" s="35">
        <f t="shared" si="20"/>
        <v>55.7</v>
      </c>
      <c r="J208" s="36">
        <f t="shared" si="21"/>
        <v>21.193757328267214</v>
      </c>
      <c r="K208" s="38">
        <f t="shared" si="22"/>
        <v>2016</v>
      </c>
      <c r="M208" s="21">
        <f t="shared" si="23"/>
        <v>4.0199801469332384</v>
      </c>
      <c r="N208" s="21">
        <f t="shared" si="24"/>
        <v>3.0537066726666722</v>
      </c>
    </row>
    <row r="209" spans="1:14" x14ac:dyDescent="0.2">
      <c r="A209" s="33">
        <f>'GF + UG Iteration 10'!A209</f>
        <v>579</v>
      </c>
      <c r="B209" s="34" t="str">
        <f>'GF + UG Iteration 10'!B209</f>
        <v>UG</v>
      </c>
      <c r="C209" s="35">
        <f>'GF + UG Iteration 10'!C209</f>
        <v>17.100000000000001</v>
      </c>
      <c r="D209" s="36">
        <f>'GF + UG Iteration 10'!P$16*(C209^'GF + UG Iteration 10'!P$15)</f>
        <v>12.980316357248816</v>
      </c>
      <c r="E209" s="37" t="str">
        <f>'GF + UG Iteration 10'!E209</f>
        <v>unknown</v>
      </c>
      <c r="F209" s="35">
        <f>'GF + UG Iteration 10'!F209</f>
        <v>11</v>
      </c>
      <c r="G209" s="36">
        <f>'GF + UG Iteration 10'!G209</f>
        <v>3.6516230200538073</v>
      </c>
      <c r="H209" s="38">
        <f>'GF + UG Iteration 10'!H209</f>
        <v>2008</v>
      </c>
      <c r="I209" s="35">
        <f t="shared" si="20"/>
        <v>28.1</v>
      </c>
      <c r="J209" s="36">
        <f t="shared" si="21"/>
        <v>16.631939377302622</v>
      </c>
      <c r="K209" s="38">
        <f t="shared" si="22"/>
        <v>2008</v>
      </c>
      <c r="M209" s="21">
        <f t="shared" si="23"/>
        <v>3.3357695763396999</v>
      </c>
      <c r="N209" s="21">
        <f t="shared" si="24"/>
        <v>2.8113249056057441</v>
      </c>
    </row>
    <row r="210" spans="1:14" x14ac:dyDescent="0.2">
      <c r="A210" s="33">
        <f>'GF + UG Iteration 10'!A210</f>
        <v>1670</v>
      </c>
      <c r="B210" s="34" t="str">
        <f>'GF + UG Iteration 10'!B210</f>
        <v>UG</v>
      </c>
      <c r="C210" s="35">
        <f>'GF + UG Iteration 10'!C210</f>
        <v>18.79</v>
      </c>
      <c r="D210" s="36">
        <f>'GF + UG Iteration 10'!P$16*(C210^'GF + UG Iteration 10'!P$15)</f>
        <v>13.7000239749676</v>
      </c>
      <c r="E210" s="37">
        <f>'GF + UG Iteration 10'!E210</f>
        <v>0</v>
      </c>
      <c r="F210" s="35">
        <f>'GF + UG Iteration 10'!F210</f>
        <v>30.509999999999998</v>
      </c>
      <c r="G210" s="36">
        <f>'GF + UG Iteration 10'!G210</f>
        <v>18.363697996227653</v>
      </c>
      <c r="H210" s="38">
        <f>'GF + UG Iteration 10'!H210</f>
        <v>2016</v>
      </c>
      <c r="I210" s="35">
        <f t="shared" si="20"/>
        <v>49.3</v>
      </c>
      <c r="J210" s="36">
        <f t="shared" si="21"/>
        <v>32.06372197119525</v>
      </c>
      <c r="K210" s="38">
        <f t="shared" si="22"/>
        <v>2016</v>
      </c>
      <c r="M210" s="21">
        <f t="shared" si="23"/>
        <v>3.8979240810486444</v>
      </c>
      <c r="N210" s="21">
        <f t="shared" si="24"/>
        <v>3.4677252343667733</v>
      </c>
    </row>
    <row r="211" spans="1:14" x14ac:dyDescent="0.2">
      <c r="A211" s="33">
        <f>'GF + UG Iteration 10'!A211</f>
        <v>1083</v>
      </c>
      <c r="B211" s="34" t="str">
        <f>'GF + UG Iteration 10'!B211</f>
        <v>UG</v>
      </c>
      <c r="C211" s="35">
        <f>'GF + UG Iteration 10'!C211</f>
        <v>7.53</v>
      </c>
      <c r="D211" s="36">
        <f>'GF + UG Iteration 10'!P$16*(C211^'GF + UG Iteration 10'!P$15)</f>
        <v>8.1158108848617783</v>
      </c>
      <c r="E211" s="37">
        <f>'GF + UG Iteration 10'!E211</f>
        <v>1981</v>
      </c>
      <c r="F211" s="35">
        <f>'GF + UG Iteration 10'!F211</f>
        <v>5.87</v>
      </c>
      <c r="G211" s="36">
        <f>'GF + UG Iteration 10'!G211</f>
        <v>7.4125108979310461</v>
      </c>
      <c r="H211" s="38">
        <f>'GF + UG Iteration 10'!H211</f>
        <v>2011</v>
      </c>
      <c r="I211" s="35">
        <f t="shared" si="20"/>
        <v>13.4</v>
      </c>
      <c r="J211" s="36">
        <f t="shared" si="21"/>
        <v>15.528321782792824</v>
      </c>
      <c r="K211" s="38">
        <f t="shared" si="22"/>
        <v>2011</v>
      </c>
      <c r="M211" s="21">
        <f t="shared" si="23"/>
        <v>2.5952547069568657</v>
      </c>
      <c r="N211" s="21">
        <f t="shared" si="24"/>
        <v>2.7426655683975412</v>
      </c>
    </row>
    <row r="212" spans="1:14" x14ac:dyDescent="0.2">
      <c r="A212" s="33">
        <f>'GF + UG Iteration 10'!A212</f>
        <v>552</v>
      </c>
      <c r="B212" s="34" t="str">
        <f>'GF + UG Iteration 10'!B212</f>
        <v>UG</v>
      </c>
      <c r="C212" s="35">
        <f>'GF + UG Iteration 10'!C212</f>
        <v>20.229999999999997</v>
      </c>
      <c r="D212" s="36">
        <f>'GF + UG Iteration 10'!P$16*(C212^'GF + UG Iteration 10'!P$15)</f>
        <v>14.291684760535043</v>
      </c>
      <c r="E212" s="37">
        <f>'GF + UG Iteration 10'!E212</f>
        <v>1991</v>
      </c>
      <c r="F212" s="35">
        <f>'GF + UG Iteration 10'!F212</f>
        <v>10.470000000000002</v>
      </c>
      <c r="G212" s="36">
        <f>'GF + UG Iteration 10'!G212</f>
        <v>1.1457716756011658</v>
      </c>
      <c r="H212" s="38">
        <f>'GF + UG Iteration 10'!H212</f>
        <v>2006</v>
      </c>
      <c r="I212" s="35">
        <f t="shared" si="20"/>
        <v>30.7</v>
      </c>
      <c r="J212" s="36">
        <f t="shared" si="21"/>
        <v>15.437456436136209</v>
      </c>
      <c r="K212" s="38">
        <f t="shared" si="22"/>
        <v>2006</v>
      </c>
      <c r="M212" s="21">
        <f t="shared" si="23"/>
        <v>3.4242626545931514</v>
      </c>
      <c r="N212" s="21">
        <f t="shared" si="24"/>
        <v>2.7367967924335233</v>
      </c>
    </row>
    <row r="213" spans="1:14" x14ac:dyDescent="0.2">
      <c r="A213" s="33">
        <f>'GF + UG Iteration 10'!A213</f>
        <v>1311</v>
      </c>
      <c r="B213" s="34" t="str">
        <f>'GF + UG Iteration 10'!B213</f>
        <v>UG</v>
      </c>
      <c r="C213" s="35">
        <f>'GF + UG Iteration 10'!C213</f>
        <v>30.7</v>
      </c>
      <c r="D213" s="36">
        <f>'GF + UG Iteration 10'!P$16*(C213^'GF + UG Iteration 10'!P$15)</f>
        <v>18.146875131020302</v>
      </c>
      <c r="E213" s="37">
        <f>'GF + UG Iteration 10'!E213</f>
        <v>1991</v>
      </c>
      <c r="F213" s="35">
        <f>'GF + UG Iteration 10'!F213</f>
        <v>19.3</v>
      </c>
      <c r="G213" s="36">
        <f>'GF + UG Iteration 10'!G213</f>
        <v>5.9841430822776953</v>
      </c>
      <c r="H213" s="38">
        <f>'GF + UG Iteration 10'!H213</f>
        <v>2013</v>
      </c>
      <c r="I213" s="35">
        <f t="shared" si="20"/>
        <v>50</v>
      </c>
      <c r="J213" s="36">
        <f t="shared" si="21"/>
        <v>24.131018213297999</v>
      </c>
      <c r="K213" s="38">
        <f t="shared" si="22"/>
        <v>2013</v>
      </c>
      <c r="M213" s="21">
        <f t="shared" si="23"/>
        <v>3.912023005428146</v>
      </c>
      <c r="N213" s="21">
        <f t="shared" si="24"/>
        <v>3.1834980757337425</v>
      </c>
    </row>
    <row r="214" spans="1:14" x14ac:dyDescent="0.2">
      <c r="A214" s="33">
        <f>'GF + UG Iteration 10'!A214</f>
        <v>1078</v>
      </c>
      <c r="B214" s="34" t="str">
        <f>'GF + UG Iteration 10'!B214</f>
        <v>UG</v>
      </c>
      <c r="C214" s="35">
        <f>'GF + UG Iteration 10'!C214</f>
        <v>17.66</v>
      </c>
      <c r="D214" s="36">
        <f>'GF + UG Iteration 10'!P$16*(C214^'GF + UG Iteration 10'!P$15)</f>
        <v>13.222034550187811</v>
      </c>
      <c r="E214" s="37">
        <f>'GF + UG Iteration 10'!E214</f>
        <v>1957</v>
      </c>
      <c r="F214" s="35">
        <f>'GF + UG Iteration 10'!F214</f>
        <v>7.34</v>
      </c>
      <c r="G214" s="36">
        <f>'GF + UG Iteration 10'!G214</f>
        <v>1.0936387702296273</v>
      </c>
      <c r="H214" s="38">
        <f>'GF + UG Iteration 10'!H214</f>
        <v>2011</v>
      </c>
      <c r="I214" s="35">
        <f t="shared" si="20"/>
        <v>25</v>
      </c>
      <c r="J214" s="36">
        <f t="shared" si="21"/>
        <v>14.315673320417439</v>
      </c>
      <c r="K214" s="38">
        <f t="shared" si="22"/>
        <v>2011</v>
      </c>
      <c r="M214" s="21">
        <f t="shared" si="23"/>
        <v>3.2188758248682006</v>
      </c>
      <c r="N214" s="21">
        <f t="shared" si="24"/>
        <v>2.6613549734493298</v>
      </c>
    </row>
    <row r="215" spans="1:14" x14ac:dyDescent="0.2">
      <c r="A215" s="33">
        <f>'GF + UG Iteration 10'!A215</f>
        <v>495</v>
      </c>
      <c r="B215" s="34" t="str">
        <f>'GF + UG Iteration 10'!B215</f>
        <v>UG</v>
      </c>
      <c r="C215" s="35">
        <f>'GF + UG Iteration 10'!C215</f>
        <v>12.974</v>
      </c>
      <c r="D215" s="36">
        <f>'GF + UG Iteration 10'!P$16*(C215^'GF + UG Iteration 10'!P$15)</f>
        <v>11.082055246297948</v>
      </c>
      <c r="E215" s="37">
        <f>'GF + UG Iteration 10'!E215</f>
        <v>1982</v>
      </c>
      <c r="F215" s="35">
        <f>'GF + UG Iteration 10'!F215</f>
        <v>0</v>
      </c>
      <c r="G215" s="36">
        <f>'GF + UG Iteration 10'!G215</f>
        <v>3.5907902166068872</v>
      </c>
      <c r="H215" s="38">
        <f>'GF + UG Iteration 10'!H215</f>
        <v>2006</v>
      </c>
      <c r="I215" s="35">
        <f t="shared" si="20"/>
        <v>12.974</v>
      </c>
      <c r="J215" s="36">
        <f t="shared" si="21"/>
        <v>14.672845462904835</v>
      </c>
      <c r="K215" s="38">
        <f t="shared" si="22"/>
        <v>2006</v>
      </c>
      <c r="M215" s="21">
        <f t="shared" si="23"/>
        <v>2.5629473547908637</v>
      </c>
      <c r="N215" s="21">
        <f t="shared" si="24"/>
        <v>2.6859985380976825</v>
      </c>
    </row>
    <row r="216" spans="1:14" x14ac:dyDescent="0.2">
      <c r="A216" s="33">
        <f>'GF + UG Iteration 10'!A216</f>
        <v>383</v>
      </c>
      <c r="B216" s="34" t="str">
        <f>'GF + UG Iteration 10'!B216</f>
        <v>UG</v>
      </c>
      <c r="C216" s="35">
        <f>'GF + UG Iteration 10'!C216</f>
        <v>0.51</v>
      </c>
      <c r="D216" s="36">
        <f>'GF + UG Iteration 10'!P$16*(C216^'GF + UG Iteration 10'!P$15)</f>
        <v>1.7372332120626899</v>
      </c>
      <c r="E216" s="37">
        <f>'GF + UG Iteration 10'!E216</f>
        <v>1984</v>
      </c>
      <c r="F216" s="35">
        <f>'GF + UG Iteration 10'!F216</f>
        <v>8</v>
      </c>
      <c r="G216" s="36">
        <f>'GF + UG Iteration 10'!G216</f>
        <v>3.9501723720469593</v>
      </c>
      <c r="H216" s="38">
        <f>'GF + UG Iteration 10'!H216</f>
        <v>2005</v>
      </c>
      <c r="I216" s="35">
        <f t="shared" si="20"/>
        <v>8.51</v>
      </c>
      <c r="J216" s="36">
        <f t="shared" si="21"/>
        <v>5.6874055841096496</v>
      </c>
      <c r="K216" s="38">
        <f t="shared" si="22"/>
        <v>2005</v>
      </c>
      <c r="M216" s="21">
        <f t="shared" si="23"/>
        <v>2.1412419425852827</v>
      </c>
      <c r="N216" s="21">
        <f t="shared" si="24"/>
        <v>1.7382541835431717</v>
      </c>
    </row>
    <row r="217" spans="1:14" x14ac:dyDescent="0.2">
      <c r="A217" s="33">
        <f>'GF + UG Iteration 10'!A217</f>
        <v>1020</v>
      </c>
      <c r="B217" s="34" t="str">
        <f>'GF + UG Iteration 10'!B217</f>
        <v>UG</v>
      </c>
      <c r="C217" s="35">
        <f>'GF + UG Iteration 10'!C217</f>
        <v>13</v>
      </c>
      <c r="D217" s="36">
        <f>'GF + UG Iteration 10'!P$16*(C217^'GF + UG Iteration 10'!P$15)</f>
        <v>11.094765946278219</v>
      </c>
      <c r="E217" s="37">
        <f>'GF + UG Iteration 10'!E217</f>
        <v>1977</v>
      </c>
      <c r="F217" s="35">
        <f>'GF + UG Iteration 10'!F217</f>
        <v>9</v>
      </c>
      <c r="G217" s="36">
        <f>'GF + UG Iteration 10'!G217</f>
        <v>7.3449786888029998</v>
      </c>
      <c r="H217" s="38">
        <f>'GF + UG Iteration 10'!H217</f>
        <v>2010</v>
      </c>
      <c r="I217" s="35">
        <f t="shared" si="20"/>
        <v>22</v>
      </c>
      <c r="J217" s="36">
        <f t="shared" si="21"/>
        <v>18.439744635081219</v>
      </c>
      <c r="K217" s="38">
        <f t="shared" si="22"/>
        <v>2010</v>
      </c>
      <c r="M217" s="21">
        <f t="shared" si="23"/>
        <v>3.0910424533583161</v>
      </c>
      <c r="N217" s="21">
        <f t="shared" si="24"/>
        <v>2.9145083696096301</v>
      </c>
    </row>
    <row r="218" spans="1:14" x14ac:dyDescent="0.2">
      <c r="A218" s="33">
        <f>'GF + UG Iteration 10'!A218</f>
        <v>1364</v>
      </c>
      <c r="B218" s="34" t="str">
        <f>'GF + UG Iteration 10'!B218</f>
        <v>UG</v>
      </c>
      <c r="C218" s="35">
        <f>'GF + UG Iteration 10'!C218</f>
        <v>8.5</v>
      </c>
      <c r="D218" s="36">
        <f>'GF + UG Iteration 10'!P$16*(C218^'GF + UG Iteration 10'!P$15)</f>
        <v>8.6988791454310572</v>
      </c>
      <c r="E218" s="37">
        <f>'GF + UG Iteration 10'!E218</f>
        <v>0</v>
      </c>
      <c r="F218" s="35">
        <f>'GF + UG Iteration 10'!F218</f>
        <v>34</v>
      </c>
      <c r="G218" s="36">
        <f>'GF + UG Iteration 10'!G218</f>
        <v>8.7951197470845859</v>
      </c>
      <c r="H218" s="38">
        <f>'GF + UG Iteration 10'!H218</f>
        <v>2013</v>
      </c>
      <c r="I218" s="35">
        <f t="shared" si="20"/>
        <v>42.5</v>
      </c>
      <c r="J218" s="36">
        <f t="shared" si="21"/>
        <v>17.493998892515641</v>
      </c>
      <c r="K218" s="38">
        <f t="shared" si="22"/>
        <v>2013</v>
      </c>
      <c r="M218" s="21">
        <f t="shared" si="23"/>
        <v>3.7495040759303713</v>
      </c>
      <c r="N218" s="21">
        <f t="shared" si="24"/>
        <v>2.8618579016911356</v>
      </c>
    </row>
    <row r="219" spans="1:14" x14ac:dyDescent="0.2">
      <c r="A219" s="33">
        <f>'GF + UG Iteration 10'!A219</f>
        <v>503</v>
      </c>
      <c r="B219" s="34" t="str">
        <f>'GF + UG Iteration 10'!B219</f>
        <v>UG</v>
      </c>
      <c r="C219" s="35">
        <f>'GF + UG Iteration 10'!C219</f>
        <v>31</v>
      </c>
      <c r="D219" s="36">
        <f>'GF + UG Iteration 10'!P$16*(C219^'GF + UG Iteration 10'!P$15)</f>
        <v>18.248200122654413</v>
      </c>
      <c r="E219" s="37">
        <f>'GF + UG Iteration 10'!E219</f>
        <v>1972</v>
      </c>
      <c r="F219" s="35">
        <f>'GF + UG Iteration 10'!F219</f>
        <v>16</v>
      </c>
      <c r="G219" s="36">
        <f>'GF + UG Iteration 10'!G219</f>
        <v>3.8033222269089473</v>
      </c>
      <c r="H219" s="38">
        <f>'GF + UG Iteration 10'!H219</f>
        <v>2007</v>
      </c>
      <c r="I219" s="35">
        <f t="shared" si="20"/>
        <v>47</v>
      </c>
      <c r="J219" s="36">
        <f t="shared" si="21"/>
        <v>22.05152234956336</v>
      </c>
      <c r="K219" s="38">
        <f t="shared" si="22"/>
        <v>2007</v>
      </c>
      <c r="M219" s="21">
        <f t="shared" si="23"/>
        <v>3.8501476017100584</v>
      </c>
      <c r="N219" s="21">
        <f t="shared" si="24"/>
        <v>3.0933816403061734</v>
      </c>
    </row>
    <row r="220" spans="1:14" x14ac:dyDescent="0.2">
      <c r="A220" s="33">
        <f>'GF + UG Iteration 10'!A220</f>
        <v>925</v>
      </c>
      <c r="B220" s="34" t="str">
        <f>'GF + UG Iteration 10'!B220</f>
        <v>UG</v>
      </c>
      <c r="C220" s="35">
        <f>'GF + UG Iteration 10'!C220</f>
        <v>47</v>
      </c>
      <c r="D220" s="36">
        <f>'GF + UG Iteration 10'!P$16*(C220^'GF + UG Iteration 10'!P$15)</f>
        <v>23.158253439249862</v>
      </c>
      <c r="E220" s="37">
        <f>'GF + UG Iteration 10'!E220</f>
        <v>1972</v>
      </c>
      <c r="F220" s="35">
        <f>'GF + UG Iteration 10'!F220</f>
        <v>9</v>
      </c>
      <c r="G220" s="36">
        <f>'GF + UG Iteration 10'!G220</f>
        <v>3.3164697860941139</v>
      </c>
      <c r="H220" s="38">
        <f>'GF + UG Iteration 10'!H220</f>
        <v>2011</v>
      </c>
      <c r="I220" s="35">
        <f t="shared" si="20"/>
        <v>56</v>
      </c>
      <c r="J220" s="36">
        <f t="shared" si="21"/>
        <v>26.474723225343975</v>
      </c>
      <c r="K220" s="38">
        <f t="shared" si="22"/>
        <v>2011</v>
      </c>
      <c r="M220" s="21">
        <f t="shared" si="23"/>
        <v>4.0253516907351496</v>
      </c>
      <c r="N220" s="21">
        <f t="shared" si="24"/>
        <v>3.2761904372437396</v>
      </c>
    </row>
    <row r="221" spans="1:14" x14ac:dyDescent="0.2">
      <c r="A221" s="33">
        <f>'GF + UG Iteration 10'!A221</f>
        <v>821</v>
      </c>
      <c r="B221" s="34" t="str">
        <f>'GF + UG Iteration 10'!B221</f>
        <v>UG</v>
      </c>
      <c r="C221" s="35">
        <f>'GF + UG Iteration 10'!C221</f>
        <v>25</v>
      </c>
      <c r="D221" s="36">
        <f>'GF + UG Iteration 10'!P$16*(C221^'GF + UG Iteration 10'!P$15)</f>
        <v>16.133504768399064</v>
      </c>
      <c r="E221" s="37">
        <f>'GF + UG Iteration 10'!E221</f>
        <v>2006</v>
      </c>
      <c r="F221" s="35">
        <f>'GF + UG Iteration 10'!F221</f>
        <v>32</v>
      </c>
      <c r="G221" s="36">
        <f>'GF + UG Iteration 10'!G221</f>
        <v>9.4177371403666275</v>
      </c>
      <c r="H221" s="38">
        <f>'GF + UG Iteration 10'!H221</f>
        <v>2011</v>
      </c>
      <c r="I221" s="35">
        <f t="shared" si="20"/>
        <v>57</v>
      </c>
      <c r="J221" s="36">
        <f t="shared" si="21"/>
        <v>25.551241908765689</v>
      </c>
      <c r="K221" s="38">
        <f t="shared" si="22"/>
        <v>2011</v>
      </c>
      <c r="M221" s="21">
        <f t="shared" si="23"/>
        <v>4.0430512678345503</v>
      </c>
      <c r="N221" s="21">
        <f t="shared" si="24"/>
        <v>3.2406859224651319</v>
      </c>
    </row>
    <row r="222" spans="1:14" x14ac:dyDescent="0.2">
      <c r="A222" s="33">
        <f>'GF + UG Iteration 10'!A222</f>
        <v>486</v>
      </c>
      <c r="B222" s="34" t="str">
        <f>'GF + UG Iteration 10'!B222</f>
        <v>UG</v>
      </c>
      <c r="C222" s="35">
        <f>'GF + UG Iteration 10'!C222</f>
        <v>10.81</v>
      </c>
      <c r="D222" s="36">
        <f>'GF + UG Iteration 10'!P$16*(C222^'GF + UG Iteration 10'!P$15)</f>
        <v>9.9826177244615124</v>
      </c>
      <c r="E222" s="37">
        <f>'GF + UG Iteration 10'!E222</f>
        <v>1993</v>
      </c>
      <c r="F222" s="35">
        <f>'GF + UG Iteration 10'!F222</f>
        <v>3.1399999999999988</v>
      </c>
      <c r="G222" s="36">
        <f>'GF + UG Iteration 10'!G222</f>
        <v>0.34692120274319505</v>
      </c>
      <c r="H222" s="38">
        <f>'GF + UG Iteration 10'!H222</f>
        <v>2005</v>
      </c>
      <c r="I222" s="35">
        <f t="shared" si="20"/>
        <v>13.95</v>
      </c>
      <c r="J222" s="36">
        <f t="shared" si="21"/>
        <v>10.329538927204707</v>
      </c>
      <c r="K222" s="38">
        <f t="shared" si="22"/>
        <v>2005</v>
      </c>
      <c r="M222" s="21">
        <f t="shared" si="23"/>
        <v>2.6354795082673745</v>
      </c>
      <c r="N222" s="21">
        <f t="shared" si="24"/>
        <v>2.3350076477892974</v>
      </c>
    </row>
    <row r="223" spans="1:14" x14ac:dyDescent="0.2">
      <c r="A223" s="33">
        <f>'GF + UG Iteration 10'!A223</f>
        <v>779</v>
      </c>
      <c r="B223" s="34" t="str">
        <f>'GF + UG Iteration 10'!B223</f>
        <v>UG</v>
      </c>
      <c r="C223" s="35">
        <f>'GF + UG Iteration 10'!C223</f>
        <v>13.95</v>
      </c>
      <c r="D223" s="36">
        <f>'GF + UG Iteration 10'!P$16*(C223^'GF + UG Iteration 10'!P$15)</f>
        <v>11.551988165801994</v>
      </c>
      <c r="E223" s="37">
        <f>'GF + UG Iteration 10'!E223</f>
        <v>1993</v>
      </c>
      <c r="F223" s="35">
        <f>'GF + UG Iteration 10'!F223</f>
        <v>4.0500000000000007</v>
      </c>
      <c r="G223" s="36">
        <f>'GF + UG Iteration 10'!G223</f>
        <v>0.91575874480529229</v>
      </c>
      <c r="H223" s="38">
        <f>'GF + UG Iteration 10'!H223</f>
        <v>2008</v>
      </c>
      <c r="I223" s="35">
        <f t="shared" si="20"/>
        <v>18</v>
      </c>
      <c r="J223" s="36">
        <f t="shared" si="21"/>
        <v>12.467746910607286</v>
      </c>
      <c r="K223" s="38">
        <f t="shared" si="22"/>
        <v>2008</v>
      </c>
      <c r="M223" s="21">
        <f t="shared" si="23"/>
        <v>2.8903717578961645</v>
      </c>
      <c r="N223" s="21">
        <f t="shared" si="24"/>
        <v>2.5231450625819036</v>
      </c>
    </row>
    <row r="224" spans="1:14" x14ac:dyDescent="0.2">
      <c r="A224" s="33">
        <f>'GF + UG Iteration 10'!A224</f>
        <v>1416</v>
      </c>
      <c r="B224" s="34" t="str">
        <f>'GF + UG Iteration 10'!B224</f>
        <v>UG</v>
      </c>
      <c r="C224" s="35">
        <f>'GF + UG Iteration 10'!C224</f>
        <v>18</v>
      </c>
      <c r="D224" s="36">
        <f>'GF + UG Iteration 10'!P$16*(C224^'GF + UG Iteration 10'!P$15)</f>
        <v>13.367194810425236</v>
      </c>
      <c r="E224" s="37">
        <f>'GF + UG Iteration 10'!E224</f>
        <v>1993</v>
      </c>
      <c r="F224" s="35">
        <f>'GF + UG Iteration 10'!F224</f>
        <v>6</v>
      </c>
      <c r="G224" s="36">
        <f>'GF + UG Iteration 10'!G224</f>
        <v>1.4181567457767223</v>
      </c>
      <c r="H224" s="38">
        <f>'GF + UG Iteration 10'!H224</f>
        <v>2014</v>
      </c>
      <c r="I224" s="35">
        <f t="shared" si="20"/>
        <v>24</v>
      </c>
      <c r="J224" s="36">
        <f t="shared" si="21"/>
        <v>14.785351556201958</v>
      </c>
      <c r="K224" s="38">
        <f t="shared" si="22"/>
        <v>2014</v>
      </c>
      <c r="M224" s="21">
        <f t="shared" si="23"/>
        <v>3.1780538303479458</v>
      </c>
      <c r="N224" s="21">
        <f t="shared" si="24"/>
        <v>2.6936369309183998</v>
      </c>
    </row>
    <row r="225" spans="1:14" x14ac:dyDescent="0.2">
      <c r="A225" s="33">
        <f>'GF + UG Iteration 10'!A225</f>
        <v>554</v>
      </c>
      <c r="B225" s="34" t="str">
        <f>'GF + UG Iteration 10'!B225</f>
        <v>UG</v>
      </c>
      <c r="C225" s="35">
        <f>'GF + UG Iteration 10'!C225</f>
        <v>23</v>
      </c>
      <c r="D225" s="36">
        <f>'GF + UG Iteration 10'!P$16*(C225^'GF + UG Iteration 10'!P$15)</f>
        <v>15.381347539644631</v>
      </c>
      <c r="E225" s="37">
        <f>'GF + UG Iteration 10'!E225</f>
        <v>1968</v>
      </c>
      <c r="F225" s="35">
        <f>'GF + UG Iteration 10'!F225</f>
        <v>8.2600000000000016</v>
      </c>
      <c r="G225" s="36">
        <f>'GF + UG Iteration 10'!G225</f>
        <v>1.061095708813089</v>
      </c>
      <c r="H225" s="38">
        <f>'GF + UG Iteration 10'!H225</f>
        <v>2006</v>
      </c>
      <c r="I225" s="35">
        <f t="shared" si="20"/>
        <v>31.26</v>
      </c>
      <c r="J225" s="36">
        <f t="shared" si="21"/>
        <v>16.442443248457721</v>
      </c>
      <c r="K225" s="38">
        <f t="shared" si="22"/>
        <v>2006</v>
      </c>
      <c r="M225" s="21">
        <f t="shared" si="23"/>
        <v>3.4423393249933305</v>
      </c>
      <c r="N225" s="21">
        <f t="shared" si="24"/>
        <v>2.7998659946719933</v>
      </c>
    </row>
    <row r="226" spans="1:14" x14ac:dyDescent="0.2">
      <c r="A226" s="33">
        <f>'GF + UG Iteration 10'!A226</f>
        <v>1581</v>
      </c>
      <c r="B226" s="34" t="str">
        <f>'GF + UG Iteration 10'!B226</f>
        <v>UG</v>
      </c>
      <c r="C226" s="35">
        <f>'GF + UG Iteration 10'!C226</f>
        <v>7.44</v>
      </c>
      <c r="D226" s="36">
        <f>'GF + UG Iteration 10'!P$16*(C226^'GF + UG Iteration 10'!P$15)</f>
        <v>8.0601270340321278</v>
      </c>
      <c r="E226" s="37" t="str">
        <f>'GF + UG Iteration 10'!E226</f>
        <v>unknown</v>
      </c>
      <c r="F226" s="35">
        <f>'GF + UG Iteration 10'!F226</f>
        <v>9.36</v>
      </c>
      <c r="G226" s="36">
        <f>'GF + UG Iteration 10'!G226</f>
        <v>5.3848313505476417</v>
      </c>
      <c r="H226" s="38">
        <f>'GF + UG Iteration 10'!H226</f>
        <v>2015</v>
      </c>
      <c r="I226" s="35">
        <f t="shared" si="20"/>
        <v>16.8</v>
      </c>
      <c r="J226" s="36">
        <f t="shared" si="21"/>
        <v>13.44495838457977</v>
      </c>
      <c r="K226" s="38">
        <f t="shared" si="22"/>
        <v>2015</v>
      </c>
      <c r="M226" s="21">
        <f t="shared" si="23"/>
        <v>2.8213788864092133</v>
      </c>
      <c r="N226" s="21">
        <f t="shared" si="24"/>
        <v>2.5986041944821046</v>
      </c>
    </row>
    <row r="227" spans="1:14" x14ac:dyDescent="0.2">
      <c r="A227" s="33">
        <f>'GF + UG Iteration 10'!A227</f>
        <v>880</v>
      </c>
      <c r="B227" s="34" t="str">
        <f>'GF + UG Iteration 10'!B227</f>
        <v>UG</v>
      </c>
      <c r="C227" s="35">
        <f>'GF + UG Iteration 10'!C227</f>
        <v>8.9499999999999993</v>
      </c>
      <c r="D227" s="36">
        <f>'GF + UG Iteration 10'!P$16*(C227^'GF + UG Iteration 10'!P$15)</f>
        <v>8.9596578296686911</v>
      </c>
      <c r="E227" s="37">
        <f>'GF + UG Iteration 10'!E227</f>
        <v>1966</v>
      </c>
      <c r="F227" s="35">
        <f>'GF + UG Iteration 10'!F227</f>
        <v>2.0500000000000007</v>
      </c>
      <c r="G227" s="36">
        <f>'GF + UG Iteration 10'!G227</f>
        <v>4.5763928166345611</v>
      </c>
      <c r="H227" s="38">
        <f>'GF + UG Iteration 10'!H227</f>
        <v>2010</v>
      </c>
      <c r="I227" s="35">
        <f t="shared" si="20"/>
        <v>11</v>
      </c>
      <c r="J227" s="36">
        <f t="shared" si="21"/>
        <v>13.536050646303252</v>
      </c>
      <c r="K227" s="38">
        <f t="shared" si="22"/>
        <v>2010</v>
      </c>
      <c r="M227" s="21">
        <f t="shared" si="23"/>
        <v>2.3978952727983707</v>
      </c>
      <c r="N227" s="21">
        <f t="shared" si="24"/>
        <v>2.605356544457285</v>
      </c>
    </row>
    <row r="228" spans="1:14" x14ac:dyDescent="0.2">
      <c r="A228" s="33">
        <f>'GF + UG Iteration 10'!A228</f>
        <v>1047</v>
      </c>
      <c r="B228" s="34" t="str">
        <f>'GF + UG Iteration 10'!B228</f>
        <v>UG</v>
      </c>
      <c r="C228" s="35">
        <f>'GF + UG Iteration 10'!C228</f>
        <v>10</v>
      </c>
      <c r="D228" s="36">
        <f>'GF + UG Iteration 10'!P$16*(C228^'GF + UG Iteration 10'!P$15)</f>
        <v>9.5472116816385544</v>
      </c>
      <c r="E228" s="37">
        <f>'GF + UG Iteration 10'!E228</f>
        <v>1965</v>
      </c>
      <c r="F228" s="35">
        <f>'GF + UG Iteration 10'!F228</f>
        <v>5</v>
      </c>
      <c r="G228" s="36">
        <f>'GF + UG Iteration 10'!G228</f>
        <v>6.2586429220605622</v>
      </c>
      <c r="H228" s="38">
        <f>'GF + UG Iteration 10'!H228</f>
        <v>2012</v>
      </c>
      <c r="I228" s="35">
        <f t="shared" si="20"/>
        <v>15</v>
      </c>
      <c r="J228" s="36">
        <f t="shared" si="21"/>
        <v>15.805854603699117</v>
      </c>
      <c r="K228" s="38">
        <f t="shared" si="22"/>
        <v>2012</v>
      </c>
      <c r="M228" s="21">
        <f t="shared" si="23"/>
        <v>2.7080502011022101</v>
      </c>
      <c r="N228" s="21">
        <f t="shared" si="24"/>
        <v>2.7603804159361669</v>
      </c>
    </row>
    <row r="229" spans="1:14" x14ac:dyDescent="0.2">
      <c r="A229" s="33">
        <f>'GF + UG Iteration 10'!A229</f>
        <v>1045</v>
      </c>
      <c r="B229" s="34" t="str">
        <f>'GF + UG Iteration 10'!B229</f>
        <v>UG</v>
      </c>
      <c r="C229" s="35">
        <f>'GF + UG Iteration 10'!C229</f>
        <v>24.065999999999999</v>
      </c>
      <c r="D229" s="36">
        <f>'GF + UG Iteration 10'!P$16*(C229^'GF + UG Iteration 10'!P$15)</f>
        <v>15.785578310549539</v>
      </c>
      <c r="E229" s="37">
        <f>'GF + UG Iteration 10'!E229</f>
        <v>1971</v>
      </c>
      <c r="F229" s="35">
        <f>'GF + UG Iteration 10'!F229</f>
        <v>7.9340000000000011</v>
      </c>
      <c r="G229" s="36">
        <f>'GF + UG Iteration 10'!G229</f>
        <v>3.8009199870921253</v>
      </c>
      <c r="H229" s="38">
        <f>'GF + UG Iteration 10'!H229</f>
        <v>2011</v>
      </c>
      <c r="I229" s="35">
        <f t="shared" si="20"/>
        <v>32</v>
      </c>
      <c r="J229" s="36">
        <f t="shared" si="21"/>
        <v>19.586498297641665</v>
      </c>
      <c r="K229" s="38">
        <f t="shared" si="22"/>
        <v>2011</v>
      </c>
      <c r="M229" s="21">
        <f t="shared" si="23"/>
        <v>3.4657359027997265</v>
      </c>
      <c r="N229" s="21">
        <f t="shared" si="24"/>
        <v>2.9748404664965529</v>
      </c>
    </row>
    <row r="230" spans="1:14" x14ac:dyDescent="0.2">
      <c r="A230" s="33">
        <f>'GF + UG Iteration 10'!A230</f>
        <v>1616</v>
      </c>
      <c r="B230" s="34" t="str">
        <f>'GF + UG Iteration 10'!B230</f>
        <v>UG</v>
      </c>
      <c r="C230" s="35">
        <f>'GF + UG Iteration 10'!C230</f>
        <v>21.68</v>
      </c>
      <c r="D230" s="36">
        <f>'GF + UG Iteration 10'!P$16*(C230^'GF + UG Iteration 10'!P$15)</f>
        <v>14.869525250756784</v>
      </c>
      <c r="E230" s="37" t="str">
        <f>'GF + UG Iteration 10'!E230</f>
        <v>unknown</v>
      </c>
      <c r="F230" s="35">
        <f>'GF + UG Iteration 10'!F230</f>
        <v>25.75</v>
      </c>
      <c r="G230" s="36">
        <f>'GF + UG Iteration 10'!G230</f>
        <v>0.84818580502502572</v>
      </c>
      <c r="H230" s="38">
        <f>'GF + UG Iteration 10'!H230</f>
        <v>2015</v>
      </c>
      <c r="I230" s="35">
        <f t="shared" si="20"/>
        <v>47.43</v>
      </c>
      <c r="J230" s="36">
        <f t="shared" si="21"/>
        <v>15.717711055781809</v>
      </c>
      <c r="K230" s="38">
        <f t="shared" si="22"/>
        <v>2015</v>
      </c>
      <c r="M230" s="21">
        <f t="shared" si="23"/>
        <v>3.8592549398894902</v>
      </c>
      <c r="N230" s="21">
        <f t="shared" si="24"/>
        <v>2.7547881692607503</v>
      </c>
    </row>
    <row r="231" spans="1:14" x14ac:dyDescent="0.2">
      <c r="A231" s="33">
        <f>'GF + UG Iteration 10'!A231</f>
        <v>362</v>
      </c>
      <c r="B231" s="34" t="str">
        <f>'GF + UG Iteration 10'!B231</f>
        <v>UG</v>
      </c>
      <c r="C231" s="35">
        <f>'GF + UG Iteration 10'!C231</f>
        <v>51.8</v>
      </c>
      <c r="D231" s="36">
        <f>'GF + UG Iteration 10'!P$16*(C231^'GF + UG Iteration 10'!P$15)</f>
        <v>24.484255949080669</v>
      </c>
      <c r="E231" s="37">
        <f>'GF + UG Iteration 10'!E231</f>
        <v>1971</v>
      </c>
      <c r="F231" s="35">
        <f>'GF + UG Iteration 10'!F231</f>
        <v>1</v>
      </c>
      <c r="G231" s="36">
        <f>'GF + UG Iteration 10'!G231</f>
        <v>0.78848028183233532</v>
      </c>
      <c r="H231" s="38">
        <f>'GF + UG Iteration 10'!H231</f>
        <v>2004</v>
      </c>
      <c r="I231" s="35">
        <f t="shared" si="20"/>
        <v>52.8</v>
      </c>
      <c r="J231" s="36">
        <f t="shared" si="21"/>
        <v>25.272736230913004</v>
      </c>
      <c r="K231" s="38">
        <f t="shared" si="22"/>
        <v>2004</v>
      </c>
      <c r="M231" s="21">
        <f t="shared" si="23"/>
        <v>3.9665111907122159</v>
      </c>
      <c r="N231" s="21">
        <f t="shared" si="24"/>
        <v>3.2297261953527903</v>
      </c>
    </row>
    <row r="232" spans="1:14" x14ac:dyDescent="0.2">
      <c r="A232" s="33">
        <f>'GF + UG Iteration 10'!A232</f>
        <v>924</v>
      </c>
      <c r="B232" s="34" t="str">
        <f>'GF + UG Iteration 10'!B232</f>
        <v>UG</v>
      </c>
      <c r="C232" s="35">
        <f>'GF + UG Iteration 10'!C232</f>
        <v>45.94</v>
      </c>
      <c r="D232" s="36">
        <f>'GF + UG Iteration 10'!P$16*(C232^'GF + UG Iteration 10'!P$15)</f>
        <v>22.857742528315839</v>
      </c>
      <c r="E232" s="37">
        <f>'GF + UG Iteration 10'!E232</f>
        <v>1982</v>
      </c>
      <c r="F232" s="35">
        <f>'GF + UG Iteration 10'!F232</f>
        <v>6.0600000000000023</v>
      </c>
      <c r="G232" s="36">
        <f>'GF + UG Iteration 10'!G232</f>
        <v>1.4264307906682692</v>
      </c>
      <c r="H232" s="38">
        <f>'GF + UG Iteration 10'!H232</f>
        <v>2010</v>
      </c>
      <c r="I232" s="35">
        <f t="shared" si="20"/>
        <v>52</v>
      </c>
      <c r="J232" s="36">
        <f t="shared" si="21"/>
        <v>24.284173318984109</v>
      </c>
      <c r="K232" s="38">
        <f t="shared" si="22"/>
        <v>2010</v>
      </c>
      <c r="M232" s="21">
        <f t="shared" si="23"/>
        <v>3.9512437185814275</v>
      </c>
      <c r="N232" s="21">
        <f t="shared" si="24"/>
        <v>3.1898248344105697</v>
      </c>
    </row>
    <row r="233" spans="1:14" x14ac:dyDescent="0.2">
      <c r="A233" s="33">
        <f>'GF + UG Iteration 10'!A233</f>
        <v>1241</v>
      </c>
      <c r="B233" s="34" t="str">
        <f>'GF + UG Iteration 10'!B233</f>
        <v>UG</v>
      </c>
      <c r="C233" s="35">
        <f>'GF + UG Iteration 10'!C233</f>
        <v>20.29</v>
      </c>
      <c r="D233" s="36">
        <f>'GF + UG Iteration 10'!P$16*(C233^'GF + UG Iteration 10'!P$15)</f>
        <v>14.315939654824291</v>
      </c>
      <c r="E233" s="37" t="str">
        <f>'GF + UG Iteration 10'!E233</f>
        <v>unknown</v>
      </c>
      <c r="F233" s="35">
        <f>'GF + UG Iteration 10'!F233</f>
        <v>6</v>
      </c>
      <c r="G233" s="36">
        <f>'GF + UG Iteration 10'!G233</f>
        <v>2.625007735639064</v>
      </c>
      <c r="H233" s="38">
        <f>'GF + UG Iteration 10'!H233</f>
        <v>2012</v>
      </c>
      <c r="I233" s="35">
        <f t="shared" si="20"/>
        <v>26.29</v>
      </c>
      <c r="J233" s="36">
        <f t="shared" si="21"/>
        <v>16.940947390463354</v>
      </c>
      <c r="K233" s="38">
        <f t="shared" si="22"/>
        <v>2012</v>
      </c>
      <c r="M233" s="21">
        <f t="shared" si="23"/>
        <v>3.2691886387417899</v>
      </c>
      <c r="N233" s="21">
        <f t="shared" si="24"/>
        <v>2.8297336138976008</v>
      </c>
    </row>
    <row r="234" spans="1:14" x14ac:dyDescent="0.2">
      <c r="A234" s="33">
        <f>'GF + UG Iteration 10'!A234</f>
        <v>438</v>
      </c>
      <c r="B234" s="34" t="str">
        <f>'GF + UG Iteration 10'!B234</f>
        <v>UG</v>
      </c>
      <c r="C234" s="35">
        <f>'GF + UG Iteration 10'!C234</f>
        <v>8.2460000000000004</v>
      </c>
      <c r="D234" s="36">
        <f>'GF + UG Iteration 10'!P$16*(C234^'GF + UG Iteration 10'!P$15)</f>
        <v>8.5490769359385475</v>
      </c>
      <c r="E234" s="37">
        <f>'GF + UG Iteration 10'!E234</f>
        <v>1978</v>
      </c>
      <c r="F234" s="35">
        <f>'GF + UG Iteration 10'!F234</f>
        <v>1</v>
      </c>
      <c r="G234" s="36">
        <f>'GF + UG Iteration 10'!G234</f>
        <v>0.18095315250984781</v>
      </c>
      <c r="H234" s="38">
        <f>'GF + UG Iteration 10'!H234</f>
        <v>2004</v>
      </c>
      <c r="I234" s="35">
        <f t="shared" si="20"/>
        <v>9.2460000000000004</v>
      </c>
      <c r="J234" s="36">
        <f t="shared" si="21"/>
        <v>8.7300300884483946</v>
      </c>
      <c r="K234" s="38">
        <f t="shared" si="22"/>
        <v>2004</v>
      </c>
      <c r="M234" s="21">
        <f t="shared" si="23"/>
        <v>2.2241910255660335</v>
      </c>
      <c r="N234" s="21">
        <f t="shared" si="24"/>
        <v>2.1667688164032342</v>
      </c>
    </row>
    <row r="235" spans="1:14" x14ac:dyDescent="0.2">
      <c r="A235" s="33">
        <f>'GF + UG Iteration 10'!A235</f>
        <v>748</v>
      </c>
      <c r="B235" s="34" t="str">
        <f>'GF + UG Iteration 10'!B235</f>
        <v>UG</v>
      </c>
      <c r="C235" s="35">
        <f>'GF + UG Iteration 10'!C235</f>
        <v>25.541</v>
      </c>
      <c r="D235" s="36">
        <f>'GF + UG Iteration 10'!P$16*(C235^'GF + UG Iteration 10'!P$15)</f>
        <v>16.332493696023271</v>
      </c>
      <c r="E235" s="37">
        <f>'GF + UG Iteration 10'!E235</f>
        <v>1995</v>
      </c>
      <c r="F235" s="35">
        <f>'GF + UG Iteration 10'!F235</f>
        <v>1</v>
      </c>
      <c r="G235" s="36">
        <f>'GF + UG Iteration 10'!G235</f>
        <v>0.38858476644316492</v>
      </c>
      <c r="H235" s="38">
        <f>'GF + UG Iteration 10'!H235</f>
        <v>2008</v>
      </c>
      <c r="I235" s="35">
        <f t="shared" si="20"/>
        <v>26.541</v>
      </c>
      <c r="J235" s="36">
        <f t="shared" si="21"/>
        <v>16.721078462466437</v>
      </c>
      <c r="K235" s="38">
        <f t="shared" si="22"/>
        <v>2008</v>
      </c>
      <c r="M235" s="21">
        <f t="shared" si="23"/>
        <v>3.2786907071693587</v>
      </c>
      <c r="N235" s="21">
        <f t="shared" si="24"/>
        <v>2.8166701069201197</v>
      </c>
    </row>
    <row r="236" spans="1:14" x14ac:dyDescent="0.2">
      <c r="A236" s="33">
        <f>'GF + UG Iteration 10'!A236</f>
        <v>1319</v>
      </c>
      <c r="B236" s="34" t="str">
        <f>'GF + UG Iteration 10'!B236</f>
        <v>UG</v>
      </c>
      <c r="C236" s="35">
        <f>'GF + UG Iteration 10'!C236</f>
        <v>15.71</v>
      </c>
      <c r="D236" s="36">
        <f>'GF + UG Iteration 10'!P$16*(C236^'GF + UG Iteration 10'!P$15)</f>
        <v>12.365251500399976</v>
      </c>
      <c r="E236" s="37">
        <f>'GF + UG Iteration 10'!E236</f>
        <v>0</v>
      </c>
      <c r="F236" s="35">
        <f>'GF + UG Iteration 10'!F236</f>
        <v>4.2899999999999991</v>
      </c>
      <c r="G236" s="36">
        <f>'GF + UG Iteration 10'!G236</f>
        <v>3.2376779482440865</v>
      </c>
      <c r="H236" s="38">
        <f>'GF + UG Iteration 10'!H236</f>
        <v>2014</v>
      </c>
      <c r="I236" s="35">
        <f t="shared" si="20"/>
        <v>20</v>
      </c>
      <c r="J236" s="36">
        <f t="shared" si="21"/>
        <v>15.602929448644062</v>
      </c>
      <c r="K236" s="38">
        <f t="shared" si="22"/>
        <v>2014</v>
      </c>
      <c r="M236" s="21">
        <f t="shared" si="23"/>
        <v>2.9957322735539909</v>
      </c>
      <c r="N236" s="21">
        <f t="shared" si="24"/>
        <v>2.7474586817955546</v>
      </c>
    </row>
    <row r="237" spans="1:14" x14ac:dyDescent="0.2">
      <c r="A237" s="33">
        <f>'GF + UG Iteration 10'!A237</f>
        <v>892</v>
      </c>
      <c r="B237" s="34" t="str">
        <f>'GF + UG Iteration 10'!B237</f>
        <v>UG</v>
      </c>
      <c r="C237" s="35">
        <f>'GF + UG Iteration 10'!C237</f>
        <v>13.05</v>
      </c>
      <c r="D237" s="36">
        <f>'GF + UG Iteration 10'!P$16*(C237^'GF + UG Iteration 10'!P$15)</f>
        <v>11.119179100356375</v>
      </c>
      <c r="E237" s="37">
        <f>'GF + UG Iteration 10'!E237</f>
        <v>1972</v>
      </c>
      <c r="F237" s="35">
        <f>'GF + UG Iteration 10'!F237</f>
        <v>0</v>
      </c>
      <c r="G237" s="36">
        <f>'GF + UG Iteration 10'!G237</f>
        <v>3.2490818561124843</v>
      </c>
      <c r="H237" s="38">
        <f>'GF + UG Iteration 10'!H237</f>
        <v>2011</v>
      </c>
      <c r="I237" s="35">
        <f t="shared" si="20"/>
        <v>13.05</v>
      </c>
      <c r="J237" s="36">
        <f t="shared" si="21"/>
        <v>14.368260956468859</v>
      </c>
      <c r="K237" s="38">
        <f t="shared" si="22"/>
        <v>2011</v>
      </c>
      <c r="M237" s="21">
        <f t="shared" si="23"/>
        <v>2.5687881337687024</v>
      </c>
      <c r="N237" s="21">
        <f t="shared" si="24"/>
        <v>2.6650216737326651</v>
      </c>
    </row>
    <row r="238" spans="1:14" x14ac:dyDescent="0.2">
      <c r="A238" s="33">
        <f>'GF + UG Iteration 10'!A238</f>
        <v>504</v>
      </c>
      <c r="B238" s="34" t="str">
        <f>'GF + UG Iteration 10'!B238</f>
        <v>UG</v>
      </c>
      <c r="C238" s="35">
        <f>'GF + UG Iteration 10'!C238</f>
        <v>10.496</v>
      </c>
      <c r="D238" s="36">
        <f>'GF + UG Iteration 10'!P$16*(C238^'GF + UG Iteration 10'!P$15)</f>
        <v>9.8155435657197572</v>
      </c>
      <c r="E238" s="37">
        <f>'GF + UG Iteration 10'!E238</f>
        <v>2007</v>
      </c>
      <c r="F238" s="35">
        <f>'GF + UG Iteration 10'!F238</f>
        <v>0</v>
      </c>
      <c r="G238" s="36">
        <f>'GF + UG Iteration 10'!G238</f>
        <v>2.1923137026225539</v>
      </c>
      <c r="H238" s="38">
        <f>'GF + UG Iteration 10'!H238</f>
        <v>2006</v>
      </c>
      <c r="I238" s="35">
        <f t="shared" si="20"/>
        <v>10.496</v>
      </c>
      <c r="J238" s="36">
        <f t="shared" si="21"/>
        <v>12.007857268342311</v>
      </c>
      <c r="K238" s="38">
        <f t="shared" si="22"/>
        <v>2007</v>
      </c>
      <c r="M238" s="21">
        <f t="shared" si="23"/>
        <v>2.3509942322017334</v>
      </c>
      <c r="N238" s="21">
        <f t="shared" si="24"/>
        <v>2.4855612078799636</v>
      </c>
    </row>
    <row r="239" spans="1:14" x14ac:dyDescent="0.2">
      <c r="A239" s="33">
        <f>'GF + UG Iteration 10'!A239</f>
        <v>618</v>
      </c>
      <c r="B239" s="34" t="str">
        <f>'GF + UG Iteration 10'!B239</f>
        <v>UG</v>
      </c>
      <c r="C239" s="35">
        <f>'GF + UG Iteration 10'!C239</f>
        <v>11</v>
      </c>
      <c r="D239" s="36">
        <f>'GF + UG Iteration 10'!P$16*(C239^'GF + UG Iteration 10'!P$15)</f>
        <v>10.082706891283738</v>
      </c>
      <c r="E239" s="37">
        <f>'GF + UG Iteration 10'!E239</f>
        <v>1995</v>
      </c>
      <c r="F239" s="35">
        <f>'GF + UG Iteration 10'!F239</f>
        <v>11.5</v>
      </c>
      <c r="G239" s="36">
        <f>'GF + UG Iteration 10'!G239</f>
        <v>2.3464649770982668</v>
      </c>
      <c r="H239" s="38">
        <f>'GF + UG Iteration 10'!H239</f>
        <v>2006</v>
      </c>
      <c r="I239" s="35">
        <f t="shared" si="20"/>
        <v>22.5</v>
      </c>
      <c r="J239" s="36">
        <f t="shared" si="21"/>
        <v>12.429171868382005</v>
      </c>
      <c r="K239" s="38">
        <f t="shared" si="22"/>
        <v>2006</v>
      </c>
      <c r="M239" s="21">
        <f t="shared" si="23"/>
        <v>3.1135153092103742</v>
      </c>
      <c r="N239" s="21">
        <f t="shared" si="24"/>
        <v>2.5200462796814462</v>
      </c>
    </row>
    <row r="240" spans="1:14" x14ac:dyDescent="0.2">
      <c r="A240" s="33">
        <f>'GF + UG Iteration 10'!A240</f>
        <v>712</v>
      </c>
      <c r="B240" s="34" t="str">
        <f>'GF + UG Iteration 10'!B240</f>
        <v>UG</v>
      </c>
      <c r="C240" s="35">
        <f>'GF + UG Iteration 10'!C240</f>
        <v>7.5</v>
      </c>
      <c r="D240" s="36">
        <f>'GF + UG Iteration 10'!P$16*(C240^'GF + UG Iteration 10'!P$15)</f>
        <v>8.0972813686939151</v>
      </c>
      <c r="E240" s="37">
        <f>'GF + UG Iteration 10'!E240</f>
        <v>1980</v>
      </c>
      <c r="F240" s="35">
        <f>'GF + UG Iteration 10'!F240</f>
        <v>1</v>
      </c>
      <c r="G240" s="36">
        <f>'GF + UG Iteration 10'!G240</f>
        <v>7.8904141673966368</v>
      </c>
      <c r="H240" s="38">
        <f>'GF + UG Iteration 10'!H240</f>
        <v>2011</v>
      </c>
      <c r="I240" s="35">
        <f t="shared" si="20"/>
        <v>8.5</v>
      </c>
      <c r="J240" s="36">
        <f t="shared" si="21"/>
        <v>15.987695536090552</v>
      </c>
      <c r="K240" s="38">
        <f t="shared" si="22"/>
        <v>2011</v>
      </c>
      <c r="M240" s="21">
        <f t="shared" si="23"/>
        <v>2.1400661634962708</v>
      </c>
      <c r="N240" s="21">
        <f t="shared" si="24"/>
        <v>2.7718193973909533</v>
      </c>
    </row>
    <row r="241" spans="1:14" x14ac:dyDescent="0.2">
      <c r="A241" s="33">
        <f>'GF + UG Iteration 10'!A241</f>
        <v>726</v>
      </c>
      <c r="B241" s="34" t="str">
        <f>'GF + UG Iteration 10'!B241</f>
        <v>UG</v>
      </c>
      <c r="C241" s="35">
        <f>'GF + UG Iteration 10'!C241</f>
        <v>25.635400000000001</v>
      </c>
      <c r="D241" s="36">
        <f>'GF + UG Iteration 10'!P$16*(C241^'GF + UG Iteration 10'!P$15)</f>
        <v>16.367030296574669</v>
      </c>
      <c r="E241" s="37">
        <f>'GF + UG Iteration 10'!E241</f>
        <v>1982</v>
      </c>
      <c r="F241" s="35">
        <f>'GF + UG Iteration 10'!F241</f>
        <v>5.3645999999999994</v>
      </c>
      <c r="G241" s="36">
        <f>'GF + UG Iteration 10'!G241</f>
        <v>1.031633192087684</v>
      </c>
      <c r="H241" s="38">
        <f>'GF + UG Iteration 10'!H241</f>
        <v>2008</v>
      </c>
      <c r="I241" s="35">
        <f t="shared" si="20"/>
        <v>31</v>
      </c>
      <c r="J241" s="36">
        <f t="shared" si="21"/>
        <v>17.398663488662354</v>
      </c>
      <c r="K241" s="38">
        <f t="shared" si="22"/>
        <v>2008</v>
      </c>
      <c r="M241" s="21">
        <f t="shared" si="23"/>
        <v>3.4339872044851463</v>
      </c>
      <c r="N241" s="21">
        <f t="shared" si="24"/>
        <v>2.8563933922739513</v>
      </c>
    </row>
    <row r="242" spans="1:14" x14ac:dyDescent="0.2">
      <c r="A242" s="33">
        <f>'GF + UG Iteration 10'!A242</f>
        <v>530</v>
      </c>
      <c r="B242" s="34" t="str">
        <f>'GF + UG Iteration 10'!B242</f>
        <v>UG</v>
      </c>
      <c r="C242" s="35">
        <f>'GF + UG Iteration 10'!C242</f>
        <v>25</v>
      </c>
      <c r="D242" s="36">
        <f>'GF + UG Iteration 10'!P$16*(C242^'GF + UG Iteration 10'!P$15)</f>
        <v>16.133504768399064</v>
      </c>
      <c r="E242" s="37">
        <f>'GF + UG Iteration 10'!E242</f>
        <v>1982</v>
      </c>
      <c r="F242" s="35">
        <f>'GF + UG Iteration 10'!F242</f>
        <v>20</v>
      </c>
      <c r="G242" s="36">
        <f>'GF + UG Iteration 10'!G242</f>
        <v>4.5022608459814819</v>
      </c>
      <c r="H242" s="38">
        <f>'GF + UG Iteration 10'!H242</f>
        <v>2006</v>
      </c>
      <c r="I242" s="35">
        <f t="shared" si="20"/>
        <v>45</v>
      </c>
      <c r="J242" s="36">
        <f t="shared" si="21"/>
        <v>20.635765614380546</v>
      </c>
      <c r="K242" s="38">
        <f t="shared" si="22"/>
        <v>2006</v>
      </c>
      <c r="M242" s="21">
        <f t="shared" si="23"/>
        <v>3.8066624897703196</v>
      </c>
      <c r="N242" s="21">
        <f t="shared" si="24"/>
        <v>3.0270257652243036</v>
      </c>
    </row>
    <row r="243" spans="1:14" x14ac:dyDescent="0.2">
      <c r="A243" s="33">
        <f>'GF + UG Iteration 10'!A243</f>
        <v>755</v>
      </c>
      <c r="B243" s="34" t="str">
        <f>'GF + UG Iteration 10'!B243</f>
        <v>UG</v>
      </c>
      <c r="C243" s="35">
        <f>'GF + UG Iteration 10'!C243</f>
        <v>8.6980000000000004</v>
      </c>
      <c r="D243" s="36">
        <f>'GF + UG Iteration 10'!P$16*(C243^'GF + UG Iteration 10'!P$15)</f>
        <v>8.8143311479296091</v>
      </c>
      <c r="E243" s="37">
        <f>'GF + UG Iteration 10'!E243</f>
        <v>1983</v>
      </c>
      <c r="F243" s="35">
        <f>'GF + UG Iteration 10'!F243</f>
        <v>3.3019999999999996</v>
      </c>
      <c r="G243" s="36">
        <f>'GF + UG Iteration 10'!G243</f>
        <v>0.74649134624932623</v>
      </c>
      <c r="H243" s="38">
        <f>'GF + UG Iteration 10'!H243</f>
        <v>2008</v>
      </c>
      <c r="I243" s="35">
        <f t="shared" si="20"/>
        <v>12</v>
      </c>
      <c r="J243" s="36">
        <f t="shared" si="21"/>
        <v>9.5608224941789359</v>
      </c>
      <c r="K243" s="38">
        <f t="shared" si="22"/>
        <v>2008</v>
      </c>
      <c r="M243" s="21">
        <f t="shared" si="23"/>
        <v>2.4849066497880004</v>
      </c>
      <c r="N243" s="21">
        <f t="shared" si="24"/>
        <v>2.2576737583184712</v>
      </c>
    </row>
    <row r="244" spans="1:14" x14ac:dyDescent="0.2">
      <c r="A244" s="33">
        <f>'GF + UG Iteration 10'!A244</f>
        <v>1081</v>
      </c>
      <c r="B244" s="34" t="str">
        <f>'GF + UG Iteration 10'!B244</f>
        <v>UG</v>
      </c>
      <c r="C244" s="35">
        <f>'GF + UG Iteration 10'!C244</f>
        <v>12</v>
      </c>
      <c r="D244" s="36">
        <f>'GF + UG Iteration 10'!P$16*(C244^'GF + UG Iteration 10'!P$15)</f>
        <v>10.597760143799654</v>
      </c>
      <c r="E244" s="37">
        <f>'GF + UG Iteration 10'!E244</f>
        <v>1983</v>
      </c>
      <c r="F244" s="35">
        <f>'GF + UG Iteration 10'!F244</f>
        <v>4</v>
      </c>
      <c r="G244" s="36">
        <f>'GF + UG Iteration 10'!G244</f>
        <v>0.74615854172219498</v>
      </c>
      <c r="H244" s="38">
        <f>'GF + UG Iteration 10'!H244</f>
        <v>2010</v>
      </c>
      <c r="I244" s="35">
        <f t="shared" si="20"/>
        <v>16</v>
      </c>
      <c r="J244" s="36">
        <f t="shared" si="21"/>
        <v>11.343918685521849</v>
      </c>
      <c r="K244" s="38">
        <f t="shared" si="22"/>
        <v>2010</v>
      </c>
      <c r="M244" s="21">
        <f t="shared" si="23"/>
        <v>2.7725887222397811</v>
      </c>
      <c r="N244" s="21">
        <f t="shared" si="24"/>
        <v>2.4286818017035952</v>
      </c>
    </row>
    <row r="245" spans="1:14" x14ac:dyDescent="0.2">
      <c r="A245" s="33">
        <f>'GF + UG Iteration 10'!A245</f>
        <v>307</v>
      </c>
      <c r="B245" s="34" t="str">
        <f>'GF + UG Iteration 10'!B245</f>
        <v>UG</v>
      </c>
      <c r="C245" s="35">
        <f>'GF + UG Iteration 10'!C245</f>
        <v>9.07</v>
      </c>
      <c r="D245" s="36">
        <f>'GF + UG Iteration 10'!P$16*(C245^'GF + UG Iteration 10'!P$15)</f>
        <v>9.0282456318111635</v>
      </c>
      <c r="E245" s="37">
        <f>'GF + UG Iteration 10'!E245</f>
        <v>1985</v>
      </c>
      <c r="F245" s="35">
        <f>'GF + UG Iteration 10'!F245</f>
        <v>1.0019999999999989</v>
      </c>
      <c r="G245" s="36">
        <f>'GF + UG Iteration 10'!G245</f>
        <v>2.5230801807757093</v>
      </c>
      <c r="H245" s="38">
        <f>'GF + UG Iteration 10'!H245</f>
        <v>2003</v>
      </c>
      <c r="I245" s="35">
        <f t="shared" si="20"/>
        <v>10.071999999999999</v>
      </c>
      <c r="J245" s="36">
        <f t="shared" si="21"/>
        <v>11.551325812586873</v>
      </c>
      <c r="K245" s="38">
        <f t="shared" si="22"/>
        <v>2003</v>
      </c>
      <c r="M245" s="21">
        <f t="shared" si="23"/>
        <v>2.3097592967420462</v>
      </c>
      <c r="N245" s="21">
        <f t="shared" si="24"/>
        <v>2.4468002193486136</v>
      </c>
    </row>
    <row r="246" spans="1:14" x14ac:dyDescent="0.2">
      <c r="A246" s="33">
        <f>'GF + UG Iteration 10'!A246</f>
        <v>1466</v>
      </c>
      <c r="B246" s="34" t="str">
        <f>'GF + UG Iteration 10'!B246</f>
        <v>UG</v>
      </c>
      <c r="C246" s="35">
        <f>'GF + UG Iteration 10'!C246</f>
        <v>10.07</v>
      </c>
      <c r="D246" s="36">
        <f>'GF + UG Iteration 10'!P$16*(C246^'GF + UG Iteration 10'!P$15)</f>
        <v>9.5854203704464815</v>
      </c>
      <c r="E246" s="37">
        <f>'GF + UG Iteration 10'!E246</f>
        <v>1985</v>
      </c>
      <c r="F246" s="35">
        <f>'GF + UG Iteration 10'!F246</f>
        <v>4.93</v>
      </c>
      <c r="G246" s="36">
        <f>'GF + UG Iteration 10'!G246</f>
        <v>4.634839878669343</v>
      </c>
      <c r="H246" s="38">
        <f>'GF + UG Iteration 10'!H246</f>
        <v>2015</v>
      </c>
      <c r="I246" s="35">
        <f t="shared" si="20"/>
        <v>15</v>
      </c>
      <c r="J246" s="36">
        <f t="shared" si="21"/>
        <v>14.220260249115825</v>
      </c>
      <c r="K246" s="38">
        <f t="shared" si="22"/>
        <v>2015</v>
      </c>
      <c r="M246" s="21">
        <f t="shared" si="23"/>
        <v>2.7080502011022101</v>
      </c>
      <c r="N246" s="21">
        <f t="shared" si="24"/>
        <v>2.6546677258332076</v>
      </c>
    </row>
    <row r="247" spans="1:14" x14ac:dyDescent="0.2">
      <c r="A247" s="33">
        <f>'GF + UG Iteration 10'!A247</f>
        <v>1091</v>
      </c>
      <c r="B247" s="34" t="str">
        <f>'GF + UG Iteration 10'!B247</f>
        <v>UG</v>
      </c>
      <c r="C247" s="35">
        <f>'GF + UG Iteration 10'!C247</f>
        <v>16.059999999999999</v>
      </c>
      <c r="D247" s="36">
        <f>'GF + UG Iteration 10'!P$16*(C247^'GF + UG Iteration 10'!P$15)</f>
        <v>12.522244179556441</v>
      </c>
      <c r="E247" s="37">
        <f>'GF + UG Iteration 10'!E247</f>
        <v>1982</v>
      </c>
      <c r="F247" s="35">
        <f>'GF + UG Iteration 10'!F247</f>
        <v>24.34</v>
      </c>
      <c r="G247" s="36">
        <f>'GF + UG Iteration 10'!G247</f>
        <v>7.6638380518522098</v>
      </c>
      <c r="H247" s="38">
        <f>'GF + UG Iteration 10'!H247</f>
        <v>2011</v>
      </c>
      <c r="I247" s="35">
        <f t="shared" ref="I247:I292" si="30">C247+F247</f>
        <v>40.4</v>
      </c>
      <c r="J247" s="36">
        <f t="shared" ref="J247:J292" si="31">D247+G247</f>
        <v>20.186082231408651</v>
      </c>
      <c r="K247" s="38">
        <f t="shared" ref="K247:K292" si="32">MAX(E247,H247)</f>
        <v>2011</v>
      </c>
      <c r="M247" s="21">
        <f t="shared" si="23"/>
        <v>3.6988297849671046</v>
      </c>
      <c r="N247" s="21">
        <f t="shared" si="24"/>
        <v>3.004993368493531</v>
      </c>
    </row>
    <row r="248" spans="1:14" x14ac:dyDescent="0.2">
      <c r="A248" s="33">
        <f>'GF + UG Iteration 10'!A248</f>
        <v>666</v>
      </c>
      <c r="B248" s="34" t="str">
        <f>'GF + UG Iteration 10'!B248</f>
        <v>UG</v>
      </c>
      <c r="C248" s="35">
        <f>'GF + UG Iteration 10'!C248</f>
        <v>25.92</v>
      </c>
      <c r="D248" s="36">
        <f>'GF + UG Iteration 10'!P$16*(C248^'GF + UG Iteration 10'!P$15)</f>
        <v>16.470824725823526</v>
      </c>
      <c r="E248" s="37">
        <f>'GF + UG Iteration 10'!E248</f>
        <v>1987</v>
      </c>
      <c r="F248" s="35">
        <f>'GF + UG Iteration 10'!F248</f>
        <v>14.079999999999998</v>
      </c>
      <c r="G248" s="36">
        <f>'GF + UG Iteration 10'!G248</f>
        <v>3.6887760601263184</v>
      </c>
      <c r="H248" s="38">
        <f>'GF + UG Iteration 10'!H248</f>
        <v>2008</v>
      </c>
      <c r="I248" s="35">
        <f t="shared" si="30"/>
        <v>40</v>
      </c>
      <c r="J248" s="36">
        <f t="shared" si="31"/>
        <v>20.159600785949845</v>
      </c>
      <c r="K248" s="38">
        <f t="shared" si="32"/>
        <v>2008</v>
      </c>
      <c r="M248" s="21">
        <f t="shared" ref="M248:M292" si="33">LN(I248)</f>
        <v>3.6888794541139363</v>
      </c>
      <c r="N248" s="21">
        <f t="shared" ref="N248:N292" si="34">LN(J248)</f>
        <v>3.003680640722866</v>
      </c>
    </row>
    <row r="249" spans="1:14" x14ac:dyDescent="0.2">
      <c r="A249" s="33">
        <f>'GF + UG Iteration 10'!A249</f>
        <v>556</v>
      </c>
      <c r="B249" s="34" t="str">
        <f>'GF + UG Iteration 10'!B249</f>
        <v>UG</v>
      </c>
      <c r="C249" s="35">
        <f>'GF + UG Iteration 10'!C249</f>
        <v>8.6560000000000006</v>
      </c>
      <c r="D249" s="36">
        <f>'GF + UG Iteration 10'!P$16*(C249^'GF + UG Iteration 10'!P$15)</f>
        <v>8.7899359817447902</v>
      </c>
      <c r="E249" s="37">
        <f>'GF + UG Iteration 10'!E249</f>
        <v>1985</v>
      </c>
      <c r="F249" s="35">
        <f>'GF + UG Iteration 10'!F249</f>
        <v>4.3439999999999994</v>
      </c>
      <c r="G249" s="36">
        <f>'GF + UG Iteration 10'!G249</f>
        <v>3.2483692675760008</v>
      </c>
      <c r="H249" s="38">
        <f>'GF + UG Iteration 10'!H249</f>
        <v>2007</v>
      </c>
      <c r="I249" s="35">
        <f t="shared" si="30"/>
        <v>13</v>
      </c>
      <c r="J249" s="36">
        <f t="shared" si="31"/>
        <v>12.038305249320791</v>
      </c>
      <c r="K249" s="38">
        <f t="shared" si="32"/>
        <v>2007</v>
      </c>
      <c r="M249" s="21">
        <f t="shared" si="33"/>
        <v>2.5649493574615367</v>
      </c>
      <c r="N249" s="21">
        <f t="shared" si="34"/>
        <v>2.4880936699498633</v>
      </c>
    </row>
    <row r="250" spans="1:14" x14ac:dyDescent="0.2">
      <c r="A250" s="33">
        <f>'GF + UG Iteration 10'!A250</f>
        <v>452</v>
      </c>
      <c r="B250" s="34" t="str">
        <f>'GF + UG Iteration 10'!B250</f>
        <v>UG</v>
      </c>
      <c r="C250" s="35">
        <f>'GF + UG Iteration 10'!C250</f>
        <v>10.781000000000001</v>
      </c>
      <c r="D250" s="36">
        <f>'GF + UG Iteration 10'!P$16*(C250^'GF + UG Iteration 10'!P$15)</f>
        <v>9.967275033223558</v>
      </c>
      <c r="E250" s="37">
        <f>'GF + UG Iteration 10'!E250</f>
        <v>1986</v>
      </c>
      <c r="F250" s="35">
        <f>'GF + UG Iteration 10'!F250</f>
        <v>3.6189999999999998</v>
      </c>
      <c r="G250" s="36">
        <f>'GF + UG Iteration 10'!G250</f>
        <v>3.4437072461958511</v>
      </c>
      <c r="H250" s="38">
        <f>'GF + UG Iteration 10'!H250</f>
        <v>2005</v>
      </c>
      <c r="I250" s="35">
        <f t="shared" si="30"/>
        <v>14.4</v>
      </c>
      <c r="J250" s="36">
        <f t="shared" si="31"/>
        <v>13.410982279419409</v>
      </c>
      <c r="K250" s="38">
        <f t="shared" si="32"/>
        <v>2005</v>
      </c>
      <c r="M250" s="21">
        <f t="shared" si="33"/>
        <v>2.6672282065819548</v>
      </c>
      <c r="N250" s="21">
        <f t="shared" si="34"/>
        <v>2.5960739443812302</v>
      </c>
    </row>
    <row r="251" spans="1:14" x14ac:dyDescent="0.2">
      <c r="A251" s="33">
        <f>'GF + UG Iteration 10'!A251</f>
        <v>613</v>
      </c>
      <c r="B251" s="34" t="str">
        <f>'GF + UG Iteration 10'!B251</f>
        <v>UG</v>
      </c>
      <c r="C251" s="35">
        <f>'GF + UG Iteration 10'!C251</f>
        <v>6.2</v>
      </c>
      <c r="D251" s="36">
        <f>'GF + UG Iteration 10'!P$16*(C251^'GF + UG Iteration 10'!P$15)</f>
        <v>7.2611323459536647</v>
      </c>
      <c r="E251" s="37">
        <f>'GF + UG Iteration 10'!E251</f>
        <v>1999</v>
      </c>
      <c r="F251" s="35">
        <f>'GF + UG Iteration 10'!F251</f>
        <v>2.2000000000000002</v>
      </c>
      <c r="G251" s="36">
        <f>'GF + UG Iteration 10'!G251</f>
        <v>0.43131820582676678</v>
      </c>
      <c r="H251" s="38">
        <f>'GF + UG Iteration 10'!H251</f>
        <v>2006</v>
      </c>
      <c r="I251" s="35">
        <f t="shared" si="30"/>
        <v>8.4</v>
      </c>
      <c r="J251" s="36">
        <f t="shared" si="31"/>
        <v>7.6924505517804311</v>
      </c>
      <c r="K251" s="38">
        <f t="shared" si="32"/>
        <v>2006</v>
      </c>
      <c r="M251" s="21">
        <f t="shared" si="33"/>
        <v>2.1282317058492679</v>
      </c>
      <c r="N251" s="21">
        <f t="shared" si="34"/>
        <v>2.0402394000855582</v>
      </c>
    </row>
    <row r="252" spans="1:14" x14ac:dyDescent="0.2">
      <c r="A252" s="33">
        <f>'GF + UG Iteration 10'!A252</f>
        <v>778</v>
      </c>
      <c r="B252" s="34" t="str">
        <f>'GF + UG Iteration 10'!B252</f>
        <v>UG</v>
      </c>
      <c r="C252" s="35">
        <f>'GF + UG Iteration 10'!C252</f>
        <v>0.1</v>
      </c>
      <c r="D252" s="36">
        <f>'GF + UG Iteration 10'!P$16*(C252^'GF + UG Iteration 10'!P$15)</f>
        <v>0.68346796204023619</v>
      </c>
      <c r="E252" s="37">
        <f>'GF + UG Iteration 10'!E252</f>
        <v>1988</v>
      </c>
      <c r="F252" s="35">
        <f>'GF + UG Iteration 10'!F252</f>
        <v>1.9</v>
      </c>
      <c r="G252" s="36">
        <f>'GF + UG Iteration 10'!G252</f>
        <v>0.48701021540648831</v>
      </c>
      <c r="H252" s="38">
        <f>'GF + UG Iteration 10'!H252</f>
        <v>2008</v>
      </c>
      <c r="I252" s="35">
        <f t="shared" si="30"/>
        <v>2</v>
      </c>
      <c r="J252" s="36">
        <f t="shared" si="31"/>
        <v>1.1704781774467246</v>
      </c>
      <c r="K252" s="38">
        <f t="shared" si="32"/>
        <v>2008</v>
      </c>
      <c r="M252" s="21">
        <f t="shared" si="33"/>
        <v>0.69314718055994529</v>
      </c>
      <c r="N252" s="21">
        <f t="shared" si="34"/>
        <v>0.15741236398752512</v>
      </c>
    </row>
    <row r="253" spans="1:14" x14ac:dyDescent="0.2">
      <c r="A253" s="33">
        <f>'GF + UG Iteration 10'!A253</f>
        <v>1571</v>
      </c>
      <c r="B253" s="34" t="str">
        <f>'GF + UG Iteration 10'!B253</f>
        <v>UG</v>
      </c>
      <c r="C253" s="35">
        <f>'GF + UG Iteration 10'!C253</f>
        <v>2</v>
      </c>
      <c r="D253" s="36">
        <f>'GF + UG Iteration 10'!P$16*(C253^'GF + UG Iteration 10'!P$15)</f>
        <v>3.7989263099515189</v>
      </c>
      <c r="E253" s="37">
        <f>'GF + UG Iteration 10'!E253</f>
        <v>1988</v>
      </c>
      <c r="F253" s="35">
        <f>'GF + UG Iteration 10'!F253</f>
        <v>11</v>
      </c>
      <c r="G253" s="36">
        <f>'GF + UG Iteration 10'!G253</f>
        <v>1.5920457896917759</v>
      </c>
      <c r="H253" s="38">
        <f>'GF + UG Iteration 10'!H253</f>
        <v>2016</v>
      </c>
      <c r="I253" s="35">
        <f t="shared" si="30"/>
        <v>13</v>
      </c>
      <c r="J253" s="36">
        <f t="shared" si="31"/>
        <v>5.390972099643295</v>
      </c>
      <c r="K253" s="38">
        <f t="shared" si="32"/>
        <v>2016</v>
      </c>
      <c r="M253" s="21">
        <f t="shared" si="33"/>
        <v>2.5649493574615367</v>
      </c>
      <c r="N253" s="21">
        <f t="shared" si="34"/>
        <v>1.684725721097819</v>
      </c>
    </row>
    <row r="254" spans="1:14" x14ac:dyDescent="0.2">
      <c r="A254" s="33">
        <f>'GF + UG Iteration 10'!A254</f>
        <v>525</v>
      </c>
      <c r="B254" s="34" t="str">
        <f>'GF + UG Iteration 10'!B254</f>
        <v>UG</v>
      </c>
      <c r="C254" s="35">
        <f>'GF + UG Iteration 10'!C254</f>
        <v>11.55</v>
      </c>
      <c r="D254" s="36">
        <f>'GF + UG Iteration 10'!P$16*(C254^'GF + UG Iteration 10'!P$15)</f>
        <v>10.368351073850976</v>
      </c>
      <c r="E254" s="37">
        <f>'GF + UG Iteration 10'!E254</f>
        <v>1995</v>
      </c>
      <c r="F254" s="35">
        <f>'GF + UG Iteration 10'!F254</f>
        <v>14</v>
      </c>
      <c r="G254" s="36">
        <f>'GF + UG Iteration 10'!G254</f>
        <v>2.107818995325883</v>
      </c>
      <c r="H254" s="38">
        <f>'GF + UG Iteration 10'!H254</f>
        <v>2006</v>
      </c>
      <c r="I254" s="35">
        <f t="shared" si="30"/>
        <v>25.55</v>
      </c>
      <c r="J254" s="36">
        <f t="shared" si="31"/>
        <v>12.47617006917686</v>
      </c>
      <c r="K254" s="38">
        <f t="shared" si="32"/>
        <v>2006</v>
      </c>
      <c r="M254" s="21">
        <f t="shared" si="33"/>
        <v>3.2406373166497136</v>
      </c>
      <c r="N254" s="21">
        <f t="shared" si="34"/>
        <v>2.5238204303596721</v>
      </c>
    </row>
    <row r="255" spans="1:14" x14ac:dyDescent="0.2">
      <c r="A255" s="33">
        <f>'GF + UG Iteration 10'!A255</f>
        <v>1324</v>
      </c>
      <c r="B255" s="34" t="str">
        <f>'GF + UG Iteration 10'!B255</f>
        <v>UG</v>
      </c>
      <c r="C255" s="35">
        <f>'GF + UG Iteration 10'!C255</f>
        <v>15.8</v>
      </c>
      <c r="D255" s="36">
        <f>'GF + UG Iteration 10'!P$16*(C255^'GF + UG Iteration 10'!P$15)</f>
        <v>12.405762620450911</v>
      </c>
      <c r="E255" s="37">
        <f>'GF + UG Iteration 10'!E255</f>
        <v>2012</v>
      </c>
      <c r="F255" s="35">
        <f>'GF + UG Iteration 10'!F255</f>
        <v>12.3</v>
      </c>
      <c r="G255" s="36">
        <f>'GF + UG Iteration 10'!G255</f>
        <v>2.2692987542218521</v>
      </c>
      <c r="H255" s="38">
        <f>'GF + UG Iteration 10'!H255</f>
        <v>2014</v>
      </c>
      <c r="I255" s="35">
        <f t="shared" si="30"/>
        <v>28.1</v>
      </c>
      <c r="J255" s="36">
        <f t="shared" si="31"/>
        <v>14.675061374672763</v>
      </c>
      <c r="K255" s="38">
        <f t="shared" si="32"/>
        <v>2014</v>
      </c>
      <c r="M255" s="21">
        <f t="shared" si="33"/>
        <v>3.3357695763396999</v>
      </c>
      <c r="N255" s="21">
        <f t="shared" si="34"/>
        <v>2.6861495479659094</v>
      </c>
    </row>
    <row r="256" spans="1:14" x14ac:dyDescent="0.2">
      <c r="A256" s="33">
        <f>'GF + UG Iteration 10'!A256</f>
        <v>511</v>
      </c>
      <c r="B256" s="34" t="str">
        <f>'GF + UG Iteration 10'!B256</f>
        <v>UG</v>
      </c>
      <c r="C256" s="35">
        <f>'GF + UG Iteration 10'!C256</f>
        <v>13.95</v>
      </c>
      <c r="D256" s="36">
        <f>'GF + UG Iteration 10'!P$16*(C256^'GF + UG Iteration 10'!P$15)</f>
        <v>11.551988165801994</v>
      </c>
      <c r="E256" s="37">
        <f>'GF + UG Iteration 10'!E256</f>
        <v>2004</v>
      </c>
      <c r="F256" s="35">
        <f>'GF + UG Iteration 10'!F256</f>
        <v>4.0500000000000007</v>
      </c>
      <c r="G256" s="36">
        <f>'GF + UG Iteration 10'!G256</f>
        <v>0.42903557118440139</v>
      </c>
      <c r="H256" s="38">
        <f>'GF + UG Iteration 10'!H256</f>
        <v>2004</v>
      </c>
      <c r="I256" s="35">
        <f t="shared" si="30"/>
        <v>18</v>
      </c>
      <c r="J256" s="36">
        <f t="shared" si="31"/>
        <v>11.981023736986396</v>
      </c>
      <c r="K256" s="38">
        <f t="shared" si="32"/>
        <v>2004</v>
      </c>
      <c r="M256" s="21">
        <f t="shared" si="33"/>
        <v>2.8903717578961645</v>
      </c>
      <c r="N256" s="21">
        <f t="shared" si="34"/>
        <v>2.4833240428749295</v>
      </c>
    </row>
    <row r="257" spans="1:14" x14ac:dyDescent="0.2">
      <c r="A257" s="33">
        <f>'GF + UG Iteration 10'!A257</f>
        <v>1094</v>
      </c>
      <c r="B257" s="34" t="str">
        <f>'GF + UG Iteration 10'!B257</f>
        <v>UG</v>
      </c>
      <c r="C257" s="35">
        <f>'GF + UG Iteration 10'!C257</f>
        <v>18</v>
      </c>
      <c r="D257" s="36">
        <f>'GF + UG Iteration 10'!P$16*(C257^'GF + UG Iteration 10'!P$15)</f>
        <v>13.367194810425236</v>
      </c>
      <c r="E257" s="37">
        <f>'GF + UG Iteration 10'!E257</f>
        <v>2004</v>
      </c>
      <c r="F257" s="35">
        <f>'GF + UG Iteration 10'!F257</f>
        <v>6</v>
      </c>
      <c r="G257" s="36">
        <f>'GF + UG Iteration 10'!G257</f>
        <v>1.0646458657975095</v>
      </c>
      <c r="H257" s="38">
        <f>'GF + UG Iteration 10'!H257</f>
        <v>2011</v>
      </c>
      <c r="I257" s="35">
        <f t="shared" si="30"/>
        <v>24</v>
      </c>
      <c r="J257" s="36">
        <f t="shared" si="31"/>
        <v>14.431840676222745</v>
      </c>
      <c r="K257" s="38">
        <f t="shared" si="32"/>
        <v>2011</v>
      </c>
      <c r="M257" s="21">
        <f t="shared" si="33"/>
        <v>3.1780538303479458</v>
      </c>
      <c r="N257" s="21">
        <f t="shared" si="34"/>
        <v>2.6694369236406184</v>
      </c>
    </row>
    <row r="258" spans="1:14" x14ac:dyDescent="0.2">
      <c r="A258" s="33">
        <f>'GF + UG Iteration 10'!A258</f>
        <v>775</v>
      </c>
      <c r="B258" s="34" t="str">
        <f>'GF + UG Iteration 10'!B258</f>
        <v>UG</v>
      </c>
      <c r="C258" s="35">
        <f>'GF + UG Iteration 10'!C258</f>
        <v>8</v>
      </c>
      <c r="D258" s="36">
        <f>'GF + UG Iteration 10'!P$16*(C258^'GF + UG Iteration 10'!P$15)</f>
        <v>8.4021009387784638</v>
      </c>
      <c r="E258" s="37">
        <f>'GF + UG Iteration 10'!E258</f>
        <v>2002</v>
      </c>
      <c r="F258" s="35">
        <f>'GF + UG Iteration 10'!F258</f>
        <v>7</v>
      </c>
      <c r="G258" s="36">
        <f>'GF + UG Iteration 10'!G258</f>
        <v>1.4058744428987999</v>
      </c>
      <c r="H258" s="38">
        <f>'GF + UG Iteration 10'!H258</f>
        <v>2008</v>
      </c>
      <c r="I258" s="35">
        <f t="shared" si="30"/>
        <v>15</v>
      </c>
      <c r="J258" s="36">
        <f t="shared" si="31"/>
        <v>9.807975381677263</v>
      </c>
      <c r="K258" s="38">
        <f t="shared" si="32"/>
        <v>2008</v>
      </c>
      <c r="M258" s="21">
        <f t="shared" si="33"/>
        <v>2.7080502011022101</v>
      </c>
      <c r="N258" s="21">
        <f t="shared" si="34"/>
        <v>2.2831958691659566</v>
      </c>
    </row>
    <row r="259" spans="1:14" x14ac:dyDescent="0.2">
      <c r="A259" s="33">
        <f>'GF + UG Iteration 10'!A259</f>
        <v>1646</v>
      </c>
      <c r="B259" s="34" t="str">
        <f>'GF + UG Iteration 10'!B259</f>
        <v>UG</v>
      </c>
      <c r="C259" s="35">
        <f>'GF + UG Iteration 10'!C259</f>
        <v>2.88</v>
      </c>
      <c r="D259" s="36">
        <f>'GF + UG Iteration 10'!P$16*(C259^'GF + UG Iteration 10'!P$15)</f>
        <v>4.6809708607471467</v>
      </c>
      <c r="E259" s="37" t="str">
        <f>'GF + UG Iteration 10'!E259</f>
        <v>unknown</v>
      </c>
      <c r="F259" s="35">
        <f>'GF + UG Iteration 10'!F259</f>
        <v>3.5200000000000005</v>
      </c>
      <c r="G259" s="36">
        <f>'GF + UG Iteration 10'!G259</f>
        <v>6.6895680450065891</v>
      </c>
      <c r="H259" s="38">
        <f>'GF + UG Iteration 10'!H259</f>
        <v>2016</v>
      </c>
      <c r="I259" s="35">
        <f t="shared" si="30"/>
        <v>6.4</v>
      </c>
      <c r="J259" s="36">
        <f t="shared" si="31"/>
        <v>11.370538905753737</v>
      </c>
      <c r="K259" s="38">
        <f t="shared" si="32"/>
        <v>2016</v>
      </c>
      <c r="M259" s="21">
        <f t="shared" si="33"/>
        <v>1.8562979903656263</v>
      </c>
      <c r="N259" s="21">
        <f t="shared" si="34"/>
        <v>2.4310257038031517</v>
      </c>
    </row>
    <row r="260" spans="1:14" x14ac:dyDescent="0.2">
      <c r="A260" s="33">
        <f>'GF + UG Iteration 10'!A260</f>
        <v>467</v>
      </c>
      <c r="B260" s="34" t="str">
        <f>'GF + UG Iteration 10'!B260</f>
        <v>UG</v>
      </c>
      <c r="C260" s="35">
        <f>'GF + UG Iteration 10'!C260</f>
        <v>5.7</v>
      </c>
      <c r="D260" s="36">
        <f>'GF + UG Iteration 10'!P$16*(C260^'GF + UG Iteration 10'!P$15)</f>
        <v>6.9198323579950847</v>
      </c>
      <c r="E260" s="37">
        <f>'GF + UG Iteration 10'!E260</f>
        <v>1996</v>
      </c>
      <c r="F260" s="35">
        <f>'GF + UG Iteration 10'!F260</f>
        <v>7.8999999999999995</v>
      </c>
      <c r="G260" s="36">
        <f>'GF + UG Iteration 10'!G260</f>
        <v>3.4855022233326953</v>
      </c>
      <c r="H260" s="38">
        <f>'GF + UG Iteration 10'!H260</f>
        <v>2005</v>
      </c>
      <c r="I260" s="35">
        <f t="shared" si="30"/>
        <v>13.6</v>
      </c>
      <c r="J260" s="36">
        <f t="shared" si="31"/>
        <v>10.40533458132778</v>
      </c>
      <c r="K260" s="38">
        <f t="shared" si="32"/>
        <v>2005</v>
      </c>
      <c r="M260" s="21">
        <f t="shared" si="33"/>
        <v>2.6100697927420065</v>
      </c>
      <c r="N260" s="21">
        <f t="shared" si="34"/>
        <v>2.3423186151505981</v>
      </c>
    </row>
    <row r="261" spans="1:14" x14ac:dyDescent="0.2">
      <c r="A261" s="33">
        <f>'GF + UG Iteration 10'!A261</f>
        <v>437</v>
      </c>
      <c r="B261" s="34" t="str">
        <f>'GF + UG Iteration 10'!B261</f>
        <v>UG</v>
      </c>
      <c r="C261" s="35">
        <f>'GF + UG Iteration 10'!C261</f>
        <v>23</v>
      </c>
      <c r="D261" s="36">
        <f>'GF + UG Iteration 10'!P$16*(C261^'GF + UG Iteration 10'!P$15)</f>
        <v>15.381347539644631</v>
      </c>
      <c r="E261" s="37">
        <f>'GF + UG Iteration 10'!E261</f>
        <v>2001</v>
      </c>
      <c r="F261" s="35">
        <f>'GF + UG Iteration 10'!F261</f>
        <v>17</v>
      </c>
      <c r="G261" s="36">
        <f>'GF + UG Iteration 10'!G261</f>
        <v>3.6313804067567292</v>
      </c>
      <c r="H261" s="38">
        <f>'GF + UG Iteration 10'!H261</f>
        <v>2008</v>
      </c>
      <c r="I261" s="35">
        <f t="shared" si="30"/>
        <v>40</v>
      </c>
      <c r="J261" s="36">
        <f t="shared" si="31"/>
        <v>19.012727946401359</v>
      </c>
      <c r="K261" s="38">
        <f t="shared" si="32"/>
        <v>2008</v>
      </c>
      <c r="M261" s="21">
        <f t="shared" si="33"/>
        <v>3.6888794541139363</v>
      </c>
      <c r="N261" s="21">
        <f t="shared" si="34"/>
        <v>2.9451086468048673</v>
      </c>
    </row>
    <row r="262" spans="1:14" x14ac:dyDescent="0.2">
      <c r="A262" s="33">
        <f>'GF + UG Iteration 10'!A262</f>
        <v>1233</v>
      </c>
      <c r="B262" s="34" t="str">
        <f>'GF + UG Iteration 10'!B262</f>
        <v>UG</v>
      </c>
      <c r="C262" s="35">
        <f>'GF + UG Iteration 10'!C262</f>
        <v>40</v>
      </c>
      <c r="D262" s="36">
        <f>'GF + UG Iteration 10'!P$16*(C262^'GF + UG Iteration 10'!P$15)</f>
        <v>21.115607329070755</v>
      </c>
      <c r="E262" s="37">
        <f>'GF + UG Iteration 10'!E262</f>
        <v>2001</v>
      </c>
      <c r="F262" s="35">
        <f>'GF + UG Iteration 10'!F262</f>
        <v>10</v>
      </c>
      <c r="G262" s="36">
        <f>'GF + UG Iteration 10'!G262</f>
        <v>3.8904117673360803</v>
      </c>
      <c r="H262" s="38">
        <f>'GF + UG Iteration 10'!H262</f>
        <v>2011</v>
      </c>
      <c r="I262" s="35">
        <f t="shared" si="30"/>
        <v>50</v>
      </c>
      <c r="J262" s="36">
        <f t="shared" si="31"/>
        <v>25.006019096406835</v>
      </c>
      <c r="K262" s="38">
        <f t="shared" si="32"/>
        <v>2011</v>
      </c>
      <c r="M262" s="21">
        <f t="shared" si="33"/>
        <v>3.912023005428146</v>
      </c>
      <c r="N262" s="21">
        <f t="shared" si="34"/>
        <v>3.2191165597455083</v>
      </c>
    </row>
    <row r="263" spans="1:14" x14ac:dyDescent="0.2">
      <c r="A263" s="33">
        <f>'GF + UG Iteration 10'!A263</f>
        <v>361</v>
      </c>
      <c r="B263" s="34" t="str">
        <f>'GF + UG Iteration 10'!B263</f>
        <v>UG</v>
      </c>
      <c r="C263" s="35">
        <f>'GF + UG Iteration 10'!C263</f>
        <v>12.22</v>
      </c>
      <c r="D263" s="36">
        <f>'GF + UG Iteration 10'!P$16*(C263^'GF + UG Iteration 10'!P$15)</f>
        <v>10.708575744158013</v>
      </c>
      <c r="E263" s="37">
        <f>'GF + UG Iteration 10'!E263</f>
        <v>1986</v>
      </c>
      <c r="F263" s="35">
        <f>'GF + UG Iteration 10'!F263</f>
        <v>12.999999999999998</v>
      </c>
      <c r="G263" s="36">
        <f>'GF + UG Iteration 10'!G263</f>
        <v>1.1719780512644304</v>
      </c>
      <c r="H263" s="38">
        <f>'GF + UG Iteration 10'!H263</f>
        <v>2002</v>
      </c>
      <c r="I263" s="35">
        <f t="shared" si="30"/>
        <v>25.22</v>
      </c>
      <c r="J263" s="36">
        <f t="shared" si="31"/>
        <v>11.880553795422443</v>
      </c>
      <c r="K263" s="38">
        <f t="shared" si="32"/>
        <v>2002</v>
      </c>
      <c r="M263" s="21">
        <f t="shared" si="33"/>
        <v>3.2276373305367736</v>
      </c>
      <c r="N263" s="21">
        <f t="shared" si="34"/>
        <v>2.4749029286243172</v>
      </c>
    </row>
    <row r="264" spans="1:14" x14ac:dyDescent="0.2">
      <c r="A264" s="33">
        <f>'GF + UG Iteration 10'!A264</f>
        <v>645</v>
      </c>
      <c r="B264" s="34" t="str">
        <f>'GF + UG Iteration 10'!B264</f>
        <v>UG</v>
      </c>
      <c r="C264" s="35">
        <f>'GF + UG Iteration 10'!C264</f>
        <v>25.22</v>
      </c>
      <c r="D264" s="36">
        <f>'GF + UG Iteration 10'!P$16*(C264^'GF + UG Iteration 10'!P$15)</f>
        <v>16.214644364249402</v>
      </c>
      <c r="E264" s="37">
        <f>'GF + UG Iteration 10'!E264</f>
        <v>1986</v>
      </c>
      <c r="F264" s="35">
        <f>'GF + UG Iteration 10'!F264</f>
        <v>1</v>
      </c>
      <c r="G264" s="36">
        <f>'GF + UG Iteration 10'!G264</f>
        <v>0.22667756309168191</v>
      </c>
      <c r="H264" s="38">
        <f>'GF + UG Iteration 10'!H264</f>
        <v>2006</v>
      </c>
      <c r="I264" s="35">
        <f t="shared" si="30"/>
        <v>26.22</v>
      </c>
      <c r="J264" s="36">
        <f t="shared" si="31"/>
        <v>16.441321927341082</v>
      </c>
      <c r="K264" s="38">
        <f t="shared" si="32"/>
        <v>2006</v>
      </c>
      <c r="M264" s="21">
        <f t="shared" si="33"/>
        <v>3.2665224783355535</v>
      </c>
      <c r="N264" s="21">
        <f t="shared" si="34"/>
        <v>2.7997977956010489</v>
      </c>
    </row>
    <row r="265" spans="1:14" x14ac:dyDescent="0.2">
      <c r="A265" s="33">
        <f>'GF + UG Iteration 10'!A265</f>
        <v>720</v>
      </c>
      <c r="B265" s="34" t="str">
        <f>'GF + UG Iteration 10'!B265</f>
        <v>UG</v>
      </c>
      <c r="C265" s="35">
        <f>'GF + UG Iteration 10'!C265</f>
        <v>5.29</v>
      </c>
      <c r="D265" s="36">
        <f>'GF + UG Iteration 10'!P$16*(C265^'GF + UG Iteration 10'!P$15)</f>
        <v>6.6302976162753584</v>
      </c>
      <c r="E265" s="37">
        <f>'GF + UG Iteration 10'!E265</f>
        <v>1974</v>
      </c>
      <c r="F265" s="35">
        <f>'GF + UG Iteration 10'!F265</f>
        <v>3.9099999999999993</v>
      </c>
      <c r="G265" s="36">
        <f>'GF + UG Iteration 10'!G265</f>
        <v>3.214674226156069</v>
      </c>
      <c r="H265" s="38">
        <f>'GF + UG Iteration 10'!H265</f>
        <v>2009</v>
      </c>
      <c r="I265" s="35">
        <f t="shared" si="30"/>
        <v>9.1999999999999993</v>
      </c>
      <c r="J265" s="36">
        <f t="shared" si="31"/>
        <v>9.844971842431427</v>
      </c>
      <c r="K265" s="38">
        <f t="shared" si="32"/>
        <v>2009</v>
      </c>
      <c r="M265" s="21">
        <f t="shared" si="33"/>
        <v>2.2192034840549946</v>
      </c>
      <c r="N265" s="21">
        <f t="shared" si="34"/>
        <v>2.2869608519987739</v>
      </c>
    </row>
    <row r="266" spans="1:14" x14ac:dyDescent="0.2">
      <c r="A266" s="33">
        <f>'GF + UG Iteration 10'!A266</f>
        <v>1554</v>
      </c>
      <c r="B266" s="34" t="str">
        <f>'GF + UG Iteration 10'!B266</f>
        <v>UG</v>
      </c>
      <c r="C266" s="35">
        <f>'GF + UG Iteration 10'!C266</f>
        <v>18</v>
      </c>
      <c r="D266" s="36">
        <f>'GF + UG Iteration 10'!P$16*(C266^'GF + UG Iteration 10'!P$15)</f>
        <v>13.367194810425236</v>
      </c>
      <c r="E266" s="37">
        <f>'GF + UG Iteration 10'!E266</f>
        <v>2013</v>
      </c>
      <c r="F266" s="35">
        <f>'GF + UG Iteration 10'!F266</f>
        <v>13</v>
      </c>
      <c r="G266" s="36">
        <f>'GF + UG Iteration 10'!G266</f>
        <v>4.0040929633677633</v>
      </c>
      <c r="H266" s="38">
        <f>'GF + UG Iteration 10'!H266</f>
        <v>2015</v>
      </c>
      <c r="I266" s="35">
        <f t="shared" si="30"/>
        <v>31</v>
      </c>
      <c r="J266" s="36">
        <f t="shared" si="31"/>
        <v>17.371287773793</v>
      </c>
      <c r="K266" s="38">
        <f t="shared" si="32"/>
        <v>2015</v>
      </c>
      <c r="M266" s="21">
        <f t="shared" si="33"/>
        <v>3.4339872044851463</v>
      </c>
      <c r="N266" s="21">
        <f t="shared" si="34"/>
        <v>2.8548187153168589</v>
      </c>
    </row>
    <row r="267" spans="1:14" x14ac:dyDescent="0.2">
      <c r="A267" s="33">
        <f>'GF + UG Iteration 10'!A267</f>
        <v>1570</v>
      </c>
      <c r="B267" s="34" t="str">
        <f>'GF + UG Iteration 10'!B267</f>
        <v>UG</v>
      </c>
      <c r="C267" s="35">
        <f>'GF + UG Iteration 10'!C267</f>
        <v>12</v>
      </c>
      <c r="D267" s="36">
        <f>'GF + UG Iteration 10'!P$16*(C267^'GF + UG Iteration 10'!P$15)</f>
        <v>10.597760143799654</v>
      </c>
      <c r="E267" s="37">
        <f>'GF + UG Iteration 10'!E267</f>
        <v>0</v>
      </c>
      <c r="F267" s="35">
        <f>'GF + UG Iteration 10'!F267</f>
        <v>7</v>
      </c>
      <c r="G267" s="36">
        <f>'GF + UG Iteration 10'!G267</f>
        <v>5.7128729653456798</v>
      </c>
      <c r="H267" s="38">
        <f>'GF + UG Iteration 10'!H267</f>
        <v>2016</v>
      </c>
      <c r="I267" s="35">
        <f t="shared" si="30"/>
        <v>19</v>
      </c>
      <c r="J267" s="36">
        <f t="shared" si="31"/>
        <v>16.310633109145336</v>
      </c>
      <c r="K267" s="38">
        <f t="shared" si="32"/>
        <v>2016</v>
      </c>
      <c r="M267" s="21">
        <f t="shared" si="33"/>
        <v>2.9444389791664403</v>
      </c>
      <c r="N267" s="21">
        <f t="shared" si="34"/>
        <v>2.791817233117158</v>
      </c>
    </row>
    <row r="268" spans="1:14" x14ac:dyDescent="0.2">
      <c r="A268" s="33">
        <f>'GF + UG Iteration 10'!A268</f>
        <v>1280</v>
      </c>
      <c r="B268" s="34" t="str">
        <f>'GF + UG Iteration 10'!B268</f>
        <v>UG</v>
      </c>
      <c r="C268" s="35">
        <f>'GF + UG Iteration 10'!C268</f>
        <v>10</v>
      </c>
      <c r="D268" s="36">
        <f>'GF + UG Iteration 10'!P$16*(C268^'GF + UG Iteration 10'!P$15)</f>
        <v>9.5472116816385544</v>
      </c>
      <c r="E268" s="37">
        <f>'GF + UG Iteration 10'!E268</f>
        <v>0</v>
      </c>
      <c r="F268" s="35">
        <f>'GF + UG Iteration 10'!F268</f>
        <v>10</v>
      </c>
      <c r="G268" s="36">
        <f>'GF + UG Iteration 10'!G268</f>
        <v>3.9567117678399111</v>
      </c>
      <c r="H268" s="38">
        <f>'GF + UG Iteration 10'!H268</f>
        <v>2013</v>
      </c>
      <c r="I268" s="35">
        <f t="shared" si="30"/>
        <v>20</v>
      </c>
      <c r="J268" s="36">
        <f t="shared" si="31"/>
        <v>13.503923449478465</v>
      </c>
      <c r="K268" s="38">
        <f t="shared" si="32"/>
        <v>2013</v>
      </c>
      <c r="M268" s="21">
        <f t="shared" si="33"/>
        <v>2.9957322735539909</v>
      </c>
      <c r="N268" s="21">
        <f t="shared" si="34"/>
        <v>2.6029802691081549</v>
      </c>
    </row>
    <row r="269" spans="1:14" x14ac:dyDescent="0.2">
      <c r="A269" s="33">
        <f>'GF + UG Iteration 10'!A269</f>
        <v>659</v>
      </c>
      <c r="B269" s="34" t="str">
        <f>'GF + UG Iteration 10'!B269</f>
        <v>UG</v>
      </c>
      <c r="C269" s="35">
        <f>'GF + UG Iteration 10'!C269</f>
        <v>51</v>
      </c>
      <c r="D269" s="36">
        <f>'GF + UG Iteration 10'!P$16*(C269^'GF + UG Iteration 10'!P$15)</f>
        <v>24.267023675001418</v>
      </c>
      <c r="E269" s="37">
        <f>'GF + UG Iteration 10'!E269</f>
        <v>1974</v>
      </c>
      <c r="F269" s="35">
        <f>'GF + UG Iteration 10'!F269</f>
        <v>7</v>
      </c>
      <c r="G269" s="36">
        <f>'GF + UG Iteration 10'!G269</f>
        <v>0.19038861907506671</v>
      </c>
      <c r="H269" s="38">
        <f>'GF + UG Iteration 10'!H269</f>
        <v>2006</v>
      </c>
      <c r="I269" s="35">
        <f t="shared" si="30"/>
        <v>58</v>
      </c>
      <c r="J269" s="36">
        <f t="shared" si="31"/>
        <v>24.457412294076484</v>
      </c>
      <c r="K269" s="38">
        <f t="shared" si="32"/>
        <v>2006</v>
      </c>
      <c r="M269" s="21">
        <f t="shared" si="33"/>
        <v>4.0604430105464191</v>
      </c>
      <c r="N269" s="21">
        <f t="shared" si="34"/>
        <v>3.1969333312886974</v>
      </c>
    </row>
    <row r="270" spans="1:14" x14ac:dyDescent="0.2">
      <c r="A270" s="33">
        <f>'GF + UG Iteration 10'!A270</f>
        <v>1240</v>
      </c>
      <c r="B270" s="34" t="str">
        <f>'GF + UG Iteration 10'!B270</f>
        <v>UG</v>
      </c>
      <c r="C270" s="35">
        <f>'GF + UG Iteration 10'!C270</f>
        <v>9</v>
      </c>
      <c r="D270" s="36">
        <f>'GF + UG Iteration 10'!P$16*(C270^'GF + UG Iteration 10'!P$15)</f>
        <v>8.9882835558484349</v>
      </c>
      <c r="E270" s="37">
        <f>'GF + UG Iteration 10'!E270</f>
        <v>0</v>
      </c>
      <c r="F270" s="35">
        <f>'GF + UG Iteration 10'!F270</f>
        <v>12</v>
      </c>
      <c r="G270" s="36">
        <f>'GF + UG Iteration 10'!G270</f>
        <v>2.4762389627807444</v>
      </c>
      <c r="H270" s="38">
        <f>'GF + UG Iteration 10'!H270</f>
        <v>2013</v>
      </c>
      <c r="I270" s="35">
        <f t="shared" si="30"/>
        <v>21</v>
      </c>
      <c r="J270" s="36">
        <f t="shared" si="31"/>
        <v>11.464522518629179</v>
      </c>
      <c r="K270" s="38">
        <f t="shared" si="32"/>
        <v>2013</v>
      </c>
      <c r="M270" s="21">
        <f t="shared" si="33"/>
        <v>3.044522437723423</v>
      </c>
      <c r="N270" s="21">
        <f t="shared" si="34"/>
        <v>2.4392572685720659</v>
      </c>
    </row>
    <row r="271" spans="1:14" x14ac:dyDescent="0.2">
      <c r="A271" s="33">
        <f>'GF + UG Iteration 10'!A271</f>
        <v>317</v>
      </c>
      <c r="B271" s="34" t="str">
        <f>'GF + UG Iteration 10'!B271</f>
        <v>UG</v>
      </c>
      <c r="C271" s="35">
        <f>'GF + UG Iteration 10'!C271</f>
        <v>26.67</v>
      </c>
      <c r="D271" s="36">
        <f>'GF + UG Iteration 10'!P$16*(C271^'GF + UG Iteration 10'!P$15)</f>
        <v>16.742043551300419</v>
      </c>
      <c r="E271" s="37">
        <f>'GF + UG Iteration 10'!E271</f>
        <v>1978</v>
      </c>
      <c r="F271" s="35">
        <f>'GF + UG Iteration 10'!F271</f>
        <v>8.4600000000000009</v>
      </c>
      <c r="G271" s="36">
        <f>'GF + UG Iteration 10'!G271</f>
        <v>3.7336154837609361</v>
      </c>
      <c r="H271" s="38">
        <f>'GF + UG Iteration 10'!H271</f>
        <v>2002</v>
      </c>
      <c r="I271" s="35">
        <f t="shared" si="30"/>
        <v>35.130000000000003</v>
      </c>
      <c r="J271" s="36">
        <f t="shared" si="31"/>
        <v>20.475659035061355</v>
      </c>
      <c r="K271" s="38">
        <f t="shared" si="32"/>
        <v>2002</v>
      </c>
      <c r="M271" s="21">
        <f t="shared" si="33"/>
        <v>3.5590554662777358</v>
      </c>
      <c r="N271" s="21">
        <f t="shared" si="34"/>
        <v>3.0192368165257166</v>
      </c>
    </row>
    <row r="272" spans="1:14" x14ac:dyDescent="0.2">
      <c r="A272" s="33">
        <f>'GF + UG Iteration 10'!A272</f>
        <v>1510</v>
      </c>
      <c r="B272" s="34" t="str">
        <f>'GF + UG Iteration 10'!B272</f>
        <v>UG</v>
      </c>
      <c r="C272" s="35">
        <f>'GF + UG Iteration 10'!C272</f>
        <v>35.130000000000003</v>
      </c>
      <c r="D272" s="36">
        <f>'GF + UG Iteration 10'!P$16*(C272^'GF + UG Iteration 10'!P$15)</f>
        <v>19.602908271452236</v>
      </c>
      <c r="E272" s="37">
        <f>'GF + UG Iteration 10'!E272</f>
        <v>1978</v>
      </c>
      <c r="F272" s="35">
        <f>'GF + UG Iteration 10'!F272</f>
        <v>0</v>
      </c>
      <c r="G272" s="36">
        <f>'GF + UG Iteration 10'!G272</f>
        <v>1.0378442790997116</v>
      </c>
      <c r="H272" s="38">
        <f>'GF + UG Iteration 10'!H272</f>
        <v>2014</v>
      </c>
      <c r="I272" s="35">
        <f t="shared" si="30"/>
        <v>35.130000000000003</v>
      </c>
      <c r="J272" s="36">
        <f t="shared" si="31"/>
        <v>20.640752550551948</v>
      </c>
      <c r="K272" s="38">
        <f t="shared" si="32"/>
        <v>2014</v>
      </c>
      <c r="M272" s="21">
        <f t="shared" si="33"/>
        <v>3.5590554662777358</v>
      </c>
      <c r="N272" s="21">
        <f t="shared" si="34"/>
        <v>3.0272674007312395</v>
      </c>
    </row>
    <row r="273" spans="1:14" x14ac:dyDescent="0.2">
      <c r="A273" s="33">
        <f>'GF + UG Iteration 10'!A273</f>
        <v>1678</v>
      </c>
      <c r="B273" s="34" t="str">
        <f>'GF + UG Iteration 10'!B273</f>
        <v>UG</v>
      </c>
      <c r="C273" s="35">
        <f>'GF + UG Iteration 10'!C273</f>
        <v>71.19</v>
      </c>
      <c r="D273" s="36">
        <f>'GF + UG Iteration 10'!P$16*(C273^'GF + UG Iteration 10'!P$15)</f>
        <v>29.373380612772731</v>
      </c>
      <c r="E273" s="37">
        <f>'GF + UG Iteration 10'!E273</f>
        <v>0</v>
      </c>
      <c r="F273" s="35">
        <f>'GF + UG Iteration 10'!F273</f>
        <v>3.8100000000000023</v>
      </c>
      <c r="G273" s="36">
        <f>'GF + UG Iteration 10'!G273</f>
        <v>0.1876880715541229</v>
      </c>
      <c r="H273" s="38">
        <f>'GF + UG Iteration 10'!H273</f>
        <v>2015</v>
      </c>
      <c r="I273" s="35">
        <f t="shared" si="30"/>
        <v>75</v>
      </c>
      <c r="J273" s="36">
        <f t="shared" si="31"/>
        <v>29.561068684326855</v>
      </c>
      <c r="K273" s="38">
        <f t="shared" si="32"/>
        <v>2015</v>
      </c>
      <c r="M273" s="21">
        <f t="shared" si="33"/>
        <v>4.3174881135363101</v>
      </c>
      <c r="N273" s="21">
        <f t="shared" si="34"/>
        <v>3.3864582484822074</v>
      </c>
    </row>
    <row r="274" spans="1:14" x14ac:dyDescent="0.2">
      <c r="A274" s="33">
        <f>'GF + UG Iteration 10'!A274</f>
        <v>409</v>
      </c>
      <c r="B274" s="34" t="str">
        <f>'GF + UG Iteration 10'!B274</f>
        <v>UG</v>
      </c>
      <c r="C274" s="35">
        <f>'GF + UG Iteration 10'!C274</f>
        <v>50.9</v>
      </c>
      <c r="D274" s="36">
        <f>'GF + UG Iteration 10'!P$16*(C274^'GF + UG Iteration 10'!P$15)</f>
        <v>24.23976755579093</v>
      </c>
      <c r="E274" s="37" t="str">
        <f>'GF + UG Iteration 10'!E274</f>
        <v>unknown</v>
      </c>
      <c r="F274" s="35">
        <f>'GF + UG Iteration 10'!F274</f>
        <v>0</v>
      </c>
      <c r="G274" s="36">
        <f>'GF + UG Iteration 10'!G274</f>
        <v>6.9500275644125207</v>
      </c>
      <c r="H274" s="38">
        <f>'GF + UG Iteration 10'!H274</f>
        <v>2004</v>
      </c>
      <c r="I274" s="35">
        <f t="shared" si="30"/>
        <v>50.9</v>
      </c>
      <c r="J274" s="36">
        <f t="shared" si="31"/>
        <v>31.189795120203449</v>
      </c>
      <c r="K274" s="38">
        <f t="shared" si="32"/>
        <v>2004</v>
      </c>
      <c r="M274" s="21">
        <f t="shared" si="33"/>
        <v>3.929862923556477</v>
      </c>
      <c r="N274" s="21">
        <f t="shared" si="34"/>
        <v>3.4400909618326181</v>
      </c>
    </row>
    <row r="275" spans="1:14" x14ac:dyDescent="0.2">
      <c r="A275" s="33">
        <f>'GF + UG Iteration 10'!A275</f>
        <v>620</v>
      </c>
      <c r="B275" s="34" t="str">
        <f>'GF + UG Iteration 10'!B275</f>
        <v>UG</v>
      </c>
      <c r="C275" s="35">
        <f>'GF + UG Iteration 10'!C275</f>
        <v>66.040000000000006</v>
      </c>
      <c r="D275" s="36">
        <f>'GF + UG Iteration 10'!P$16*(C275^'GF + UG Iteration 10'!P$15)</f>
        <v>28.137209300251975</v>
      </c>
      <c r="E275" s="37" t="str">
        <f>'GF + UG Iteration 10'!E275</f>
        <v>unknown</v>
      </c>
      <c r="F275" s="35">
        <f>'GF + UG Iteration 10'!F275</f>
        <v>1</v>
      </c>
      <c r="G275" s="36">
        <f>'GF + UG Iteration 10'!G275</f>
        <v>5.2327101351069411E-2</v>
      </c>
      <c r="H275" s="38">
        <f>'GF + UG Iteration 10'!H275</f>
        <v>2006</v>
      </c>
      <c r="I275" s="35">
        <f t="shared" si="30"/>
        <v>67.040000000000006</v>
      </c>
      <c r="J275" s="36">
        <f t="shared" si="31"/>
        <v>28.189536401603043</v>
      </c>
      <c r="K275" s="38">
        <f t="shared" si="32"/>
        <v>2006</v>
      </c>
      <c r="M275" s="21">
        <f t="shared" si="33"/>
        <v>4.2052894561738281</v>
      </c>
      <c r="N275" s="21">
        <f t="shared" si="34"/>
        <v>3.3389508594995916</v>
      </c>
    </row>
    <row r="276" spans="1:14" x14ac:dyDescent="0.2">
      <c r="A276" s="33">
        <f>'GF + UG Iteration 10'!A276</f>
        <v>1085</v>
      </c>
      <c r="B276" s="34" t="str">
        <f>'GF + UG Iteration 10'!B276</f>
        <v>UG</v>
      </c>
      <c r="C276" s="35">
        <f>'GF + UG Iteration 10'!C276</f>
        <v>67.040000000000006</v>
      </c>
      <c r="D276" s="36">
        <f>'GF + UG Iteration 10'!P$16*(C276^'GF + UG Iteration 10'!P$15)</f>
        <v>28.380380365830522</v>
      </c>
      <c r="E276" s="37" t="str">
        <f>'GF + UG Iteration 10'!E276</f>
        <v>unknown</v>
      </c>
      <c r="F276" s="35">
        <f>'GF + UG Iteration 10'!F276</f>
        <v>2</v>
      </c>
      <c r="G276" s="36">
        <f>'GF + UG Iteration 10'!G276</f>
        <v>7.9312358901564406E-2</v>
      </c>
      <c r="H276" s="38">
        <f>'GF + UG Iteration 10'!H276</f>
        <v>2010</v>
      </c>
      <c r="I276" s="35">
        <f t="shared" si="30"/>
        <v>69.040000000000006</v>
      </c>
      <c r="J276" s="36">
        <f t="shared" si="31"/>
        <v>28.459692724732086</v>
      </c>
      <c r="K276" s="38">
        <f t="shared" si="32"/>
        <v>2010</v>
      </c>
      <c r="M276" s="21">
        <f t="shared" si="33"/>
        <v>4.234686046775173</v>
      </c>
      <c r="N276" s="21">
        <f t="shared" si="34"/>
        <v>3.3484887958617517</v>
      </c>
    </row>
    <row r="277" spans="1:14" x14ac:dyDescent="0.2">
      <c r="A277" s="33">
        <f>'GF + UG Iteration 10'!A277</f>
        <v>589</v>
      </c>
      <c r="B277" s="34" t="str">
        <f>'GF + UG Iteration 10'!B277</f>
        <v>UG</v>
      </c>
      <c r="C277" s="35">
        <f>'GF + UG Iteration 10'!C277</f>
        <v>36.963000000000001</v>
      </c>
      <c r="D277" s="36">
        <f>'GF + UG Iteration 10'!P$16*(C277^'GF + UG Iteration 10'!P$15)</f>
        <v>20.182187905525588</v>
      </c>
      <c r="E277" s="37">
        <f>'GF + UG Iteration 10'!E277</f>
        <v>1974</v>
      </c>
      <c r="F277" s="35">
        <f>'GF + UG Iteration 10'!F277</f>
        <v>0</v>
      </c>
      <c r="G277" s="36">
        <f>'GF + UG Iteration 10'!G277</f>
        <v>3.2007376892660457E-2</v>
      </c>
      <c r="H277" s="38">
        <f>'GF + UG Iteration 10'!H277</f>
        <v>2005</v>
      </c>
      <c r="I277" s="35">
        <f t="shared" si="30"/>
        <v>36.963000000000001</v>
      </c>
      <c r="J277" s="36">
        <f t="shared" si="31"/>
        <v>20.214195282418249</v>
      </c>
      <c r="K277" s="38">
        <f t="shared" si="32"/>
        <v>2005</v>
      </c>
      <c r="M277" s="21">
        <f t="shared" si="33"/>
        <v>3.609917412310641</v>
      </c>
      <c r="N277" s="21">
        <f t="shared" si="34"/>
        <v>3.0063850943566841</v>
      </c>
    </row>
    <row r="278" spans="1:14" x14ac:dyDescent="0.2">
      <c r="A278" s="33">
        <f>'GF + UG Iteration 10'!A278</f>
        <v>836</v>
      </c>
      <c r="B278" s="34" t="str">
        <f>'GF + UG Iteration 10'!B278</f>
        <v>UG</v>
      </c>
      <c r="C278" s="35">
        <f>'GF + UG Iteration 10'!C278</f>
        <v>33.963000000000001</v>
      </c>
      <c r="D278" s="36">
        <f>'GF + UG Iteration 10'!P$16*(C278^'GF + UG Iteration 10'!P$15)</f>
        <v>19.227355927325522</v>
      </c>
      <c r="E278" s="37">
        <f>'GF + UG Iteration 10'!E278</f>
        <v>1974</v>
      </c>
      <c r="F278" s="35">
        <f>'GF + UG Iteration 10'!F278</f>
        <v>10.036999999999999</v>
      </c>
      <c r="G278" s="36">
        <f>'GF + UG Iteration 10'!G278</f>
        <v>0.20824846319974696</v>
      </c>
      <c r="H278" s="38">
        <f>'GF + UG Iteration 10'!H278</f>
        <v>2008</v>
      </c>
      <c r="I278" s="35">
        <f t="shared" si="30"/>
        <v>44</v>
      </c>
      <c r="J278" s="36">
        <f t="shared" si="31"/>
        <v>19.43560439052527</v>
      </c>
      <c r="K278" s="38">
        <f t="shared" si="32"/>
        <v>2008</v>
      </c>
      <c r="M278" s="21">
        <f t="shared" si="33"/>
        <v>3.784189633918261</v>
      </c>
      <c r="N278" s="21">
        <f t="shared" si="34"/>
        <v>2.9671066618667172</v>
      </c>
    </row>
    <row r="279" spans="1:14" x14ac:dyDescent="0.2">
      <c r="A279" s="33">
        <f>'GF + UG Iteration 10'!A279</f>
        <v>1417</v>
      </c>
      <c r="B279" s="34" t="str">
        <f>'GF + UG Iteration 10'!B279</f>
        <v>UG</v>
      </c>
      <c r="C279" s="35">
        <f>'GF + UG Iteration 10'!C279</f>
        <v>53.176000000000002</v>
      </c>
      <c r="D279" s="36">
        <f>'GF + UG Iteration 10'!P$16*(C279^'GF + UG Iteration 10'!P$15)</f>
        <v>24.85456941273517</v>
      </c>
      <c r="E279" s="37">
        <f>'GF + UG Iteration 10'!E279</f>
        <v>0</v>
      </c>
      <c r="F279" s="35">
        <f>'GF + UG Iteration 10'!F279</f>
        <v>2.8239999999999981</v>
      </c>
      <c r="G279" s="36">
        <f>'GF + UG Iteration 10'!G279</f>
        <v>0.36631755287404399</v>
      </c>
      <c r="H279" s="38">
        <f>'GF + UG Iteration 10'!H279</f>
        <v>2013</v>
      </c>
      <c r="I279" s="35">
        <f t="shared" si="30"/>
        <v>56</v>
      </c>
      <c r="J279" s="36">
        <f t="shared" si="31"/>
        <v>25.220886965609214</v>
      </c>
      <c r="K279" s="38">
        <f t="shared" si="32"/>
        <v>2013</v>
      </c>
      <c r="M279" s="21">
        <f t="shared" si="33"/>
        <v>4.0253516907351496</v>
      </c>
      <c r="N279" s="21">
        <f t="shared" si="34"/>
        <v>3.227672499054326</v>
      </c>
    </row>
    <row r="280" spans="1:14" x14ac:dyDescent="0.2">
      <c r="A280" s="33">
        <f>'GF + UG Iteration 10'!A280</f>
        <v>1575</v>
      </c>
      <c r="B280" s="34" t="str">
        <f>'GF + UG Iteration 10'!B280</f>
        <v>UG</v>
      </c>
      <c r="C280" s="35">
        <f>'GF + UG Iteration 10'!C280</f>
        <v>107.8</v>
      </c>
      <c r="D280" s="36">
        <f>'GF + UG Iteration 10'!P$16*(C280^'GF + UG Iteration 10'!P$15)</f>
        <v>37.250539830939566</v>
      </c>
      <c r="E280" s="37">
        <f>'GF + UG Iteration 10'!E280</f>
        <v>0</v>
      </c>
      <c r="F280" s="35">
        <f>'GF + UG Iteration 10'!F280</f>
        <v>2.2000000000000028</v>
      </c>
      <c r="G280" s="36">
        <f>'GF + UG Iteration 10'!G280</f>
        <v>8.4606138058298655E-2</v>
      </c>
      <c r="H280" s="38">
        <f>'GF + UG Iteration 10'!H280</f>
        <v>2014</v>
      </c>
      <c r="I280" s="35">
        <f t="shared" si="30"/>
        <v>110</v>
      </c>
      <c r="J280" s="36">
        <f t="shared" si="31"/>
        <v>37.335145968997864</v>
      </c>
      <c r="K280" s="38">
        <f t="shared" si="32"/>
        <v>2014</v>
      </c>
      <c r="M280" s="21">
        <f t="shared" si="33"/>
        <v>4.7004803657924166</v>
      </c>
      <c r="N280" s="21">
        <f t="shared" si="34"/>
        <v>3.6199351341893529</v>
      </c>
    </row>
    <row r="281" spans="1:14" x14ac:dyDescent="0.2">
      <c r="A281" s="33">
        <f>'GF + UG Iteration 10'!A281</f>
        <v>1480</v>
      </c>
      <c r="B281" s="34" t="str">
        <f>'GF + UG Iteration 10'!B281</f>
        <v>UG</v>
      </c>
      <c r="C281" s="35">
        <f>'GF + UG Iteration 10'!C281</f>
        <v>92</v>
      </c>
      <c r="D281" s="36">
        <f>'GF + UG Iteration 10'!P$16*(C281^'GF + UG Iteration 10'!P$15)</f>
        <v>34.018989592924029</v>
      </c>
      <c r="E281" s="37">
        <f>'GF + UG Iteration 10'!E281</f>
        <v>0</v>
      </c>
      <c r="F281" s="35">
        <f>'GF + UG Iteration 10'!F281</f>
        <v>9</v>
      </c>
      <c r="G281" s="36">
        <f>'GF + UG Iteration 10'!G281</f>
        <v>1.4186292000498641</v>
      </c>
      <c r="H281" s="38">
        <f>'GF + UG Iteration 10'!H281</f>
        <v>2015</v>
      </c>
      <c r="I281" s="35">
        <f t="shared" si="30"/>
        <v>101</v>
      </c>
      <c r="J281" s="36">
        <f t="shared" si="31"/>
        <v>35.437618792973893</v>
      </c>
      <c r="K281" s="38">
        <f t="shared" si="32"/>
        <v>2015</v>
      </c>
      <c r="M281" s="21">
        <f t="shared" si="33"/>
        <v>4.6151205168412597</v>
      </c>
      <c r="N281" s="21">
        <f t="shared" si="34"/>
        <v>3.5677739336650371</v>
      </c>
    </row>
    <row r="282" spans="1:14" x14ac:dyDescent="0.2">
      <c r="A282" s="33">
        <f>'GF + UG Iteration 10'!A282</f>
        <v>1644</v>
      </c>
      <c r="B282" s="34" t="str">
        <f>'GF + UG Iteration 10'!B282</f>
        <v>UG</v>
      </c>
      <c r="C282" s="35">
        <f>'GF + UG Iteration 10'!C282</f>
        <v>25</v>
      </c>
      <c r="D282" s="36">
        <f>'GF + UG Iteration 10'!P$16*(C282^'GF + UG Iteration 10'!P$15)</f>
        <v>16.133504768399064</v>
      </c>
      <c r="E282" s="37">
        <f>'GF + UG Iteration 10'!E282</f>
        <v>0</v>
      </c>
      <c r="F282" s="35">
        <f>'GF + UG Iteration 10'!F282</f>
        <v>14</v>
      </c>
      <c r="G282" s="36">
        <f>'GF + UG Iteration 10'!G282</f>
        <v>6.4881768587089867</v>
      </c>
      <c r="H282" s="38">
        <f>'GF + UG Iteration 10'!H282</f>
        <v>2016</v>
      </c>
      <c r="I282" s="35">
        <f t="shared" si="30"/>
        <v>39</v>
      </c>
      <c r="J282" s="36">
        <f t="shared" si="31"/>
        <v>22.62168162710805</v>
      </c>
      <c r="K282" s="38">
        <f t="shared" si="32"/>
        <v>2016</v>
      </c>
      <c r="M282" s="21">
        <f t="shared" si="33"/>
        <v>3.6635616461296463</v>
      </c>
      <c r="N282" s="21">
        <f t="shared" si="34"/>
        <v>3.1189088104140121</v>
      </c>
    </row>
    <row r="283" spans="1:14" x14ac:dyDescent="0.2">
      <c r="A283" s="33">
        <f>'GF + UG Iteration 10'!A283</f>
        <v>1276</v>
      </c>
      <c r="B283" s="34" t="str">
        <f>'GF + UG Iteration 10'!B283</f>
        <v>UG</v>
      </c>
      <c r="C283" s="35">
        <f>'GF + UG Iteration 10'!C283</f>
        <v>34</v>
      </c>
      <c r="D283" s="36">
        <f>'GF + UG Iteration 10'!P$16*(C283^'GF + UG Iteration 10'!P$15)</f>
        <v>19.239346770872075</v>
      </c>
      <c r="E283" s="37" t="str">
        <f>'GF + UG Iteration 10'!E283</f>
        <v>unknown</v>
      </c>
      <c r="F283" s="35">
        <f>'GF + UG Iteration 10'!F283</f>
        <v>4</v>
      </c>
      <c r="G283" s="36">
        <f>'GF + UG Iteration 10'!G283</f>
        <v>0.69755192087391271</v>
      </c>
      <c r="H283" s="38">
        <f>'GF + UG Iteration 10'!H283</f>
        <v>2012</v>
      </c>
      <c r="I283" s="35">
        <f t="shared" si="30"/>
        <v>38</v>
      </c>
      <c r="J283" s="36">
        <f t="shared" si="31"/>
        <v>19.936898691745988</v>
      </c>
      <c r="K283" s="38">
        <f t="shared" si="32"/>
        <v>2012</v>
      </c>
      <c r="M283" s="21">
        <f t="shared" si="33"/>
        <v>3.6375861597263857</v>
      </c>
      <c r="N283" s="21">
        <f t="shared" si="34"/>
        <v>2.9925722204286083</v>
      </c>
    </row>
    <row r="284" spans="1:14" x14ac:dyDescent="0.2">
      <c r="A284" s="33">
        <f>'GF + UG Iteration 10'!A284</f>
        <v>823</v>
      </c>
      <c r="B284" s="34" t="str">
        <f>'GF + UG Iteration 10'!B284</f>
        <v>UG</v>
      </c>
      <c r="C284" s="35">
        <f>'GF + UG Iteration 10'!C284</f>
        <v>10</v>
      </c>
      <c r="D284" s="36">
        <f>'GF + UG Iteration 10'!P$16*(C284^'GF + UG Iteration 10'!P$15)</f>
        <v>9.5472116816385544</v>
      </c>
      <c r="E284" s="37" t="str">
        <f>'GF + UG Iteration 10'!E284</f>
        <v>unknown</v>
      </c>
      <c r="F284" s="35">
        <f>'GF + UG Iteration 10'!F284</f>
        <v>25</v>
      </c>
      <c r="G284" s="36">
        <f>'GF + UG Iteration 10'!G284</f>
        <v>8.3156614233786232</v>
      </c>
      <c r="H284" s="38">
        <f>'GF + UG Iteration 10'!H284</f>
        <v>2009</v>
      </c>
      <c r="I284" s="35">
        <f t="shared" si="30"/>
        <v>35</v>
      </c>
      <c r="J284" s="36">
        <f t="shared" si="31"/>
        <v>17.862873105017179</v>
      </c>
      <c r="K284" s="38">
        <f t="shared" si="32"/>
        <v>2009</v>
      </c>
      <c r="M284" s="21">
        <f t="shared" si="33"/>
        <v>3.5553480614894135</v>
      </c>
      <c r="N284" s="21">
        <f t="shared" si="34"/>
        <v>2.8827244306525204</v>
      </c>
    </row>
    <row r="285" spans="1:14" x14ac:dyDescent="0.2">
      <c r="A285" s="33">
        <f>'GF + UG Iteration 10'!A285</f>
        <v>1601</v>
      </c>
      <c r="B285" s="34" t="str">
        <f>'GF + UG Iteration 10'!B285</f>
        <v>UG</v>
      </c>
      <c r="C285" s="35">
        <f>'GF + UG Iteration 10'!C285</f>
        <v>77</v>
      </c>
      <c r="D285" s="36">
        <f>'GF + UG Iteration 10'!P$16*(C285^'GF + UG Iteration 10'!P$15)</f>
        <v>30.722934702252306</v>
      </c>
      <c r="E285" s="37">
        <f>'GF + UG Iteration 10'!E285</f>
        <v>0</v>
      </c>
      <c r="F285" s="35">
        <f>'GF + UG Iteration 10'!F285</f>
        <v>0</v>
      </c>
      <c r="G285" s="36">
        <f>'GF + UG Iteration 10'!G285</f>
        <v>4.0094648670350015</v>
      </c>
      <c r="H285" s="38">
        <f>'GF + UG Iteration 10'!H285</f>
        <v>2015</v>
      </c>
      <c r="I285" s="35">
        <f t="shared" si="30"/>
        <v>77</v>
      </c>
      <c r="J285" s="36">
        <f t="shared" si="31"/>
        <v>34.73239956928731</v>
      </c>
      <c r="K285" s="38">
        <f t="shared" si="32"/>
        <v>2015</v>
      </c>
      <c r="M285" s="21">
        <f t="shared" si="33"/>
        <v>4.3438054218536841</v>
      </c>
      <c r="N285" s="21">
        <f t="shared" si="34"/>
        <v>3.5476729564880722</v>
      </c>
    </row>
    <row r="286" spans="1:14" x14ac:dyDescent="0.2">
      <c r="A286" s="33">
        <f>'GF + UG Iteration 10'!A286</f>
        <v>1046</v>
      </c>
      <c r="B286" s="34" t="str">
        <f>'GF + UG Iteration 10'!B286</f>
        <v>UG</v>
      </c>
      <c r="C286" s="35">
        <f>'GF + UG Iteration 10'!C286</f>
        <v>33</v>
      </c>
      <c r="D286" s="36">
        <f>'GF + UG Iteration 10'!P$16*(C286^'GF + UG Iteration 10'!P$15)</f>
        <v>18.913279746591314</v>
      </c>
      <c r="E286" s="37" t="str">
        <f>'GF + UG Iteration 10'!E286</f>
        <v>unknown</v>
      </c>
      <c r="F286" s="35">
        <f>'GF + UG Iteration 10'!F286</f>
        <v>17</v>
      </c>
      <c r="G286" s="36">
        <f>'GF + UG Iteration 10'!G286</f>
        <v>13.838101419471103</v>
      </c>
      <c r="H286" s="38">
        <f>'GF + UG Iteration 10'!H286</f>
        <v>2011</v>
      </c>
      <c r="I286" s="35">
        <f t="shared" si="30"/>
        <v>50</v>
      </c>
      <c r="J286" s="36">
        <f t="shared" si="31"/>
        <v>32.751381166062416</v>
      </c>
      <c r="K286" s="38">
        <f t="shared" si="32"/>
        <v>2011</v>
      </c>
      <c r="M286" s="21">
        <f t="shared" si="33"/>
        <v>3.912023005428146</v>
      </c>
      <c r="N286" s="21">
        <f t="shared" si="34"/>
        <v>3.4889451342015438</v>
      </c>
    </row>
    <row r="287" spans="1:14" x14ac:dyDescent="0.2">
      <c r="A287" s="33">
        <f>'GF + UG Iteration 10'!A287</f>
        <v>873</v>
      </c>
      <c r="B287" s="34" t="str">
        <f>'GF + UG Iteration 10'!B287</f>
        <v>UG</v>
      </c>
      <c r="C287" s="35">
        <f>'GF + UG Iteration 10'!C287</f>
        <v>38</v>
      </c>
      <c r="D287" s="36">
        <f>'GF + UG Iteration 10'!P$16*(C287^'GF + UG Iteration 10'!P$15)</f>
        <v>20.504471363955595</v>
      </c>
      <c r="E287" s="37" t="str">
        <f>'GF + UG Iteration 10'!E287</f>
        <v>unknown</v>
      </c>
      <c r="F287" s="35">
        <f>'GF + UG Iteration 10'!F287</f>
        <v>10</v>
      </c>
      <c r="G287" s="36">
        <f>'GF + UG Iteration 10'!G287</f>
        <v>10.835025062169574</v>
      </c>
      <c r="H287" s="38">
        <f>'GF + UG Iteration 10'!H287</f>
        <v>2011</v>
      </c>
      <c r="I287" s="35">
        <f t="shared" si="30"/>
        <v>48</v>
      </c>
      <c r="J287" s="36">
        <f t="shared" si="31"/>
        <v>31.339496426125169</v>
      </c>
      <c r="K287" s="38">
        <f t="shared" si="32"/>
        <v>2011</v>
      </c>
      <c r="M287" s="21">
        <f t="shared" si="33"/>
        <v>3.8712010109078911</v>
      </c>
      <c r="N287" s="21">
        <f t="shared" si="34"/>
        <v>3.4448791687108802</v>
      </c>
    </row>
    <row r="288" spans="1:14" x14ac:dyDescent="0.2">
      <c r="A288" s="33">
        <f>'GF + UG Iteration 10'!A288</f>
        <v>630</v>
      </c>
      <c r="B288" s="34" t="str">
        <f>'GF + UG Iteration 10'!B288</f>
        <v>UG</v>
      </c>
      <c r="C288" s="35">
        <f>'GF + UG Iteration 10'!C288</f>
        <v>36.4</v>
      </c>
      <c r="D288" s="36">
        <f>'GF + UG Iteration 10'!P$16*(C288^'GF + UG Iteration 10'!P$15)</f>
        <v>20.005597671053938</v>
      </c>
      <c r="E288" s="37" t="str">
        <f>'GF + UG Iteration 10'!E288</f>
        <v>unknown</v>
      </c>
      <c r="F288" s="35">
        <f>'GF + UG Iteration 10'!F288</f>
        <v>3.6000000000000014</v>
      </c>
      <c r="G288" s="36">
        <f>'GF + UG Iteration 10'!G288</f>
        <v>0.76181860016629799</v>
      </c>
      <c r="H288" s="38">
        <f>'GF + UG Iteration 10'!H288</f>
        <v>2007</v>
      </c>
      <c r="I288" s="35">
        <f t="shared" si="30"/>
        <v>40</v>
      </c>
      <c r="J288" s="36">
        <f t="shared" si="31"/>
        <v>20.767416271220235</v>
      </c>
      <c r="K288" s="38">
        <f t="shared" si="32"/>
        <v>2007</v>
      </c>
      <c r="M288" s="21">
        <f t="shared" si="33"/>
        <v>3.6888794541139363</v>
      </c>
      <c r="N288" s="21">
        <f t="shared" si="34"/>
        <v>3.0333852330012929</v>
      </c>
    </row>
    <row r="289" spans="1:20" x14ac:dyDescent="0.2">
      <c r="A289" s="33">
        <f>'GF + UG Iteration 10'!A289</f>
        <v>1107</v>
      </c>
      <c r="B289" s="34" t="str">
        <f>'GF + UG Iteration 10'!B289</f>
        <v>UG</v>
      </c>
      <c r="C289" s="35">
        <f>'GF + UG Iteration 10'!C289</f>
        <v>16</v>
      </c>
      <c r="D289" s="36">
        <f>'GF + UG Iteration 10'!P$16*(C289^'GF + UG Iteration 10'!P$15)</f>
        <v>12.495435793459116</v>
      </c>
      <c r="E289" s="37">
        <f>'GF + UG Iteration 10'!E289</f>
        <v>2010</v>
      </c>
      <c r="F289" s="35">
        <f>'GF + UG Iteration 10'!F289</f>
        <v>24</v>
      </c>
      <c r="G289" s="36">
        <f>'GF + UG Iteration 10'!G289</f>
        <v>7.7000094501504579</v>
      </c>
      <c r="H289" s="38">
        <f>'GF + UG Iteration 10'!H289</f>
        <v>2014</v>
      </c>
      <c r="I289" s="35">
        <f t="shared" si="30"/>
        <v>40</v>
      </c>
      <c r="J289" s="36">
        <f t="shared" si="31"/>
        <v>20.195445243609573</v>
      </c>
      <c r="K289" s="38">
        <f t="shared" si="32"/>
        <v>2014</v>
      </c>
      <c r="M289" s="21">
        <f t="shared" si="33"/>
        <v>3.6888794541139363</v>
      </c>
      <c r="N289" s="21">
        <f t="shared" si="34"/>
        <v>3.0054570959924227</v>
      </c>
    </row>
    <row r="290" spans="1:20" x14ac:dyDescent="0.2">
      <c r="A290" s="33">
        <f>'GF + UG Iteration 10'!A290</f>
        <v>682</v>
      </c>
      <c r="B290" s="34" t="str">
        <f>'GF + UG Iteration 10'!B290</f>
        <v>UG</v>
      </c>
      <c r="C290" s="35">
        <f>'GF + UG Iteration 10'!C290</f>
        <v>12</v>
      </c>
      <c r="D290" s="36">
        <f>'GF + UG Iteration 10'!P$16*(C290^'GF + UG Iteration 10'!P$15)</f>
        <v>10.597760143799654</v>
      </c>
      <c r="E290" s="37">
        <f>'GF + UG Iteration 10'!E290</f>
        <v>2005</v>
      </c>
      <c r="F290" s="35">
        <f>'GF + UG Iteration 10'!F290</f>
        <v>18</v>
      </c>
      <c r="G290" s="36">
        <f>'GF + UG Iteration 10'!G290</f>
        <v>4.2252233548626927</v>
      </c>
      <c r="H290" s="38">
        <f>'GF + UG Iteration 10'!H290</f>
        <v>2009</v>
      </c>
      <c r="I290" s="35">
        <f t="shared" ref="I290:I291" si="35">C290+F290</f>
        <v>30</v>
      </c>
      <c r="J290" s="36">
        <f t="shared" ref="J290:J291" si="36">D290+G290</f>
        <v>14.822983498662346</v>
      </c>
      <c r="K290" s="38">
        <f t="shared" ref="K290:K291" si="37">MAX(E290,H290)</f>
        <v>2009</v>
      </c>
      <c r="M290" s="21">
        <f t="shared" ref="M290:M291" si="38">LN(I290)</f>
        <v>3.4011973816621555</v>
      </c>
      <c r="N290" s="21">
        <f t="shared" ref="N290:N291" si="39">LN(J290)</f>
        <v>2.6961789153058682</v>
      </c>
    </row>
    <row r="291" spans="1:20" x14ac:dyDescent="0.2">
      <c r="A291" s="33">
        <f>'GF + UG Iteration 10'!A291</f>
        <v>677</v>
      </c>
      <c r="B291" s="34" t="str">
        <f>'GF + UG Iteration 10'!B291</f>
        <v>UG</v>
      </c>
      <c r="C291" s="35">
        <f>'GF + UG Iteration 10'!C291</f>
        <v>117</v>
      </c>
      <c r="D291" s="36">
        <f>'GF + UG Iteration 10'!P$16*(C291^'GF + UG Iteration 10'!P$15)</f>
        <v>39.038898278041479</v>
      </c>
      <c r="E291" s="37" t="str">
        <f>'GF + UG Iteration 10'!E291</f>
        <v>unknown</v>
      </c>
      <c r="F291" s="35">
        <f>'GF + UG Iteration 10'!F291</f>
        <v>0</v>
      </c>
      <c r="G291" s="36">
        <f>'GF + UG Iteration 10'!G291</f>
        <v>5.9672660834890454</v>
      </c>
      <c r="H291" s="38">
        <f>'GF + UG Iteration 10'!H291</f>
        <v>2009</v>
      </c>
      <c r="I291" s="35">
        <f t="shared" si="35"/>
        <v>117</v>
      </c>
      <c r="J291" s="36">
        <f t="shared" si="36"/>
        <v>45.006164361530523</v>
      </c>
      <c r="K291" s="38">
        <f t="shared" si="37"/>
        <v>2009</v>
      </c>
      <c r="M291" s="21">
        <f t="shared" si="38"/>
        <v>4.7621739347977563</v>
      </c>
      <c r="N291" s="21">
        <f t="shared" si="39"/>
        <v>3.8067994662004097</v>
      </c>
    </row>
    <row r="292" spans="1:20" x14ac:dyDescent="0.2">
      <c r="A292" s="33">
        <f>'GF + UG Iteration 10'!A292</f>
        <v>643</v>
      </c>
      <c r="B292" s="34" t="str">
        <f>'GF + UG Iteration 10'!B292</f>
        <v>UG</v>
      </c>
      <c r="C292" s="35">
        <f>'GF + UG Iteration 10'!C292</f>
        <v>53.37</v>
      </c>
      <c r="D292" s="36">
        <f>'GF + UG Iteration 10'!P$16*(C292^'GF + UG Iteration 10'!P$15)</f>
        <v>24.906448188541592</v>
      </c>
      <c r="E292" s="37" t="str">
        <f>'GF + UG Iteration 10'!E292</f>
        <v>unknown</v>
      </c>
      <c r="F292" s="35">
        <f>'GF + UG Iteration 10'!F292</f>
        <v>0.5</v>
      </c>
      <c r="G292" s="36">
        <f>'GF + UG Iteration 10'!G292</f>
        <v>4.4086715648995529</v>
      </c>
      <c r="H292" s="38">
        <f>'GF + UG Iteration 10'!H292</f>
        <v>2009</v>
      </c>
      <c r="I292" s="35">
        <f t="shared" si="30"/>
        <v>53.87</v>
      </c>
      <c r="J292" s="36">
        <f t="shared" si="31"/>
        <v>29.315119753441145</v>
      </c>
      <c r="K292" s="38">
        <f t="shared" si="32"/>
        <v>2009</v>
      </c>
      <c r="M292" s="21">
        <f t="shared" si="33"/>
        <v>3.9865737366924425</v>
      </c>
      <c r="N292" s="21">
        <f t="shared" si="34"/>
        <v>3.3781034154646705</v>
      </c>
    </row>
    <row r="294" spans="1:20" s="9" customFormat="1" x14ac:dyDescent="0.2">
      <c r="A294" s="26" t="s">
        <v>29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46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8" activePane="bottomLeft" state="frozen"/>
      <selection activeCell="A4" sqref="A4"/>
      <selection pane="bottomLeft" activeCell="A8" sqref="A8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54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G - Point of Delivery Cost Function Workbook</v>
      </c>
    </row>
    <row r="4" spans="1:20" s="1" customFormat="1" x14ac:dyDescent="0.2">
      <c r="A4" s="1" t="s">
        <v>980</v>
      </c>
      <c r="B4" s="42"/>
    </row>
    <row r="5" spans="1:20" s="1" customFormat="1" x14ac:dyDescent="0.2">
      <c r="A5" s="43" t="str">
        <f>TableDate</f>
        <v>August 17, 2018</v>
      </c>
      <c r="B5" s="44"/>
    </row>
    <row r="6" spans="1:20" x14ac:dyDescent="0.2">
      <c r="E6" s="28"/>
    </row>
    <row r="7" spans="1:20" ht="25.5" x14ac:dyDescent="0.2">
      <c r="A7" s="10" t="s">
        <v>0</v>
      </c>
      <c r="B7" s="11" t="s">
        <v>7</v>
      </c>
      <c r="C7" s="12" t="s">
        <v>8</v>
      </c>
      <c r="D7" s="13" t="s">
        <v>30</v>
      </c>
      <c r="E7" s="14" t="s">
        <v>10</v>
      </c>
      <c r="F7" s="12" t="s">
        <v>11</v>
      </c>
      <c r="G7" s="13" t="s">
        <v>12</v>
      </c>
      <c r="H7" s="14" t="s">
        <v>13</v>
      </c>
      <c r="I7" s="12" t="s">
        <v>2</v>
      </c>
      <c r="J7" s="13" t="s">
        <v>14</v>
      </c>
      <c r="K7" s="14" t="s">
        <v>15</v>
      </c>
      <c r="M7" s="11" t="s">
        <v>16</v>
      </c>
      <c r="N7" s="11" t="s">
        <v>17</v>
      </c>
      <c r="P7" s="41" t="s">
        <v>53</v>
      </c>
      <c r="Q7" s="15"/>
      <c r="T7" s="3"/>
    </row>
    <row r="8" spans="1:20" x14ac:dyDescent="0.2">
      <c r="A8" s="25">
        <f>'GF + UG Iteration 11'!A8</f>
        <v>476</v>
      </c>
      <c r="B8" s="25" t="str">
        <f>'GF + UG Iteration 11'!B8</f>
        <v>GF</v>
      </c>
      <c r="C8" s="18">
        <f>'GF + UG Iteration 11'!C8</f>
        <v>14</v>
      </c>
      <c r="D8" s="19">
        <f>'GF + UG Iteration 11'!D8</f>
        <v>16.861812370959647</v>
      </c>
      <c r="E8" s="30">
        <f>'GF + UG Iteration 11'!E8</f>
        <v>2003</v>
      </c>
      <c r="F8" s="18"/>
      <c r="G8" s="19"/>
      <c r="H8" s="20"/>
      <c r="I8" s="18">
        <f>C8+F8</f>
        <v>14</v>
      </c>
      <c r="J8" s="19">
        <f>D8+G8</f>
        <v>16.861812370959647</v>
      </c>
      <c r="K8" s="20">
        <f>MAX(E8,H8)</f>
        <v>2003</v>
      </c>
      <c r="M8" s="21">
        <f>LN(I8)</f>
        <v>2.6390573296152584</v>
      </c>
      <c r="N8" s="21">
        <f>LN(J8)</f>
        <v>2.8250514421084625</v>
      </c>
      <c r="O8" s="3" t="s">
        <v>19</v>
      </c>
      <c r="P8" s="22">
        <f t="array" ref="P8:Q12">LINEST(N8:N292,M8:M292,TRUE,TRUE)</f>
        <v>0.57260005069007869</v>
      </c>
      <c r="Q8" s="22">
        <v>0.93776487488706062</v>
      </c>
      <c r="R8" s="5" t="s">
        <v>20</v>
      </c>
    </row>
    <row r="9" spans="1:20" x14ac:dyDescent="0.2">
      <c r="A9" s="25">
        <f>'GF + UG Iteration 11'!A9</f>
        <v>478</v>
      </c>
      <c r="B9" s="25" t="str">
        <f>'GF + UG Iteration 11'!B9</f>
        <v>GF</v>
      </c>
      <c r="C9" s="18">
        <f>'GF + UG Iteration 11'!C9</f>
        <v>8.5</v>
      </c>
      <c r="D9" s="19">
        <f>'GF + UG Iteration 11'!D9</f>
        <v>6.0182252638842719</v>
      </c>
      <c r="E9" s="30">
        <f>'GF + UG Iteration 11'!E9</f>
        <v>2003</v>
      </c>
      <c r="F9" s="18"/>
      <c r="G9" s="19"/>
      <c r="H9" s="20"/>
      <c r="I9" s="18">
        <f t="shared" ref="I9:I71" si="0">C9+F9</f>
        <v>8.5</v>
      </c>
      <c r="J9" s="19">
        <f t="shared" ref="J9:J71" si="1">D9+G9</f>
        <v>6.0182252638842719</v>
      </c>
      <c r="K9" s="20">
        <f t="shared" ref="K9:K71" si="2">MAX(E9,H9)</f>
        <v>2003</v>
      </c>
      <c r="M9" s="21">
        <f t="shared" ref="M9:M71" si="3">LN(I9)</f>
        <v>2.1400661634962708</v>
      </c>
      <c r="N9" s="21">
        <f t="shared" ref="N9:N71" si="4">LN(J9)</f>
        <v>1.7947924091929603</v>
      </c>
      <c r="O9" s="3" t="s">
        <v>21</v>
      </c>
      <c r="P9" s="22">
        <v>3.2094346899748293E-2</v>
      </c>
      <c r="Q9" s="22">
        <v>0.10233985570551693</v>
      </c>
      <c r="R9" s="5" t="s">
        <v>22</v>
      </c>
    </row>
    <row r="10" spans="1:20" x14ac:dyDescent="0.2">
      <c r="A10" s="25">
        <f>'GF + UG Iteration 11'!A10</f>
        <v>473</v>
      </c>
      <c r="B10" s="25" t="str">
        <f>'GF + UG Iteration 11'!B10</f>
        <v>GF</v>
      </c>
      <c r="C10" s="18">
        <f>'GF + UG Iteration 11'!C10</f>
        <v>30</v>
      </c>
      <c r="D10" s="19">
        <f>'GF + UG Iteration 11'!D10</f>
        <v>14.998991377977235</v>
      </c>
      <c r="E10" s="30">
        <f>'GF + UG Iteration 11'!E10</f>
        <v>2003</v>
      </c>
      <c r="F10" s="18"/>
      <c r="G10" s="19"/>
      <c r="H10" s="20"/>
      <c r="I10" s="18">
        <f t="shared" si="0"/>
        <v>30</v>
      </c>
      <c r="J10" s="19">
        <f t="shared" si="1"/>
        <v>14.998991377977235</v>
      </c>
      <c r="K10" s="20">
        <f t="shared" si="2"/>
        <v>2003</v>
      </c>
      <c r="M10" s="21">
        <f t="shared" si="3"/>
        <v>3.4011973816621555</v>
      </c>
      <c r="N10" s="21">
        <f t="shared" si="4"/>
        <v>2.707982957373217</v>
      </c>
      <c r="O10" s="3" t="s">
        <v>1</v>
      </c>
      <c r="P10" s="22">
        <v>0.52935825464347186</v>
      </c>
      <c r="Q10" s="22">
        <v>0.39316132454747921</v>
      </c>
      <c r="R10" s="5" t="s">
        <v>23</v>
      </c>
    </row>
    <row r="11" spans="1:20" x14ac:dyDescent="0.2">
      <c r="A11" s="25">
        <f>'GF + UG Iteration 11'!A11</f>
        <v>1042</v>
      </c>
      <c r="B11" s="25" t="str">
        <f>'GF + UG Iteration 11'!B11</f>
        <v>GF</v>
      </c>
      <c r="C11" s="18">
        <f>'GF + UG Iteration 11'!C11</f>
        <v>13</v>
      </c>
      <c r="D11" s="19">
        <f>'GF + UG Iteration 11'!D11</f>
        <v>11.164764224012115</v>
      </c>
      <c r="E11" s="30">
        <f>'GF + UG Iteration 11'!E11</f>
        <v>2011</v>
      </c>
      <c r="F11" s="18"/>
      <c r="G11" s="19"/>
      <c r="H11" s="20"/>
      <c r="I11" s="18">
        <f t="shared" si="0"/>
        <v>13</v>
      </c>
      <c r="J11" s="19">
        <f t="shared" si="1"/>
        <v>11.164764224012115</v>
      </c>
      <c r="K11" s="20">
        <f t="shared" si="2"/>
        <v>2011</v>
      </c>
      <c r="M11" s="21">
        <f t="shared" si="3"/>
        <v>2.5649493574615367</v>
      </c>
      <c r="N11" s="21">
        <f t="shared" si="4"/>
        <v>2.4127627676497201</v>
      </c>
      <c r="O11" s="3" t="s">
        <v>24</v>
      </c>
      <c r="P11" s="22">
        <v>318.30662609543327</v>
      </c>
      <c r="Q11" s="22">
        <v>283</v>
      </c>
      <c r="R11" s="5" t="s">
        <v>25</v>
      </c>
    </row>
    <row r="12" spans="1:20" x14ac:dyDescent="0.2">
      <c r="A12" s="25">
        <f>'GF + UG Iteration 11'!A12</f>
        <v>443</v>
      </c>
      <c r="B12" s="25" t="str">
        <f>'GF + UG Iteration 11'!B12</f>
        <v>GF</v>
      </c>
      <c r="C12" s="18">
        <f>'GF + UG Iteration 11'!C12</f>
        <v>24.3</v>
      </c>
      <c r="D12" s="19">
        <f>'GF + UG Iteration 11'!D12</f>
        <v>11.705577131494863</v>
      </c>
      <c r="E12" s="30">
        <f>'GF + UG Iteration 11'!E12</f>
        <v>2006</v>
      </c>
      <c r="F12" s="18"/>
      <c r="G12" s="19"/>
      <c r="H12" s="20"/>
      <c r="I12" s="18">
        <f t="shared" si="0"/>
        <v>24.3</v>
      </c>
      <c r="J12" s="19">
        <f t="shared" si="1"/>
        <v>11.705577131494863</v>
      </c>
      <c r="K12" s="20">
        <f t="shared" si="2"/>
        <v>2006</v>
      </c>
      <c r="M12" s="21">
        <f t="shared" si="3"/>
        <v>3.1904763503465028</v>
      </c>
      <c r="N12" s="21">
        <f t="shared" si="4"/>
        <v>2.4600654061344325</v>
      </c>
      <c r="O12" s="3" t="s">
        <v>26</v>
      </c>
      <c r="P12" s="22">
        <v>49.202510006455341</v>
      </c>
      <c r="Q12" s="22">
        <v>43.7449590749397</v>
      </c>
      <c r="R12" s="5" t="s">
        <v>27</v>
      </c>
    </row>
    <row r="13" spans="1:20" x14ac:dyDescent="0.2">
      <c r="A13" s="25">
        <f>'GF + UG Iteration 11'!A13</f>
        <v>1195</v>
      </c>
      <c r="B13" s="25" t="str">
        <f>'GF + UG Iteration 11'!B13</f>
        <v>GF</v>
      </c>
      <c r="C13" s="18">
        <f>'GF + UG Iteration 11'!C13</f>
        <v>18</v>
      </c>
      <c r="D13" s="19">
        <f>'GF + UG Iteration 11'!D13</f>
        <v>31.659927445331629</v>
      </c>
      <c r="E13" s="30">
        <f>'GF + UG Iteration 11'!E13</f>
        <v>2011</v>
      </c>
      <c r="F13" s="18"/>
      <c r="G13" s="19"/>
      <c r="H13" s="20"/>
      <c r="I13" s="18">
        <f t="shared" si="0"/>
        <v>18</v>
      </c>
      <c r="J13" s="19">
        <f t="shared" si="1"/>
        <v>31.659927445331629</v>
      </c>
      <c r="K13" s="20">
        <f t="shared" si="2"/>
        <v>2011</v>
      </c>
      <c r="M13" s="21">
        <f t="shared" si="3"/>
        <v>2.8903717578961645</v>
      </c>
      <c r="N13" s="21">
        <f t="shared" si="4"/>
        <v>3.4550517627677269</v>
      </c>
    </row>
    <row r="14" spans="1:20" x14ac:dyDescent="0.2">
      <c r="A14" s="25">
        <f>'GF + UG Iteration 11'!A14</f>
        <v>420</v>
      </c>
      <c r="B14" s="25" t="str">
        <f>'GF + UG Iteration 11'!B14</f>
        <v>GF</v>
      </c>
      <c r="C14" s="18">
        <f>'GF + UG Iteration 11'!C14</f>
        <v>6</v>
      </c>
      <c r="D14" s="19">
        <f>'GF + UG Iteration 11'!D14</f>
        <v>9.6396451057157435</v>
      </c>
      <c r="E14" s="30">
        <f>'GF + UG Iteration 11'!E14</f>
        <v>2007</v>
      </c>
      <c r="F14" s="18"/>
      <c r="G14" s="19"/>
      <c r="H14" s="20"/>
      <c r="I14" s="18">
        <f t="shared" si="0"/>
        <v>6</v>
      </c>
      <c r="J14" s="19">
        <f t="shared" si="1"/>
        <v>9.6396451057157435</v>
      </c>
      <c r="K14" s="20">
        <f t="shared" si="2"/>
        <v>2007</v>
      </c>
      <c r="M14" s="21">
        <f t="shared" si="3"/>
        <v>1.791759469228055</v>
      </c>
      <c r="N14" s="21">
        <f t="shared" si="4"/>
        <v>2.2658842931849965</v>
      </c>
      <c r="P14" s="15" t="s">
        <v>6</v>
      </c>
      <c r="Q14" s="15"/>
    </row>
    <row r="15" spans="1:20" x14ac:dyDescent="0.2">
      <c r="A15" s="25">
        <f>'GF + UG Iteration 11'!A15</f>
        <v>440</v>
      </c>
      <c r="B15" s="25" t="str">
        <f>'GF + UG Iteration 11'!B15</f>
        <v>GF</v>
      </c>
      <c r="C15" s="18">
        <f>'GF + UG Iteration 11'!C15</f>
        <v>10</v>
      </c>
      <c r="D15" s="19">
        <f>'GF + UG Iteration 11'!D15</f>
        <v>16.009559216092757</v>
      </c>
      <c r="E15" s="30">
        <f>'GF + UG Iteration 11'!E15</f>
        <v>2006</v>
      </c>
      <c r="F15" s="18"/>
      <c r="G15" s="19"/>
      <c r="H15" s="20"/>
      <c r="I15" s="18">
        <f t="shared" si="0"/>
        <v>10</v>
      </c>
      <c r="J15" s="19">
        <f t="shared" si="1"/>
        <v>16.009559216092757</v>
      </c>
      <c r="K15" s="20">
        <f t="shared" si="2"/>
        <v>2006</v>
      </c>
      <c r="M15" s="21">
        <f t="shared" si="3"/>
        <v>2.3025850929940459</v>
      </c>
      <c r="N15" s="21">
        <f t="shared" si="4"/>
        <v>2.7731859948427808</v>
      </c>
      <c r="O15" s="3" t="s">
        <v>19</v>
      </c>
      <c r="P15" s="23">
        <f>P8</f>
        <v>0.57260005069007869</v>
      </c>
      <c r="Q15" s="31">
        <f>(P15-'GF + UG Iteration 11'!P15)/'GF + UG Iteration 11'!P15</f>
        <v>9.1240195052190031E-6</v>
      </c>
      <c r="R15" s="32" t="s">
        <v>31</v>
      </c>
    </row>
    <row r="16" spans="1:20" x14ac:dyDescent="0.2">
      <c r="A16" s="25">
        <f>'GF + UG Iteration 11'!A16</f>
        <v>1102</v>
      </c>
      <c r="B16" s="25" t="str">
        <f>'GF + UG Iteration 11'!B16</f>
        <v>GF</v>
      </c>
      <c r="C16" s="18">
        <f>'GF + UG Iteration 11'!C16</f>
        <v>20</v>
      </c>
      <c r="D16" s="19">
        <f>'GF + UG Iteration 11'!D16</f>
        <v>16.293644713264708</v>
      </c>
      <c r="E16" s="30">
        <f>'GF + UG Iteration 11'!E16</f>
        <v>2011</v>
      </c>
      <c r="F16" s="18"/>
      <c r="G16" s="19"/>
      <c r="H16" s="20"/>
      <c r="I16" s="18">
        <f t="shared" si="0"/>
        <v>20</v>
      </c>
      <c r="J16" s="19">
        <f t="shared" si="1"/>
        <v>16.293644713264708</v>
      </c>
      <c r="K16" s="20">
        <f t="shared" si="2"/>
        <v>2011</v>
      </c>
      <c r="M16" s="21">
        <f t="shared" si="3"/>
        <v>2.9957322735539909</v>
      </c>
      <c r="N16" s="21">
        <f t="shared" si="4"/>
        <v>2.7907751368922047</v>
      </c>
      <c r="O16" s="3" t="s">
        <v>28</v>
      </c>
      <c r="P16" s="23">
        <f>EXP(Q8)</f>
        <v>2.5542659293684058</v>
      </c>
      <c r="Q16" s="31">
        <f>(P16-'GF + UG Iteration 11'!P16)/'GF + UG Iteration 11'!P16</f>
        <v>-1.9214423103024048E-5</v>
      </c>
      <c r="R16" s="32" t="s">
        <v>32</v>
      </c>
    </row>
    <row r="17" spans="1:18" x14ac:dyDescent="0.2">
      <c r="A17" s="25">
        <f>'GF + UG Iteration 11'!A17</f>
        <v>324</v>
      </c>
      <c r="B17" s="25" t="str">
        <f>'GF + UG Iteration 11'!B17</f>
        <v>GF</v>
      </c>
      <c r="C17" s="18">
        <f>'GF + UG Iteration 11'!C17</f>
        <v>17.2</v>
      </c>
      <c r="D17" s="19">
        <f>'GF + UG Iteration 11'!D17</f>
        <v>8.9094125785416409</v>
      </c>
      <c r="E17" s="30">
        <f>'GF + UG Iteration 11'!E17</f>
        <v>2003</v>
      </c>
      <c r="F17" s="18"/>
      <c r="G17" s="19"/>
      <c r="H17" s="20"/>
      <c r="I17" s="18">
        <f t="shared" si="0"/>
        <v>17.2</v>
      </c>
      <c r="J17" s="19">
        <f t="shared" si="1"/>
        <v>8.9094125785416409</v>
      </c>
      <c r="K17" s="20">
        <f t="shared" si="2"/>
        <v>2003</v>
      </c>
      <c r="M17" s="21">
        <f t="shared" si="3"/>
        <v>2.8449093838194073</v>
      </c>
      <c r="N17" s="21">
        <f t="shared" si="4"/>
        <v>2.1871083109750784</v>
      </c>
      <c r="O17" s="3"/>
      <c r="P17" s="24"/>
      <c r="R17" s="32" t="s">
        <v>33</v>
      </c>
    </row>
    <row r="18" spans="1:18" x14ac:dyDescent="0.2">
      <c r="A18" s="25">
        <f>'GF + UG Iteration 11'!A18</f>
        <v>1103</v>
      </c>
      <c r="B18" s="25" t="str">
        <f>'GF + UG Iteration 11'!B18</f>
        <v>GF</v>
      </c>
      <c r="C18" s="18">
        <f>'GF + UG Iteration 11'!C18</f>
        <v>20</v>
      </c>
      <c r="D18" s="19">
        <f>'GF + UG Iteration 11'!D18</f>
        <v>17.299482978955592</v>
      </c>
      <c r="E18" s="30">
        <f>'GF + UG Iteration 11'!E18</f>
        <v>2011</v>
      </c>
      <c r="F18" s="18"/>
      <c r="G18" s="19"/>
      <c r="H18" s="20"/>
      <c r="I18" s="18">
        <f t="shared" si="0"/>
        <v>20</v>
      </c>
      <c r="J18" s="19">
        <f t="shared" si="1"/>
        <v>17.299482978955592</v>
      </c>
      <c r="K18" s="20">
        <f t="shared" si="2"/>
        <v>2011</v>
      </c>
      <c r="M18" s="21">
        <f t="shared" si="3"/>
        <v>2.9957322735539909</v>
      </c>
      <c r="N18" s="21">
        <f t="shared" si="4"/>
        <v>2.8506766154476462</v>
      </c>
      <c r="P18"/>
      <c r="Q18"/>
      <c r="R18" s="32" t="s">
        <v>34</v>
      </c>
    </row>
    <row r="19" spans="1:18" x14ac:dyDescent="0.2">
      <c r="A19" s="25">
        <f>'GF + UG Iteration 11'!A19</f>
        <v>386</v>
      </c>
      <c r="B19" s="25" t="str">
        <f>'GF + UG Iteration 11'!B19</f>
        <v>GF</v>
      </c>
      <c r="C19" s="18">
        <f>'GF + UG Iteration 11'!C19</f>
        <v>9</v>
      </c>
      <c r="D19" s="19">
        <f>'GF + UG Iteration 11'!D19</f>
        <v>9.9511250787738224</v>
      </c>
      <c r="E19" s="30">
        <f>'GF + UG Iteration 11'!E19</f>
        <v>2003</v>
      </c>
      <c r="F19" s="18"/>
      <c r="G19" s="19"/>
      <c r="H19" s="20"/>
      <c r="I19" s="18">
        <f t="shared" si="0"/>
        <v>9</v>
      </c>
      <c r="J19" s="19">
        <f t="shared" si="1"/>
        <v>9.9511250787738224</v>
      </c>
      <c r="K19" s="20">
        <f t="shared" si="2"/>
        <v>2003</v>
      </c>
      <c r="M19" s="21">
        <f t="shared" si="3"/>
        <v>2.1972245773362196</v>
      </c>
      <c r="N19" s="21">
        <f t="shared" si="4"/>
        <v>2.2976856180218044</v>
      </c>
      <c r="P19"/>
      <c r="Q19"/>
    </row>
    <row r="20" spans="1:18" x14ac:dyDescent="0.2">
      <c r="A20" s="25">
        <f>'GF + UG Iteration 11'!A20</f>
        <v>80</v>
      </c>
      <c r="B20" s="25" t="str">
        <f>'GF + UG Iteration 11'!B20</f>
        <v>GF</v>
      </c>
      <c r="C20" s="18">
        <f>'GF + UG Iteration 11'!C20</f>
        <v>8</v>
      </c>
      <c r="D20" s="19">
        <f>'GF + UG Iteration 11'!D20</f>
        <v>6.0754029342110369</v>
      </c>
      <c r="E20" s="30">
        <f>'GF + UG Iteration 11'!E20</f>
        <v>2001</v>
      </c>
      <c r="F20" s="18"/>
      <c r="G20" s="19"/>
      <c r="H20" s="20"/>
      <c r="I20" s="18">
        <f t="shared" si="0"/>
        <v>8</v>
      </c>
      <c r="J20" s="19">
        <f t="shared" si="1"/>
        <v>6.0754029342110369</v>
      </c>
      <c r="K20" s="20">
        <f t="shared" si="2"/>
        <v>2001</v>
      </c>
      <c r="M20" s="21">
        <f t="shared" si="3"/>
        <v>2.0794415416798357</v>
      </c>
      <c r="N20" s="21">
        <f t="shared" si="4"/>
        <v>1.8042483136462</v>
      </c>
      <c r="P20"/>
      <c r="Q20"/>
    </row>
    <row r="21" spans="1:18" x14ac:dyDescent="0.2">
      <c r="A21" s="25">
        <f>'GF + UG Iteration 11'!A21</f>
        <v>1052</v>
      </c>
      <c r="B21" s="25" t="str">
        <f>'GF + UG Iteration 11'!B21</f>
        <v>GF</v>
      </c>
      <c r="C21" s="18">
        <f>'GF + UG Iteration 11'!C21</f>
        <v>13.6</v>
      </c>
      <c r="D21" s="19">
        <f>'GF + UG Iteration 11'!D21</f>
        <v>10.90270245998838</v>
      </c>
      <c r="E21" s="30">
        <f>'GF + UG Iteration 11'!E21</f>
        <v>2011</v>
      </c>
      <c r="F21" s="18"/>
      <c r="G21" s="19"/>
      <c r="H21" s="20"/>
      <c r="I21" s="18">
        <f t="shared" si="0"/>
        <v>13.6</v>
      </c>
      <c r="J21" s="19">
        <f t="shared" si="1"/>
        <v>10.90270245998838</v>
      </c>
      <c r="K21" s="20">
        <f t="shared" si="2"/>
        <v>2011</v>
      </c>
      <c r="M21" s="21">
        <f t="shared" si="3"/>
        <v>2.6100697927420065</v>
      </c>
      <c r="N21" s="21">
        <f t="shared" si="4"/>
        <v>2.3890106906140374</v>
      </c>
      <c r="P21"/>
      <c r="Q21"/>
    </row>
    <row r="22" spans="1:18" x14ac:dyDescent="0.2">
      <c r="A22" s="25">
        <f>'GF + UG Iteration 11'!A22</f>
        <v>347</v>
      </c>
      <c r="B22" s="25" t="str">
        <f>'GF + UG Iteration 11'!B22</f>
        <v>GF</v>
      </c>
      <c r="C22" s="18">
        <f>'GF + UG Iteration 11'!C22</f>
        <v>10.548</v>
      </c>
      <c r="D22" s="19">
        <f>'GF + UG Iteration 11'!D22</f>
        <v>9.3004925979781259</v>
      </c>
      <c r="E22" s="30">
        <f>'GF + UG Iteration 11'!E22</f>
        <v>2003</v>
      </c>
      <c r="F22" s="18"/>
      <c r="G22" s="19"/>
      <c r="H22" s="20"/>
      <c r="I22" s="18">
        <f t="shared" si="0"/>
        <v>10.548</v>
      </c>
      <c r="J22" s="19">
        <f t="shared" si="1"/>
        <v>9.3004925979781259</v>
      </c>
      <c r="K22" s="20">
        <f t="shared" si="2"/>
        <v>2003</v>
      </c>
      <c r="M22" s="21">
        <f t="shared" si="3"/>
        <v>2.3559362684910403</v>
      </c>
      <c r="N22" s="21">
        <f t="shared" si="4"/>
        <v>2.23006736628101</v>
      </c>
    </row>
    <row r="23" spans="1:18" x14ac:dyDescent="0.2">
      <c r="A23" s="25">
        <f>'GF + UG Iteration 11'!A23</f>
        <v>1358</v>
      </c>
      <c r="B23" s="25" t="str">
        <f>'GF + UG Iteration 11'!B23</f>
        <v>GF</v>
      </c>
      <c r="C23" s="18">
        <f>'GF + UG Iteration 11'!C23</f>
        <v>27</v>
      </c>
      <c r="D23" s="19">
        <f>'GF + UG Iteration 11'!D23</f>
        <v>13.07265503282744</v>
      </c>
      <c r="E23" s="30">
        <f>'GF + UG Iteration 11'!E23</f>
        <v>2011</v>
      </c>
      <c r="F23" s="18"/>
      <c r="G23" s="19"/>
      <c r="H23" s="20"/>
      <c r="I23" s="18">
        <f t="shared" si="0"/>
        <v>27</v>
      </c>
      <c r="J23" s="19">
        <f t="shared" si="1"/>
        <v>13.07265503282744</v>
      </c>
      <c r="K23" s="20">
        <f t="shared" si="2"/>
        <v>2011</v>
      </c>
      <c r="M23" s="21">
        <f t="shared" si="3"/>
        <v>3.2958368660043291</v>
      </c>
      <c r="N23" s="21">
        <f t="shared" si="4"/>
        <v>2.5705226464726247</v>
      </c>
    </row>
    <row r="24" spans="1:18" x14ac:dyDescent="0.2">
      <c r="A24" s="25">
        <f>'GF + UG Iteration 11'!A24</f>
        <v>584</v>
      </c>
      <c r="B24" s="25" t="str">
        <f>'GF + UG Iteration 11'!B24</f>
        <v>GF</v>
      </c>
      <c r="C24" s="18">
        <f>'GF + UG Iteration 11'!C24</f>
        <v>28</v>
      </c>
      <c r="D24" s="19">
        <f>'GF + UG Iteration 11'!D24</f>
        <v>34.903749706800433</v>
      </c>
      <c r="E24" s="30">
        <f>'GF + UG Iteration 11'!E24</f>
        <v>2011</v>
      </c>
      <c r="F24" s="18"/>
      <c r="G24" s="19"/>
      <c r="H24" s="20"/>
      <c r="I24" s="18">
        <f t="shared" si="0"/>
        <v>28</v>
      </c>
      <c r="J24" s="19">
        <f t="shared" si="1"/>
        <v>34.903749706800433</v>
      </c>
      <c r="K24" s="20">
        <f t="shared" si="2"/>
        <v>2011</v>
      </c>
      <c r="M24" s="21">
        <f t="shared" si="3"/>
        <v>3.3322045101752038</v>
      </c>
      <c r="N24" s="21">
        <f t="shared" si="4"/>
        <v>3.5525942648925612</v>
      </c>
    </row>
    <row r="25" spans="1:18" x14ac:dyDescent="0.2">
      <c r="A25" s="25">
        <f>'GF + UG Iteration 11'!A25</f>
        <v>422</v>
      </c>
      <c r="B25" s="25" t="str">
        <f>'GF + UG Iteration 11'!B25</f>
        <v>GF</v>
      </c>
      <c r="C25" s="18">
        <f>'GF + UG Iteration 11'!C25</f>
        <v>24</v>
      </c>
      <c r="D25" s="19">
        <f>'GF + UG Iteration 11'!D25</f>
        <v>13.650794587226329</v>
      </c>
      <c r="E25" s="30">
        <f>'GF + UG Iteration 11'!E25</f>
        <v>2003</v>
      </c>
      <c r="F25" s="18"/>
      <c r="G25" s="19"/>
      <c r="H25" s="20"/>
      <c r="I25" s="18">
        <f t="shared" si="0"/>
        <v>24</v>
      </c>
      <c r="J25" s="19">
        <f t="shared" si="1"/>
        <v>13.650794587226329</v>
      </c>
      <c r="K25" s="20">
        <f t="shared" si="2"/>
        <v>2003</v>
      </c>
      <c r="M25" s="21">
        <f t="shared" si="3"/>
        <v>3.1780538303479458</v>
      </c>
      <c r="N25" s="21">
        <f t="shared" si="4"/>
        <v>2.6137977314551564</v>
      </c>
    </row>
    <row r="26" spans="1:18" x14ac:dyDescent="0.2">
      <c r="A26" s="25">
        <f>'GF + UG Iteration 11'!A26</f>
        <v>944</v>
      </c>
      <c r="B26" s="25" t="str">
        <f>'GF + UG Iteration 11'!B26</f>
        <v>GF</v>
      </c>
      <c r="C26" s="18">
        <f>'GF + UG Iteration 11'!C26</f>
        <v>43</v>
      </c>
      <c r="D26" s="19">
        <f>'GF + UG Iteration 11'!D26</f>
        <v>26.816090615909914</v>
      </c>
      <c r="E26" s="30">
        <f>'GF + UG Iteration 11'!E26</f>
        <v>2010</v>
      </c>
      <c r="F26" s="18"/>
      <c r="G26" s="19"/>
      <c r="H26" s="20"/>
      <c r="I26" s="18">
        <f t="shared" si="0"/>
        <v>43</v>
      </c>
      <c r="J26" s="19">
        <f t="shared" si="1"/>
        <v>26.816090615909914</v>
      </c>
      <c r="K26" s="20">
        <f t="shared" si="2"/>
        <v>2010</v>
      </c>
      <c r="M26" s="21">
        <f t="shared" si="3"/>
        <v>3.7612001156935624</v>
      </c>
      <c r="N26" s="21">
        <f t="shared" si="4"/>
        <v>3.2890021034672148</v>
      </c>
    </row>
    <row r="27" spans="1:18" x14ac:dyDescent="0.2">
      <c r="A27" s="25">
        <f>'GF + UG Iteration 11'!A27</f>
        <v>387</v>
      </c>
      <c r="B27" s="25" t="str">
        <f>'GF + UG Iteration 11'!B27</f>
        <v>GF</v>
      </c>
      <c r="C27" s="18">
        <f>'GF + UG Iteration 11'!C27</f>
        <v>7.5</v>
      </c>
      <c r="D27" s="19">
        <f>'GF + UG Iteration 11'!D27</f>
        <v>9.5130592102135658</v>
      </c>
      <c r="E27" s="30">
        <f>'GF + UG Iteration 11'!E27</f>
        <v>2003</v>
      </c>
      <c r="F27" s="18"/>
      <c r="G27" s="19"/>
      <c r="H27" s="20"/>
      <c r="I27" s="18">
        <f t="shared" si="0"/>
        <v>7.5</v>
      </c>
      <c r="J27" s="19">
        <f t="shared" si="1"/>
        <v>9.5130592102135658</v>
      </c>
      <c r="K27" s="20">
        <f t="shared" si="2"/>
        <v>2003</v>
      </c>
      <c r="M27" s="21">
        <f t="shared" si="3"/>
        <v>2.0149030205422647</v>
      </c>
      <c r="N27" s="21">
        <f t="shared" si="4"/>
        <v>2.2526655083417699</v>
      </c>
    </row>
    <row r="28" spans="1:18" x14ac:dyDescent="0.2">
      <c r="A28" s="25">
        <f>'GF + UG Iteration 11'!A28</f>
        <v>587</v>
      </c>
      <c r="B28" s="25" t="str">
        <f>'GF + UG Iteration 11'!B28</f>
        <v>GF</v>
      </c>
      <c r="C28" s="18">
        <f>'GF + UG Iteration 11'!C28</f>
        <v>17.8</v>
      </c>
      <c r="D28" s="19">
        <f>'GF + UG Iteration 11'!D28</f>
        <v>13.152201549137706</v>
      </c>
      <c r="E28" s="30">
        <f>'GF + UG Iteration 11'!E28</f>
        <v>2006</v>
      </c>
      <c r="F28" s="18"/>
      <c r="G28" s="19"/>
      <c r="H28" s="20"/>
      <c r="I28" s="18">
        <f t="shared" si="0"/>
        <v>17.8</v>
      </c>
      <c r="J28" s="19">
        <f t="shared" si="1"/>
        <v>13.152201549137706</v>
      </c>
      <c r="K28" s="20">
        <f t="shared" si="2"/>
        <v>2006</v>
      </c>
      <c r="M28" s="21">
        <f t="shared" si="3"/>
        <v>2.8791984572980396</v>
      </c>
      <c r="N28" s="21">
        <f t="shared" si="4"/>
        <v>2.57658916279629</v>
      </c>
    </row>
    <row r="29" spans="1:18" x14ac:dyDescent="0.2">
      <c r="A29" s="25">
        <f>'GF + UG Iteration 11'!A29</f>
        <v>585</v>
      </c>
      <c r="B29" s="25" t="str">
        <f>'GF + UG Iteration 11'!B29</f>
        <v>GF</v>
      </c>
      <c r="C29" s="18">
        <f>'GF + UG Iteration 11'!C29</f>
        <v>20.6</v>
      </c>
      <c r="D29" s="19">
        <f>'GF + UG Iteration 11'!D29</f>
        <v>11.291169205189183</v>
      </c>
      <c r="E29" s="30">
        <f>'GF + UG Iteration 11'!E29</f>
        <v>2007</v>
      </c>
      <c r="F29" s="18"/>
      <c r="G29" s="19"/>
      <c r="H29" s="20"/>
      <c r="I29" s="18">
        <f t="shared" si="0"/>
        <v>20.6</v>
      </c>
      <c r="J29" s="19">
        <f t="shared" si="1"/>
        <v>11.291169205189183</v>
      </c>
      <c r="K29" s="20">
        <f t="shared" si="2"/>
        <v>2007</v>
      </c>
      <c r="M29" s="21">
        <f t="shared" si="3"/>
        <v>3.0252910757955354</v>
      </c>
      <c r="N29" s="21">
        <f t="shared" si="4"/>
        <v>2.4240209339322751</v>
      </c>
    </row>
    <row r="30" spans="1:18" x14ac:dyDescent="0.2">
      <c r="A30" s="25">
        <f>'GF + UG Iteration 11'!A30</f>
        <v>831</v>
      </c>
      <c r="B30" s="25" t="str">
        <f>'GF + UG Iteration 11'!B30</f>
        <v>GF</v>
      </c>
      <c r="C30" s="18">
        <f>'GF + UG Iteration 11'!C30</f>
        <v>19.600000000000001</v>
      </c>
      <c r="D30" s="19">
        <f>'GF + UG Iteration 11'!D30</f>
        <v>20.965601428070691</v>
      </c>
      <c r="E30" s="30">
        <f>'GF + UG Iteration 11'!E30</f>
        <v>2011</v>
      </c>
      <c r="F30" s="18"/>
      <c r="G30" s="19"/>
      <c r="H30" s="20"/>
      <c r="I30" s="18">
        <f t="shared" si="0"/>
        <v>19.600000000000001</v>
      </c>
      <c r="J30" s="19">
        <f t="shared" si="1"/>
        <v>20.965601428070691</v>
      </c>
      <c r="K30" s="20">
        <f t="shared" si="2"/>
        <v>2011</v>
      </c>
      <c r="M30" s="21">
        <f t="shared" si="3"/>
        <v>2.9755295662364718</v>
      </c>
      <c r="N30" s="21">
        <f t="shared" si="4"/>
        <v>3.042883067455266</v>
      </c>
    </row>
    <row r="31" spans="1:18" x14ac:dyDescent="0.2">
      <c r="A31" s="25">
        <f>'GF + UG Iteration 11'!A31</f>
        <v>340</v>
      </c>
      <c r="B31" s="25" t="str">
        <f>'GF + UG Iteration 11'!B31</f>
        <v>GF</v>
      </c>
      <c r="C31" s="18">
        <f>'GF + UG Iteration 11'!C31</f>
        <v>22</v>
      </c>
      <c r="D31" s="19">
        <f>'GF + UG Iteration 11'!D31</f>
        <v>13.309615571039751</v>
      </c>
      <c r="E31" s="30">
        <f>'GF + UG Iteration 11'!E31</f>
        <v>2003</v>
      </c>
      <c r="F31" s="18"/>
      <c r="G31" s="19"/>
      <c r="H31" s="20"/>
      <c r="I31" s="18">
        <f t="shared" si="0"/>
        <v>22</v>
      </c>
      <c r="J31" s="19">
        <f t="shared" si="1"/>
        <v>13.309615571039751</v>
      </c>
      <c r="K31" s="20">
        <f t="shared" si="2"/>
        <v>2003</v>
      </c>
      <c r="M31" s="21">
        <f t="shared" si="3"/>
        <v>3.0910424533583161</v>
      </c>
      <c r="N31" s="21">
        <f t="shared" si="4"/>
        <v>2.5884867492731334</v>
      </c>
    </row>
    <row r="32" spans="1:18" x14ac:dyDescent="0.2">
      <c r="A32" s="25">
        <f>'GF + UG Iteration 11'!A32</f>
        <v>334</v>
      </c>
      <c r="B32" s="25" t="str">
        <f>'GF + UG Iteration 11'!B32</f>
        <v>GF</v>
      </c>
      <c r="C32" s="18">
        <f>'GF + UG Iteration 11'!C32</f>
        <v>18.8</v>
      </c>
      <c r="D32" s="19">
        <f>'GF + UG Iteration 11'!D32</f>
        <v>7.9463711126733889</v>
      </c>
      <c r="E32" s="30">
        <f>'GF + UG Iteration 11'!E32</f>
        <v>2003</v>
      </c>
      <c r="F32" s="18"/>
      <c r="G32" s="19"/>
      <c r="H32" s="20"/>
      <c r="I32" s="18">
        <f t="shared" si="0"/>
        <v>18.8</v>
      </c>
      <c r="J32" s="19">
        <f t="shared" si="1"/>
        <v>7.9463711126733889</v>
      </c>
      <c r="K32" s="20">
        <f t="shared" si="2"/>
        <v>2003</v>
      </c>
      <c r="M32" s="21">
        <f t="shared" si="3"/>
        <v>2.9338568698359038</v>
      </c>
      <c r="N32" s="21">
        <f t="shared" si="4"/>
        <v>2.072715360640252</v>
      </c>
    </row>
    <row r="33" spans="1:14" x14ac:dyDescent="0.2">
      <c r="A33" s="25">
        <f>'GF + UG Iteration 11'!A33</f>
        <v>343</v>
      </c>
      <c r="B33" s="25" t="str">
        <f>'GF + UG Iteration 11'!B33</f>
        <v>GF</v>
      </c>
      <c r="C33" s="18">
        <f>'GF + UG Iteration 11'!C33</f>
        <v>15.6</v>
      </c>
      <c r="D33" s="19">
        <f>'GF + UG Iteration 11'!D33</f>
        <v>13.99971574022935</v>
      </c>
      <c r="E33" s="30">
        <f>'GF + UG Iteration 11'!E33</f>
        <v>2003</v>
      </c>
      <c r="F33" s="18"/>
      <c r="G33" s="19"/>
      <c r="H33" s="20"/>
      <c r="I33" s="18">
        <f t="shared" si="0"/>
        <v>15.6</v>
      </c>
      <c r="J33" s="19">
        <f t="shared" si="1"/>
        <v>13.99971574022935</v>
      </c>
      <c r="K33" s="20">
        <f t="shared" si="2"/>
        <v>2003</v>
      </c>
      <c r="M33" s="21">
        <f t="shared" si="3"/>
        <v>2.7472709142554912</v>
      </c>
      <c r="N33" s="21">
        <f t="shared" si="4"/>
        <v>2.6390370251397921</v>
      </c>
    </row>
    <row r="34" spans="1:14" x14ac:dyDescent="0.2">
      <c r="A34" s="25">
        <f>'GF + UG Iteration 11'!A34</f>
        <v>358</v>
      </c>
      <c r="B34" s="25" t="str">
        <f>'GF + UG Iteration 11'!B34</f>
        <v>GF</v>
      </c>
      <c r="C34" s="18">
        <f>'GF + UG Iteration 11'!C34</f>
        <v>19.8</v>
      </c>
      <c r="D34" s="19">
        <f>'GF + UG Iteration 11'!D34</f>
        <v>7.2248521864398549</v>
      </c>
      <c r="E34" s="30">
        <f>'GF + UG Iteration 11'!E34</f>
        <v>2003</v>
      </c>
      <c r="F34" s="18"/>
      <c r="G34" s="19"/>
      <c r="H34" s="20"/>
      <c r="I34" s="18">
        <f t="shared" si="0"/>
        <v>19.8</v>
      </c>
      <c r="J34" s="19">
        <f t="shared" si="1"/>
        <v>7.2248521864398549</v>
      </c>
      <c r="K34" s="20">
        <f t="shared" si="2"/>
        <v>2003</v>
      </c>
      <c r="M34" s="21">
        <f t="shared" si="3"/>
        <v>2.9856819377004897</v>
      </c>
      <c r="N34" s="21">
        <f t="shared" si="4"/>
        <v>1.9775267751649739</v>
      </c>
    </row>
    <row r="35" spans="1:14" x14ac:dyDescent="0.2">
      <c r="A35" s="25">
        <f>'GF + UG Iteration 11'!A35</f>
        <v>702</v>
      </c>
      <c r="B35" s="25" t="str">
        <f>'GF + UG Iteration 11'!B35</f>
        <v>GF</v>
      </c>
      <c r="C35" s="18">
        <f>'GF + UG Iteration 11'!C35</f>
        <v>28.4</v>
      </c>
      <c r="D35" s="19">
        <f>'GF + UG Iteration 11'!D35</f>
        <v>5.2101531080390755</v>
      </c>
      <c r="E35" s="30">
        <f>'GF + UG Iteration 11'!E35</f>
        <v>2007</v>
      </c>
      <c r="F35" s="18"/>
      <c r="G35" s="19"/>
      <c r="H35" s="20"/>
      <c r="I35" s="18">
        <f t="shared" si="0"/>
        <v>28.4</v>
      </c>
      <c r="J35" s="19">
        <f t="shared" si="1"/>
        <v>5.2101531080390755</v>
      </c>
      <c r="K35" s="20">
        <f t="shared" si="2"/>
        <v>2007</v>
      </c>
      <c r="M35" s="21">
        <f t="shared" si="3"/>
        <v>3.3463891451671604</v>
      </c>
      <c r="N35" s="21">
        <f t="shared" si="4"/>
        <v>1.6506092426730299</v>
      </c>
    </row>
    <row r="36" spans="1:14" x14ac:dyDescent="0.2">
      <c r="A36" s="25">
        <f>'GF + UG Iteration 11'!A36</f>
        <v>526</v>
      </c>
      <c r="B36" s="25" t="str">
        <f>'GF + UG Iteration 11'!B36</f>
        <v>GF</v>
      </c>
      <c r="C36" s="18">
        <f>'GF + UG Iteration 11'!C36</f>
        <v>19</v>
      </c>
      <c r="D36" s="19">
        <f>'GF + UG Iteration 11'!D36</f>
        <v>13.758834109767626</v>
      </c>
      <c r="E36" s="30">
        <f>'GF + UG Iteration 11'!E36</f>
        <v>2007</v>
      </c>
      <c r="F36" s="18"/>
      <c r="G36" s="19"/>
      <c r="H36" s="20"/>
      <c r="I36" s="18">
        <f t="shared" si="0"/>
        <v>19</v>
      </c>
      <c r="J36" s="19">
        <f t="shared" si="1"/>
        <v>13.758834109767626</v>
      </c>
      <c r="K36" s="20">
        <f t="shared" si="2"/>
        <v>2007</v>
      </c>
      <c r="M36" s="21">
        <f t="shared" si="3"/>
        <v>2.9444389791664403</v>
      </c>
      <c r="N36" s="21">
        <f t="shared" si="4"/>
        <v>2.6216810985205803</v>
      </c>
    </row>
    <row r="37" spans="1:14" x14ac:dyDescent="0.2">
      <c r="A37" s="25">
        <f>'GF + UG Iteration 11'!A37</f>
        <v>288</v>
      </c>
      <c r="B37" s="25" t="str">
        <f>'GF + UG Iteration 11'!B37</f>
        <v>GF</v>
      </c>
      <c r="C37" s="18">
        <f>'GF + UG Iteration 11'!C37</f>
        <v>12</v>
      </c>
      <c r="D37" s="19">
        <f>'GF + UG Iteration 11'!D37</f>
        <v>4.4533584840568787</v>
      </c>
      <c r="E37" s="30">
        <f>'GF + UG Iteration 11'!E37</f>
        <v>2001</v>
      </c>
      <c r="F37" s="18"/>
      <c r="G37" s="19"/>
      <c r="H37" s="20"/>
      <c r="I37" s="18">
        <f t="shared" si="0"/>
        <v>12</v>
      </c>
      <c r="J37" s="19">
        <f t="shared" si="1"/>
        <v>4.4533584840568787</v>
      </c>
      <c r="K37" s="20">
        <f t="shared" si="2"/>
        <v>2001</v>
      </c>
      <c r="M37" s="21">
        <f t="shared" si="3"/>
        <v>2.4849066497880004</v>
      </c>
      <c r="N37" s="21">
        <f t="shared" si="4"/>
        <v>1.4936585270420049</v>
      </c>
    </row>
    <row r="38" spans="1:14" x14ac:dyDescent="0.2">
      <c r="A38" s="25">
        <f>'GF + UG Iteration 11'!A38</f>
        <v>851</v>
      </c>
      <c r="B38" s="25" t="str">
        <f>'GF + UG Iteration 11'!B38</f>
        <v>GF</v>
      </c>
      <c r="C38" s="18">
        <f>'GF + UG Iteration 11'!C38</f>
        <v>25</v>
      </c>
      <c r="D38" s="19">
        <f>'GF + UG Iteration 11'!D38</f>
        <v>12.931754132918639</v>
      </c>
      <c r="E38" s="30">
        <f>'GF + UG Iteration 11'!E38</f>
        <v>2007</v>
      </c>
      <c r="F38" s="18"/>
      <c r="G38" s="19"/>
      <c r="H38" s="20"/>
      <c r="I38" s="18">
        <f t="shared" si="0"/>
        <v>25</v>
      </c>
      <c r="J38" s="19">
        <f t="shared" si="1"/>
        <v>12.931754132918639</v>
      </c>
      <c r="K38" s="20">
        <f t="shared" si="2"/>
        <v>2007</v>
      </c>
      <c r="M38" s="21">
        <f t="shared" si="3"/>
        <v>3.2188758248682006</v>
      </c>
      <c r="N38" s="21">
        <f t="shared" si="4"/>
        <v>2.5596858473810773</v>
      </c>
    </row>
    <row r="39" spans="1:14" x14ac:dyDescent="0.2">
      <c r="A39" s="25">
        <f>'GF + UG Iteration 11'!A39</f>
        <v>648</v>
      </c>
      <c r="B39" s="25" t="str">
        <f>'GF + UG Iteration 11'!B39</f>
        <v>GF</v>
      </c>
      <c r="C39" s="18">
        <f>'GF + UG Iteration 11'!C39</f>
        <v>15</v>
      </c>
      <c r="D39" s="19">
        <f>'GF + UG Iteration 11'!D39</f>
        <v>14.973718181093032</v>
      </c>
      <c r="E39" s="30">
        <f>'GF + UG Iteration 11'!E39</f>
        <v>2007</v>
      </c>
      <c r="F39" s="18"/>
      <c r="G39" s="19"/>
      <c r="H39" s="20"/>
      <c r="I39" s="18">
        <f t="shared" si="0"/>
        <v>15</v>
      </c>
      <c r="J39" s="19">
        <f t="shared" si="1"/>
        <v>14.973718181093032</v>
      </c>
      <c r="K39" s="20">
        <f t="shared" si="2"/>
        <v>2007</v>
      </c>
      <c r="M39" s="21">
        <f t="shared" si="3"/>
        <v>2.7080502011022101</v>
      </c>
      <c r="N39" s="21">
        <f t="shared" si="4"/>
        <v>2.7062965430819679</v>
      </c>
    </row>
    <row r="40" spans="1:14" x14ac:dyDescent="0.2">
      <c r="A40" s="25">
        <f>'GF + UG Iteration 11'!A40</f>
        <v>855</v>
      </c>
      <c r="B40" s="25" t="str">
        <f>'GF + UG Iteration 11'!B40</f>
        <v>GF</v>
      </c>
      <c r="C40" s="18">
        <f>'GF + UG Iteration 11'!C40</f>
        <v>23</v>
      </c>
      <c r="D40" s="19">
        <f>'GF + UG Iteration 11'!D40</f>
        <v>28.66706963950903</v>
      </c>
      <c r="E40" s="30">
        <f>'GF + UG Iteration 11'!E40</f>
        <v>2011</v>
      </c>
      <c r="F40" s="18"/>
      <c r="G40" s="19"/>
      <c r="H40" s="20"/>
      <c r="I40" s="18">
        <f t="shared" si="0"/>
        <v>23</v>
      </c>
      <c r="J40" s="19">
        <f t="shared" si="1"/>
        <v>28.66706963950903</v>
      </c>
      <c r="K40" s="20">
        <f t="shared" si="2"/>
        <v>2011</v>
      </c>
      <c r="M40" s="21">
        <f t="shared" si="3"/>
        <v>3.1354942159291497</v>
      </c>
      <c r="N40" s="21">
        <f t="shared" si="4"/>
        <v>3.355749064678772</v>
      </c>
    </row>
    <row r="41" spans="1:14" x14ac:dyDescent="0.2">
      <c r="A41" s="25">
        <f>'GF + UG Iteration 11'!A41</f>
        <v>700</v>
      </c>
      <c r="B41" s="25" t="str">
        <f>'GF + UG Iteration 11'!B41</f>
        <v>GF</v>
      </c>
      <c r="C41" s="18">
        <f>'GF + UG Iteration 11'!C41</f>
        <v>9.8000000000000007</v>
      </c>
      <c r="D41" s="19">
        <f>'GF + UG Iteration 11'!D41</f>
        <v>7.0657947644327148</v>
      </c>
      <c r="E41" s="30">
        <f>'GF + UG Iteration 11'!E41</f>
        <v>2007</v>
      </c>
      <c r="F41" s="18"/>
      <c r="G41" s="19"/>
      <c r="H41" s="20"/>
      <c r="I41" s="18">
        <f t="shared" si="0"/>
        <v>9.8000000000000007</v>
      </c>
      <c r="J41" s="19">
        <f t="shared" si="1"/>
        <v>7.0657947644327148</v>
      </c>
      <c r="K41" s="20">
        <f t="shared" si="2"/>
        <v>2007</v>
      </c>
      <c r="M41" s="21">
        <f t="shared" si="3"/>
        <v>2.2823823856765264</v>
      </c>
      <c r="N41" s="21">
        <f t="shared" si="4"/>
        <v>1.9552655030060266</v>
      </c>
    </row>
    <row r="42" spans="1:14" x14ac:dyDescent="0.2">
      <c r="A42" s="25">
        <f>'GF + UG Iteration 11'!A42</f>
        <v>683</v>
      </c>
      <c r="B42" s="25" t="str">
        <f>'GF + UG Iteration 11'!B42</f>
        <v>GF</v>
      </c>
      <c r="C42" s="18">
        <f>'GF + UG Iteration 11'!C42</f>
        <v>30</v>
      </c>
      <c r="D42" s="19">
        <f>'GF + UG Iteration 11'!D42</f>
        <v>16.03232257186292</v>
      </c>
      <c r="E42" s="30">
        <f>'GF + UG Iteration 11'!E42</f>
        <v>2011</v>
      </c>
      <c r="F42" s="18"/>
      <c r="G42" s="19"/>
      <c r="H42" s="20"/>
      <c r="I42" s="18">
        <f t="shared" si="0"/>
        <v>30</v>
      </c>
      <c r="J42" s="19">
        <f t="shared" si="1"/>
        <v>16.03232257186292</v>
      </c>
      <c r="K42" s="20">
        <f t="shared" si="2"/>
        <v>2011</v>
      </c>
      <c r="M42" s="21">
        <f t="shared" si="3"/>
        <v>3.4011973816621555</v>
      </c>
      <c r="N42" s="21">
        <f t="shared" si="4"/>
        <v>2.7746068452004713</v>
      </c>
    </row>
    <row r="43" spans="1:14" x14ac:dyDescent="0.2">
      <c r="A43" s="25">
        <f>'GF + UG Iteration 11'!A43</f>
        <v>559</v>
      </c>
      <c r="B43" s="25" t="str">
        <f>'GF + UG Iteration 11'!B43</f>
        <v>GF</v>
      </c>
      <c r="C43" s="18">
        <f>'GF + UG Iteration 11'!C43</f>
        <v>115</v>
      </c>
      <c r="D43" s="19">
        <f>'GF + UG Iteration 11'!D43</f>
        <v>56.859498956472109</v>
      </c>
      <c r="E43" s="30">
        <f>'GF + UG Iteration 11'!E43</f>
        <v>2011</v>
      </c>
      <c r="F43" s="18"/>
      <c r="G43" s="19"/>
      <c r="H43" s="20"/>
      <c r="I43" s="18">
        <f t="shared" si="0"/>
        <v>115</v>
      </c>
      <c r="J43" s="19">
        <f t="shared" si="1"/>
        <v>56.859498956472109</v>
      </c>
      <c r="K43" s="20">
        <f t="shared" si="2"/>
        <v>2011</v>
      </c>
      <c r="M43" s="21">
        <f t="shared" si="3"/>
        <v>4.7449321283632502</v>
      </c>
      <c r="N43" s="21">
        <f t="shared" si="4"/>
        <v>4.0405832943034818</v>
      </c>
    </row>
    <row r="44" spans="1:14" x14ac:dyDescent="0.2">
      <c r="A44" s="25">
        <f>'GF + UG Iteration 11'!A44</f>
        <v>1074</v>
      </c>
      <c r="B44" s="25" t="str">
        <f>'GF + UG Iteration 11'!B44</f>
        <v>GF</v>
      </c>
      <c r="C44" s="18">
        <f>'GF + UG Iteration 11'!C44</f>
        <v>67</v>
      </c>
      <c r="D44" s="19">
        <f>'GF + UG Iteration 11'!D44</f>
        <v>43.13883453102715</v>
      </c>
      <c r="E44" s="30">
        <f>'GF + UG Iteration 11'!E44</f>
        <v>2011</v>
      </c>
      <c r="F44" s="18"/>
      <c r="G44" s="19"/>
      <c r="H44" s="20"/>
      <c r="I44" s="18">
        <f t="shared" si="0"/>
        <v>67</v>
      </c>
      <c r="J44" s="19">
        <f t="shared" si="1"/>
        <v>43.13883453102715</v>
      </c>
      <c r="K44" s="20">
        <f t="shared" si="2"/>
        <v>2011</v>
      </c>
      <c r="M44" s="21">
        <f t="shared" si="3"/>
        <v>4.2046926193909657</v>
      </c>
      <c r="N44" s="21">
        <f t="shared" si="4"/>
        <v>3.7644236246254454</v>
      </c>
    </row>
    <row r="45" spans="1:14" x14ac:dyDescent="0.2">
      <c r="A45" s="25">
        <f>'GF + UG Iteration 11'!A45</f>
        <v>34</v>
      </c>
      <c r="B45" s="25" t="str">
        <f>'GF + UG Iteration 11'!B45</f>
        <v>GF</v>
      </c>
      <c r="C45" s="18">
        <f>'GF + UG Iteration 11'!C45</f>
        <v>16</v>
      </c>
      <c r="D45" s="19">
        <f>'GF + UG Iteration 11'!D45</f>
        <v>7.5134124542159286</v>
      </c>
      <c r="E45" s="30">
        <f>'GF + UG Iteration 11'!E45</f>
        <v>2000</v>
      </c>
      <c r="F45" s="18"/>
      <c r="G45" s="19"/>
      <c r="H45" s="20"/>
      <c r="I45" s="18">
        <f t="shared" si="0"/>
        <v>16</v>
      </c>
      <c r="J45" s="19">
        <f t="shared" si="1"/>
        <v>7.5134124542159286</v>
      </c>
      <c r="K45" s="20">
        <f t="shared" si="2"/>
        <v>2000</v>
      </c>
      <c r="M45" s="21">
        <f t="shared" si="3"/>
        <v>2.7725887222397811</v>
      </c>
      <c r="N45" s="21">
        <f t="shared" si="4"/>
        <v>2.0166897506177883</v>
      </c>
    </row>
    <row r="46" spans="1:14" x14ac:dyDescent="0.2">
      <c r="A46" s="25">
        <f>'GF + UG Iteration 11'!A46</f>
        <v>433</v>
      </c>
      <c r="B46" s="25" t="str">
        <f>'GF + UG Iteration 11'!B46</f>
        <v>GF</v>
      </c>
      <c r="C46" s="18">
        <f>'GF + UG Iteration 11'!C46</f>
        <v>25</v>
      </c>
      <c r="D46" s="19">
        <f>'GF + UG Iteration 11'!D46</f>
        <v>22.308265318441425</v>
      </c>
      <c r="E46" s="30">
        <f>'GF + UG Iteration 11'!E46</f>
        <v>2003</v>
      </c>
      <c r="F46" s="18"/>
      <c r="G46" s="19"/>
      <c r="H46" s="20"/>
      <c r="I46" s="18">
        <f t="shared" si="0"/>
        <v>25</v>
      </c>
      <c r="J46" s="19">
        <f t="shared" si="1"/>
        <v>22.308265318441425</v>
      </c>
      <c r="K46" s="20">
        <f t="shared" si="2"/>
        <v>2003</v>
      </c>
      <c r="M46" s="21">
        <f t="shared" si="3"/>
        <v>3.2188758248682006</v>
      </c>
      <c r="N46" s="21">
        <f t="shared" si="4"/>
        <v>3.1049572518778392</v>
      </c>
    </row>
    <row r="47" spans="1:14" x14ac:dyDescent="0.2">
      <c r="A47" s="25" t="str">
        <f>'GF + UG Iteration 11'!A47</f>
        <v>79A</v>
      </c>
      <c r="B47" s="25" t="str">
        <f>'GF + UG Iteration 11'!B47</f>
        <v>GF</v>
      </c>
      <c r="C47" s="18">
        <f>'GF + UG Iteration 11'!C47</f>
        <v>8</v>
      </c>
      <c r="D47" s="19">
        <f>'GF + UG Iteration 11'!D47</f>
        <v>5.0823375539699818</v>
      </c>
      <c r="E47" s="30">
        <f>'GF + UG Iteration 11'!E47</f>
        <v>2000</v>
      </c>
      <c r="F47" s="18"/>
      <c r="G47" s="19"/>
      <c r="H47" s="20"/>
      <c r="I47" s="18">
        <f t="shared" si="0"/>
        <v>8</v>
      </c>
      <c r="J47" s="19">
        <f t="shared" si="1"/>
        <v>5.0823375539699818</v>
      </c>
      <c r="K47" s="20">
        <f t="shared" si="2"/>
        <v>2000</v>
      </c>
      <c r="M47" s="21">
        <f t="shared" si="3"/>
        <v>2.0794415416798357</v>
      </c>
      <c r="N47" s="21">
        <f t="shared" si="4"/>
        <v>1.62577130417386</v>
      </c>
    </row>
    <row r="48" spans="1:14" x14ac:dyDescent="0.2">
      <c r="A48" s="25" t="str">
        <f>'GF + UG Iteration 11'!A48</f>
        <v>10A</v>
      </c>
      <c r="B48" s="25" t="str">
        <f>'GF + UG Iteration 11'!B48</f>
        <v>GF</v>
      </c>
      <c r="C48" s="18">
        <f>'GF + UG Iteration 11'!C48</f>
        <v>6.2</v>
      </c>
      <c r="D48" s="19">
        <f>'GF + UG Iteration 11'!D48</f>
        <v>8.9160103759227685</v>
      </c>
      <c r="E48" s="30">
        <f>'GF + UG Iteration 11'!E48</f>
        <v>2001</v>
      </c>
      <c r="F48" s="18"/>
      <c r="G48" s="19"/>
      <c r="H48" s="20"/>
      <c r="I48" s="18">
        <f t="shared" si="0"/>
        <v>6.2</v>
      </c>
      <c r="J48" s="19">
        <f t="shared" si="1"/>
        <v>8.9160103759227685</v>
      </c>
      <c r="K48" s="20">
        <f t="shared" si="2"/>
        <v>2001</v>
      </c>
      <c r="M48" s="21">
        <f t="shared" si="3"/>
        <v>1.824549292051046</v>
      </c>
      <c r="N48" s="21">
        <f t="shared" si="4"/>
        <v>2.1878485792648439</v>
      </c>
    </row>
    <row r="49" spans="1:14" x14ac:dyDescent="0.2">
      <c r="A49" s="25">
        <f>'GF + UG Iteration 11'!A49</f>
        <v>345</v>
      </c>
      <c r="B49" s="25" t="str">
        <f>'GF + UG Iteration 11'!B49</f>
        <v>GF</v>
      </c>
      <c r="C49" s="18">
        <f>'GF + UG Iteration 11'!C49</f>
        <v>35</v>
      </c>
      <c r="D49" s="19">
        <f>'GF + UG Iteration 11'!D49</f>
        <v>8.3689831482940882</v>
      </c>
      <c r="E49" s="30">
        <f>'GF + UG Iteration 11'!E49</f>
        <v>2003</v>
      </c>
      <c r="F49" s="18"/>
      <c r="G49" s="19"/>
      <c r="H49" s="20"/>
      <c r="I49" s="18">
        <f t="shared" si="0"/>
        <v>35</v>
      </c>
      <c r="J49" s="19">
        <f t="shared" si="1"/>
        <v>8.3689831482940882</v>
      </c>
      <c r="K49" s="20">
        <f t="shared" si="2"/>
        <v>2003</v>
      </c>
      <c r="M49" s="21">
        <f t="shared" si="3"/>
        <v>3.5553480614894135</v>
      </c>
      <c r="N49" s="21">
        <f t="shared" si="4"/>
        <v>2.1245323894621508</v>
      </c>
    </row>
    <row r="50" spans="1:14" x14ac:dyDescent="0.2">
      <c r="A50" s="25">
        <f>'GF + UG Iteration 11'!A50</f>
        <v>1049</v>
      </c>
      <c r="B50" s="25" t="str">
        <f>'GF + UG Iteration 11'!B50</f>
        <v>GF</v>
      </c>
      <c r="C50" s="18">
        <f>'GF + UG Iteration 11'!C50</f>
        <v>15.2</v>
      </c>
      <c r="D50" s="19">
        <f>'GF + UG Iteration 11'!D50</f>
        <v>54.551770509232071</v>
      </c>
      <c r="E50" s="30">
        <f>'GF + UG Iteration 11'!E50</f>
        <v>2011</v>
      </c>
      <c r="F50" s="18"/>
      <c r="G50" s="19"/>
      <c r="H50" s="20"/>
      <c r="I50" s="18">
        <f t="shared" si="0"/>
        <v>15.2</v>
      </c>
      <c r="J50" s="19">
        <f t="shared" si="1"/>
        <v>54.551770509232071</v>
      </c>
      <c r="K50" s="20">
        <f t="shared" si="2"/>
        <v>2011</v>
      </c>
      <c r="M50" s="21">
        <f t="shared" si="3"/>
        <v>2.7212954278522306</v>
      </c>
      <c r="N50" s="21">
        <f t="shared" si="4"/>
        <v>3.9991501683835766</v>
      </c>
    </row>
    <row r="51" spans="1:14" x14ac:dyDescent="0.2">
      <c r="A51" s="25">
        <f>'GF + UG Iteration 11'!A51</f>
        <v>230</v>
      </c>
      <c r="B51" s="25" t="str">
        <f>'GF + UG Iteration 11'!B51</f>
        <v>GF</v>
      </c>
      <c r="C51" s="18">
        <f>'GF + UG Iteration 11'!C51</f>
        <v>17</v>
      </c>
      <c r="D51" s="19">
        <f>'GF + UG Iteration 11'!D51</f>
        <v>10.739901169983137</v>
      </c>
      <c r="E51" s="30">
        <f>'GF + UG Iteration 11'!E51</f>
        <v>2003</v>
      </c>
      <c r="F51" s="18"/>
      <c r="G51" s="19"/>
      <c r="H51" s="20"/>
      <c r="I51" s="18">
        <f t="shared" si="0"/>
        <v>17</v>
      </c>
      <c r="J51" s="19">
        <f t="shared" si="1"/>
        <v>10.739901169983137</v>
      </c>
      <c r="K51" s="20">
        <f t="shared" si="2"/>
        <v>2003</v>
      </c>
      <c r="M51" s="21">
        <f t="shared" si="3"/>
        <v>2.8332133440562162</v>
      </c>
      <c r="N51" s="21">
        <f t="shared" si="4"/>
        <v>2.3739658869883922</v>
      </c>
    </row>
    <row r="52" spans="1:14" x14ac:dyDescent="0.2">
      <c r="A52" s="25" t="str">
        <f>'GF + UG Iteration 11'!A52</f>
        <v>79B</v>
      </c>
      <c r="B52" s="25" t="str">
        <f>'GF + UG Iteration 11'!B52</f>
        <v>GF</v>
      </c>
      <c r="C52" s="18">
        <f>'GF + UG Iteration 11'!C52</f>
        <v>8</v>
      </c>
      <c r="D52" s="19">
        <f>'GF + UG Iteration 11'!D52</f>
        <v>3.3788339951362953</v>
      </c>
      <c r="E52" s="30">
        <f>'GF + UG Iteration 11'!E52</f>
        <v>2000</v>
      </c>
      <c r="F52" s="18"/>
      <c r="G52" s="19"/>
      <c r="H52" s="20"/>
      <c r="I52" s="18">
        <f t="shared" si="0"/>
        <v>8</v>
      </c>
      <c r="J52" s="19">
        <f t="shared" si="1"/>
        <v>3.3788339951362953</v>
      </c>
      <c r="K52" s="20">
        <f t="shared" si="2"/>
        <v>2000</v>
      </c>
      <c r="M52" s="21">
        <f t="shared" si="3"/>
        <v>2.0794415416798357</v>
      </c>
      <c r="N52" s="21">
        <f t="shared" si="4"/>
        <v>1.2175306781252826</v>
      </c>
    </row>
    <row r="53" spans="1:14" x14ac:dyDescent="0.2">
      <c r="A53" s="25" t="str">
        <f>'GF + UG Iteration 11'!A53</f>
        <v>10B</v>
      </c>
      <c r="B53" s="25" t="str">
        <f>'GF + UG Iteration 11'!B53</f>
        <v>GF</v>
      </c>
      <c r="C53" s="18">
        <f>'GF + UG Iteration 11'!C53</f>
        <v>9.4060000000000006</v>
      </c>
      <c r="D53" s="19">
        <f>'GF + UG Iteration 11'!D53</f>
        <v>9.7991326901064184</v>
      </c>
      <c r="E53" s="30">
        <f>'GF + UG Iteration 11'!E53</f>
        <v>2001</v>
      </c>
      <c r="F53" s="18"/>
      <c r="G53" s="19"/>
      <c r="H53" s="20"/>
      <c r="I53" s="18">
        <f t="shared" si="0"/>
        <v>9.4060000000000006</v>
      </c>
      <c r="J53" s="19">
        <f t="shared" si="1"/>
        <v>9.7991326901064184</v>
      </c>
      <c r="K53" s="20">
        <f t="shared" si="2"/>
        <v>2001</v>
      </c>
      <c r="M53" s="21">
        <f t="shared" si="3"/>
        <v>2.2413477835228561</v>
      </c>
      <c r="N53" s="21">
        <f t="shared" si="4"/>
        <v>2.2822938807505317</v>
      </c>
    </row>
    <row r="54" spans="1:14" x14ac:dyDescent="0.2">
      <c r="A54" s="25">
        <f>'GF + UG Iteration 11'!A54</f>
        <v>8</v>
      </c>
      <c r="B54" s="25" t="str">
        <f>'GF + UG Iteration 11'!B54</f>
        <v>GF</v>
      </c>
      <c r="C54" s="18">
        <f>'GF + UG Iteration 11'!C54</f>
        <v>18</v>
      </c>
      <c r="D54" s="19">
        <f>'GF + UG Iteration 11'!D54</f>
        <v>11.984110505191126</v>
      </c>
      <c r="E54" s="30">
        <f>'GF + UG Iteration 11'!E54</f>
        <v>2000</v>
      </c>
      <c r="F54" s="18"/>
      <c r="G54" s="19"/>
      <c r="H54" s="20"/>
      <c r="I54" s="18">
        <f t="shared" si="0"/>
        <v>18</v>
      </c>
      <c r="J54" s="19">
        <f t="shared" si="1"/>
        <v>11.984110505191126</v>
      </c>
      <c r="K54" s="20">
        <f t="shared" si="2"/>
        <v>2000</v>
      </c>
      <c r="M54" s="21">
        <f t="shared" si="3"/>
        <v>2.8903717578961645</v>
      </c>
      <c r="N54" s="21">
        <f t="shared" si="4"/>
        <v>2.4835816477930246</v>
      </c>
    </row>
    <row r="55" spans="1:14" x14ac:dyDescent="0.2">
      <c r="A55" s="25">
        <f>'GF + UG Iteration 11'!A55</f>
        <v>487</v>
      </c>
      <c r="B55" s="25" t="str">
        <f>'GF + UG Iteration 11'!B55</f>
        <v>GF</v>
      </c>
      <c r="C55" s="18">
        <f>'GF + UG Iteration 11'!C55</f>
        <v>22</v>
      </c>
      <c r="D55" s="19">
        <f>'GF + UG Iteration 11'!D55</f>
        <v>16.606728766354362</v>
      </c>
      <c r="E55" s="30">
        <f>'GF + UG Iteration 11'!E55</f>
        <v>2007</v>
      </c>
      <c r="F55" s="18"/>
      <c r="G55" s="19"/>
      <c r="H55" s="20"/>
      <c r="I55" s="18">
        <f t="shared" si="0"/>
        <v>22</v>
      </c>
      <c r="J55" s="19">
        <f t="shared" si="1"/>
        <v>16.606728766354362</v>
      </c>
      <c r="K55" s="20">
        <f t="shared" si="2"/>
        <v>2007</v>
      </c>
      <c r="M55" s="21">
        <f t="shared" si="3"/>
        <v>3.0910424533583161</v>
      </c>
      <c r="N55" s="21">
        <f t="shared" si="4"/>
        <v>2.8098079606021904</v>
      </c>
    </row>
    <row r="56" spans="1:14" x14ac:dyDescent="0.2">
      <c r="A56" s="25">
        <f>'GF + UG Iteration 11'!A56</f>
        <v>385</v>
      </c>
      <c r="B56" s="25" t="str">
        <f>'GF + UG Iteration 11'!B56</f>
        <v>GF</v>
      </c>
      <c r="C56" s="18">
        <f>'GF + UG Iteration 11'!C56</f>
        <v>7.5</v>
      </c>
      <c r="D56" s="19">
        <f>'GF + UG Iteration 11'!D56</f>
        <v>8.5880709825089685</v>
      </c>
      <c r="E56" s="30">
        <f>'GF + UG Iteration 11'!E56</f>
        <v>2003</v>
      </c>
      <c r="F56" s="18"/>
      <c r="G56" s="19"/>
      <c r="H56" s="20"/>
      <c r="I56" s="18">
        <f t="shared" si="0"/>
        <v>7.5</v>
      </c>
      <c r="J56" s="19">
        <f t="shared" si="1"/>
        <v>8.5880709825089685</v>
      </c>
      <c r="K56" s="20">
        <f t="shared" si="2"/>
        <v>2003</v>
      </c>
      <c r="M56" s="21">
        <f t="shared" si="3"/>
        <v>2.0149030205422647</v>
      </c>
      <c r="N56" s="21">
        <f t="shared" si="4"/>
        <v>2.1503741452954848</v>
      </c>
    </row>
    <row r="57" spans="1:14" x14ac:dyDescent="0.2">
      <c r="A57" s="25">
        <f>'GF + UG Iteration 11'!A57</f>
        <v>865</v>
      </c>
      <c r="B57" s="25" t="str">
        <f>'GF + UG Iteration 11'!B57</f>
        <v>GF</v>
      </c>
      <c r="C57" s="18">
        <f>'GF + UG Iteration 11'!C57</f>
        <v>25</v>
      </c>
      <c r="D57" s="19">
        <f>'GF + UG Iteration 11'!D57</f>
        <v>8.6091983279462436</v>
      </c>
      <c r="E57" s="30">
        <f>'GF + UG Iteration 11'!E57</f>
        <v>2007</v>
      </c>
      <c r="F57" s="18"/>
      <c r="G57" s="19"/>
      <c r="H57" s="20"/>
      <c r="I57" s="18">
        <f t="shared" si="0"/>
        <v>25</v>
      </c>
      <c r="J57" s="19">
        <f t="shared" si="1"/>
        <v>8.6091983279462436</v>
      </c>
      <c r="K57" s="20">
        <f t="shared" si="2"/>
        <v>2007</v>
      </c>
      <c r="M57" s="21">
        <f t="shared" si="3"/>
        <v>3.2188758248682006</v>
      </c>
      <c r="N57" s="21">
        <f t="shared" si="4"/>
        <v>2.1528312046907798</v>
      </c>
    </row>
    <row r="58" spans="1:14" x14ac:dyDescent="0.2">
      <c r="A58" s="25">
        <f>'GF + UG Iteration 11'!A58</f>
        <v>863</v>
      </c>
      <c r="B58" s="25" t="str">
        <f>'GF + UG Iteration 11'!B58</f>
        <v>GF</v>
      </c>
      <c r="C58" s="18">
        <f>'GF + UG Iteration 11'!C58</f>
        <v>25</v>
      </c>
      <c r="D58" s="19">
        <f>'GF + UG Iteration 11'!D58</f>
        <v>8.2434360504581008</v>
      </c>
      <c r="E58" s="30">
        <f>'GF + UG Iteration 11'!E58</f>
        <v>2007</v>
      </c>
      <c r="F58" s="18"/>
      <c r="G58" s="19"/>
      <c r="H58" s="20"/>
      <c r="I58" s="18">
        <f t="shared" si="0"/>
        <v>25</v>
      </c>
      <c r="J58" s="19">
        <f t="shared" si="1"/>
        <v>8.2434360504581008</v>
      </c>
      <c r="K58" s="20">
        <f t="shared" si="2"/>
        <v>2007</v>
      </c>
      <c r="M58" s="21">
        <f t="shared" si="3"/>
        <v>3.2188758248682006</v>
      </c>
      <c r="N58" s="21">
        <f t="shared" si="4"/>
        <v>2.1094172534173556</v>
      </c>
    </row>
    <row r="59" spans="1:14" x14ac:dyDescent="0.2">
      <c r="A59" s="25">
        <f>'GF + UG Iteration 11'!A59</f>
        <v>527</v>
      </c>
      <c r="B59" s="25" t="str">
        <f>'GF + UG Iteration 11'!B59</f>
        <v>GF</v>
      </c>
      <c r="C59" s="18">
        <f>'GF + UG Iteration 11'!C59</f>
        <v>17</v>
      </c>
      <c r="D59" s="19">
        <f>'GF + UG Iteration 11'!D59</f>
        <v>6.9318595783251213</v>
      </c>
      <c r="E59" s="30">
        <f>'GF + UG Iteration 11'!E59</f>
        <v>2007</v>
      </c>
      <c r="F59" s="18"/>
      <c r="G59" s="19"/>
      <c r="H59" s="20"/>
      <c r="I59" s="18">
        <f t="shared" si="0"/>
        <v>17</v>
      </c>
      <c r="J59" s="19">
        <f t="shared" si="1"/>
        <v>6.9318595783251213</v>
      </c>
      <c r="K59" s="20">
        <f t="shared" si="2"/>
        <v>2007</v>
      </c>
      <c r="M59" s="21">
        <f t="shared" si="3"/>
        <v>2.8332133440562162</v>
      </c>
      <c r="N59" s="21">
        <f t="shared" si="4"/>
        <v>1.936128114626418</v>
      </c>
    </row>
    <row r="60" spans="1:14" x14ac:dyDescent="0.2">
      <c r="A60" s="25">
        <f>'GF + UG Iteration 11'!A60</f>
        <v>595</v>
      </c>
      <c r="B60" s="25" t="str">
        <f>'GF + UG Iteration 11'!B60</f>
        <v>GF</v>
      </c>
      <c r="C60" s="18">
        <f>'GF + UG Iteration 11'!C60</f>
        <v>11</v>
      </c>
      <c r="D60" s="19">
        <f>'GF + UG Iteration 11'!D60</f>
        <v>19.087371326529755</v>
      </c>
      <c r="E60" s="30">
        <f>'GF + UG Iteration 11'!E60</f>
        <v>2007</v>
      </c>
      <c r="F60" s="18"/>
      <c r="G60" s="19"/>
      <c r="H60" s="20"/>
      <c r="I60" s="18">
        <f t="shared" si="0"/>
        <v>11</v>
      </c>
      <c r="J60" s="19">
        <f t="shared" si="1"/>
        <v>19.087371326529755</v>
      </c>
      <c r="K60" s="20">
        <f t="shared" si="2"/>
        <v>2007</v>
      </c>
      <c r="M60" s="21">
        <f t="shared" si="3"/>
        <v>2.3978952727983707</v>
      </c>
      <c r="N60" s="21">
        <f t="shared" si="4"/>
        <v>2.9490269292793174</v>
      </c>
    </row>
    <row r="61" spans="1:14" x14ac:dyDescent="0.2">
      <c r="A61" s="25">
        <f>'GF + UG Iteration 11'!A61</f>
        <v>528</v>
      </c>
      <c r="B61" s="25" t="str">
        <f>'GF + UG Iteration 11'!B61</f>
        <v>GF</v>
      </c>
      <c r="C61" s="18">
        <f>'GF + UG Iteration 11'!C61</f>
        <v>17</v>
      </c>
      <c r="D61" s="19">
        <f>'GF + UG Iteration 11'!D61</f>
        <v>5.2657663175025586</v>
      </c>
      <c r="E61" s="30">
        <f>'GF + UG Iteration 11'!E61</f>
        <v>2007</v>
      </c>
      <c r="F61" s="18"/>
      <c r="G61" s="19"/>
      <c r="H61" s="20"/>
      <c r="I61" s="18">
        <f t="shared" si="0"/>
        <v>17</v>
      </c>
      <c r="J61" s="19">
        <f t="shared" si="1"/>
        <v>5.2657663175025586</v>
      </c>
      <c r="K61" s="20">
        <f t="shared" si="2"/>
        <v>2007</v>
      </c>
      <c r="M61" s="21">
        <f t="shared" si="3"/>
        <v>2.8332133440562162</v>
      </c>
      <c r="N61" s="21">
        <f t="shared" si="4"/>
        <v>1.6612266843778571</v>
      </c>
    </row>
    <row r="62" spans="1:14" x14ac:dyDescent="0.2">
      <c r="A62" s="25">
        <f>'GF + UG Iteration 11'!A62</f>
        <v>529</v>
      </c>
      <c r="B62" s="25" t="str">
        <f>'GF + UG Iteration 11'!B62</f>
        <v>GF</v>
      </c>
      <c r="C62" s="18">
        <f>'GF + UG Iteration 11'!C62</f>
        <v>17</v>
      </c>
      <c r="D62" s="19">
        <f>'GF + UG Iteration 11'!D62</f>
        <v>7.7921694439597555</v>
      </c>
      <c r="E62" s="30">
        <f>'GF + UG Iteration 11'!E62</f>
        <v>2007</v>
      </c>
      <c r="F62" s="18"/>
      <c r="G62" s="19"/>
      <c r="H62" s="20"/>
      <c r="I62" s="18">
        <f t="shared" si="0"/>
        <v>17</v>
      </c>
      <c r="J62" s="19">
        <f t="shared" si="1"/>
        <v>7.7921694439597555</v>
      </c>
      <c r="K62" s="20">
        <f t="shared" si="2"/>
        <v>2007</v>
      </c>
      <c r="M62" s="21">
        <f t="shared" si="3"/>
        <v>2.8332133440562162</v>
      </c>
      <c r="N62" s="21">
        <f t="shared" si="4"/>
        <v>2.0531193119918547</v>
      </c>
    </row>
    <row r="63" spans="1:14" x14ac:dyDescent="0.2">
      <c r="A63" s="25">
        <f>'GF + UG Iteration 11'!A63</f>
        <v>1095</v>
      </c>
      <c r="B63" s="25" t="str">
        <f>'GF + UG Iteration 11'!B63</f>
        <v>GF</v>
      </c>
      <c r="C63" s="18">
        <f>'GF + UG Iteration 11'!C63</f>
        <v>18</v>
      </c>
      <c r="D63" s="19">
        <f>'GF + UG Iteration 11'!D63</f>
        <v>11.923356574074873</v>
      </c>
      <c r="E63" s="30">
        <f>'GF + UG Iteration 11'!E63</f>
        <v>2011</v>
      </c>
      <c r="F63" s="18"/>
      <c r="G63" s="19"/>
      <c r="H63" s="20"/>
      <c r="I63" s="18">
        <f t="shared" si="0"/>
        <v>18</v>
      </c>
      <c r="J63" s="19">
        <f t="shared" si="1"/>
        <v>11.923356574074873</v>
      </c>
      <c r="K63" s="20">
        <f t="shared" si="2"/>
        <v>2011</v>
      </c>
      <c r="M63" s="21">
        <f t="shared" si="3"/>
        <v>2.8903717578961645</v>
      </c>
      <c r="N63" s="21">
        <f t="shared" si="4"/>
        <v>2.4784992137824831</v>
      </c>
    </row>
    <row r="64" spans="1:14" x14ac:dyDescent="0.2">
      <c r="A64" s="25">
        <f>'GF + UG Iteration 11'!A64</f>
        <v>561</v>
      </c>
      <c r="B64" s="25" t="str">
        <f>'GF + UG Iteration 11'!B64</f>
        <v>GF</v>
      </c>
      <c r="C64" s="18">
        <f>'GF + UG Iteration 11'!C64</f>
        <v>46</v>
      </c>
      <c r="D64" s="19">
        <f>'GF + UG Iteration 11'!D64</f>
        <v>58.100097147658744</v>
      </c>
      <c r="E64" s="30">
        <f>'GF + UG Iteration 11'!E64</f>
        <v>2011</v>
      </c>
      <c r="F64" s="18"/>
      <c r="G64" s="19"/>
      <c r="H64" s="20"/>
      <c r="I64" s="18">
        <f t="shared" si="0"/>
        <v>46</v>
      </c>
      <c r="J64" s="19">
        <f t="shared" si="1"/>
        <v>58.100097147658744</v>
      </c>
      <c r="K64" s="20">
        <f t="shared" si="2"/>
        <v>2011</v>
      </c>
      <c r="M64" s="21">
        <f t="shared" si="3"/>
        <v>3.8286413964890951</v>
      </c>
      <c r="N64" s="21">
        <f t="shared" si="4"/>
        <v>4.0621673359332098</v>
      </c>
    </row>
    <row r="65" spans="1:14" x14ac:dyDescent="0.2">
      <c r="A65" s="25">
        <f>'GF + UG Iteration 11'!A65</f>
        <v>1018</v>
      </c>
      <c r="B65" s="25" t="str">
        <f>'GF + UG Iteration 11'!B65</f>
        <v>GF</v>
      </c>
      <c r="C65" s="18">
        <f>'GF + UG Iteration 11'!C65</f>
        <v>3</v>
      </c>
      <c r="D65" s="19">
        <f>'GF + UG Iteration 11'!D65</f>
        <v>10.634643135603309</v>
      </c>
      <c r="E65" s="30">
        <f>'GF + UG Iteration 11'!E65</f>
        <v>2011</v>
      </c>
      <c r="F65" s="18"/>
      <c r="G65" s="19"/>
      <c r="H65" s="20"/>
      <c r="I65" s="18">
        <f t="shared" si="0"/>
        <v>3</v>
      </c>
      <c r="J65" s="19">
        <f t="shared" si="1"/>
        <v>10.634643135603309</v>
      </c>
      <c r="K65" s="20">
        <f t="shared" si="2"/>
        <v>2011</v>
      </c>
      <c r="M65" s="21">
        <f t="shared" si="3"/>
        <v>1.0986122886681098</v>
      </c>
      <c r="N65" s="21">
        <f t="shared" si="4"/>
        <v>2.3641168924336546</v>
      </c>
    </row>
    <row r="66" spans="1:14" x14ac:dyDescent="0.2">
      <c r="A66" s="25">
        <f>'GF + UG Iteration 11'!A66</f>
        <v>360</v>
      </c>
      <c r="B66" s="25" t="str">
        <f>'GF + UG Iteration 11'!B66</f>
        <v>GF</v>
      </c>
      <c r="C66" s="18">
        <f>'GF + UG Iteration 11'!C66</f>
        <v>22</v>
      </c>
      <c r="D66" s="19">
        <f>'GF + UG Iteration 11'!D66</f>
        <v>7.1174715515965792</v>
      </c>
      <c r="E66" s="30">
        <f>'GF + UG Iteration 11'!E66</f>
        <v>2003</v>
      </c>
      <c r="F66" s="18"/>
      <c r="G66" s="19"/>
      <c r="H66" s="20"/>
      <c r="I66" s="18">
        <f t="shared" si="0"/>
        <v>22</v>
      </c>
      <c r="J66" s="19">
        <f t="shared" si="1"/>
        <v>7.1174715515965792</v>
      </c>
      <c r="K66" s="20">
        <f t="shared" si="2"/>
        <v>2003</v>
      </c>
      <c r="M66" s="21">
        <f t="shared" si="3"/>
        <v>3.0910424533583161</v>
      </c>
      <c r="N66" s="21">
        <f t="shared" si="4"/>
        <v>1.9625525431963604</v>
      </c>
    </row>
    <row r="67" spans="1:14" x14ac:dyDescent="0.2">
      <c r="A67" s="25">
        <f>'GF + UG Iteration 11'!A67</f>
        <v>1106</v>
      </c>
      <c r="B67" s="25" t="str">
        <f>'GF + UG Iteration 11'!B67</f>
        <v>GF</v>
      </c>
      <c r="C67" s="18">
        <f>'GF + UG Iteration 11'!C67</f>
        <v>12</v>
      </c>
      <c r="D67" s="19">
        <f>'GF + UG Iteration 11'!D67</f>
        <v>20.217898457447252</v>
      </c>
      <c r="E67" s="30">
        <f>'GF + UG Iteration 11'!E67</f>
        <v>2011</v>
      </c>
      <c r="F67" s="18"/>
      <c r="G67" s="19"/>
      <c r="H67" s="20"/>
      <c r="I67" s="18">
        <f t="shared" si="0"/>
        <v>12</v>
      </c>
      <c r="J67" s="19">
        <f t="shared" si="1"/>
        <v>20.217898457447252</v>
      </c>
      <c r="K67" s="20">
        <f t="shared" si="2"/>
        <v>2011</v>
      </c>
      <c r="M67" s="21">
        <f t="shared" si="3"/>
        <v>2.4849066497880004</v>
      </c>
      <c r="N67" s="21">
        <f t="shared" si="4"/>
        <v>3.0065682743355979</v>
      </c>
    </row>
    <row r="68" spans="1:14" x14ac:dyDescent="0.2">
      <c r="A68" s="25">
        <f>'GF + UG Iteration 11'!A68</f>
        <v>899</v>
      </c>
      <c r="B68" s="25" t="str">
        <f>'GF + UG Iteration 11'!B68</f>
        <v>GF</v>
      </c>
      <c r="C68" s="18">
        <f>'GF + UG Iteration 11'!C68</f>
        <v>25</v>
      </c>
      <c r="D68" s="19">
        <f>'GF + UG Iteration 11'!D68</f>
        <v>15.17251837286627</v>
      </c>
      <c r="E68" s="30">
        <f>'GF + UG Iteration 11'!E68</f>
        <v>2010</v>
      </c>
      <c r="F68" s="18"/>
      <c r="G68" s="19"/>
      <c r="H68" s="20"/>
      <c r="I68" s="18">
        <f t="shared" si="0"/>
        <v>25</v>
      </c>
      <c r="J68" s="19">
        <f t="shared" si="1"/>
        <v>15.17251837286627</v>
      </c>
      <c r="K68" s="20">
        <f t="shared" si="2"/>
        <v>2010</v>
      </c>
      <c r="M68" s="21">
        <f t="shared" si="3"/>
        <v>3.2188758248682006</v>
      </c>
      <c r="N68" s="21">
        <f t="shared" si="4"/>
        <v>2.7194857896591729</v>
      </c>
    </row>
    <row r="69" spans="1:14" x14ac:dyDescent="0.2">
      <c r="A69" s="25">
        <f>'GF + UG Iteration 11'!A69</f>
        <v>1191</v>
      </c>
      <c r="B69" s="25" t="str">
        <f>'GF + UG Iteration 11'!B69</f>
        <v>GF</v>
      </c>
      <c r="C69" s="18">
        <f>'GF + UG Iteration 11'!C69</f>
        <v>11</v>
      </c>
      <c r="D69" s="19">
        <f>'GF + UG Iteration 11'!D69</f>
        <v>12.628076471206382</v>
      </c>
      <c r="E69" s="30">
        <f>'GF + UG Iteration 11'!E69</f>
        <v>2011</v>
      </c>
      <c r="F69" s="18"/>
      <c r="G69" s="19"/>
      <c r="H69" s="20"/>
      <c r="I69" s="18">
        <f t="shared" si="0"/>
        <v>11</v>
      </c>
      <c r="J69" s="19">
        <f t="shared" si="1"/>
        <v>12.628076471206382</v>
      </c>
      <c r="K69" s="20">
        <f t="shared" si="2"/>
        <v>2011</v>
      </c>
      <c r="M69" s="21">
        <f t="shared" si="3"/>
        <v>2.3978952727983707</v>
      </c>
      <c r="N69" s="21">
        <f t="shared" si="4"/>
        <v>2.5359226263636927</v>
      </c>
    </row>
    <row r="70" spans="1:14" x14ac:dyDescent="0.2">
      <c r="A70" s="25">
        <f>'GF + UG Iteration 11'!A70</f>
        <v>1115</v>
      </c>
      <c r="B70" s="25" t="str">
        <f>'GF + UG Iteration 11'!B70</f>
        <v>GF</v>
      </c>
      <c r="C70" s="18">
        <f>'GF + UG Iteration 11'!C70</f>
        <v>10</v>
      </c>
      <c r="D70" s="19">
        <f>'GF + UG Iteration 11'!D70</f>
        <v>24.362790290493837</v>
      </c>
      <c r="E70" s="30">
        <f>'GF + UG Iteration 11'!E70</f>
        <v>2011</v>
      </c>
      <c r="F70" s="18"/>
      <c r="G70" s="19"/>
      <c r="H70" s="20"/>
      <c r="I70" s="18">
        <f t="shared" si="0"/>
        <v>10</v>
      </c>
      <c r="J70" s="19">
        <f t="shared" si="1"/>
        <v>24.362790290493837</v>
      </c>
      <c r="K70" s="20">
        <f t="shared" si="2"/>
        <v>2011</v>
      </c>
      <c r="M70" s="21">
        <f t="shared" si="3"/>
        <v>2.3025850929940459</v>
      </c>
      <c r="N70" s="21">
        <f t="shared" si="4"/>
        <v>3.1930569802267783</v>
      </c>
    </row>
    <row r="71" spans="1:14" x14ac:dyDescent="0.2">
      <c r="A71" s="25">
        <f>'GF + UG Iteration 11'!A71</f>
        <v>1053</v>
      </c>
      <c r="B71" s="25" t="str">
        <f>'GF + UG Iteration 11'!B71</f>
        <v>GF</v>
      </c>
      <c r="C71" s="18">
        <f>'GF + UG Iteration 11'!C71</f>
        <v>9</v>
      </c>
      <c r="D71" s="19">
        <f>'GF + UG Iteration 11'!D71</f>
        <v>14.71443826778331</v>
      </c>
      <c r="E71" s="30">
        <f>'GF + UG Iteration 11'!E71</f>
        <v>2011</v>
      </c>
      <c r="F71" s="18"/>
      <c r="G71" s="19"/>
      <c r="H71" s="20"/>
      <c r="I71" s="18">
        <f t="shared" si="0"/>
        <v>9</v>
      </c>
      <c r="J71" s="19">
        <f t="shared" si="1"/>
        <v>14.71443826778331</v>
      </c>
      <c r="K71" s="20">
        <f t="shared" si="2"/>
        <v>2011</v>
      </c>
      <c r="M71" s="21">
        <f t="shared" si="3"/>
        <v>2.1972245773362196</v>
      </c>
      <c r="N71" s="21">
        <f t="shared" si="4"/>
        <v>2.6888292068340069</v>
      </c>
    </row>
    <row r="72" spans="1:14" x14ac:dyDescent="0.2">
      <c r="A72" s="25">
        <f>'GF + UG Iteration 11'!A72</f>
        <v>864</v>
      </c>
      <c r="B72" s="25" t="str">
        <f>'GF + UG Iteration 11'!B72</f>
        <v>GF</v>
      </c>
      <c r="C72" s="18">
        <f>'GF + UG Iteration 11'!C72</f>
        <v>25</v>
      </c>
      <c r="D72" s="19">
        <f>'GF + UG Iteration 11'!D72</f>
        <v>9.825778201045452</v>
      </c>
      <c r="E72" s="30">
        <f>'GF + UG Iteration 11'!E72</f>
        <v>2007</v>
      </c>
      <c r="F72" s="18"/>
      <c r="G72" s="19"/>
      <c r="H72" s="20"/>
      <c r="I72" s="18">
        <f t="shared" ref="I72:I117" si="5">C72+F72</f>
        <v>25</v>
      </c>
      <c r="J72" s="19">
        <f t="shared" ref="J72:J117" si="6">D72+G72</f>
        <v>9.825778201045452</v>
      </c>
      <c r="K72" s="20">
        <f t="shared" ref="K72:K117" si="7">MAX(E72,H72)</f>
        <v>2007</v>
      </c>
      <c r="M72" s="21">
        <f t="shared" ref="M72:M135" si="8">LN(I72)</f>
        <v>3.2188758248682006</v>
      </c>
      <c r="N72" s="21">
        <f t="shared" ref="N72:N135" si="9">LN(J72)</f>
        <v>2.2850093608319559</v>
      </c>
    </row>
    <row r="73" spans="1:14" x14ac:dyDescent="0.2">
      <c r="A73" s="25">
        <f>'GF + UG Iteration 11'!A73</f>
        <v>834</v>
      </c>
      <c r="B73" s="25" t="str">
        <f>'GF + UG Iteration 11'!B73</f>
        <v>GF</v>
      </c>
      <c r="C73" s="18">
        <f>'GF + UG Iteration 11'!C73</f>
        <v>45</v>
      </c>
      <c r="D73" s="19">
        <f>'GF + UG Iteration 11'!D73</f>
        <v>25.798393978216257</v>
      </c>
      <c r="E73" s="30">
        <f>'GF + UG Iteration 11'!E73</f>
        <v>2010</v>
      </c>
      <c r="F73" s="18"/>
      <c r="G73" s="19"/>
      <c r="H73" s="20"/>
      <c r="I73" s="18">
        <f t="shared" si="5"/>
        <v>45</v>
      </c>
      <c r="J73" s="19">
        <f t="shared" si="6"/>
        <v>25.798393978216257</v>
      </c>
      <c r="K73" s="20">
        <f t="shared" si="7"/>
        <v>2010</v>
      </c>
      <c r="M73" s="21">
        <f t="shared" si="8"/>
        <v>3.8066624897703196</v>
      </c>
      <c r="N73" s="21">
        <f t="shared" si="9"/>
        <v>3.2503122410836816</v>
      </c>
    </row>
    <row r="74" spans="1:14" x14ac:dyDescent="0.2">
      <c r="A74" s="25">
        <f>'GF + UG Iteration 11'!A74</f>
        <v>722</v>
      </c>
      <c r="B74" s="25" t="str">
        <f>'GF + UG Iteration 11'!B74</f>
        <v>GF</v>
      </c>
      <c r="C74" s="18">
        <f>'GF + UG Iteration 11'!C74</f>
        <v>10.5</v>
      </c>
      <c r="D74" s="19">
        <f>'GF + UG Iteration 11'!D74</f>
        <v>13.501544643115857</v>
      </c>
      <c r="E74" s="30">
        <f>'GF + UG Iteration 11'!E74</f>
        <v>2010</v>
      </c>
      <c r="F74" s="18"/>
      <c r="G74" s="19"/>
      <c r="H74" s="20"/>
      <c r="I74" s="18">
        <f t="shared" si="5"/>
        <v>10.5</v>
      </c>
      <c r="J74" s="19">
        <f t="shared" si="6"/>
        <v>13.501544643115857</v>
      </c>
      <c r="K74" s="20">
        <f t="shared" si="7"/>
        <v>2010</v>
      </c>
      <c r="M74" s="21">
        <f t="shared" si="8"/>
        <v>2.3513752571634776</v>
      </c>
      <c r="N74" s="21">
        <f t="shared" si="9"/>
        <v>2.6028040969077249</v>
      </c>
    </row>
    <row r="75" spans="1:14" x14ac:dyDescent="0.2">
      <c r="A75" s="25">
        <f>'GF + UG Iteration 11'!A75</f>
        <v>927</v>
      </c>
      <c r="B75" s="25" t="str">
        <f>'GF + UG Iteration 11'!B75</f>
        <v>GF</v>
      </c>
      <c r="C75" s="18">
        <f>'GF + UG Iteration 11'!C75</f>
        <v>60</v>
      </c>
      <c r="D75" s="19">
        <f>'GF + UG Iteration 11'!D75</f>
        <v>25.887106037100622</v>
      </c>
      <c r="E75" s="30">
        <f>'GF + UG Iteration 11'!E75</f>
        <v>2011</v>
      </c>
      <c r="F75" s="18"/>
      <c r="G75" s="19"/>
      <c r="H75" s="20"/>
      <c r="I75" s="18">
        <f t="shared" si="5"/>
        <v>60</v>
      </c>
      <c r="J75" s="19">
        <f t="shared" si="6"/>
        <v>25.887106037100622</v>
      </c>
      <c r="K75" s="20">
        <f t="shared" si="7"/>
        <v>2011</v>
      </c>
      <c r="M75" s="21">
        <f t="shared" si="8"/>
        <v>4.0943445622221004</v>
      </c>
      <c r="N75" s="21">
        <f t="shared" si="9"/>
        <v>3.2537450083384241</v>
      </c>
    </row>
    <row r="76" spans="1:14" x14ac:dyDescent="0.2">
      <c r="A76" s="25">
        <f>'GF + UG Iteration 11'!A76</f>
        <v>1068</v>
      </c>
      <c r="B76" s="25" t="str">
        <f>'GF + UG Iteration 11'!B76</f>
        <v>GF</v>
      </c>
      <c r="C76" s="18">
        <f>'GF + UG Iteration 11'!C76</f>
        <v>11.2</v>
      </c>
      <c r="D76" s="19">
        <f>'GF + UG Iteration 11'!D76</f>
        <v>26.918199168374588</v>
      </c>
      <c r="E76" s="30">
        <f>'GF + UG Iteration 11'!E76</f>
        <v>2011</v>
      </c>
      <c r="F76" s="18"/>
      <c r="G76" s="19"/>
      <c r="H76" s="20"/>
      <c r="I76" s="18">
        <f t="shared" si="5"/>
        <v>11.2</v>
      </c>
      <c r="J76" s="19">
        <f t="shared" si="6"/>
        <v>26.918199168374588</v>
      </c>
      <c r="K76" s="20">
        <f t="shared" si="7"/>
        <v>2011</v>
      </c>
      <c r="M76" s="21">
        <f t="shared" si="8"/>
        <v>2.4159137783010487</v>
      </c>
      <c r="N76" s="21">
        <f t="shared" si="9"/>
        <v>3.2928026068618901</v>
      </c>
    </row>
    <row r="77" spans="1:14" x14ac:dyDescent="0.2">
      <c r="A77" s="25">
        <f>'GF + UG Iteration 11'!A77</f>
        <v>506</v>
      </c>
      <c r="B77" s="25" t="str">
        <f>'GF + UG Iteration 11'!B77</f>
        <v>GF</v>
      </c>
      <c r="C77" s="18">
        <f>'GF + UG Iteration 11'!C77</f>
        <v>20</v>
      </c>
      <c r="D77" s="19">
        <f>'GF + UG Iteration 11'!D77</f>
        <v>13.969254162639503</v>
      </c>
      <c r="E77" s="30">
        <f>'GF + UG Iteration 11'!E77</f>
        <v>2003</v>
      </c>
      <c r="F77" s="18"/>
      <c r="G77" s="19"/>
      <c r="H77" s="20"/>
      <c r="I77" s="18">
        <f t="shared" si="5"/>
        <v>20</v>
      </c>
      <c r="J77" s="19">
        <f t="shared" si="6"/>
        <v>13.969254162639503</v>
      </c>
      <c r="K77" s="20">
        <f t="shared" si="7"/>
        <v>2003</v>
      </c>
      <c r="M77" s="21">
        <f t="shared" si="8"/>
        <v>2.9957322735539909</v>
      </c>
      <c r="N77" s="21">
        <f t="shared" si="9"/>
        <v>2.6368587833425443</v>
      </c>
    </row>
    <row r="78" spans="1:14" x14ac:dyDescent="0.2">
      <c r="A78" s="25">
        <f>'GF + UG Iteration 11'!A78</f>
        <v>456</v>
      </c>
      <c r="B78" s="25" t="str">
        <f>'GF + UG Iteration 11'!B78</f>
        <v>GF</v>
      </c>
      <c r="C78" s="18">
        <f>'GF + UG Iteration 11'!C78</f>
        <v>16</v>
      </c>
      <c r="D78" s="19">
        <f>'GF + UG Iteration 11'!D78</f>
        <v>17.647037003819346</v>
      </c>
      <c r="E78" s="30">
        <f>'GF + UG Iteration 11'!E78</f>
        <v>2007</v>
      </c>
      <c r="F78" s="18"/>
      <c r="G78" s="19"/>
      <c r="H78" s="20"/>
      <c r="I78" s="18">
        <f t="shared" si="5"/>
        <v>16</v>
      </c>
      <c r="J78" s="19">
        <f t="shared" si="6"/>
        <v>17.647037003819346</v>
      </c>
      <c r="K78" s="20">
        <f t="shared" si="7"/>
        <v>2007</v>
      </c>
      <c r="M78" s="21">
        <f t="shared" si="8"/>
        <v>2.7725887222397811</v>
      </c>
      <c r="N78" s="21">
        <f t="shared" si="9"/>
        <v>2.8705678941489836</v>
      </c>
    </row>
    <row r="79" spans="1:14" x14ac:dyDescent="0.2">
      <c r="A79" s="25">
        <f>'GF + UG Iteration 11'!A79</f>
        <v>130</v>
      </c>
      <c r="B79" s="25" t="str">
        <f>'GF + UG Iteration 11'!B79</f>
        <v>GF</v>
      </c>
      <c r="C79" s="18">
        <f>'GF + UG Iteration 11'!C79</f>
        <v>18</v>
      </c>
      <c r="D79" s="19">
        <f>'GF + UG Iteration 11'!D79</f>
        <v>8.4369732753123952</v>
      </c>
      <c r="E79" s="30">
        <f>'GF + UG Iteration 11'!E79</f>
        <v>2001</v>
      </c>
      <c r="F79" s="18"/>
      <c r="G79" s="19"/>
      <c r="H79" s="20"/>
      <c r="I79" s="18">
        <f t="shared" si="5"/>
        <v>18</v>
      </c>
      <c r="J79" s="19">
        <f t="shared" si="6"/>
        <v>8.4369732753123952</v>
      </c>
      <c r="K79" s="20">
        <f t="shared" si="7"/>
        <v>2001</v>
      </c>
      <c r="M79" s="21">
        <f t="shared" si="8"/>
        <v>2.8903717578961645</v>
      </c>
      <c r="N79" s="21">
        <f t="shared" si="9"/>
        <v>2.1326236276203829</v>
      </c>
    </row>
    <row r="80" spans="1:14" x14ac:dyDescent="0.2">
      <c r="A80" s="25">
        <f>'GF + UG Iteration 11'!A80</f>
        <v>308</v>
      </c>
      <c r="B80" s="25" t="str">
        <f>'GF + UG Iteration 11'!B80</f>
        <v>GF</v>
      </c>
      <c r="C80" s="18">
        <f>'GF + UG Iteration 11'!C80</f>
        <v>10</v>
      </c>
      <c r="D80" s="19">
        <f>'GF + UG Iteration 11'!D80</f>
        <v>8.8753762889293544</v>
      </c>
      <c r="E80" s="30">
        <f>'GF + UG Iteration 11'!E80</f>
        <v>2003</v>
      </c>
      <c r="F80" s="18"/>
      <c r="G80" s="19"/>
      <c r="H80" s="20"/>
      <c r="I80" s="18">
        <f t="shared" si="5"/>
        <v>10</v>
      </c>
      <c r="J80" s="19">
        <f t="shared" si="6"/>
        <v>8.8753762889293544</v>
      </c>
      <c r="K80" s="20">
        <f t="shared" si="7"/>
        <v>2003</v>
      </c>
      <c r="M80" s="21">
        <f t="shared" si="8"/>
        <v>2.3025850929940459</v>
      </c>
      <c r="N80" s="21">
        <f t="shared" si="9"/>
        <v>2.1832807332152813</v>
      </c>
    </row>
    <row r="81" spans="1:14" x14ac:dyDescent="0.2">
      <c r="A81" s="25">
        <f>'GF + UG Iteration 11'!A81</f>
        <v>829</v>
      </c>
      <c r="B81" s="25" t="str">
        <f>'GF + UG Iteration 11'!B81</f>
        <v>GF</v>
      </c>
      <c r="C81" s="18">
        <f>'GF + UG Iteration 11'!C81</f>
        <v>20</v>
      </c>
      <c r="D81" s="19">
        <f>'GF + UG Iteration 11'!D81</f>
        <v>27.761077137379147</v>
      </c>
      <c r="E81" s="30">
        <f>'GF + UG Iteration 11'!E81</f>
        <v>2011</v>
      </c>
      <c r="F81" s="18"/>
      <c r="G81" s="19"/>
      <c r="H81" s="20"/>
      <c r="I81" s="18">
        <f t="shared" si="5"/>
        <v>20</v>
      </c>
      <c r="J81" s="19">
        <f t="shared" si="6"/>
        <v>27.761077137379147</v>
      </c>
      <c r="K81" s="20">
        <f t="shared" si="7"/>
        <v>2011</v>
      </c>
      <c r="M81" s="21">
        <f t="shared" si="8"/>
        <v>2.9957322735539909</v>
      </c>
      <c r="N81" s="21">
        <f t="shared" si="9"/>
        <v>3.3236349366646221</v>
      </c>
    </row>
    <row r="82" spans="1:14" x14ac:dyDescent="0.2">
      <c r="A82" s="25">
        <f>'GF + UG Iteration 11'!A82</f>
        <v>425</v>
      </c>
      <c r="B82" s="25" t="str">
        <f>'GF + UG Iteration 11'!B82</f>
        <v>GF</v>
      </c>
      <c r="C82" s="18">
        <f>'GF + UG Iteration 11'!C82</f>
        <v>17</v>
      </c>
      <c r="D82" s="19">
        <f>'GF + UG Iteration 11'!D82</f>
        <v>11.725448588458148</v>
      </c>
      <c r="E82" s="30">
        <f>'GF + UG Iteration 11'!E82</f>
        <v>2006</v>
      </c>
      <c r="F82" s="18"/>
      <c r="G82" s="19"/>
      <c r="H82" s="20"/>
      <c r="I82" s="18">
        <f t="shared" si="5"/>
        <v>17</v>
      </c>
      <c r="J82" s="19">
        <f t="shared" si="6"/>
        <v>11.725448588458148</v>
      </c>
      <c r="K82" s="20">
        <f t="shared" si="7"/>
        <v>2006</v>
      </c>
      <c r="M82" s="21">
        <f t="shared" si="8"/>
        <v>2.8332133440562162</v>
      </c>
      <c r="N82" s="21">
        <f t="shared" si="9"/>
        <v>2.4617615727440327</v>
      </c>
    </row>
    <row r="83" spans="1:14" x14ac:dyDescent="0.2">
      <c r="A83" s="25">
        <f>'GF + UG Iteration 11'!A83</f>
        <v>333</v>
      </c>
      <c r="B83" s="25" t="str">
        <f>'GF + UG Iteration 11'!B83</f>
        <v>GF</v>
      </c>
      <c r="C83" s="18">
        <f>'GF + UG Iteration 11'!C83</f>
        <v>12</v>
      </c>
      <c r="D83" s="19">
        <f>'GF + UG Iteration 11'!D83</f>
        <v>7.5607136656563343</v>
      </c>
      <c r="E83" s="30">
        <f>'GF + UG Iteration 11'!E83</f>
        <v>2003</v>
      </c>
      <c r="F83" s="18"/>
      <c r="G83" s="19"/>
      <c r="H83" s="20"/>
      <c r="I83" s="18">
        <f t="shared" si="5"/>
        <v>12</v>
      </c>
      <c r="J83" s="19">
        <f t="shared" si="6"/>
        <v>7.5607136656563343</v>
      </c>
      <c r="K83" s="20">
        <f t="shared" si="7"/>
        <v>2003</v>
      </c>
      <c r="M83" s="21">
        <f t="shared" si="8"/>
        <v>2.4849066497880004</v>
      </c>
      <c r="N83" s="21">
        <f t="shared" si="9"/>
        <v>2.022965585955113</v>
      </c>
    </row>
    <row r="84" spans="1:14" x14ac:dyDescent="0.2">
      <c r="A84" s="25">
        <f>'GF + UG Iteration 11'!A84</f>
        <v>769</v>
      </c>
      <c r="B84" s="25" t="str">
        <f>'GF + UG Iteration 11'!B84</f>
        <v>GF</v>
      </c>
      <c r="C84" s="18">
        <f>'GF + UG Iteration 11'!C84</f>
        <v>40</v>
      </c>
      <c r="D84" s="19">
        <f>'GF + UG Iteration 11'!D84</f>
        <v>26.381292343151443</v>
      </c>
      <c r="E84" s="30">
        <f>'GF + UG Iteration 11'!E84</f>
        <v>2007</v>
      </c>
      <c r="F84" s="18"/>
      <c r="G84" s="19"/>
      <c r="H84" s="20"/>
      <c r="I84" s="18">
        <f t="shared" si="5"/>
        <v>40</v>
      </c>
      <c r="J84" s="19">
        <f t="shared" si="6"/>
        <v>26.381292343151443</v>
      </c>
      <c r="K84" s="20">
        <f t="shared" si="7"/>
        <v>2007</v>
      </c>
      <c r="M84" s="21">
        <f t="shared" si="8"/>
        <v>3.6888794541139363</v>
      </c>
      <c r="N84" s="21">
        <f t="shared" si="9"/>
        <v>3.2726551355945839</v>
      </c>
    </row>
    <row r="85" spans="1:14" x14ac:dyDescent="0.2">
      <c r="A85" s="25">
        <f>'GF + UG Iteration 11'!A85</f>
        <v>948</v>
      </c>
      <c r="B85" s="25" t="str">
        <f>'GF + UG Iteration 11'!B85</f>
        <v>GF</v>
      </c>
      <c r="C85" s="18">
        <f>'GF + UG Iteration 11'!C85</f>
        <v>57</v>
      </c>
      <c r="D85" s="19">
        <f>'GF + UG Iteration 11'!D85</f>
        <v>12.653662771089085</v>
      </c>
      <c r="E85" s="30">
        <f>'GF + UG Iteration 11'!E85</f>
        <v>2014</v>
      </c>
      <c r="F85" s="18"/>
      <c r="G85" s="19"/>
      <c r="H85" s="20"/>
      <c r="I85" s="18">
        <f t="shared" si="5"/>
        <v>57</v>
      </c>
      <c r="J85" s="19">
        <f t="shared" si="6"/>
        <v>12.653662771089085</v>
      </c>
      <c r="K85" s="20">
        <f t="shared" si="7"/>
        <v>2014</v>
      </c>
      <c r="M85" s="21">
        <f t="shared" si="8"/>
        <v>4.0430512678345503</v>
      </c>
      <c r="N85" s="21">
        <f t="shared" si="9"/>
        <v>2.5379467203845181</v>
      </c>
    </row>
    <row r="86" spans="1:14" x14ac:dyDescent="0.2">
      <c r="A86" s="25">
        <f>'GF + UG Iteration 11'!A86</f>
        <v>1128</v>
      </c>
      <c r="B86" s="25" t="str">
        <f>'GF + UG Iteration 11'!B86</f>
        <v>GF</v>
      </c>
      <c r="C86" s="18">
        <f>'GF + UG Iteration 11'!C86</f>
        <v>45</v>
      </c>
      <c r="D86" s="19">
        <f>'GF + UG Iteration 11'!D86</f>
        <v>63.556235718349399</v>
      </c>
      <c r="E86" s="30">
        <f>'GF + UG Iteration 11'!E86</f>
        <v>2013</v>
      </c>
      <c r="F86" s="18"/>
      <c r="G86" s="19"/>
      <c r="H86" s="20"/>
      <c r="I86" s="18">
        <f t="shared" si="5"/>
        <v>45</v>
      </c>
      <c r="J86" s="19">
        <f t="shared" si="6"/>
        <v>63.556235718349399</v>
      </c>
      <c r="K86" s="20">
        <f t="shared" si="7"/>
        <v>2013</v>
      </c>
      <c r="M86" s="21">
        <f t="shared" si="8"/>
        <v>3.8066624897703196</v>
      </c>
      <c r="N86" s="21">
        <f t="shared" si="9"/>
        <v>4.1519251158484547</v>
      </c>
    </row>
    <row r="87" spans="1:14" x14ac:dyDescent="0.2">
      <c r="A87" s="25">
        <f>'GF + UG Iteration 11'!A87</f>
        <v>1214</v>
      </c>
      <c r="B87" s="25" t="str">
        <f>'GF + UG Iteration 11'!B87</f>
        <v>GF</v>
      </c>
      <c r="C87" s="18">
        <f>'GF + UG Iteration 11'!C87</f>
        <v>52</v>
      </c>
      <c r="D87" s="19">
        <f>'GF + UG Iteration 11'!D87</f>
        <v>22.631695273294461</v>
      </c>
      <c r="E87" s="30">
        <f>'GF + UG Iteration 11'!E87</f>
        <v>2013</v>
      </c>
      <c r="F87" s="18"/>
      <c r="G87" s="19"/>
      <c r="H87" s="20"/>
      <c r="I87" s="18">
        <f t="shared" si="5"/>
        <v>52</v>
      </c>
      <c r="J87" s="19">
        <f t="shared" si="6"/>
        <v>22.631695273294461</v>
      </c>
      <c r="K87" s="20">
        <f t="shared" si="7"/>
        <v>2013</v>
      </c>
      <c r="M87" s="21">
        <f t="shared" si="8"/>
        <v>3.9512437185814275</v>
      </c>
      <c r="N87" s="21">
        <f t="shared" si="9"/>
        <v>3.1193513694907367</v>
      </c>
    </row>
    <row r="88" spans="1:14" x14ac:dyDescent="0.2">
      <c r="A88" s="25">
        <f>'GF + UG Iteration 11'!A88</f>
        <v>1225</v>
      </c>
      <c r="B88" s="25" t="str">
        <f>'GF + UG Iteration 11'!B88</f>
        <v>GF</v>
      </c>
      <c r="C88" s="18">
        <f>'GF + UG Iteration 11'!C88</f>
        <v>20</v>
      </c>
      <c r="D88" s="19">
        <f>'GF + UG Iteration 11'!D88</f>
        <v>18.636695744675041</v>
      </c>
      <c r="E88" s="30">
        <f>'GF + UG Iteration 11'!E88</f>
        <v>2013</v>
      </c>
      <c r="F88" s="18"/>
      <c r="G88" s="19"/>
      <c r="H88" s="20"/>
      <c r="I88" s="18">
        <f t="shared" si="5"/>
        <v>20</v>
      </c>
      <c r="J88" s="19">
        <f t="shared" si="6"/>
        <v>18.636695744675041</v>
      </c>
      <c r="K88" s="20">
        <f t="shared" si="7"/>
        <v>2013</v>
      </c>
      <c r="M88" s="21">
        <f t="shared" si="8"/>
        <v>2.9957322735539909</v>
      </c>
      <c r="N88" s="21">
        <f t="shared" si="9"/>
        <v>2.925132526627233</v>
      </c>
    </row>
    <row r="89" spans="1:14" x14ac:dyDescent="0.2">
      <c r="A89" s="25">
        <f>'GF + UG Iteration 11'!A89</f>
        <v>1263</v>
      </c>
      <c r="B89" s="25" t="str">
        <f>'GF + UG Iteration 11'!B89</f>
        <v>GF</v>
      </c>
      <c r="C89" s="18">
        <f>'GF + UG Iteration 11'!C89</f>
        <v>8</v>
      </c>
      <c r="D89" s="19">
        <f>'GF + UG Iteration 11'!D89</f>
        <v>19.611656992669992</v>
      </c>
      <c r="E89" s="30">
        <f>'GF + UG Iteration 11'!E89</f>
        <v>2013</v>
      </c>
      <c r="F89" s="18"/>
      <c r="G89" s="19"/>
      <c r="H89" s="20"/>
      <c r="I89" s="18">
        <f t="shared" si="5"/>
        <v>8</v>
      </c>
      <c r="J89" s="19">
        <f t="shared" si="6"/>
        <v>19.611656992669992</v>
      </c>
      <c r="K89" s="20">
        <f t="shared" si="7"/>
        <v>2013</v>
      </c>
      <c r="M89" s="21">
        <f t="shared" si="8"/>
        <v>2.0794415416798357</v>
      </c>
      <c r="N89" s="21">
        <f t="shared" si="9"/>
        <v>2.9761241339700195</v>
      </c>
    </row>
    <row r="90" spans="1:14" x14ac:dyDescent="0.2">
      <c r="A90" s="25">
        <f>'GF + UG Iteration 11'!A90</f>
        <v>1309</v>
      </c>
      <c r="B90" s="25" t="str">
        <f>'GF + UG Iteration 11'!B90</f>
        <v>GF</v>
      </c>
      <c r="C90" s="18">
        <f>'GF + UG Iteration 11'!C90</f>
        <v>15</v>
      </c>
      <c r="D90" s="19">
        <f>'GF + UG Iteration 11'!D90</f>
        <v>16.109333942693336</v>
      </c>
      <c r="E90" s="30">
        <f>'GF + UG Iteration 11'!E90</f>
        <v>2013</v>
      </c>
      <c r="F90" s="18"/>
      <c r="G90" s="19"/>
      <c r="H90" s="20"/>
      <c r="I90" s="18">
        <f t="shared" si="5"/>
        <v>15</v>
      </c>
      <c r="J90" s="19">
        <f t="shared" si="6"/>
        <v>16.109333942693336</v>
      </c>
      <c r="K90" s="20">
        <f t="shared" si="7"/>
        <v>2013</v>
      </c>
      <c r="M90" s="21">
        <f t="shared" si="8"/>
        <v>2.7080502011022101</v>
      </c>
      <c r="N90" s="21">
        <f t="shared" si="9"/>
        <v>2.7793988519948485</v>
      </c>
    </row>
    <row r="91" spans="1:14" x14ac:dyDescent="0.2">
      <c r="A91" s="25">
        <f>'GF + UG Iteration 11'!A91</f>
        <v>1349</v>
      </c>
      <c r="B91" s="25" t="str">
        <f>'GF + UG Iteration 11'!B91</f>
        <v>GF</v>
      </c>
      <c r="C91" s="18">
        <f>'GF + UG Iteration 11'!C91</f>
        <v>34</v>
      </c>
      <c r="D91" s="19">
        <f>'GF + UG Iteration 11'!D91</f>
        <v>8.9679522578977586</v>
      </c>
      <c r="E91" s="30">
        <f>'GF + UG Iteration 11'!E91</f>
        <v>2013</v>
      </c>
      <c r="F91" s="18"/>
      <c r="G91" s="19"/>
      <c r="H91" s="20"/>
      <c r="I91" s="18">
        <f t="shared" si="5"/>
        <v>34</v>
      </c>
      <c r="J91" s="19">
        <f t="shared" si="6"/>
        <v>8.9679522578977586</v>
      </c>
      <c r="K91" s="20">
        <f t="shared" si="7"/>
        <v>2013</v>
      </c>
      <c r="M91" s="21">
        <f t="shared" si="8"/>
        <v>3.5263605246161616</v>
      </c>
      <c r="N91" s="21">
        <f t="shared" si="9"/>
        <v>2.193657362149283</v>
      </c>
    </row>
    <row r="92" spans="1:14" x14ac:dyDescent="0.2">
      <c r="A92" s="25">
        <f>'GF + UG Iteration 11'!A92</f>
        <v>1358</v>
      </c>
      <c r="B92" s="25" t="str">
        <f>'GF + UG Iteration 11'!B92</f>
        <v>GF</v>
      </c>
      <c r="C92" s="18">
        <f>'GF + UG Iteration 11'!C92</f>
        <v>27</v>
      </c>
      <c r="D92" s="19">
        <f>'GF + UG Iteration 11'!D92</f>
        <v>13.07265503282744</v>
      </c>
      <c r="E92" s="30">
        <f>'GF + UG Iteration 11'!E92</f>
        <v>2013</v>
      </c>
      <c r="F92" s="18"/>
      <c r="G92" s="19"/>
      <c r="H92" s="20"/>
      <c r="I92" s="18">
        <f t="shared" si="5"/>
        <v>27</v>
      </c>
      <c r="J92" s="19">
        <f t="shared" si="6"/>
        <v>13.07265503282744</v>
      </c>
      <c r="K92" s="20">
        <f t="shared" si="7"/>
        <v>2013</v>
      </c>
      <c r="M92" s="21">
        <f t="shared" si="8"/>
        <v>3.2958368660043291</v>
      </c>
      <c r="N92" s="21">
        <f t="shared" si="9"/>
        <v>2.5705226464726247</v>
      </c>
    </row>
    <row r="93" spans="1:14" x14ac:dyDescent="0.2">
      <c r="A93" s="25">
        <f>'GF + UG Iteration 11'!A93</f>
        <v>1404</v>
      </c>
      <c r="B93" s="25" t="str">
        <f>'GF + UG Iteration 11'!B93</f>
        <v>GF</v>
      </c>
      <c r="C93" s="18">
        <f>'GF + UG Iteration 11'!C93</f>
        <v>35</v>
      </c>
      <c r="D93" s="19">
        <f>'GF + UG Iteration 11'!D93</f>
        <v>35.276341164894447</v>
      </c>
      <c r="E93" s="30">
        <f>'GF + UG Iteration 11'!E93</f>
        <v>2013</v>
      </c>
      <c r="F93" s="18"/>
      <c r="G93" s="19"/>
      <c r="H93" s="20"/>
      <c r="I93" s="18">
        <f t="shared" si="5"/>
        <v>35</v>
      </c>
      <c r="J93" s="19">
        <f t="shared" si="6"/>
        <v>35.276341164894447</v>
      </c>
      <c r="K93" s="20">
        <f t="shared" si="7"/>
        <v>2013</v>
      </c>
      <c r="M93" s="21">
        <f t="shared" si="8"/>
        <v>3.5553480614894135</v>
      </c>
      <c r="N93" s="21">
        <f t="shared" si="9"/>
        <v>3.5632125172824458</v>
      </c>
    </row>
    <row r="94" spans="1:14" x14ac:dyDescent="0.2">
      <c r="A94" s="25">
        <f>'GF + UG Iteration 11'!A94</f>
        <v>1482</v>
      </c>
      <c r="B94" s="25" t="str">
        <f>'GF + UG Iteration 11'!B94</f>
        <v>GF</v>
      </c>
      <c r="C94" s="18">
        <f>'GF + UG Iteration 11'!C94</f>
        <v>18.399999999999999</v>
      </c>
      <c r="D94" s="19">
        <f>'GF + UG Iteration 11'!D94</f>
        <v>18.765793673519447</v>
      </c>
      <c r="E94" s="30">
        <f>'GF + UG Iteration 11'!E94</f>
        <v>2013</v>
      </c>
      <c r="F94" s="18"/>
      <c r="G94" s="19"/>
      <c r="H94" s="20"/>
      <c r="I94" s="18">
        <f t="shared" si="5"/>
        <v>18.399999999999999</v>
      </c>
      <c r="J94" s="19">
        <f t="shared" si="6"/>
        <v>18.765793673519447</v>
      </c>
      <c r="K94" s="20">
        <f t="shared" si="7"/>
        <v>2013</v>
      </c>
      <c r="M94" s="21">
        <f t="shared" si="8"/>
        <v>2.91235066461494</v>
      </c>
      <c r="N94" s="21">
        <f t="shared" si="9"/>
        <v>2.9320357271105943</v>
      </c>
    </row>
    <row r="95" spans="1:14" x14ac:dyDescent="0.2">
      <c r="A95" s="25">
        <f>'GF + UG Iteration 11'!A95</f>
        <v>1515</v>
      </c>
      <c r="B95" s="25" t="str">
        <f>'GF + UG Iteration 11'!B95</f>
        <v>GF</v>
      </c>
      <c r="C95" s="18">
        <f>'GF + UG Iteration 11'!C95</f>
        <v>7.2</v>
      </c>
      <c r="D95" s="19">
        <f>'GF + UG Iteration 11'!D95</f>
        <v>12.99271394051414</v>
      </c>
      <c r="E95" s="30">
        <f>'GF + UG Iteration 11'!E95</f>
        <v>2013</v>
      </c>
      <c r="F95" s="18"/>
      <c r="G95" s="19"/>
      <c r="H95" s="20"/>
      <c r="I95" s="18">
        <f t="shared" si="5"/>
        <v>7.2</v>
      </c>
      <c r="J95" s="19">
        <f t="shared" si="6"/>
        <v>12.99271394051414</v>
      </c>
      <c r="K95" s="20">
        <f t="shared" si="7"/>
        <v>2013</v>
      </c>
      <c r="M95" s="21">
        <f t="shared" si="8"/>
        <v>1.9740810260220096</v>
      </c>
      <c r="N95" s="21">
        <f t="shared" si="9"/>
        <v>2.5643887342273977</v>
      </c>
    </row>
    <row r="96" spans="1:14" x14ac:dyDescent="0.2">
      <c r="A96" s="25">
        <f>'GF + UG Iteration 11'!A96</f>
        <v>1618</v>
      </c>
      <c r="B96" s="25" t="str">
        <f>'GF + UG Iteration 11'!B96</f>
        <v>GF</v>
      </c>
      <c r="C96" s="18">
        <f>'GF + UG Iteration 11'!C96</f>
        <v>21</v>
      </c>
      <c r="D96" s="19">
        <f>'GF + UG Iteration 11'!D96</f>
        <v>15.965955598995766</v>
      </c>
      <c r="E96" s="30">
        <f>'GF + UG Iteration 11'!E96</f>
        <v>2016</v>
      </c>
      <c r="F96" s="18"/>
      <c r="G96" s="19"/>
      <c r="H96" s="20"/>
      <c r="I96" s="18">
        <f t="shared" si="5"/>
        <v>21</v>
      </c>
      <c r="J96" s="19">
        <f t="shared" si="6"/>
        <v>15.965955598995766</v>
      </c>
      <c r="K96" s="20">
        <f t="shared" si="7"/>
        <v>2016</v>
      </c>
      <c r="M96" s="21">
        <f t="shared" si="8"/>
        <v>3.044522437723423</v>
      </c>
      <c r="N96" s="21">
        <f t="shared" si="9"/>
        <v>2.7704586802474096</v>
      </c>
    </row>
    <row r="97" spans="1:14" x14ac:dyDescent="0.2">
      <c r="A97" s="25">
        <f>'GF + UG Iteration 11'!A97</f>
        <v>1634</v>
      </c>
      <c r="B97" s="25" t="str">
        <f>'GF + UG Iteration 11'!B97</f>
        <v>GF</v>
      </c>
      <c r="C97" s="18">
        <f>'GF + UG Iteration 11'!C97</f>
        <v>17.899999999999999</v>
      </c>
      <c r="D97" s="19">
        <f>'GF + UG Iteration 11'!D97</f>
        <v>17.172783979023848</v>
      </c>
      <c r="E97" s="30">
        <f>'GF + UG Iteration 11'!E97</f>
        <v>2015</v>
      </c>
      <c r="F97" s="18"/>
      <c r="G97" s="19"/>
      <c r="H97" s="20"/>
      <c r="I97" s="18">
        <f t="shared" si="5"/>
        <v>17.899999999999999</v>
      </c>
      <c r="J97" s="19">
        <f t="shared" si="6"/>
        <v>17.172783979023848</v>
      </c>
      <c r="K97" s="20">
        <f t="shared" si="7"/>
        <v>2015</v>
      </c>
      <c r="M97" s="21">
        <f t="shared" si="8"/>
        <v>2.884800712846709</v>
      </c>
      <c r="N97" s="21">
        <f t="shared" si="9"/>
        <v>2.8433258038172586</v>
      </c>
    </row>
    <row r="98" spans="1:14" x14ac:dyDescent="0.2">
      <c r="A98" s="25">
        <f>'GF + UG Iteration 11'!A98</f>
        <v>1258</v>
      </c>
      <c r="B98" s="25" t="str">
        <f>'GF + UG Iteration 11'!B98</f>
        <v>GF</v>
      </c>
      <c r="C98" s="18">
        <f>'GF + UG Iteration 11'!C98</f>
        <v>46</v>
      </c>
      <c r="D98" s="19">
        <f>'GF + UG Iteration 11'!D98</f>
        <v>53.518330212347877</v>
      </c>
      <c r="E98" s="30">
        <f>'GF + UG Iteration 11'!E98</f>
        <v>2017</v>
      </c>
      <c r="F98" s="18"/>
      <c r="G98" s="19"/>
      <c r="H98" s="20"/>
      <c r="I98" s="18">
        <f t="shared" si="5"/>
        <v>46</v>
      </c>
      <c r="J98" s="19">
        <f t="shared" si="6"/>
        <v>53.518330212347877</v>
      </c>
      <c r="K98" s="20">
        <f t="shared" si="7"/>
        <v>2017</v>
      </c>
      <c r="M98" s="21">
        <f t="shared" si="8"/>
        <v>3.8286413964890951</v>
      </c>
      <c r="N98" s="21">
        <f t="shared" si="9"/>
        <v>3.98002421601241</v>
      </c>
    </row>
    <row r="99" spans="1:14" x14ac:dyDescent="0.2">
      <c r="A99" s="25">
        <f>'GF + UG Iteration 11'!A99</f>
        <v>1284</v>
      </c>
      <c r="B99" s="25" t="str">
        <f>'GF + UG Iteration 11'!B99</f>
        <v>GF</v>
      </c>
      <c r="C99" s="18">
        <f>'GF + UG Iteration 11'!C99</f>
        <v>24.1</v>
      </c>
      <c r="D99" s="19">
        <f>'GF + UG Iteration 11'!D99</f>
        <v>7.0843108002972475</v>
      </c>
      <c r="E99" s="30">
        <f>'GF + UG Iteration 11'!E99</f>
        <v>2013</v>
      </c>
      <c r="F99" s="18"/>
      <c r="G99" s="19"/>
      <c r="H99" s="20"/>
      <c r="I99" s="18">
        <f t="shared" si="5"/>
        <v>24.1</v>
      </c>
      <c r="J99" s="19">
        <f t="shared" si="6"/>
        <v>7.0843108002972475</v>
      </c>
      <c r="K99" s="20">
        <f t="shared" si="7"/>
        <v>2013</v>
      </c>
      <c r="M99" s="21">
        <f t="shared" si="8"/>
        <v>3.1822118404966093</v>
      </c>
      <c r="N99" s="21">
        <f t="shared" si="9"/>
        <v>1.9578825925179175</v>
      </c>
    </row>
    <row r="100" spans="1:14" x14ac:dyDescent="0.2">
      <c r="A100" s="25" t="str">
        <f>'GF + UG Iteration 11'!A100</f>
        <v>Pre-01</v>
      </c>
      <c r="B100" s="25" t="str">
        <f>'GF + UG Iteration 11'!B100</f>
        <v>GF</v>
      </c>
      <c r="C100" s="18">
        <f>'GF + UG Iteration 11'!C100</f>
        <v>2.2000000000000002</v>
      </c>
      <c r="D100" s="19">
        <f>'GF + UG Iteration 11'!D100</f>
        <v>2.4933711786255444</v>
      </c>
      <c r="E100" s="30">
        <f>'GF + UG Iteration 11'!E100</f>
        <v>1990</v>
      </c>
      <c r="F100" s="18"/>
      <c r="G100" s="19"/>
      <c r="H100" s="20"/>
      <c r="I100" s="18">
        <f t="shared" si="5"/>
        <v>2.2000000000000002</v>
      </c>
      <c r="J100" s="19">
        <f t="shared" si="6"/>
        <v>2.4933711786255444</v>
      </c>
      <c r="K100" s="20">
        <f t="shared" si="7"/>
        <v>1990</v>
      </c>
      <c r="M100" s="21">
        <f t="shared" si="8"/>
        <v>0.78845736036427028</v>
      </c>
      <c r="N100" s="21">
        <f t="shared" si="9"/>
        <v>0.91363568179621524</v>
      </c>
    </row>
    <row r="101" spans="1:14" x14ac:dyDescent="0.2">
      <c r="A101" s="25" t="str">
        <f>'GF + UG Iteration 11'!A101</f>
        <v>Pre-02</v>
      </c>
      <c r="B101" s="25" t="str">
        <f>'GF + UG Iteration 11'!B101</f>
        <v>GF</v>
      </c>
      <c r="C101" s="18">
        <f>'GF + UG Iteration 11'!C101</f>
        <v>1.464</v>
      </c>
      <c r="D101" s="19">
        <f>'GF + UG Iteration 11'!D101</f>
        <v>1.4940223849019025</v>
      </c>
      <c r="E101" s="30">
        <f>'GF + UG Iteration 11'!E101</f>
        <v>1987</v>
      </c>
      <c r="F101" s="18"/>
      <c r="G101" s="19"/>
      <c r="H101" s="20"/>
      <c r="I101" s="18">
        <f t="shared" si="5"/>
        <v>1.464</v>
      </c>
      <c r="J101" s="19">
        <f t="shared" si="6"/>
        <v>1.4940223849019025</v>
      </c>
      <c r="K101" s="20">
        <f t="shared" si="7"/>
        <v>1987</v>
      </c>
      <c r="M101" s="21">
        <f t="shared" si="8"/>
        <v>0.38117241553911979</v>
      </c>
      <c r="N101" s="21">
        <f t="shared" si="9"/>
        <v>0.40147206979911648</v>
      </c>
    </row>
    <row r="102" spans="1:14" x14ac:dyDescent="0.2">
      <c r="A102" s="25" t="str">
        <f>'GF + UG Iteration 11'!A102</f>
        <v>Pre-03</v>
      </c>
      <c r="B102" s="25" t="str">
        <f>'GF + UG Iteration 11'!B102</f>
        <v>GF</v>
      </c>
      <c r="C102" s="18">
        <f>'GF + UG Iteration 11'!C102</f>
        <v>4.0750000000000002</v>
      </c>
      <c r="D102" s="19">
        <f>'GF + UG Iteration 11'!D102</f>
        <v>1.9369408873503524</v>
      </c>
      <c r="E102" s="30">
        <f>'GF + UG Iteration 11'!E102</f>
        <v>1990</v>
      </c>
      <c r="F102" s="18"/>
      <c r="G102" s="19"/>
      <c r="H102" s="20"/>
      <c r="I102" s="18">
        <f t="shared" si="5"/>
        <v>4.0750000000000002</v>
      </c>
      <c r="J102" s="19">
        <f t="shared" si="6"/>
        <v>1.9369408873503524</v>
      </c>
      <c r="K102" s="20">
        <f t="shared" si="7"/>
        <v>1990</v>
      </c>
      <c r="M102" s="21">
        <f t="shared" si="8"/>
        <v>1.4048707466928261</v>
      </c>
      <c r="N102" s="21">
        <f t="shared" si="9"/>
        <v>0.66110986632901214</v>
      </c>
    </row>
    <row r="103" spans="1:14" x14ac:dyDescent="0.2">
      <c r="A103" s="25" t="str">
        <f>'GF + UG Iteration 11'!A103</f>
        <v>Pre-04</v>
      </c>
      <c r="B103" s="25" t="str">
        <f>'GF + UG Iteration 11'!B103</f>
        <v>GF</v>
      </c>
      <c r="C103" s="18">
        <f>'GF + UG Iteration 11'!C103</f>
        <v>10</v>
      </c>
      <c r="D103" s="19">
        <f>'GF + UG Iteration 11'!D103</f>
        <v>8.526519330793306</v>
      </c>
      <c r="E103" s="30">
        <f>'GF + UG Iteration 11'!E103</f>
        <v>1991</v>
      </c>
      <c r="F103" s="18"/>
      <c r="G103" s="19"/>
      <c r="H103" s="20"/>
      <c r="I103" s="18">
        <f t="shared" si="5"/>
        <v>10</v>
      </c>
      <c r="J103" s="19">
        <f t="shared" si="6"/>
        <v>8.526519330793306</v>
      </c>
      <c r="K103" s="20">
        <f t="shared" si="7"/>
        <v>1991</v>
      </c>
      <c r="M103" s="21">
        <f t="shared" si="8"/>
        <v>2.3025850929940459</v>
      </c>
      <c r="N103" s="21">
        <f t="shared" si="9"/>
        <v>2.143181227911088</v>
      </c>
    </row>
    <row r="104" spans="1:14" x14ac:dyDescent="0.2">
      <c r="A104" s="25" t="str">
        <f>'GF + UG Iteration 11'!A104</f>
        <v>Pre-05</v>
      </c>
      <c r="B104" s="25" t="str">
        <f>'GF + UG Iteration 11'!B104</f>
        <v>GF</v>
      </c>
      <c r="C104" s="18">
        <f>'GF + UG Iteration 11'!C104</f>
        <v>4.8</v>
      </c>
      <c r="D104" s="19">
        <f>'GF + UG Iteration 11'!D104</f>
        <v>4.0521826998299986</v>
      </c>
      <c r="E104" s="30">
        <f>'GF + UG Iteration 11'!E104</f>
        <v>1988</v>
      </c>
      <c r="F104" s="18"/>
      <c r="G104" s="19"/>
      <c r="H104" s="20"/>
      <c r="I104" s="18">
        <f t="shared" si="5"/>
        <v>4.8</v>
      </c>
      <c r="J104" s="19">
        <f t="shared" si="6"/>
        <v>4.0521826998299986</v>
      </c>
      <c r="K104" s="20">
        <f t="shared" si="7"/>
        <v>1988</v>
      </c>
      <c r="M104" s="21">
        <f t="shared" si="8"/>
        <v>1.5686159179138452</v>
      </c>
      <c r="N104" s="21">
        <f t="shared" si="9"/>
        <v>1.3992556741730273</v>
      </c>
    </row>
    <row r="105" spans="1:14" x14ac:dyDescent="0.2">
      <c r="A105" s="25" t="str">
        <f>'GF + UG Iteration 11'!A105</f>
        <v>Pre-06</v>
      </c>
      <c r="B105" s="25" t="str">
        <f>'GF + UG Iteration 11'!B105</f>
        <v>GF</v>
      </c>
      <c r="C105" s="18">
        <f>'GF + UG Iteration 11'!C105</f>
        <v>5.0999999999999996</v>
      </c>
      <c r="D105" s="19">
        <f>'GF + UG Iteration 11'!D105</f>
        <v>9.6482174286466869</v>
      </c>
      <c r="E105" s="30">
        <f>'GF + UG Iteration 11'!E105</f>
        <v>1989</v>
      </c>
      <c r="F105" s="18"/>
      <c r="G105" s="19"/>
      <c r="H105" s="20"/>
      <c r="I105" s="18">
        <f t="shared" si="5"/>
        <v>5.0999999999999996</v>
      </c>
      <c r="J105" s="19">
        <f t="shared" si="6"/>
        <v>9.6482174286466869</v>
      </c>
      <c r="K105" s="20">
        <f t="shared" si="7"/>
        <v>1989</v>
      </c>
      <c r="M105" s="21">
        <f t="shared" si="8"/>
        <v>1.62924053973028</v>
      </c>
      <c r="N105" s="21">
        <f t="shared" si="9"/>
        <v>2.2667731758675744</v>
      </c>
    </row>
    <row r="106" spans="1:14" x14ac:dyDescent="0.2">
      <c r="A106" s="25" t="str">
        <f>'GF + UG Iteration 11'!A106</f>
        <v>Pre-07</v>
      </c>
      <c r="B106" s="25" t="str">
        <f>'GF + UG Iteration 11'!B106</f>
        <v>GF</v>
      </c>
      <c r="C106" s="18">
        <f>'GF + UG Iteration 11'!C106</f>
        <v>6.9</v>
      </c>
      <c r="D106" s="19">
        <f>'GF + UG Iteration 11'!D106</f>
        <v>5.029432718717521</v>
      </c>
      <c r="E106" s="30">
        <f>'GF + UG Iteration 11'!E106</f>
        <v>1997</v>
      </c>
      <c r="F106" s="18"/>
      <c r="G106" s="19"/>
      <c r="H106" s="20"/>
      <c r="I106" s="18">
        <f t="shared" si="5"/>
        <v>6.9</v>
      </c>
      <c r="J106" s="19">
        <f t="shared" si="6"/>
        <v>5.029432718717521</v>
      </c>
      <c r="K106" s="20">
        <f t="shared" si="7"/>
        <v>1997</v>
      </c>
      <c r="M106" s="21">
        <f t="shared" si="8"/>
        <v>1.9315214116032138</v>
      </c>
      <c r="N106" s="21">
        <f t="shared" si="9"/>
        <v>1.6153071981725313</v>
      </c>
    </row>
    <row r="107" spans="1:14" x14ac:dyDescent="0.2">
      <c r="A107" s="25" t="str">
        <f>'GF + UG Iteration 11'!A107</f>
        <v>Pre-08</v>
      </c>
      <c r="B107" s="25" t="str">
        <f>'GF + UG Iteration 11'!B107</f>
        <v>GF</v>
      </c>
      <c r="C107" s="18">
        <f>'GF + UG Iteration 11'!C107</f>
        <v>11.8</v>
      </c>
      <c r="D107" s="19">
        <f>'GF + UG Iteration 11'!D107</f>
        <v>6.372939235597177</v>
      </c>
      <c r="E107" s="30">
        <f>'GF + UG Iteration 11'!E107</f>
        <v>1987</v>
      </c>
      <c r="F107" s="18"/>
      <c r="G107" s="19"/>
      <c r="H107" s="20"/>
      <c r="I107" s="18">
        <f t="shared" si="5"/>
        <v>11.8</v>
      </c>
      <c r="J107" s="19">
        <f t="shared" si="6"/>
        <v>6.372939235597177</v>
      </c>
      <c r="K107" s="20">
        <f t="shared" si="7"/>
        <v>1987</v>
      </c>
      <c r="M107" s="21">
        <f t="shared" si="8"/>
        <v>2.4680995314716192</v>
      </c>
      <c r="N107" s="21">
        <f t="shared" si="9"/>
        <v>1.8520607816244041</v>
      </c>
    </row>
    <row r="108" spans="1:14" x14ac:dyDescent="0.2">
      <c r="A108" s="25" t="str">
        <f>'GF + UG Iteration 11'!A108</f>
        <v>Pre-09</v>
      </c>
      <c r="B108" s="25" t="str">
        <f>'GF + UG Iteration 11'!B108</f>
        <v>GF</v>
      </c>
      <c r="C108" s="18">
        <f>'GF + UG Iteration 11'!C108</f>
        <v>9.6999999999999993</v>
      </c>
      <c r="D108" s="19">
        <f>'GF + UG Iteration 11'!D108</f>
        <v>2.9443376052628771</v>
      </c>
      <c r="E108" s="30">
        <f>'GF + UG Iteration 11'!E108</f>
        <v>1997</v>
      </c>
      <c r="F108" s="18"/>
      <c r="G108" s="19"/>
      <c r="H108" s="20"/>
      <c r="I108" s="18">
        <f t="shared" si="5"/>
        <v>9.6999999999999993</v>
      </c>
      <c r="J108" s="19">
        <f t="shared" si="6"/>
        <v>2.9443376052628771</v>
      </c>
      <c r="K108" s="20">
        <f t="shared" si="7"/>
        <v>1997</v>
      </c>
      <c r="M108" s="21">
        <f t="shared" si="8"/>
        <v>2.2721258855093369</v>
      </c>
      <c r="N108" s="21">
        <f t="shared" si="9"/>
        <v>1.0798838699925799</v>
      </c>
    </row>
    <row r="109" spans="1:14" x14ac:dyDescent="0.2">
      <c r="A109" s="25" t="str">
        <f>'GF + UG Iteration 11'!A109</f>
        <v>Pre-10</v>
      </c>
      <c r="B109" s="25" t="str">
        <f>'GF + UG Iteration 11'!B109</f>
        <v>GF</v>
      </c>
      <c r="C109" s="18">
        <f>'GF + UG Iteration 11'!C109</f>
        <v>6.12</v>
      </c>
      <c r="D109" s="19">
        <f>'GF + UG Iteration 11'!D109</f>
        <v>13.481108575958453</v>
      </c>
      <c r="E109" s="30">
        <f>'GF + UG Iteration 11'!E109</f>
        <v>1990</v>
      </c>
      <c r="F109" s="18"/>
      <c r="G109" s="19"/>
      <c r="H109" s="20"/>
      <c r="I109" s="18">
        <f t="shared" si="5"/>
        <v>6.12</v>
      </c>
      <c r="J109" s="19">
        <f t="shared" si="6"/>
        <v>13.481108575958453</v>
      </c>
      <c r="K109" s="20">
        <f t="shared" si="7"/>
        <v>1990</v>
      </c>
      <c r="M109" s="21">
        <f t="shared" si="8"/>
        <v>1.8115620965242347</v>
      </c>
      <c r="N109" s="21">
        <f t="shared" si="9"/>
        <v>2.6012893406753403</v>
      </c>
    </row>
    <row r="110" spans="1:14" x14ac:dyDescent="0.2">
      <c r="A110" s="25" t="str">
        <f>'GF + UG Iteration 11'!A110</f>
        <v>Pre-11</v>
      </c>
      <c r="B110" s="25" t="str">
        <f>'GF + UG Iteration 11'!B110</f>
        <v>GF</v>
      </c>
      <c r="C110" s="18">
        <f>'GF + UG Iteration 11'!C110</f>
        <v>6.2671999999999999</v>
      </c>
      <c r="D110" s="19">
        <f>'GF + UG Iteration 11'!D110</f>
        <v>2.9102311039234974</v>
      </c>
      <c r="E110" s="30">
        <f>'GF + UG Iteration 11'!E110</f>
        <v>1987</v>
      </c>
      <c r="F110" s="18"/>
      <c r="G110" s="19"/>
      <c r="H110" s="20"/>
      <c r="I110" s="18">
        <f t="shared" si="5"/>
        <v>6.2671999999999999</v>
      </c>
      <c r="J110" s="19">
        <f t="shared" si="6"/>
        <v>2.9102311039234974</v>
      </c>
      <c r="K110" s="20">
        <f t="shared" si="7"/>
        <v>1987</v>
      </c>
      <c r="M110" s="21">
        <f t="shared" si="8"/>
        <v>1.8353296839294297</v>
      </c>
      <c r="N110" s="21">
        <f t="shared" si="9"/>
        <v>1.0682324951858668</v>
      </c>
    </row>
    <row r="111" spans="1:14" x14ac:dyDescent="0.2">
      <c r="A111" s="25" t="str">
        <f>'GF + UG Iteration 11'!A111</f>
        <v>Pre-12</v>
      </c>
      <c r="B111" s="25" t="str">
        <f>'GF + UG Iteration 11'!B111</f>
        <v>GF</v>
      </c>
      <c r="C111" s="18">
        <f>'GF + UG Iteration 11'!C111</f>
        <v>6.3659999999999997</v>
      </c>
      <c r="D111" s="19">
        <f>'GF + UG Iteration 11'!D111</f>
        <v>9.8906921245327926</v>
      </c>
      <c r="E111" s="30">
        <f>'GF + UG Iteration 11'!E111</f>
        <v>1993</v>
      </c>
      <c r="F111" s="18"/>
      <c r="G111" s="19"/>
      <c r="H111" s="20"/>
      <c r="I111" s="18">
        <f t="shared" si="5"/>
        <v>6.3659999999999997</v>
      </c>
      <c r="J111" s="19">
        <f t="shared" si="6"/>
        <v>9.8906921245327926</v>
      </c>
      <c r="K111" s="20">
        <f t="shared" si="7"/>
        <v>1993</v>
      </c>
      <c r="M111" s="21">
        <f t="shared" si="8"/>
        <v>1.850971328859901</v>
      </c>
      <c r="N111" s="21">
        <f t="shared" si="9"/>
        <v>2.2915941254440955</v>
      </c>
    </row>
    <row r="112" spans="1:14" x14ac:dyDescent="0.2">
      <c r="A112" s="25" t="str">
        <f>'GF + UG Iteration 11'!A112</f>
        <v>Pre-13</v>
      </c>
      <c r="B112" s="25" t="str">
        <f>'GF + UG Iteration 11'!B112</f>
        <v>GF</v>
      </c>
      <c r="C112" s="18">
        <f>'GF + UG Iteration 11'!C112</f>
        <v>8.5</v>
      </c>
      <c r="D112" s="19">
        <f>'GF + UG Iteration 11'!D112</f>
        <v>5.9446476688134462</v>
      </c>
      <c r="E112" s="30">
        <f>'GF + UG Iteration 11'!E112</f>
        <v>1990</v>
      </c>
      <c r="F112" s="18"/>
      <c r="G112" s="19"/>
      <c r="H112" s="20"/>
      <c r="I112" s="18">
        <f t="shared" si="5"/>
        <v>8.5</v>
      </c>
      <c r="J112" s="19">
        <f t="shared" si="6"/>
        <v>5.9446476688134462</v>
      </c>
      <c r="K112" s="20">
        <f t="shared" si="7"/>
        <v>1990</v>
      </c>
      <c r="M112" s="21">
        <f t="shared" si="8"/>
        <v>2.1400661634962708</v>
      </c>
      <c r="N112" s="21">
        <f t="shared" si="9"/>
        <v>1.7824912632583982</v>
      </c>
    </row>
    <row r="113" spans="1:14" x14ac:dyDescent="0.2">
      <c r="A113" s="25" t="str">
        <f>'GF + UG Iteration 11'!A113</f>
        <v>Pre-14</v>
      </c>
      <c r="B113" s="25" t="str">
        <f>'GF + UG Iteration 11'!B113</f>
        <v>GF</v>
      </c>
      <c r="C113" s="18">
        <f>'GF + UG Iteration 11'!C113</f>
        <v>46.55</v>
      </c>
      <c r="D113" s="19">
        <f>'GF + UG Iteration 11'!D113</f>
        <v>7.1936227504100643</v>
      </c>
      <c r="E113" s="30">
        <f>'GF + UG Iteration 11'!E113</f>
        <v>1991</v>
      </c>
      <c r="F113" s="18"/>
      <c r="G113" s="19"/>
      <c r="H113" s="20"/>
      <c r="I113" s="18">
        <f t="shared" si="5"/>
        <v>46.55</v>
      </c>
      <c r="J113" s="19">
        <f t="shared" si="6"/>
        <v>7.1936227504100643</v>
      </c>
      <c r="K113" s="20">
        <f t="shared" si="7"/>
        <v>1991</v>
      </c>
      <c r="M113" s="21">
        <f t="shared" si="8"/>
        <v>3.8405270037230759</v>
      </c>
      <c r="N113" s="21">
        <f t="shared" si="9"/>
        <v>1.9731949044224915</v>
      </c>
    </row>
    <row r="114" spans="1:14" x14ac:dyDescent="0.2">
      <c r="A114" s="25" t="str">
        <f>'GF + UG Iteration 11'!A114</f>
        <v>Pre-15</v>
      </c>
      <c r="B114" s="25" t="str">
        <f>'GF + UG Iteration 11'!B114</f>
        <v>GF</v>
      </c>
      <c r="C114" s="18">
        <f>'GF + UG Iteration 11'!C114</f>
        <v>56.8</v>
      </c>
      <c r="D114" s="19">
        <f>'GF + UG Iteration 11'!D114</f>
        <v>17.594466678549747</v>
      </c>
      <c r="E114" s="30">
        <f>'GF + UG Iteration 11'!E114</f>
        <v>1990</v>
      </c>
      <c r="F114" s="18"/>
      <c r="G114" s="19"/>
      <c r="H114" s="20"/>
      <c r="I114" s="18">
        <f t="shared" si="5"/>
        <v>56.8</v>
      </c>
      <c r="J114" s="19">
        <f t="shared" si="6"/>
        <v>17.594466678549747</v>
      </c>
      <c r="K114" s="20">
        <f t="shared" si="7"/>
        <v>1990</v>
      </c>
      <c r="M114" s="21">
        <f t="shared" si="8"/>
        <v>4.0395363257271057</v>
      </c>
      <c r="N114" s="21">
        <f t="shared" si="9"/>
        <v>2.867584459347964</v>
      </c>
    </row>
    <row r="115" spans="1:14" x14ac:dyDescent="0.2">
      <c r="A115" s="25" t="str">
        <f>'GF + UG Iteration 11'!A115</f>
        <v>Pre-16</v>
      </c>
      <c r="B115" s="25" t="str">
        <f>'GF + UG Iteration 11'!B115</f>
        <v>GF</v>
      </c>
      <c r="C115" s="18">
        <f>'GF + UG Iteration 11'!C115</f>
        <v>81.575999999999993</v>
      </c>
      <c r="D115" s="19">
        <f>'GF + UG Iteration 11'!D115</f>
        <v>14.026199251012313</v>
      </c>
      <c r="E115" s="30">
        <f>'GF + UG Iteration 11'!E115</f>
        <v>1988</v>
      </c>
      <c r="F115" s="18"/>
      <c r="G115" s="19"/>
      <c r="H115" s="20"/>
      <c r="I115" s="18">
        <f t="shared" si="5"/>
        <v>81.575999999999993</v>
      </c>
      <c r="J115" s="19">
        <f t="shared" si="6"/>
        <v>14.026199251012313</v>
      </c>
      <c r="K115" s="20">
        <f t="shared" si="7"/>
        <v>1988</v>
      </c>
      <c r="M115" s="21">
        <f t="shared" si="8"/>
        <v>4.4015351010619241</v>
      </c>
      <c r="N115" s="21">
        <f t="shared" si="9"/>
        <v>2.6409269558467208</v>
      </c>
    </row>
    <row r="116" spans="1:14" x14ac:dyDescent="0.2">
      <c r="A116" s="25" t="str">
        <f>'GF + UG Iteration 11'!A116</f>
        <v>Pre-17</v>
      </c>
      <c r="B116" s="25" t="str">
        <f>'GF + UG Iteration 11'!B116</f>
        <v>GF</v>
      </c>
      <c r="C116" s="18">
        <f>'GF + UG Iteration 11'!C116</f>
        <v>95.2</v>
      </c>
      <c r="D116" s="19">
        <f>'GF + UG Iteration 11'!D116</f>
        <v>14.219904176944949</v>
      </c>
      <c r="E116" s="30">
        <f>'GF + UG Iteration 11'!E116</f>
        <v>1999</v>
      </c>
      <c r="F116" s="18"/>
      <c r="G116" s="19"/>
      <c r="H116" s="20"/>
      <c r="I116" s="18">
        <f t="shared" si="5"/>
        <v>95.2</v>
      </c>
      <c r="J116" s="19">
        <f t="shared" si="6"/>
        <v>14.219904176944949</v>
      </c>
      <c r="K116" s="20">
        <f t="shared" si="7"/>
        <v>1999</v>
      </c>
      <c r="M116" s="21">
        <f t="shared" si="8"/>
        <v>4.5559799417973199</v>
      </c>
      <c r="N116" s="21">
        <f t="shared" si="9"/>
        <v>2.654642685740924</v>
      </c>
    </row>
    <row r="117" spans="1:14" x14ac:dyDescent="0.2">
      <c r="A117" s="25" t="str">
        <f>'GF + UG Iteration 11'!A117</f>
        <v>Pre-18</v>
      </c>
      <c r="B117" s="25" t="str">
        <f>'GF + UG Iteration 11'!B117</f>
        <v>GF</v>
      </c>
      <c r="C117" s="18">
        <f>'GF + UG Iteration 11'!C117</f>
        <v>122.77200000000001</v>
      </c>
      <c r="D117" s="19">
        <f>'GF + UG Iteration 11'!D117</f>
        <v>23.447549869052086</v>
      </c>
      <c r="E117" s="30">
        <f>'GF + UG Iteration 11'!E117</f>
        <v>1990</v>
      </c>
      <c r="F117" s="18"/>
      <c r="G117" s="19"/>
      <c r="H117" s="20"/>
      <c r="I117" s="18">
        <f t="shared" si="5"/>
        <v>122.77200000000001</v>
      </c>
      <c r="J117" s="19">
        <f t="shared" si="6"/>
        <v>23.447549869052086</v>
      </c>
      <c r="K117" s="20">
        <f t="shared" si="7"/>
        <v>1990</v>
      </c>
      <c r="M117" s="21">
        <f t="shared" si="8"/>
        <v>4.8103289766848034</v>
      </c>
      <c r="N117" s="21">
        <f t="shared" si="9"/>
        <v>3.1547660062374661</v>
      </c>
    </row>
    <row r="118" spans="1:14" x14ac:dyDescent="0.2">
      <c r="A118" s="33">
        <f>'GF + UG Iteration 11'!A118</f>
        <v>1184</v>
      </c>
      <c r="B118" s="34" t="str">
        <f>'GF + UG Iteration 11'!B118</f>
        <v>UG</v>
      </c>
      <c r="C118" s="35">
        <f>'GF + UG Iteration 11'!C118</f>
        <v>30</v>
      </c>
      <c r="D118" s="36">
        <f>'GF + UG Iteration 11'!P$16*(C118^'GF + UG Iteration 11'!P$15)</f>
        <v>17.908798233966976</v>
      </c>
      <c r="E118" s="37">
        <f>'GF + UG Iteration 11'!E118</f>
        <v>2013</v>
      </c>
      <c r="F118" s="35">
        <f>'GF + UG Iteration 11'!F118</f>
        <v>18.200000000000003</v>
      </c>
      <c r="G118" s="36">
        <f>'GF + UG Iteration 11'!G118</f>
        <v>18.869341885211266</v>
      </c>
      <c r="H118" s="38">
        <f>'GF + UG Iteration 11'!H118</f>
        <v>2012</v>
      </c>
      <c r="I118" s="35">
        <f>C118+F118</f>
        <v>48.2</v>
      </c>
      <c r="J118" s="36">
        <f>D118+G118</f>
        <v>36.778140119178246</v>
      </c>
      <c r="K118" s="38">
        <f>MAX(E118,H118)</f>
        <v>2013</v>
      </c>
      <c r="M118" s="21">
        <f t="shared" si="8"/>
        <v>3.8753590210565547</v>
      </c>
      <c r="N118" s="21">
        <f t="shared" si="9"/>
        <v>3.6049036501754053</v>
      </c>
    </row>
    <row r="119" spans="1:14" x14ac:dyDescent="0.2">
      <c r="A119" s="33">
        <f>'GF + UG Iteration 11'!A119</f>
        <v>1481</v>
      </c>
      <c r="B119" s="34" t="str">
        <f>'GF + UG Iteration 11'!B119</f>
        <v>UG</v>
      </c>
      <c r="C119" s="35">
        <f>'GF + UG Iteration 11'!C119</f>
        <v>48.2</v>
      </c>
      <c r="D119" s="36">
        <f>'GF + UG Iteration 11'!P$16*(C119^'GF + UG Iteration 11'!P$15)</f>
        <v>23.495164055441762</v>
      </c>
      <c r="E119" s="37">
        <f>'GF + UG Iteration 11'!E119</f>
        <v>2013</v>
      </c>
      <c r="F119" s="35">
        <f>'GF + UG Iteration 11'!F119</f>
        <v>0</v>
      </c>
      <c r="G119" s="36">
        <f>'GF + UG Iteration 11'!G119</f>
        <v>1.1114331301697908</v>
      </c>
      <c r="H119" s="38">
        <f>'GF + UG Iteration 11'!H119</f>
        <v>2014</v>
      </c>
      <c r="I119" s="35">
        <f t="shared" ref="I119:I183" si="10">C119+F119</f>
        <v>48.2</v>
      </c>
      <c r="J119" s="36">
        <f t="shared" ref="J119:J183" si="11">D119+G119</f>
        <v>24.606597185611552</v>
      </c>
      <c r="K119" s="38">
        <f t="shared" ref="K119:K183" si="12">MAX(E119,H119)</f>
        <v>2014</v>
      </c>
      <c r="M119" s="21">
        <f t="shared" si="8"/>
        <v>3.8753590210565547</v>
      </c>
      <c r="N119" s="21">
        <f t="shared" si="9"/>
        <v>3.203014585261843</v>
      </c>
    </row>
    <row r="120" spans="1:14" x14ac:dyDescent="0.2">
      <c r="A120" s="33">
        <f>'GF + UG Iteration 11'!A120</f>
        <v>457</v>
      </c>
      <c r="B120" s="34" t="str">
        <f>'GF + UG Iteration 11'!B120</f>
        <v>UG</v>
      </c>
      <c r="C120" s="35">
        <f>'GF + UG Iteration 11'!C120</f>
        <v>10.77</v>
      </c>
      <c r="D120" s="36">
        <f>'GF + UG Iteration 11'!P$16*(C120^'GF + UG Iteration 11'!P$15)</f>
        <v>9.961295570809078</v>
      </c>
      <c r="E120" s="37">
        <f>'GF + UG Iteration 11'!E120</f>
        <v>1990</v>
      </c>
      <c r="F120" s="35">
        <f>'GF + UG Iteration 11'!F120</f>
        <v>10</v>
      </c>
      <c r="G120" s="36">
        <f>'GF + UG Iteration 11'!G120</f>
        <v>3.289132084924363</v>
      </c>
      <c r="H120" s="38">
        <f>'GF + UG Iteration 11'!H120</f>
        <v>2006</v>
      </c>
      <c r="I120" s="35">
        <f t="shared" si="10"/>
        <v>20.77</v>
      </c>
      <c r="J120" s="36">
        <f t="shared" si="11"/>
        <v>13.250427655733441</v>
      </c>
      <c r="K120" s="38">
        <f t="shared" si="12"/>
        <v>2006</v>
      </c>
      <c r="M120" s="21">
        <f t="shared" si="8"/>
        <v>3.0335096378880211</v>
      </c>
      <c r="N120" s="21">
        <f t="shared" si="9"/>
        <v>2.5840298278157863</v>
      </c>
    </row>
    <row r="121" spans="1:14" x14ac:dyDescent="0.2">
      <c r="A121" s="33">
        <f>'GF + UG Iteration 11'!A121</f>
        <v>407</v>
      </c>
      <c r="B121" s="34" t="str">
        <f>'GF + UG Iteration 11'!B121</f>
        <v>UG</v>
      </c>
      <c r="C121" s="35">
        <f>'GF + UG Iteration 11'!C121</f>
        <v>25.4</v>
      </c>
      <c r="D121" s="36">
        <f>'GF + UG Iteration 11'!P$16*(C121^'GF + UG Iteration 11'!P$15)</f>
        <v>16.280771208731398</v>
      </c>
      <c r="E121" s="37">
        <f>'GF + UG Iteration 11'!E121</f>
        <v>1982</v>
      </c>
      <c r="F121" s="35">
        <f>'GF + UG Iteration 11'!F121</f>
        <v>2</v>
      </c>
      <c r="G121" s="36">
        <f>'GF + UG Iteration 11'!G121</f>
        <v>0.60106525862386018</v>
      </c>
      <c r="H121" s="38">
        <f>'GF + UG Iteration 11'!H121</f>
        <v>2004</v>
      </c>
      <c r="I121" s="35">
        <f t="shared" si="10"/>
        <v>27.4</v>
      </c>
      <c r="J121" s="36">
        <f t="shared" si="11"/>
        <v>16.881836467355257</v>
      </c>
      <c r="K121" s="38">
        <f t="shared" si="12"/>
        <v>2004</v>
      </c>
      <c r="M121" s="21">
        <f t="shared" si="8"/>
        <v>3.3105430133940246</v>
      </c>
      <c r="N121" s="21">
        <f t="shared" si="9"/>
        <v>2.8262382787094489</v>
      </c>
    </row>
    <row r="122" spans="1:14" x14ac:dyDescent="0.2">
      <c r="A122" s="33">
        <f>'GF + UG Iteration 11'!A122</f>
        <v>706</v>
      </c>
      <c r="B122" s="34" t="str">
        <f>'GF + UG Iteration 11'!B122</f>
        <v>UG</v>
      </c>
      <c r="C122" s="35">
        <f>'GF + UG Iteration 11'!C122</f>
        <v>14.85</v>
      </c>
      <c r="D122" s="36">
        <f>'GF + UG Iteration 11'!P$16*(C122^'GF + UG Iteration 11'!P$15)</f>
        <v>11.972889118842357</v>
      </c>
      <c r="E122" s="37">
        <f>'GF + UG Iteration 11'!E122</f>
        <v>1984</v>
      </c>
      <c r="F122" s="35">
        <f>'GF + UG Iteration 11'!F122</f>
        <v>14.250000000000002</v>
      </c>
      <c r="G122" s="36">
        <f>'GF + UG Iteration 11'!G122</f>
        <v>5.8346214151737739</v>
      </c>
      <c r="H122" s="38">
        <f>'GF + UG Iteration 11'!H122</f>
        <v>2008</v>
      </c>
      <c r="I122" s="35">
        <f t="shared" si="10"/>
        <v>29.1</v>
      </c>
      <c r="J122" s="36">
        <f t="shared" si="11"/>
        <v>17.807510534016131</v>
      </c>
      <c r="K122" s="38">
        <f t="shared" si="12"/>
        <v>2008</v>
      </c>
      <c r="M122" s="21">
        <f t="shared" si="8"/>
        <v>3.3707381741774469</v>
      </c>
      <c r="N122" s="21">
        <f t="shared" si="9"/>
        <v>2.8796203084196077</v>
      </c>
    </row>
    <row r="123" spans="1:14" x14ac:dyDescent="0.2">
      <c r="A123" s="33">
        <f>'GF + UG Iteration 11'!A123</f>
        <v>1070</v>
      </c>
      <c r="B123" s="34" t="str">
        <f>'GF + UG Iteration 11'!B123</f>
        <v>UG</v>
      </c>
      <c r="C123" s="35">
        <f>'GF + UG Iteration 11'!C123</f>
        <v>34</v>
      </c>
      <c r="D123" s="36">
        <f>'GF + UG Iteration 11'!P$16*(C123^'GF + UG Iteration 11'!P$15)</f>
        <v>19.239392726008376</v>
      </c>
      <c r="E123" s="37">
        <f>'GF + UG Iteration 11'!E123</f>
        <v>1984</v>
      </c>
      <c r="F123" s="35">
        <f>'GF + UG Iteration 11'!F123</f>
        <v>4.8999999999999986</v>
      </c>
      <c r="G123" s="36">
        <f>'GF + UG Iteration 11'!G123</f>
        <v>0.83607952853202894</v>
      </c>
      <c r="H123" s="38">
        <f>'GF + UG Iteration 11'!H123</f>
        <v>2011</v>
      </c>
      <c r="I123" s="35">
        <f t="shared" si="10"/>
        <v>38.9</v>
      </c>
      <c r="J123" s="36">
        <f t="shared" si="11"/>
        <v>20.075472254540404</v>
      </c>
      <c r="K123" s="38">
        <f t="shared" si="12"/>
        <v>2011</v>
      </c>
      <c r="M123" s="21">
        <f t="shared" si="8"/>
        <v>3.6609942506244004</v>
      </c>
      <c r="N123" s="21">
        <f t="shared" si="9"/>
        <v>2.9994987840662359</v>
      </c>
    </row>
    <row r="124" spans="1:14" x14ac:dyDescent="0.2">
      <c r="A124" s="33">
        <f>'GF + UG Iteration 11'!A124</f>
        <v>1264</v>
      </c>
      <c r="B124" s="34" t="str">
        <f>'GF + UG Iteration 11'!B124</f>
        <v>UG</v>
      </c>
      <c r="C124" s="35">
        <f>'GF + UG Iteration 11'!C124</f>
        <v>38.9</v>
      </c>
      <c r="D124" s="36">
        <f>'GF + UG Iteration 11'!P$16*(C124^'GF + UG Iteration 11'!P$15)</f>
        <v>20.781235842716583</v>
      </c>
      <c r="E124" s="37">
        <f>'GF + UG Iteration 11'!E124</f>
        <v>1984</v>
      </c>
      <c r="F124" s="35">
        <f>'GF + UG Iteration 11'!F124</f>
        <v>7.2000000000000028</v>
      </c>
      <c r="G124" s="36">
        <f>'GF + UG Iteration 11'!G124</f>
        <v>8.0578720930203094</v>
      </c>
      <c r="H124" s="38">
        <f>'GF + UG Iteration 11'!H124</f>
        <v>2013</v>
      </c>
      <c r="I124" s="35">
        <f t="shared" si="10"/>
        <v>46.1</v>
      </c>
      <c r="J124" s="36">
        <f t="shared" si="11"/>
        <v>28.839107935736891</v>
      </c>
      <c r="K124" s="38">
        <f t="shared" si="12"/>
        <v>2013</v>
      </c>
      <c r="M124" s="21">
        <f t="shared" si="8"/>
        <v>3.8308129500026027</v>
      </c>
      <c r="N124" s="21">
        <f t="shared" si="9"/>
        <v>3.3617323804451869</v>
      </c>
    </row>
    <row r="125" spans="1:14" x14ac:dyDescent="0.2">
      <c r="A125" s="33">
        <f>'GF + UG Iteration 11'!A125</f>
        <v>1208</v>
      </c>
      <c r="B125" s="34" t="str">
        <f>'GF + UG Iteration 11'!B125</f>
        <v>UG</v>
      </c>
      <c r="C125" s="35">
        <f>'GF + UG Iteration 11'!C125</f>
        <v>14.1</v>
      </c>
      <c r="D125" s="36">
        <f>'GF + UG Iteration 11'!P$16*(C125^'GF + UG Iteration 11'!P$15)</f>
        <v>11.622816292539291</v>
      </c>
      <c r="E125" s="37">
        <f>'GF + UG Iteration 11'!E125</f>
        <v>1961</v>
      </c>
      <c r="F125" s="35">
        <f>'GF + UG Iteration 11'!F125</f>
        <v>11.500000000000002</v>
      </c>
      <c r="G125" s="36">
        <f>'GF + UG Iteration 11'!G125</f>
        <v>2.7992110812000917</v>
      </c>
      <c r="H125" s="38">
        <f>'GF + UG Iteration 11'!H125</f>
        <v>2012</v>
      </c>
      <c r="I125" s="35">
        <f t="shared" si="10"/>
        <v>25.6</v>
      </c>
      <c r="J125" s="36">
        <f t="shared" si="11"/>
        <v>14.422027373739382</v>
      </c>
      <c r="K125" s="38">
        <f t="shared" si="12"/>
        <v>2012</v>
      </c>
      <c r="M125" s="21">
        <f t="shared" si="8"/>
        <v>3.2425923514855168</v>
      </c>
      <c r="N125" s="21">
        <f t="shared" si="9"/>
        <v>2.6687567165470849</v>
      </c>
    </row>
    <row r="126" spans="1:14" x14ac:dyDescent="0.2">
      <c r="A126" s="33">
        <f>'GF + UG Iteration 11'!A126</f>
        <v>655</v>
      </c>
      <c r="B126" s="34" t="str">
        <f>'GF + UG Iteration 11'!B126</f>
        <v>UG</v>
      </c>
      <c r="C126" s="35">
        <f>'GF + UG Iteration 11'!C126</f>
        <v>12.052999999999999</v>
      </c>
      <c r="D126" s="36">
        <f>'GF + UG Iteration 11'!P$16*(C126^'GF + UG Iteration 11'!P$15)</f>
        <v>10.624388637402152</v>
      </c>
      <c r="E126" s="37">
        <f>'GF + UG Iteration 11'!E126</f>
        <v>1974</v>
      </c>
      <c r="F126" s="35">
        <f>'GF + UG Iteration 11'!F126</f>
        <v>2.3390000000000004</v>
      </c>
      <c r="G126" s="36">
        <f>'GF + UG Iteration 11'!G126</f>
        <v>0.59464786373478107</v>
      </c>
      <c r="H126" s="38">
        <f>'GF + UG Iteration 11'!H126</f>
        <v>2007</v>
      </c>
      <c r="I126" s="35">
        <f t="shared" si="10"/>
        <v>14.391999999999999</v>
      </c>
      <c r="J126" s="36">
        <f t="shared" si="11"/>
        <v>11.219036501136934</v>
      </c>
      <c r="K126" s="38">
        <f t="shared" si="12"/>
        <v>2007</v>
      </c>
      <c r="M126" s="21">
        <f t="shared" si="8"/>
        <v>2.666672496648232</v>
      </c>
      <c r="N126" s="21">
        <f t="shared" si="9"/>
        <v>2.4176120230682696</v>
      </c>
    </row>
    <row r="127" spans="1:14" x14ac:dyDescent="0.2">
      <c r="A127" s="33">
        <f>'GF + UG Iteration 11'!A127</f>
        <v>733</v>
      </c>
      <c r="B127" s="34" t="str">
        <f>'GF + UG Iteration 11'!B127</f>
        <v>UG</v>
      </c>
      <c r="C127" s="35">
        <f>'GF + UG Iteration 11'!C127</f>
        <v>24.3</v>
      </c>
      <c r="D127" s="36">
        <f>'GF + UG Iteration 11'!P$16*(C127^'GF + UG Iteration 11'!P$15)</f>
        <v>15.873234741520589</v>
      </c>
      <c r="E127" s="37">
        <f>'GF + UG Iteration 11'!E127</f>
        <v>2007</v>
      </c>
      <c r="F127" s="35">
        <f>'GF + UG Iteration 11'!F127</f>
        <v>17.099999999999998</v>
      </c>
      <c r="G127" s="36">
        <f>'GF + UG Iteration 11'!G127</f>
        <v>6.7726080218724345</v>
      </c>
      <c r="H127" s="38">
        <f>'GF + UG Iteration 11'!H127</f>
        <v>2009</v>
      </c>
      <c r="I127" s="35">
        <f t="shared" si="10"/>
        <v>41.4</v>
      </c>
      <c r="J127" s="36">
        <f t="shared" si="11"/>
        <v>22.645842763393023</v>
      </c>
      <c r="K127" s="38">
        <f t="shared" si="12"/>
        <v>2009</v>
      </c>
      <c r="M127" s="21">
        <f t="shared" si="8"/>
        <v>3.7232808808312687</v>
      </c>
      <c r="N127" s="21">
        <f t="shared" si="9"/>
        <v>3.119976292628011</v>
      </c>
    </row>
    <row r="128" spans="1:14" x14ac:dyDescent="0.2">
      <c r="A128" s="33">
        <f>'GF + UG Iteration 11'!A128</f>
        <v>1700</v>
      </c>
      <c r="B128" s="34" t="str">
        <f>'GF + UG Iteration 11'!B128</f>
        <v>UG</v>
      </c>
      <c r="C128" s="35">
        <f>'GF + UG Iteration 11'!C128</f>
        <v>13.4</v>
      </c>
      <c r="D128" s="36">
        <f>'GF + UG Iteration 11'!P$16*(C128^'GF + UG Iteration 11'!P$15)</f>
        <v>11.2888273632842</v>
      </c>
      <c r="E128" s="37">
        <f>'GF + UG Iteration 11'!E128</f>
        <v>0</v>
      </c>
      <c r="F128" s="35">
        <f>'GF + UG Iteration 11'!F128</f>
        <v>0</v>
      </c>
      <c r="G128" s="36">
        <f>'GF + UG Iteration 11'!G128</f>
        <v>4.0238803148956235</v>
      </c>
      <c r="H128" s="38">
        <f>'GF + UG Iteration 11'!H128</f>
        <v>2016</v>
      </c>
      <c r="I128" s="35">
        <f t="shared" ref="I128" si="13">C128+F128</f>
        <v>13.4</v>
      </c>
      <c r="J128" s="36">
        <f t="shared" ref="J128" si="14">D128+G128</f>
        <v>15.312707678179823</v>
      </c>
      <c r="K128" s="38">
        <f t="shared" ref="K128" si="15">MAX(E128,H128)</f>
        <v>2016</v>
      </c>
      <c r="M128" s="21">
        <f t="shared" ref="M128" si="16">LN(I128)</f>
        <v>2.5952547069568657</v>
      </c>
      <c r="N128" s="21">
        <f t="shared" ref="N128" si="17">LN(J128)</f>
        <v>2.7286830508696154</v>
      </c>
    </row>
    <row r="129" spans="1:14" x14ac:dyDescent="0.2">
      <c r="A129" s="33">
        <f>'GF + UG Iteration 11'!A129</f>
        <v>1569</v>
      </c>
      <c r="B129" s="34" t="str">
        <f>'GF + UG Iteration 11'!B129</f>
        <v>UG</v>
      </c>
      <c r="C129" s="35">
        <f>'GF + UG Iteration 11'!C129</f>
        <v>17.7</v>
      </c>
      <c r="D129" s="36">
        <f>'GF + UG Iteration 11'!P$16*(C129^'GF + UG Iteration 11'!P$15)</f>
        <v>13.239070382277633</v>
      </c>
      <c r="E129" s="37">
        <f>'GF + UG Iteration 11'!E129</f>
        <v>1997</v>
      </c>
      <c r="F129" s="35">
        <f>'GF + UG Iteration 11'!F129</f>
        <v>0</v>
      </c>
      <c r="G129" s="36">
        <f>'GF + UG Iteration 11'!G129</f>
        <v>3.7372730134616279</v>
      </c>
      <c r="H129" s="38">
        <f>'GF + UG Iteration 11'!H129</f>
        <v>2015</v>
      </c>
      <c r="I129" s="35">
        <f t="shared" si="10"/>
        <v>17.7</v>
      </c>
      <c r="J129" s="36">
        <f t="shared" si="11"/>
        <v>16.97634339573926</v>
      </c>
      <c r="K129" s="38">
        <f t="shared" si="12"/>
        <v>2015</v>
      </c>
      <c r="M129" s="21">
        <f t="shared" si="8"/>
        <v>2.8735646395797834</v>
      </c>
      <c r="N129" s="21">
        <f t="shared" si="9"/>
        <v>2.8318208099740159</v>
      </c>
    </row>
    <row r="130" spans="1:14" x14ac:dyDescent="0.2">
      <c r="A130" s="33">
        <f>'GF + UG Iteration 11'!A130</f>
        <v>401</v>
      </c>
      <c r="B130" s="34" t="str">
        <f>'GF + UG Iteration 11'!B130</f>
        <v>UG</v>
      </c>
      <c r="C130" s="35">
        <f>'GF + UG Iteration 11'!C130</f>
        <v>2</v>
      </c>
      <c r="D130" s="36">
        <f>'GF + UG Iteration 11'!P$16*(C130^'GF + UG Iteration 11'!P$15)</f>
        <v>3.7987671465150412</v>
      </c>
      <c r="E130" s="37">
        <f>'GF + UG Iteration 11'!E130</f>
        <v>1986</v>
      </c>
      <c r="F130" s="35">
        <f>'GF + UG Iteration 11'!F130</f>
        <v>1.5</v>
      </c>
      <c r="G130" s="36">
        <f>'GF + UG Iteration 11'!G130</f>
        <v>0.36204281296556784</v>
      </c>
      <c r="H130" s="38">
        <f>'GF + UG Iteration 11'!H130</f>
        <v>2004</v>
      </c>
      <c r="I130" s="35">
        <f t="shared" si="10"/>
        <v>3.5</v>
      </c>
      <c r="J130" s="36">
        <f t="shared" si="11"/>
        <v>4.1608099594806092</v>
      </c>
      <c r="K130" s="38">
        <f t="shared" si="12"/>
        <v>2004</v>
      </c>
      <c r="M130" s="21">
        <f t="shared" si="8"/>
        <v>1.2527629684953681</v>
      </c>
      <c r="N130" s="21">
        <f t="shared" si="9"/>
        <v>1.4257097571194601</v>
      </c>
    </row>
    <row r="131" spans="1:14" x14ac:dyDescent="0.2">
      <c r="A131" s="33">
        <f>'GF + UG Iteration 11'!A131</f>
        <v>1412</v>
      </c>
      <c r="B131" s="34" t="str">
        <f>'GF + UG Iteration 11'!B131</f>
        <v>UG</v>
      </c>
      <c r="C131" s="35">
        <f>'GF + UG Iteration 11'!C131</f>
        <v>3.5</v>
      </c>
      <c r="D131" s="36">
        <f>'GF + UG Iteration 11'!P$16*(C131^'GF + UG Iteration 11'!P$15)</f>
        <v>5.2336539380901366</v>
      </c>
      <c r="E131" s="37">
        <f>'GF + UG Iteration 11'!E131</f>
        <v>1986</v>
      </c>
      <c r="F131" s="35">
        <f>'GF + UG Iteration 11'!F131</f>
        <v>11</v>
      </c>
      <c r="G131" s="36">
        <f>'GF + UG Iteration 11'!G131</f>
        <v>4.3574845496482366</v>
      </c>
      <c r="H131" s="38">
        <f>'GF + UG Iteration 11'!H131</f>
        <v>2015</v>
      </c>
      <c r="I131" s="35">
        <f t="shared" si="10"/>
        <v>14.5</v>
      </c>
      <c r="J131" s="36">
        <f t="shared" si="11"/>
        <v>9.5911384877383732</v>
      </c>
      <c r="K131" s="38">
        <f t="shared" si="12"/>
        <v>2015</v>
      </c>
      <c r="M131" s="21">
        <f t="shared" si="8"/>
        <v>2.6741486494265287</v>
      </c>
      <c r="N131" s="21">
        <f t="shared" si="9"/>
        <v>2.2608395979845324</v>
      </c>
    </row>
    <row r="132" spans="1:14" x14ac:dyDescent="0.2">
      <c r="A132" s="33">
        <f>'GF + UG Iteration 11'!A132</f>
        <v>1318</v>
      </c>
      <c r="B132" s="34" t="str">
        <f>'GF + UG Iteration 11'!B132</f>
        <v>UG</v>
      </c>
      <c r="C132" s="35">
        <f>'GF + UG Iteration 11'!C132</f>
        <v>22.3</v>
      </c>
      <c r="D132" s="36">
        <f>'GF + UG Iteration 11'!P$16*(C132^'GF + UG Iteration 11'!P$15)</f>
        <v>15.111474553693421</v>
      </c>
      <c r="E132" s="37">
        <f>'GF + UG Iteration 11'!E132</f>
        <v>1997</v>
      </c>
      <c r="F132" s="35">
        <f>'GF + UG Iteration 11'!F132</f>
        <v>28.900000000000002</v>
      </c>
      <c r="G132" s="36">
        <f>'GF + UG Iteration 11'!G132</f>
        <v>1.6878206182928517</v>
      </c>
      <c r="H132" s="38">
        <f>'GF + UG Iteration 11'!H132</f>
        <v>2013</v>
      </c>
      <c r="I132" s="35">
        <f t="shared" si="10"/>
        <v>51.2</v>
      </c>
      <c r="J132" s="36">
        <f t="shared" si="11"/>
        <v>16.799295171986273</v>
      </c>
      <c r="K132" s="38">
        <f t="shared" si="12"/>
        <v>2013</v>
      </c>
      <c r="M132" s="21">
        <f t="shared" si="8"/>
        <v>3.9357395320454622</v>
      </c>
      <c r="N132" s="21">
        <f t="shared" si="9"/>
        <v>2.8213369314806815</v>
      </c>
    </row>
    <row r="133" spans="1:14" x14ac:dyDescent="0.2">
      <c r="A133" s="33">
        <f>'GF + UG Iteration 11'!A133</f>
        <v>1194</v>
      </c>
      <c r="B133" s="34" t="str">
        <f>'GF + UG Iteration 11'!B133</f>
        <v>UG</v>
      </c>
      <c r="C133" s="35">
        <f>'GF + UG Iteration 11'!C133</f>
        <v>5.8</v>
      </c>
      <c r="D133" s="36">
        <f>'GF + UG Iteration 11'!P$16*(C133^'GF + UG Iteration 11'!P$15)</f>
        <v>6.9889088221178026</v>
      </c>
      <c r="E133" s="37">
        <f>'GF + UG Iteration 11'!E133</f>
        <v>1980</v>
      </c>
      <c r="F133" s="35">
        <f>'GF + UG Iteration 11'!F133</f>
        <v>9.6000000000000014</v>
      </c>
      <c r="G133" s="36">
        <f>'GF + UG Iteration 11'!G133</f>
        <v>1.6086060831571487</v>
      </c>
      <c r="H133" s="38">
        <f>'GF + UG Iteration 11'!H133</f>
        <v>2011</v>
      </c>
      <c r="I133" s="35">
        <f t="shared" si="10"/>
        <v>15.400000000000002</v>
      </c>
      <c r="J133" s="36">
        <f t="shared" si="11"/>
        <v>8.5975149052749522</v>
      </c>
      <c r="K133" s="38">
        <f t="shared" si="12"/>
        <v>2011</v>
      </c>
      <c r="M133" s="21">
        <f t="shared" si="8"/>
        <v>2.7343675094195836</v>
      </c>
      <c r="N133" s="21">
        <f t="shared" si="9"/>
        <v>2.1514731969982628</v>
      </c>
    </row>
    <row r="134" spans="1:14" x14ac:dyDescent="0.2">
      <c r="A134" s="33">
        <f>'GF + UG Iteration 11'!A134</f>
        <v>801</v>
      </c>
      <c r="B134" s="34" t="str">
        <f>'GF + UG Iteration 11'!B134</f>
        <v>UG</v>
      </c>
      <c r="C134" s="35">
        <f>'GF + UG Iteration 11'!C134</f>
        <v>10</v>
      </c>
      <c r="D134" s="36">
        <f>'GF + UG Iteration 11'!P$16*(C134^'GF + UG Iteration 11'!P$15)</f>
        <v>9.5470518584650073</v>
      </c>
      <c r="E134" s="37">
        <f>'GF + UG Iteration 11'!E134</f>
        <v>2008</v>
      </c>
      <c r="F134" s="35">
        <f>'GF + UG Iteration 11'!F134</f>
        <v>0</v>
      </c>
      <c r="G134" s="36">
        <f>'GF + UG Iteration 11'!G134</f>
        <v>6.3106495854024782</v>
      </c>
      <c r="H134" s="38">
        <f>'GF + UG Iteration 11'!H134</f>
        <v>2009</v>
      </c>
      <c r="I134" s="35">
        <f t="shared" si="10"/>
        <v>10</v>
      </c>
      <c r="J134" s="36">
        <f t="shared" si="11"/>
        <v>15.857701443867485</v>
      </c>
      <c r="K134" s="38">
        <f t="shared" si="12"/>
        <v>2009</v>
      </c>
      <c r="M134" s="21">
        <f t="shared" si="8"/>
        <v>2.3025850929940459</v>
      </c>
      <c r="N134" s="21">
        <f t="shared" si="9"/>
        <v>2.7636552778264347</v>
      </c>
    </row>
    <row r="135" spans="1:14" x14ac:dyDescent="0.2">
      <c r="A135" s="33">
        <f>'GF + UG Iteration 11'!A135</f>
        <v>804</v>
      </c>
      <c r="B135" s="34" t="str">
        <f>'GF + UG Iteration 11'!B135</f>
        <v>UG</v>
      </c>
      <c r="C135" s="35">
        <f>'GF + UG Iteration 11'!C135</f>
        <v>14.429</v>
      </c>
      <c r="D135" s="36">
        <f>'GF + UG Iteration 11'!P$16*(C135^'GF + UG Iteration 11'!P$15)</f>
        <v>11.777337617437716</v>
      </c>
      <c r="E135" s="37">
        <f>'GF + UG Iteration 11'!E135</f>
        <v>1982</v>
      </c>
      <c r="F135" s="35">
        <f>'GF + UG Iteration 11'!F135</f>
        <v>9.8710000000000004</v>
      </c>
      <c r="G135" s="36">
        <f>'GF + UG Iteration 11'!G135</f>
        <v>9.1566982400815444</v>
      </c>
      <c r="H135" s="38">
        <f>'GF + UG Iteration 11'!H135</f>
        <v>2009</v>
      </c>
      <c r="I135" s="35">
        <f t="shared" si="10"/>
        <v>24.3</v>
      </c>
      <c r="J135" s="36">
        <f t="shared" si="11"/>
        <v>20.934035857519262</v>
      </c>
      <c r="K135" s="38">
        <f t="shared" si="12"/>
        <v>2009</v>
      </c>
      <c r="M135" s="21">
        <f t="shared" si="8"/>
        <v>3.1904763503465028</v>
      </c>
      <c r="N135" s="21">
        <f t="shared" si="9"/>
        <v>3.0413763443154931</v>
      </c>
    </row>
    <row r="136" spans="1:14" x14ac:dyDescent="0.2">
      <c r="A136" s="33">
        <f>'GF + UG Iteration 11'!A136</f>
        <v>365</v>
      </c>
      <c r="B136" s="34" t="str">
        <f>'GF + UG Iteration 11'!B136</f>
        <v>UG</v>
      </c>
      <c r="C136" s="35">
        <f>'GF + UG Iteration 11'!C136</f>
        <v>15.9</v>
      </c>
      <c r="D136" s="36">
        <f>'GF + UG Iteration 11'!P$16*(C136^'GF + UG Iteration 11'!P$15)</f>
        <v>12.450541294034672</v>
      </c>
      <c r="E136" s="37">
        <f>'GF + UG Iteration 11'!E136</f>
        <v>1982</v>
      </c>
      <c r="F136" s="35">
        <f>'GF + UG Iteration 11'!F136</f>
        <v>0.26900000000000013</v>
      </c>
      <c r="G136" s="36">
        <f>'GF + UG Iteration 11'!G136</f>
        <v>0.59607313292480213</v>
      </c>
      <c r="H136" s="38">
        <f>'GF + UG Iteration 11'!H136</f>
        <v>2003</v>
      </c>
      <c r="I136" s="35">
        <f t="shared" si="10"/>
        <v>16.169</v>
      </c>
      <c r="J136" s="36">
        <f t="shared" si="11"/>
        <v>13.046614426959474</v>
      </c>
      <c r="K136" s="38">
        <f t="shared" si="12"/>
        <v>2003</v>
      </c>
      <c r="M136" s="21">
        <f t="shared" ref="M136:M183" si="18">LN(I136)</f>
        <v>2.7830958287576775</v>
      </c>
      <c r="N136" s="21">
        <f t="shared" ref="N136:N183" si="19">LN(J136)</f>
        <v>2.5685286692263576</v>
      </c>
    </row>
    <row r="137" spans="1:14" x14ac:dyDescent="0.2">
      <c r="A137" s="33">
        <f>'GF + UG Iteration 11'!A137</f>
        <v>708</v>
      </c>
      <c r="B137" s="34" t="str">
        <f>'GF + UG Iteration 11'!B137</f>
        <v>UG</v>
      </c>
      <c r="C137" s="35">
        <f>'GF + UG Iteration 11'!C137</f>
        <v>16.2</v>
      </c>
      <c r="D137" s="36">
        <f>'GF + UG Iteration 11'!P$16*(C137^'GF + UG Iteration 11'!P$15)</f>
        <v>12.584515354268424</v>
      </c>
      <c r="E137" s="37">
        <f>'GF + UG Iteration 11'!E137</f>
        <v>1982</v>
      </c>
      <c r="F137" s="35">
        <f>'GF + UG Iteration 11'!F137</f>
        <v>11.5</v>
      </c>
      <c r="G137" s="36">
        <f>'GF + UG Iteration 11'!G137</f>
        <v>6.8374623210633541</v>
      </c>
      <c r="H137" s="38">
        <f>'GF + UG Iteration 11'!H137</f>
        <v>2007</v>
      </c>
      <c r="I137" s="35">
        <f t="shared" si="10"/>
        <v>27.7</v>
      </c>
      <c r="J137" s="36">
        <f t="shared" si="11"/>
        <v>19.421977675331778</v>
      </c>
      <c r="K137" s="38">
        <f t="shared" si="12"/>
        <v>2007</v>
      </c>
      <c r="M137" s="21">
        <f t="shared" si="18"/>
        <v>3.3214324131932926</v>
      </c>
      <c r="N137" s="21">
        <f t="shared" si="19"/>
        <v>2.9664052947189106</v>
      </c>
    </row>
    <row r="138" spans="1:14" x14ac:dyDescent="0.2">
      <c r="A138" s="33">
        <f>'GF + UG Iteration 11'!A138</f>
        <v>1568</v>
      </c>
      <c r="B138" s="34" t="str">
        <f>'GF + UG Iteration 11'!B138</f>
        <v>UG</v>
      </c>
      <c r="C138" s="35">
        <f>'GF + UG Iteration 11'!C138</f>
        <v>27.7</v>
      </c>
      <c r="D138" s="36">
        <f>'GF + UG Iteration 11'!P$16*(C138^'GF + UG Iteration 11'!P$15)</f>
        <v>17.109247473733284</v>
      </c>
      <c r="E138" s="37">
        <f>'GF + UG Iteration 11'!E138</f>
        <v>1997</v>
      </c>
      <c r="F138" s="35">
        <f>'GF + UG Iteration 11'!F138</f>
        <v>8.0999999999999979</v>
      </c>
      <c r="G138" s="36">
        <f>'GF + UG Iteration 11'!G138</f>
        <v>3.5848996641236104</v>
      </c>
      <c r="H138" s="38">
        <f>'GF + UG Iteration 11'!H138</f>
        <v>2015</v>
      </c>
      <c r="I138" s="35">
        <f t="shared" si="10"/>
        <v>35.799999999999997</v>
      </c>
      <c r="J138" s="36">
        <f t="shared" si="11"/>
        <v>20.694147137856895</v>
      </c>
      <c r="K138" s="38">
        <f t="shared" si="12"/>
        <v>2015</v>
      </c>
      <c r="M138" s="21">
        <f t="shared" si="18"/>
        <v>3.5779478934066544</v>
      </c>
      <c r="N138" s="21">
        <f t="shared" si="19"/>
        <v>3.0298509133274294</v>
      </c>
    </row>
    <row r="139" spans="1:14" x14ac:dyDescent="0.2">
      <c r="A139" s="33">
        <f>'GF + UG Iteration 11'!A139</f>
        <v>398</v>
      </c>
      <c r="B139" s="34" t="str">
        <f>'GF + UG Iteration 11'!B139</f>
        <v>UG</v>
      </c>
      <c r="C139" s="35">
        <f>'GF + UG Iteration 11'!C139</f>
        <v>27.329000000000001</v>
      </c>
      <c r="D139" s="36">
        <f>'GF + UG Iteration 11'!P$16*(C139^'GF + UG Iteration 11'!P$15)</f>
        <v>16.977657831748381</v>
      </c>
      <c r="E139" s="37">
        <f>'GF + UG Iteration 11'!E139</f>
        <v>1981</v>
      </c>
      <c r="F139" s="35">
        <f>'GF + UG Iteration 11'!F139</f>
        <v>2</v>
      </c>
      <c r="G139" s="36">
        <f>'GF + UG Iteration 11'!G139</f>
        <v>1.454685054931611</v>
      </c>
      <c r="H139" s="38">
        <f>'GF + UG Iteration 11'!H139</f>
        <v>2004</v>
      </c>
      <c r="I139" s="35">
        <f t="shared" si="10"/>
        <v>29.329000000000001</v>
      </c>
      <c r="J139" s="36">
        <f t="shared" si="11"/>
        <v>18.432342886679994</v>
      </c>
      <c r="K139" s="38">
        <f t="shared" si="12"/>
        <v>2004</v>
      </c>
      <c r="M139" s="21">
        <f t="shared" si="18"/>
        <v>3.3785767876246213</v>
      </c>
      <c r="N139" s="21">
        <f t="shared" si="19"/>
        <v>2.9141068871334195</v>
      </c>
    </row>
    <row r="140" spans="1:14" x14ac:dyDescent="0.2">
      <c r="A140" s="33">
        <f>'GF + UG Iteration 11'!A140</f>
        <v>1642</v>
      </c>
      <c r="B140" s="34" t="str">
        <f>'GF + UG Iteration 11'!B140</f>
        <v>UG</v>
      </c>
      <c r="C140" s="35">
        <f>'GF + UG Iteration 11'!C140</f>
        <v>16.12</v>
      </c>
      <c r="D140" s="36">
        <f>'GF + UG Iteration 11'!P$16*(C140^'GF + UG Iteration 11'!P$15)</f>
        <v>12.54889337515667</v>
      </c>
      <c r="E140" s="37" t="str">
        <f>'GF + UG Iteration 11'!E140</f>
        <v>unknown</v>
      </c>
      <c r="F140" s="35">
        <f>'GF + UG Iteration 11'!F140</f>
        <v>2.7799999999999976</v>
      </c>
      <c r="G140" s="36">
        <f>'GF + UG Iteration 11'!G140</f>
        <v>10.134123990225088</v>
      </c>
      <c r="H140" s="38">
        <f>'GF + UG Iteration 11'!H140</f>
        <v>2015</v>
      </c>
      <c r="I140" s="35">
        <f t="shared" si="10"/>
        <v>18.899999999999999</v>
      </c>
      <c r="J140" s="36">
        <f t="shared" si="11"/>
        <v>22.683017365381758</v>
      </c>
      <c r="K140" s="38">
        <f t="shared" si="12"/>
        <v>2015</v>
      </c>
      <c r="M140" s="21">
        <f t="shared" si="18"/>
        <v>2.9391619220655967</v>
      </c>
      <c r="N140" s="21">
        <f t="shared" si="19"/>
        <v>3.1216165108120735</v>
      </c>
    </row>
    <row r="141" spans="1:14" x14ac:dyDescent="0.2">
      <c r="A141" s="33">
        <f>'GF + UG Iteration 11'!A141</f>
        <v>522</v>
      </c>
      <c r="B141" s="34" t="str">
        <f>'GF + UG Iteration 11'!B141</f>
        <v>UG</v>
      </c>
      <c r="C141" s="35">
        <f>'GF + UG Iteration 11'!C141</f>
        <v>38.700000000000003</v>
      </c>
      <c r="D141" s="36">
        <f>'GF + UG Iteration 11'!P$16*(C141^'GF + UG Iteration 11'!P$15)</f>
        <v>20.719989908394865</v>
      </c>
      <c r="E141" s="37">
        <f>'GF + UG Iteration 11'!E141</f>
        <v>1981</v>
      </c>
      <c r="F141" s="35">
        <f>'GF + UG Iteration 11'!F141</f>
        <v>2.2999999999999972</v>
      </c>
      <c r="G141" s="36">
        <f>'GF + UG Iteration 11'!G141</f>
        <v>0.49326793696611254</v>
      </c>
      <c r="H141" s="38">
        <f>'GF + UG Iteration 11'!H141</f>
        <v>2006</v>
      </c>
      <c r="I141" s="35">
        <f t="shared" si="10"/>
        <v>41</v>
      </c>
      <c r="J141" s="36">
        <f t="shared" si="11"/>
        <v>21.213257845360978</v>
      </c>
      <c r="K141" s="38">
        <f t="shared" si="12"/>
        <v>2006</v>
      </c>
      <c r="M141" s="21">
        <f t="shared" si="18"/>
        <v>3.713572066704308</v>
      </c>
      <c r="N141" s="21">
        <f t="shared" si="19"/>
        <v>3.0546263562797917</v>
      </c>
    </row>
    <row r="142" spans="1:14" x14ac:dyDescent="0.2">
      <c r="A142" s="33">
        <f>'GF + UG Iteration 11'!A142</f>
        <v>170</v>
      </c>
      <c r="B142" s="34" t="str">
        <f>'GF + UG Iteration 11'!B142</f>
        <v>UG</v>
      </c>
      <c r="C142" s="35">
        <f>'GF + UG Iteration 11'!C142</f>
        <v>20.399999999999999</v>
      </c>
      <c r="D142" s="36">
        <f>'GF + UG Iteration 11'!P$16*(C142^'GF + UG Iteration 11'!P$15)</f>
        <v>14.360247119059567</v>
      </c>
      <c r="E142" s="37" t="str">
        <f>'GF + UG Iteration 11'!E142</f>
        <v>unknown</v>
      </c>
      <c r="F142" s="35">
        <f>'GF + UG Iteration 11'!F142</f>
        <v>5.6000000000000014</v>
      </c>
      <c r="G142" s="36">
        <f>'GF + UG Iteration 11'!G142</f>
        <v>4.433742547698083</v>
      </c>
      <c r="H142" s="38">
        <f>'GF + UG Iteration 11'!H142</f>
        <v>2001</v>
      </c>
      <c r="I142" s="35">
        <f t="shared" si="10"/>
        <v>26</v>
      </c>
      <c r="J142" s="36">
        <f t="shared" si="11"/>
        <v>18.79398966675765</v>
      </c>
      <c r="K142" s="38">
        <f t="shared" si="12"/>
        <v>2001</v>
      </c>
      <c r="M142" s="21">
        <f t="shared" si="18"/>
        <v>3.2580965380214821</v>
      </c>
      <c r="N142" s="21">
        <f t="shared" si="19"/>
        <v>2.9335371201446985</v>
      </c>
    </row>
    <row r="143" spans="1:14" x14ac:dyDescent="0.2">
      <c r="A143" s="33">
        <f>'GF + UG Iteration 11'!A143</f>
        <v>1312</v>
      </c>
      <c r="B143" s="34" t="str">
        <f>'GF + UG Iteration 11'!B143</f>
        <v>UG</v>
      </c>
      <c r="C143" s="35">
        <f>'GF + UG Iteration 11'!C143</f>
        <v>23.63</v>
      </c>
      <c r="D143" s="36">
        <f>'GF + UG Iteration 11'!P$16*(C143^'GF + UG Iteration 11'!P$15)</f>
        <v>15.62113826562352</v>
      </c>
      <c r="E143" s="37" t="str">
        <f>'GF + UG Iteration 11'!E143</f>
        <v>unknown</v>
      </c>
      <c r="F143" s="35">
        <f>'GF + UG Iteration 11'!F143</f>
        <v>0</v>
      </c>
      <c r="G143" s="36">
        <f>'GF + UG Iteration 11'!G143</f>
        <v>6.0245111186360631</v>
      </c>
      <c r="H143" s="38">
        <f>'GF + UG Iteration 11'!H143</f>
        <v>2013</v>
      </c>
      <c r="I143" s="35">
        <f t="shared" si="10"/>
        <v>23.63</v>
      </c>
      <c r="J143" s="36">
        <f t="shared" si="11"/>
        <v>21.645649384259585</v>
      </c>
      <c r="K143" s="38">
        <f t="shared" si="12"/>
        <v>2013</v>
      </c>
      <c r="M143" s="21">
        <f t="shared" si="18"/>
        <v>3.1625170911988163</v>
      </c>
      <c r="N143" s="21">
        <f t="shared" si="19"/>
        <v>3.0748044820266998</v>
      </c>
    </row>
    <row r="144" spans="1:14" x14ac:dyDescent="0.2">
      <c r="A144" s="33">
        <f>'GF + UG Iteration 11'!A144</f>
        <v>170</v>
      </c>
      <c r="B144" s="34" t="str">
        <f>'GF + UG Iteration 11'!B144</f>
        <v>UG</v>
      </c>
      <c r="C144" s="35">
        <f>'GF + UG Iteration 11'!C144</f>
        <v>21.6</v>
      </c>
      <c r="D144" s="36">
        <f>'GF + UG Iteration 11'!P$16*(C144^'GF + UG Iteration 11'!P$15)</f>
        <v>14.838013748874278</v>
      </c>
      <c r="E144" s="37" t="str">
        <f>'GF + UG Iteration 11'!E144</f>
        <v>unknown</v>
      </c>
      <c r="F144" s="35">
        <f>'GF + UG Iteration 11'!F144</f>
        <v>1</v>
      </c>
      <c r="G144" s="36">
        <f>'GF + UG Iteration 11'!G144</f>
        <v>4.8829870198591019</v>
      </c>
      <c r="H144" s="38">
        <f>'GF + UG Iteration 11'!H144</f>
        <v>2001</v>
      </c>
      <c r="I144" s="35">
        <f t="shared" si="10"/>
        <v>22.6</v>
      </c>
      <c r="J144" s="36">
        <f t="shared" si="11"/>
        <v>19.721000768733379</v>
      </c>
      <c r="K144" s="38">
        <f t="shared" si="12"/>
        <v>2001</v>
      </c>
      <c r="M144" s="21">
        <f t="shared" si="18"/>
        <v>3.1179499062782403</v>
      </c>
      <c r="N144" s="21">
        <f t="shared" si="19"/>
        <v>2.9816840968083773</v>
      </c>
    </row>
    <row r="145" spans="1:14" x14ac:dyDescent="0.2">
      <c r="A145" s="33">
        <f>'GF + UG Iteration 11'!A145</f>
        <v>1366</v>
      </c>
      <c r="B145" s="34" t="str">
        <f>'GF + UG Iteration 11'!B145</f>
        <v>UG</v>
      </c>
      <c r="C145" s="35">
        <f>'GF + UG Iteration 11'!C145</f>
        <v>25.5</v>
      </c>
      <c r="D145" s="36">
        <f>'GF + UG Iteration 11'!P$16*(C145^'GF + UG Iteration 11'!P$15)</f>
        <v>16.317442298206629</v>
      </c>
      <c r="E145" s="37">
        <f>'GF + UG Iteration 11'!E145</f>
        <v>0</v>
      </c>
      <c r="F145" s="35">
        <f>'GF + UG Iteration 11'!F145</f>
        <v>14</v>
      </c>
      <c r="G145" s="36">
        <f>'GF + UG Iteration 11'!G145</f>
        <v>5.5737060104438019</v>
      </c>
      <c r="H145" s="38">
        <f>'GF + UG Iteration 11'!H145</f>
        <v>2013</v>
      </c>
      <c r="I145" s="35">
        <f t="shared" si="10"/>
        <v>39.5</v>
      </c>
      <c r="J145" s="36">
        <f t="shared" si="11"/>
        <v>21.891148308650429</v>
      </c>
      <c r="K145" s="38">
        <f t="shared" si="12"/>
        <v>2013</v>
      </c>
      <c r="M145" s="21">
        <f t="shared" si="18"/>
        <v>3.6763006719070761</v>
      </c>
      <c r="N145" s="21">
        <f t="shared" si="19"/>
        <v>3.0860823682973306</v>
      </c>
    </row>
    <row r="146" spans="1:14" x14ac:dyDescent="0.2">
      <c r="A146" s="33">
        <f>'GF + UG Iteration 11'!A146</f>
        <v>170</v>
      </c>
      <c r="B146" s="34" t="str">
        <f>'GF + UG Iteration 11'!B146</f>
        <v>UG</v>
      </c>
      <c r="C146" s="35">
        <f>'GF + UG Iteration 11'!C146</f>
        <v>5.4</v>
      </c>
      <c r="D146" s="36">
        <f>'GF + UG Iteration 11'!P$16*(C146^'GF + UG Iteration 11'!P$15)</f>
        <v>6.7087148524000382</v>
      </c>
      <c r="E146" s="37" t="str">
        <f>'GF + UG Iteration 11'!E146</f>
        <v>unknown</v>
      </c>
      <c r="F146" s="35">
        <f>'GF + UG Iteration 11'!F146</f>
        <v>10.6</v>
      </c>
      <c r="G146" s="36">
        <f>'GF + UG Iteration 11'!G146</f>
        <v>5.2097107088088661</v>
      </c>
      <c r="H146" s="38">
        <f>'GF + UG Iteration 11'!H146</f>
        <v>2001</v>
      </c>
      <c r="I146" s="35">
        <f t="shared" si="10"/>
        <v>16</v>
      </c>
      <c r="J146" s="36">
        <f t="shared" si="11"/>
        <v>11.918425561208904</v>
      </c>
      <c r="K146" s="38">
        <f t="shared" si="12"/>
        <v>2001</v>
      </c>
      <c r="M146" s="21">
        <f t="shared" si="18"/>
        <v>2.7725887222397811</v>
      </c>
      <c r="N146" s="21">
        <f t="shared" si="19"/>
        <v>2.4780855691221721</v>
      </c>
    </row>
    <row r="147" spans="1:14" x14ac:dyDescent="0.2">
      <c r="A147" s="33">
        <f>'GF + UG Iteration 11'!A147</f>
        <v>1350</v>
      </c>
      <c r="B147" s="34" t="str">
        <f>'GF + UG Iteration 11'!B147</f>
        <v>UG</v>
      </c>
      <c r="C147" s="35">
        <f>'GF + UG Iteration 11'!C147</f>
        <v>16</v>
      </c>
      <c r="D147" s="36">
        <f>'GF + UG Iteration 11'!P$16*(C147^'GF + UG Iteration 11'!P$15)</f>
        <v>12.495318415214467</v>
      </c>
      <c r="E147" s="37">
        <f>'GF + UG Iteration 11'!E147</f>
        <v>0</v>
      </c>
      <c r="F147" s="35">
        <f>'GF + UG Iteration 11'!F147</f>
        <v>20</v>
      </c>
      <c r="G147" s="36">
        <f>'GF + UG Iteration 11'!G147</f>
        <v>6.5300342953877131</v>
      </c>
      <c r="H147" s="38">
        <f>'GF + UG Iteration 11'!H147</f>
        <v>2013</v>
      </c>
      <c r="I147" s="35">
        <f t="shared" si="10"/>
        <v>36</v>
      </c>
      <c r="J147" s="36">
        <f t="shared" si="11"/>
        <v>19.025352710602178</v>
      </c>
      <c r="K147" s="38">
        <f t="shared" si="12"/>
        <v>2013</v>
      </c>
      <c r="M147" s="21">
        <f t="shared" si="18"/>
        <v>3.5835189384561099</v>
      </c>
      <c r="N147" s="21">
        <f t="shared" si="19"/>
        <v>2.9457724428979577</v>
      </c>
    </row>
    <row r="148" spans="1:14" x14ac:dyDescent="0.2">
      <c r="A148" s="33">
        <f>'GF + UG Iteration 11'!A148</f>
        <v>658</v>
      </c>
      <c r="B148" s="34" t="str">
        <f>'GF + UG Iteration 11'!B148</f>
        <v>UG</v>
      </c>
      <c r="C148" s="35">
        <f>'GF + UG Iteration 11'!C148</f>
        <v>1.6</v>
      </c>
      <c r="D148" s="36">
        <f>'GF + UG Iteration 11'!P$16*(C148^'GF + UG Iteration 11'!P$15)</f>
        <v>3.3431241229341571</v>
      </c>
      <c r="E148" s="37">
        <f>'GF + UG Iteration 11'!E148</f>
        <v>1996</v>
      </c>
      <c r="F148" s="35">
        <f>'GF + UG Iteration 11'!F148</f>
        <v>13.200000000000001</v>
      </c>
      <c r="G148" s="36">
        <f>'GF + UG Iteration 11'!G148</f>
        <v>7.1146692323992218</v>
      </c>
      <c r="H148" s="38">
        <f>'GF + UG Iteration 11'!H148</f>
        <v>2008</v>
      </c>
      <c r="I148" s="35">
        <f t="shared" si="10"/>
        <v>14.8</v>
      </c>
      <c r="J148" s="36">
        <f t="shared" si="11"/>
        <v>10.457793355333379</v>
      </c>
      <c r="K148" s="38">
        <f t="shared" si="12"/>
        <v>2008</v>
      </c>
      <c r="M148" s="21">
        <f t="shared" si="18"/>
        <v>2.6946271807700692</v>
      </c>
      <c r="N148" s="21">
        <f t="shared" si="19"/>
        <v>2.3473474760883484</v>
      </c>
    </row>
    <row r="149" spans="1:14" x14ac:dyDescent="0.2">
      <c r="A149" s="33">
        <f>'GF + UG Iteration 11'!A149</f>
        <v>897</v>
      </c>
      <c r="B149" s="34" t="str">
        <f>'GF + UG Iteration 11'!B149</f>
        <v>UG</v>
      </c>
      <c r="C149" s="35">
        <f>'GF + UG Iteration 11'!C149</f>
        <v>14.8</v>
      </c>
      <c r="D149" s="36">
        <f>'GF + UG Iteration 11'!P$16*(C149^'GF + UG Iteration 11'!P$15)</f>
        <v>11.949789606536564</v>
      </c>
      <c r="E149" s="37">
        <f>'GF + UG Iteration 11'!E149</f>
        <v>1996</v>
      </c>
      <c r="F149" s="35">
        <f>'GF + UG Iteration 11'!F149</f>
        <v>3</v>
      </c>
      <c r="G149" s="36">
        <f>'GF + UG Iteration 11'!G149</f>
        <v>6.2372112776035529</v>
      </c>
      <c r="H149" s="38">
        <f>'GF + UG Iteration 11'!H149</f>
        <v>2010</v>
      </c>
      <c r="I149" s="35">
        <f t="shared" si="10"/>
        <v>17.8</v>
      </c>
      <c r="J149" s="36">
        <f t="shared" si="11"/>
        <v>18.187000884140119</v>
      </c>
      <c r="K149" s="38">
        <f t="shared" si="12"/>
        <v>2010</v>
      </c>
      <c r="M149" s="21">
        <f t="shared" si="18"/>
        <v>2.8791984572980396</v>
      </c>
      <c r="N149" s="21">
        <f t="shared" si="19"/>
        <v>2.9007071017587314</v>
      </c>
    </row>
    <row r="150" spans="1:14" x14ac:dyDescent="0.2">
      <c r="A150" s="33">
        <f>'GF + UG Iteration 11'!A150</f>
        <v>483</v>
      </c>
      <c r="B150" s="34" t="str">
        <f>'GF + UG Iteration 11'!B150</f>
        <v>UG</v>
      </c>
      <c r="C150" s="35">
        <f>'GF + UG Iteration 11'!C150</f>
        <v>20.7</v>
      </c>
      <c r="D150" s="36">
        <f>'GF + UG Iteration 11'!P$16*(C150^'GF + UG Iteration 11'!P$15)</f>
        <v>14.480790374456877</v>
      </c>
      <c r="E150" s="37">
        <f>'GF + UG Iteration 11'!E150</f>
        <v>1986</v>
      </c>
      <c r="F150" s="35">
        <f>'GF + UG Iteration 11'!F150</f>
        <v>18.099999999999998</v>
      </c>
      <c r="G150" s="36">
        <f>'GF + UG Iteration 11'!G150</f>
        <v>3.6200694377675466</v>
      </c>
      <c r="H150" s="38">
        <f>'GF + UG Iteration 11'!H150</f>
        <v>2005</v>
      </c>
      <c r="I150" s="35">
        <f t="shared" si="10"/>
        <v>38.799999999999997</v>
      </c>
      <c r="J150" s="36">
        <f t="shared" si="11"/>
        <v>18.100859812224424</v>
      </c>
      <c r="K150" s="38">
        <f t="shared" si="12"/>
        <v>2005</v>
      </c>
      <c r="M150" s="21">
        <f t="shared" si="18"/>
        <v>3.6584202466292277</v>
      </c>
      <c r="N150" s="21">
        <f t="shared" si="19"/>
        <v>2.8959594405813411</v>
      </c>
    </row>
    <row r="151" spans="1:14" x14ac:dyDescent="0.2">
      <c r="A151" s="33">
        <f>'GF + UG Iteration 11'!A151</f>
        <v>1494</v>
      </c>
      <c r="B151" s="34" t="str">
        <f>'GF + UG Iteration 11'!B151</f>
        <v>UG</v>
      </c>
      <c r="C151" s="35">
        <f>'GF + UG Iteration 11'!C151</f>
        <v>13.3</v>
      </c>
      <c r="D151" s="36">
        <f>'GF + UG Iteration 11'!P$16*(C151^'GF + UG Iteration 11'!P$15)</f>
        <v>11.240511918879497</v>
      </c>
      <c r="E151" s="37">
        <f>'GF + UG Iteration 11'!E151</f>
        <v>0</v>
      </c>
      <c r="F151" s="35">
        <f>'GF + UG Iteration 11'!F151</f>
        <v>6</v>
      </c>
      <c r="G151" s="36">
        <f>'GF + UG Iteration 11'!G151</f>
        <v>6.4297485673579153</v>
      </c>
      <c r="H151" s="38">
        <f>'GF + UG Iteration 11'!H151</f>
        <v>2014</v>
      </c>
      <c r="I151" s="35">
        <f t="shared" si="10"/>
        <v>19.3</v>
      </c>
      <c r="J151" s="36">
        <f t="shared" si="11"/>
        <v>17.67026048623741</v>
      </c>
      <c r="K151" s="38">
        <f t="shared" si="12"/>
        <v>2014</v>
      </c>
      <c r="M151" s="21">
        <f t="shared" si="18"/>
        <v>2.9601050959108397</v>
      </c>
      <c r="N151" s="21">
        <f t="shared" si="19"/>
        <v>2.8718830279454943</v>
      </c>
    </row>
    <row r="152" spans="1:14" x14ac:dyDescent="0.2">
      <c r="A152" s="33">
        <f>'GF + UG Iteration 11'!A152</f>
        <v>488</v>
      </c>
      <c r="B152" s="34" t="str">
        <f>'GF + UG Iteration 11'!B152</f>
        <v>UG</v>
      </c>
      <c r="C152" s="35">
        <f>'GF + UG Iteration 11'!C152</f>
        <v>41.3</v>
      </c>
      <c r="D152" s="36">
        <f>'GF + UG Iteration 11'!P$16*(C152^'GF + UG Iteration 11'!P$15)</f>
        <v>21.505972912553009</v>
      </c>
      <c r="E152" s="37">
        <f>'GF + UG Iteration 11'!E152</f>
        <v>1982</v>
      </c>
      <c r="F152" s="35">
        <f>'GF + UG Iteration 11'!F152</f>
        <v>24.200000000000003</v>
      </c>
      <c r="G152" s="36">
        <f>'GF + UG Iteration 11'!G152</f>
        <v>0.40462675342078769</v>
      </c>
      <c r="H152" s="38">
        <f>'GF + UG Iteration 11'!H152</f>
        <v>2006</v>
      </c>
      <c r="I152" s="35">
        <f t="shared" si="10"/>
        <v>65.5</v>
      </c>
      <c r="J152" s="36">
        <f t="shared" si="11"/>
        <v>21.910599665973798</v>
      </c>
      <c r="K152" s="38">
        <f t="shared" si="12"/>
        <v>2006</v>
      </c>
      <c r="M152" s="21">
        <f t="shared" si="18"/>
        <v>4.1820501426412067</v>
      </c>
      <c r="N152" s="21">
        <f t="shared" si="19"/>
        <v>3.0869705227432798</v>
      </c>
    </row>
    <row r="153" spans="1:14" x14ac:dyDescent="0.2">
      <c r="A153" s="33">
        <f>'GF + UG Iteration 11'!A153</f>
        <v>1692</v>
      </c>
      <c r="B153" s="34" t="str">
        <f>'GF + UG Iteration 11'!B153</f>
        <v>UG</v>
      </c>
      <c r="C153" s="35">
        <f>'GF + UG Iteration 11'!C153</f>
        <v>65.5</v>
      </c>
      <c r="D153" s="36">
        <f>'GF + UG Iteration 11'!P$16*(C153^'GF + UG Iteration 11'!P$15)</f>
        <v>28.005596483045792</v>
      </c>
      <c r="E153" s="37">
        <f>'GF + UG Iteration 11'!E153</f>
        <v>0</v>
      </c>
      <c r="F153" s="35">
        <f>'GF + UG Iteration 11'!F153</f>
        <v>0</v>
      </c>
      <c r="G153" s="36">
        <f>'GF + UG Iteration 11'!G153</f>
        <v>2.2188176481219593</v>
      </c>
      <c r="H153" s="38">
        <f>'GF + UG Iteration 11'!H153</f>
        <v>2016</v>
      </c>
      <c r="I153" s="35">
        <f t="shared" si="10"/>
        <v>65.5</v>
      </c>
      <c r="J153" s="36">
        <f t="shared" si="11"/>
        <v>30.224414131167752</v>
      </c>
      <c r="K153" s="38">
        <f t="shared" si="12"/>
        <v>2016</v>
      </c>
      <c r="M153" s="21">
        <f t="shared" si="18"/>
        <v>4.1820501426412067</v>
      </c>
      <c r="N153" s="21">
        <f t="shared" si="19"/>
        <v>3.4086500127287986</v>
      </c>
    </row>
    <row r="154" spans="1:14" x14ac:dyDescent="0.2">
      <c r="A154" s="33">
        <f>'GF + UG Iteration 11'!A154</f>
        <v>318</v>
      </c>
      <c r="B154" s="34" t="str">
        <f>'GF + UG Iteration 11'!B154</f>
        <v>UG</v>
      </c>
      <c r="C154" s="35">
        <f>'GF + UG Iteration 11'!C154</f>
        <v>22.87</v>
      </c>
      <c r="D154" s="36">
        <f>'GF + UG Iteration 11'!P$16*(C154^'GF + UG Iteration 11'!P$15)</f>
        <v>15.331449920254141</v>
      </c>
      <c r="E154" s="37">
        <f>'GF + UG Iteration 11'!E154</f>
        <v>1996</v>
      </c>
      <c r="F154" s="35">
        <f>'GF + UG Iteration 11'!F154</f>
        <v>1</v>
      </c>
      <c r="G154" s="36">
        <f>'GF + UG Iteration 11'!G154</f>
        <v>0.76702040063252341</v>
      </c>
      <c r="H154" s="38">
        <f>'GF + UG Iteration 11'!H154</f>
        <v>2001</v>
      </c>
      <c r="I154" s="35">
        <f t="shared" si="10"/>
        <v>23.87</v>
      </c>
      <c r="J154" s="36">
        <f t="shared" si="11"/>
        <v>16.098470320886666</v>
      </c>
      <c r="K154" s="38">
        <f t="shared" si="12"/>
        <v>2001</v>
      </c>
      <c r="M154" s="21">
        <f t="shared" si="18"/>
        <v>3.1726224403507386</v>
      </c>
      <c r="N154" s="21">
        <f t="shared" si="19"/>
        <v>2.7787242563515226</v>
      </c>
    </row>
    <row r="155" spans="1:14" x14ac:dyDescent="0.2">
      <c r="A155" s="33">
        <f>'GF + UG Iteration 11'!A155</f>
        <v>806</v>
      </c>
      <c r="B155" s="34" t="str">
        <f>'GF + UG Iteration 11'!B155</f>
        <v>UG</v>
      </c>
      <c r="C155" s="35">
        <f>'GF + UG Iteration 11'!C155</f>
        <v>23.867000000000001</v>
      </c>
      <c r="D155" s="36">
        <f>'GF + UG Iteration 11'!P$16*(C155^'GF + UG Iteration 11'!P$15)</f>
        <v>15.710657693574476</v>
      </c>
      <c r="E155" s="37">
        <f>'GF + UG Iteration 11'!E155</f>
        <v>1996</v>
      </c>
      <c r="F155" s="35">
        <f>'GF + UG Iteration 11'!F155</f>
        <v>5.4329999999999998</v>
      </c>
      <c r="G155" s="36">
        <f>'GF + UG Iteration 11'!G155</f>
        <v>0.68947713107767894</v>
      </c>
      <c r="H155" s="38">
        <f>'GF + UG Iteration 11'!H155</f>
        <v>2008</v>
      </c>
      <c r="I155" s="35">
        <f t="shared" si="10"/>
        <v>29.3</v>
      </c>
      <c r="J155" s="36">
        <f t="shared" si="11"/>
        <v>16.400134824652156</v>
      </c>
      <c r="K155" s="38">
        <f t="shared" si="12"/>
        <v>2008</v>
      </c>
      <c r="M155" s="21">
        <f t="shared" si="18"/>
        <v>3.3775875160230218</v>
      </c>
      <c r="N155" s="21">
        <f t="shared" si="19"/>
        <v>2.7972895558117359</v>
      </c>
    </row>
    <row r="156" spans="1:14" x14ac:dyDescent="0.2">
      <c r="A156" s="33">
        <f>'GF + UG Iteration 11'!A156</f>
        <v>1495</v>
      </c>
      <c r="B156" s="34" t="str">
        <f>'GF + UG Iteration 11'!B156</f>
        <v>UG</v>
      </c>
      <c r="C156" s="35">
        <f>'GF + UG Iteration 11'!C156</f>
        <v>29.3</v>
      </c>
      <c r="D156" s="36">
        <f>'GF + UG Iteration 11'!P$16*(C156^'GF + UG Iteration 11'!P$15)</f>
        <v>17.668320374819874</v>
      </c>
      <c r="E156" s="37">
        <f>'GF + UG Iteration 11'!E156</f>
        <v>1996</v>
      </c>
      <c r="F156" s="35">
        <f>'GF + UG Iteration 11'!F156</f>
        <v>0</v>
      </c>
      <c r="G156" s="36">
        <f>'GF + UG Iteration 11'!G156</f>
        <v>5.142810508174632</v>
      </c>
      <c r="H156" s="38">
        <f>'GF + UG Iteration 11'!H156</f>
        <v>2014</v>
      </c>
      <c r="I156" s="35">
        <f t="shared" si="10"/>
        <v>29.3</v>
      </c>
      <c r="J156" s="36">
        <f t="shared" si="11"/>
        <v>22.811130882994505</v>
      </c>
      <c r="K156" s="38">
        <f t="shared" si="12"/>
        <v>2014</v>
      </c>
      <c r="M156" s="21">
        <f t="shared" si="18"/>
        <v>3.3775875160230218</v>
      </c>
      <c r="N156" s="21">
        <f t="shared" si="19"/>
        <v>3.1272486134537605</v>
      </c>
    </row>
    <row r="157" spans="1:14" x14ac:dyDescent="0.2">
      <c r="A157" s="33">
        <f>'GF + UG Iteration 11'!A157</f>
        <v>1386</v>
      </c>
      <c r="B157" s="34" t="str">
        <f>'GF + UG Iteration 11'!B157</f>
        <v>UG</v>
      </c>
      <c r="C157" s="35">
        <f>'GF + UG Iteration 11'!C157</f>
        <v>32.700000000000003</v>
      </c>
      <c r="D157" s="36">
        <f>'GF + UG Iteration 11'!P$16*(C157^'GF + UG Iteration 11'!P$15)</f>
        <v>18.814672480869874</v>
      </c>
      <c r="E157" s="37">
        <f>'GF + UG Iteration 11'!E157</f>
        <v>0</v>
      </c>
      <c r="F157" s="35">
        <f>'GF + UG Iteration 11'!F157</f>
        <v>13.5</v>
      </c>
      <c r="G157" s="36">
        <f>'GF + UG Iteration 11'!G157</f>
        <v>0.85934464632152285</v>
      </c>
      <c r="H157" s="38">
        <f>'GF + UG Iteration 11'!H157</f>
        <v>2013</v>
      </c>
      <c r="I157" s="35">
        <f t="shared" si="10"/>
        <v>46.2</v>
      </c>
      <c r="J157" s="36">
        <f t="shared" si="11"/>
        <v>19.674017127191398</v>
      </c>
      <c r="K157" s="38">
        <f t="shared" si="12"/>
        <v>2013</v>
      </c>
      <c r="M157" s="21">
        <f t="shared" si="18"/>
        <v>3.8329797980876932</v>
      </c>
      <c r="N157" s="21">
        <f t="shared" si="19"/>
        <v>2.9792988376397145</v>
      </c>
    </row>
    <row r="158" spans="1:14" x14ac:dyDescent="0.2">
      <c r="A158" s="33">
        <f>'GF + UG Iteration 11'!A158</f>
        <v>928</v>
      </c>
      <c r="B158" s="34" t="str">
        <f>'GF + UG Iteration 11'!B158</f>
        <v>UG</v>
      </c>
      <c r="C158" s="35">
        <f>'GF + UG Iteration 11'!C158</f>
        <v>18.02</v>
      </c>
      <c r="D158" s="36">
        <f>'GF + UG Iteration 11'!P$16*(C158^'GF + UG Iteration 11'!P$15)</f>
        <v>13.375596200139714</v>
      </c>
      <c r="E158" s="37">
        <f>'GF + UG Iteration 11'!E158</f>
        <v>1992</v>
      </c>
      <c r="F158" s="35">
        <f>'GF + UG Iteration 11'!F158</f>
        <v>3.4800000000000004</v>
      </c>
      <c r="G158" s="36">
        <f>'GF + UG Iteration 11'!G158</f>
        <v>10.364367944955573</v>
      </c>
      <c r="H158" s="38">
        <f>'GF + UG Iteration 11'!H158</f>
        <v>2010</v>
      </c>
      <c r="I158" s="35">
        <f t="shared" si="10"/>
        <v>21.5</v>
      </c>
      <c r="J158" s="36">
        <f t="shared" si="11"/>
        <v>23.739964145095286</v>
      </c>
      <c r="K158" s="38">
        <f t="shared" si="12"/>
        <v>2010</v>
      </c>
      <c r="M158" s="21">
        <f t="shared" si="18"/>
        <v>3.068052935133617</v>
      </c>
      <c r="N158" s="21">
        <f t="shared" si="19"/>
        <v>3.1671598788642603</v>
      </c>
    </row>
    <row r="159" spans="1:14" x14ac:dyDescent="0.2">
      <c r="A159" s="33">
        <f>'GF + UG Iteration 11'!A159</f>
        <v>1450</v>
      </c>
      <c r="B159" s="34" t="str">
        <f>'GF + UG Iteration 11'!B159</f>
        <v>UG</v>
      </c>
      <c r="C159" s="35">
        <f>'GF + UG Iteration 11'!C159</f>
        <v>21.5</v>
      </c>
      <c r="D159" s="36">
        <f>'GF + UG Iteration 11'!P$16*(C159^'GF + UG Iteration 11'!P$15)</f>
        <v>14.798640627221145</v>
      </c>
      <c r="E159" s="37">
        <f>'GF + UG Iteration 11'!E159</f>
        <v>1992</v>
      </c>
      <c r="F159" s="35">
        <f>'GF + UG Iteration 11'!F159</f>
        <v>16.299999999999997</v>
      </c>
      <c r="G159" s="36">
        <f>'GF + UG Iteration 11'!G159</f>
        <v>5.1529943993409928</v>
      </c>
      <c r="H159" s="38">
        <f>'GF + UG Iteration 11'!H159</f>
        <v>2014</v>
      </c>
      <c r="I159" s="35">
        <f t="shared" si="10"/>
        <v>37.799999999999997</v>
      </c>
      <c r="J159" s="36">
        <f t="shared" si="11"/>
        <v>19.951635026562137</v>
      </c>
      <c r="K159" s="38">
        <f t="shared" si="12"/>
        <v>2014</v>
      </c>
      <c r="M159" s="21">
        <f t="shared" si="18"/>
        <v>3.6323091026255421</v>
      </c>
      <c r="N159" s="21">
        <f t="shared" si="19"/>
        <v>2.9933110961962988</v>
      </c>
    </row>
    <row r="160" spans="1:14" x14ac:dyDescent="0.2">
      <c r="A160" s="33">
        <f>'GF + UG Iteration 11'!A160</f>
        <v>170</v>
      </c>
      <c r="B160" s="34" t="str">
        <f>'GF + UG Iteration 11'!B160</f>
        <v>UG</v>
      </c>
      <c r="C160" s="35">
        <f>'GF + UG Iteration 11'!C160</f>
        <v>17.7</v>
      </c>
      <c r="D160" s="36">
        <f>'GF + UG Iteration 11'!P$16*(C160^'GF + UG Iteration 11'!P$15)</f>
        <v>13.239070382277633</v>
      </c>
      <c r="E160" s="37" t="str">
        <f>'GF + UG Iteration 11'!E160</f>
        <v>unknown</v>
      </c>
      <c r="F160" s="35">
        <f>'GF + UG Iteration 11'!F160</f>
        <v>8.8000000000000007</v>
      </c>
      <c r="G160" s="36">
        <f>'GF + UG Iteration 11'!G160</f>
        <v>1.1342290648673055</v>
      </c>
      <c r="H160" s="38">
        <f>'GF + UG Iteration 11'!H160</f>
        <v>2001</v>
      </c>
      <c r="I160" s="35">
        <f t="shared" si="10"/>
        <v>26.5</v>
      </c>
      <c r="J160" s="36">
        <f t="shared" si="11"/>
        <v>14.373299447144939</v>
      </c>
      <c r="K160" s="38">
        <f t="shared" si="12"/>
        <v>2001</v>
      </c>
      <c r="M160" s="21">
        <f t="shared" si="18"/>
        <v>3.2771447329921766</v>
      </c>
      <c r="N160" s="21">
        <f t="shared" si="19"/>
        <v>2.6653722803564488</v>
      </c>
    </row>
    <row r="161" spans="1:14" x14ac:dyDescent="0.2">
      <c r="A161" s="33">
        <f>'GF + UG Iteration 11'!A161</f>
        <v>649</v>
      </c>
      <c r="B161" s="34" t="str">
        <f>'GF + UG Iteration 11'!B161</f>
        <v>UG</v>
      </c>
      <c r="C161" s="35">
        <f>'GF + UG Iteration 11'!C161</f>
        <v>26.5</v>
      </c>
      <c r="D161" s="36">
        <f>'GF + UG Iteration 11'!P$16*(C161^'GF + UG Iteration 11'!P$15)</f>
        <v>16.680830881342434</v>
      </c>
      <c r="E161" s="37">
        <f>'GF + UG Iteration 11'!E161</f>
        <v>1997</v>
      </c>
      <c r="F161" s="35">
        <f>'GF + UG Iteration 11'!F161</f>
        <v>33.799999999999997</v>
      </c>
      <c r="G161" s="36">
        <f>'GF + UG Iteration 11'!G161</f>
        <v>5.0180795362586865</v>
      </c>
      <c r="H161" s="38">
        <f>'GF + UG Iteration 11'!H161</f>
        <v>2007</v>
      </c>
      <c r="I161" s="35">
        <f t="shared" si="10"/>
        <v>60.3</v>
      </c>
      <c r="J161" s="36">
        <f t="shared" si="11"/>
        <v>21.69891041760112</v>
      </c>
      <c r="K161" s="38">
        <f t="shared" si="12"/>
        <v>2007</v>
      </c>
      <c r="M161" s="21">
        <f t="shared" si="18"/>
        <v>4.0993321037331398</v>
      </c>
      <c r="N161" s="21">
        <f t="shared" si="19"/>
        <v>3.0772620481153354</v>
      </c>
    </row>
    <row r="162" spans="1:14" x14ac:dyDescent="0.2">
      <c r="A162" s="33">
        <f>'GF + UG Iteration 11'!A162</f>
        <v>1203</v>
      </c>
      <c r="B162" s="34" t="str">
        <f>'GF + UG Iteration 11'!B162</f>
        <v>UG</v>
      </c>
      <c r="C162" s="35">
        <f>'GF + UG Iteration 11'!C162</f>
        <v>20.5</v>
      </c>
      <c r="D162" s="36">
        <f>'GF + UG Iteration 11'!P$16*(C162^'GF + UG Iteration 11'!P$15)</f>
        <v>14.400511871763346</v>
      </c>
      <c r="E162" s="37">
        <f>'GF + UG Iteration 11'!E162</f>
        <v>1977</v>
      </c>
      <c r="F162" s="35">
        <f>'GF + UG Iteration 11'!F162</f>
        <v>4.1000000000000014</v>
      </c>
      <c r="G162" s="36">
        <f>'GF + UG Iteration 11'!G162</f>
        <v>12.443615523285567</v>
      </c>
      <c r="H162" s="38">
        <f>'GF + UG Iteration 11'!H162</f>
        <v>2012</v>
      </c>
      <c r="I162" s="35">
        <f t="shared" si="10"/>
        <v>24.6</v>
      </c>
      <c r="J162" s="36">
        <f t="shared" si="11"/>
        <v>26.844127395048915</v>
      </c>
      <c r="K162" s="38">
        <f t="shared" si="12"/>
        <v>2012</v>
      </c>
      <c r="M162" s="21">
        <f t="shared" si="18"/>
        <v>3.202746442938317</v>
      </c>
      <c r="N162" s="21">
        <f t="shared" si="19"/>
        <v>3.290047078039795</v>
      </c>
    </row>
    <row r="163" spans="1:14" x14ac:dyDescent="0.2">
      <c r="A163" s="33">
        <f>'GF + UG Iteration 11'!A163</f>
        <v>170</v>
      </c>
      <c r="B163" s="34" t="str">
        <f>'GF + UG Iteration 11'!B163</f>
        <v>UG</v>
      </c>
      <c r="C163" s="35">
        <f>'GF + UG Iteration 11'!C163</f>
        <v>7.9</v>
      </c>
      <c r="D163" s="36">
        <f>'GF + UG Iteration 11'!P$16*(C163^'GF + UG Iteration 11'!P$15)</f>
        <v>8.3416330978402762</v>
      </c>
      <c r="E163" s="37">
        <f>'GF + UG Iteration 11'!E163</f>
        <v>1972</v>
      </c>
      <c r="F163" s="35">
        <f>'GF + UG Iteration 11'!F163</f>
        <v>6.1</v>
      </c>
      <c r="G163" s="36">
        <f>'GF + UG Iteration 11'!G163</f>
        <v>2.9004939377112939</v>
      </c>
      <c r="H163" s="38">
        <f>'GF + UG Iteration 11'!H163</f>
        <v>2001</v>
      </c>
      <c r="I163" s="35">
        <f t="shared" si="10"/>
        <v>14</v>
      </c>
      <c r="J163" s="36">
        <f t="shared" si="11"/>
        <v>11.242127035551571</v>
      </c>
      <c r="K163" s="38">
        <f t="shared" si="12"/>
        <v>2001</v>
      </c>
      <c r="M163" s="21">
        <f t="shared" si="18"/>
        <v>2.6390573296152584</v>
      </c>
      <c r="N163" s="21">
        <f t="shared" si="19"/>
        <v>2.4196680646006818</v>
      </c>
    </row>
    <row r="164" spans="1:14" x14ac:dyDescent="0.2">
      <c r="A164" s="33">
        <f>'GF + UG Iteration 11'!A164</f>
        <v>363</v>
      </c>
      <c r="B164" s="34" t="str">
        <f>'GF + UG Iteration 11'!B164</f>
        <v>UG</v>
      </c>
      <c r="C164" s="35">
        <f>'GF + UG Iteration 11'!C164</f>
        <v>21.225999999999999</v>
      </c>
      <c r="D164" s="36">
        <f>'GF + UG Iteration 11'!P$16*(C164^'GF + UG Iteration 11'!P$15)</f>
        <v>14.69035527013186</v>
      </c>
      <c r="E164" s="37">
        <f>'GF + UG Iteration 11'!E164</f>
        <v>1975</v>
      </c>
      <c r="F164" s="35">
        <f>'GF + UG Iteration 11'!F164</f>
        <v>4.1999999999999993</v>
      </c>
      <c r="G164" s="36">
        <f>'GF + UG Iteration 11'!G164</f>
        <v>0.82194253395528394</v>
      </c>
      <c r="H164" s="38">
        <f>'GF + UG Iteration 11'!H164</f>
        <v>2004</v>
      </c>
      <c r="I164" s="35">
        <f t="shared" si="10"/>
        <v>25.425999999999998</v>
      </c>
      <c r="J164" s="36">
        <f t="shared" si="11"/>
        <v>15.512297804087144</v>
      </c>
      <c r="K164" s="38">
        <f t="shared" si="12"/>
        <v>2004</v>
      </c>
      <c r="M164" s="21">
        <f t="shared" si="18"/>
        <v>3.2357722725279308</v>
      </c>
      <c r="N164" s="21">
        <f t="shared" si="19"/>
        <v>2.7416331160597753</v>
      </c>
    </row>
    <row r="165" spans="1:14" x14ac:dyDescent="0.2">
      <c r="A165" s="33">
        <f>'GF + UG Iteration 11'!A165</f>
        <v>493</v>
      </c>
      <c r="B165" s="34" t="str">
        <f>'GF + UG Iteration 11'!B165</f>
        <v>UG</v>
      </c>
      <c r="C165" s="35">
        <f>'GF + UG Iteration 11'!C165</f>
        <v>25.4</v>
      </c>
      <c r="D165" s="36">
        <f>'GF + UG Iteration 11'!P$16*(C165^'GF + UG Iteration 11'!P$15)</f>
        <v>16.280771208731398</v>
      </c>
      <c r="E165" s="37">
        <f>'GF + UG Iteration 11'!E165</f>
        <v>1975</v>
      </c>
      <c r="F165" s="35">
        <f>'GF + UG Iteration 11'!F165</f>
        <v>3.3000000000000007</v>
      </c>
      <c r="G165" s="36">
        <f>'GF + UG Iteration 11'!G165</f>
        <v>3.4002692913337142</v>
      </c>
      <c r="H165" s="38">
        <f>'GF + UG Iteration 11'!H165</f>
        <v>2006</v>
      </c>
      <c r="I165" s="35">
        <f t="shared" si="10"/>
        <v>28.7</v>
      </c>
      <c r="J165" s="36">
        <f t="shared" si="11"/>
        <v>19.681040500065112</v>
      </c>
      <c r="K165" s="38">
        <f t="shared" si="12"/>
        <v>2006</v>
      </c>
      <c r="M165" s="21">
        <f t="shared" si="18"/>
        <v>3.3568971227655755</v>
      </c>
      <c r="N165" s="21">
        <f t="shared" si="19"/>
        <v>2.9796557611647563</v>
      </c>
    </row>
    <row r="166" spans="1:14" x14ac:dyDescent="0.2">
      <c r="A166" s="33">
        <f>'GF + UG Iteration 11'!A166</f>
        <v>685</v>
      </c>
      <c r="B166" s="34" t="str">
        <f>'GF + UG Iteration 11'!B166</f>
        <v>UG</v>
      </c>
      <c r="C166" s="35">
        <f>'GF + UG Iteration 11'!C166</f>
        <v>28.7</v>
      </c>
      <c r="D166" s="36">
        <f>'GF + UG Iteration 11'!P$16*(C166^'GF + UG Iteration 11'!P$15)</f>
        <v>17.460235084416588</v>
      </c>
      <c r="E166" s="37">
        <f>'GF + UG Iteration 11'!E166</f>
        <v>1975</v>
      </c>
      <c r="F166" s="35">
        <f>'GF + UG Iteration 11'!F166</f>
        <v>4.1999999999999993</v>
      </c>
      <c r="G166" s="36">
        <f>'GF + UG Iteration 11'!G166</f>
        <v>0.94606982488538283</v>
      </c>
      <c r="H166" s="38">
        <f>'GF + UG Iteration 11'!H166</f>
        <v>2007</v>
      </c>
      <c r="I166" s="35">
        <f t="shared" si="10"/>
        <v>32.9</v>
      </c>
      <c r="J166" s="36">
        <f t="shared" si="11"/>
        <v>18.406304909301973</v>
      </c>
      <c r="K166" s="38">
        <f t="shared" si="12"/>
        <v>2007</v>
      </c>
      <c r="M166" s="21">
        <f t="shared" si="18"/>
        <v>3.493472657771326</v>
      </c>
      <c r="N166" s="21">
        <f t="shared" si="19"/>
        <v>2.9126932640352936</v>
      </c>
    </row>
    <row r="167" spans="1:14" x14ac:dyDescent="0.2">
      <c r="A167" s="33">
        <f>'GF + UG Iteration 11'!A167</f>
        <v>1574</v>
      </c>
      <c r="B167" s="34" t="str">
        <f>'GF + UG Iteration 11'!B167</f>
        <v>UG</v>
      </c>
      <c r="C167" s="35">
        <f>'GF + UG Iteration 11'!C167</f>
        <v>28</v>
      </c>
      <c r="D167" s="36">
        <f>'GF + UG Iteration 11'!P$16*(C167^'GF + UG Iteration 11'!P$15)</f>
        <v>17.215104245457983</v>
      </c>
      <c r="E167" s="37">
        <f>'GF + UG Iteration 11'!E167</f>
        <v>2013</v>
      </c>
      <c r="F167" s="35">
        <f>'GF + UG Iteration 11'!F167</f>
        <v>0</v>
      </c>
      <c r="G167" s="36">
        <f>'GF + UG Iteration 11'!G167</f>
        <v>6.2662260340537754</v>
      </c>
      <c r="H167" s="38">
        <f>'GF + UG Iteration 11'!H167</f>
        <v>2015</v>
      </c>
      <c r="I167" s="35">
        <f t="shared" si="10"/>
        <v>28</v>
      </c>
      <c r="J167" s="36">
        <f t="shared" si="11"/>
        <v>23.481330279511759</v>
      </c>
      <c r="K167" s="38">
        <f t="shared" si="12"/>
        <v>2015</v>
      </c>
      <c r="M167" s="21">
        <f t="shared" si="18"/>
        <v>3.3322045101752038</v>
      </c>
      <c r="N167" s="21">
        <f t="shared" si="19"/>
        <v>3.1562056492115618</v>
      </c>
    </row>
    <row r="168" spans="1:14" x14ac:dyDescent="0.2">
      <c r="A168" s="33">
        <f>'GF + UG Iteration 11'!A168</f>
        <v>435</v>
      </c>
      <c r="B168" s="34" t="str">
        <f>'GF + UG Iteration 11'!B168</f>
        <v>UG</v>
      </c>
      <c r="C168" s="35">
        <f>'GF + UG Iteration 11'!C168</f>
        <v>10.6</v>
      </c>
      <c r="D168" s="36">
        <f>'GF + UG Iteration 11'!P$16*(C168^'GF + UG Iteration 11'!P$15)</f>
        <v>9.8709576614453027</v>
      </c>
      <c r="E168" s="37">
        <f>'GF + UG Iteration 11'!E168</f>
        <v>1990</v>
      </c>
      <c r="F168" s="35">
        <f>'GF + UG Iteration 11'!F168</f>
        <v>8.4</v>
      </c>
      <c r="G168" s="36">
        <f>'GF + UG Iteration 11'!G168</f>
        <v>3.0773639102073269</v>
      </c>
      <c r="H168" s="38">
        <f>'GF + UG Iteration 11'!H168</f>
        <v>2004</v>
      </c>
      <c r="I168" s="35">
        <f t="shared" si="10"/>
        <v>19</v>
      </c>
      <c r="J168" s="36">
        <f t="shared" si="11"/>
        <v>12.948321571652629</v>
      </c>
      <c r="K168" s="38">
        <f t="shared" si="12"/>
        <v>2004</v>
      </c>
      <c r="M168" s="21">
        <f t="shared" si="18"/>
        <v>2.9444389791664403</v>
      </c>
      <c r="N168" s="21">
        <f t="shared" si="19"/>
        <v>2.5609661713790643</v>
      </c>
    </row>
    <row r="169" spans="1:14" x14ac:dyDescent="0.2">
      <c r="A169" s="33">
        <f>'GF + UG Iteration 11'!A169</f>
        <v>652</v>
      </c>
      <c r="B169" s="34" t="str">
        <f>'GF + UG Iteration 11'!B169</f>
        <v>UG</v>
      </c>
      <c r="C169" s="35">
        <f>'GF + UG Iteration 11'!C169</f>
        <v>10.195</v>
      </c>
      <c r="D169" s="36">
        <f>'GF + UG Iteration 11'!P$16*(C169^'GF + UG Iteration 11'!P$15)</f>
        <v>9.6532102680702145</v>
      </c>
      <c r="E169" s="37">
        <f>'GF + UG Iteration 11'!E169</f>
        <v>1986</v>
      </c>
      <c r="F169" s="35">
        <f>'GF + UG Iteration 11'!F169</f>
        <v>3.4049999999999994</v>
      </c>
      <c r="G169" s="36">
        <f>'GF + UG Iteration 11'!G169</f>
        <v>4.380227937072533</v>
      </c>
      <c r="H169" s="38">
        <f>'GF + UG Iteration 11'!H169</f>
        <v>2007</v>
      </c>
      <c r="I169" s="35">
        <f t="shared" si="10"/>
        <v>13.6</v>
      </c>
      <c r="J169" s="36">
        <f t="shared" si="11"/>
        <v>14.033438205142748</v>
      </c>
      <c r="K169" s="38">
        <f t="shared" si="12"/>
        <v>2007</v>
      </c>
      <c r="M169" s="21">
        <f t="shared" si="18"/>
        <v>2.6100697927420065</v>
      </c>
      <c r="N169" s="21">
        <f t="shared" si="19"/>
        <v>2.6414429250428548</v>
      </c>
    </row>
    <row r="170" spans="1:14" x14ac:dyDescent="0.2">
      <c r="A170" s="33">
        <f>'GF + UG Iteration 11'!A170</f>
        <v>366</v>
      </c>
      <c r="B170" s="34" t="str">
        <f>'GF + UG Iteration 11'!B170</f>
        <v>UG</v>
      </c>
      <c r="C170" s="35">
        <f>'GF + UG Iteration 11'!C170</f>
        <v>11.1</v>
      </c>
      <c r="D170" s="36">
        <f>'GF + UG Iteration 11'!P$16*(C170^'GF + UG Iteration 11'!P$15)</f>
        <v>10.134935398287107</v>
      </c>
      <c r="E170" s="37">
        <f>'GF + UG Iteration 11'!E170</f>
        <v>1981</v>
      </c>
      <c r="F170" s="35">
        <f>'GF + UG Iteration 11'!F170</f>
        <v>4.8000000000000007</v>
      </c>
      <c r="G170" s="36">
        <f>'GF + UG Iteration 11'!G170</f>
        <v>0.60207988766843201</v>
      </c>
      <c r="H170" s="38">
        <f>'GF + UG Iteration 11'!H170</f>
        <v>2003</v>
      </c>
      <c r="I170" s="35">
        <f t="shared" si="10"/>
        <v>15.9</v>
      </c>
      <c r="J170" s="36">
        <f t="shared" si="11"/>
        <v>10.73701528595554</v>
      </c>
      <c r="K170" s="38">
        <f t="shared" si="12"/>
        <v>2003</v>
      </c>
      <c r="M170" s="21">
        <f t="shared" si="18"/>
        <v>2.7663191092261861</v>
      </c>
      <c r="N170" s="21">
        <f t="shared" si="19"/>
        <v>2.3736971441219863</v>
      </c>
    </row>
    <row r="171" spans="1:14" x14ac:dyDescent="0.2">
      <c r="A171" s="33">
        <f>'GF + UG Iteration 11'!A171</f>
        <v>1640</v>
      </c>
      <c r="B171" s="34" t="str">
        <f>'GF + UG Iteration 11'!B171</f>
        <v>UG</v>
      </c>
      <c r="C171" s="35">
        <f>'GF + UG Iteration 11'!C171</f>
        <v>15.9</v>
      </c>
      <c r="D171" s="36">
        <f>'GF + UG Iteration 11'!P$16*(C171^'GF + UG Iteration 11'!P$15)</f>
        <v>12.450541294034672</v>
      </c>
      <c r="E171" s="37">
        <f>'GF + UG Iteration 11'!E171</f>
        <v>1981</v>
      </c>
      <c r="F171" s="35">
        <f>'GF + UG Iteration 11'!F171</f>
        <v>2.4999999999999982</v>
      </c>
      <c r="G171" s="36">
        <f>'GF + UG Iteration 11'!G171</f>
        <v>8.3244002844443177</v>
      </c>
      <c r="H171" s="38">
        <f>'GF + UG Iteration 11'!H171</f>
        <v>2015</v>
      </c>
      <c r="I171" s="35">
        <f t="shared" si="10"/>
        <v>18.399999999999999</v>
      </c>
      <c r="J171" s="36">
        <f t="shared" si="11"/>
        <v>20.774941578478987</v>
      </c>
      <c r="K171" s="38">
        <f t="shared" si="12"/>
        <v>2015</v>
      </c>
      <c r="M171" s="21">
        <f t="shared" si="18"/>
        <v>2.91235066461494</v>
      </c>
      <c r="N171" s="21">
        <f t="shared" si="19"/>
        <v>3.0337475286306499</v>
      </c>
    </row>
    <row r="172" spans="1:14" x14ac:dyDescent="0.2">
      <c r="A172" s="33">
        <f>'GF + UG Iteration 11'!A172</f>
        <v>367</v>
      </c>
      <c r="B172" s="34" t="str">
        <f>'GF + UG Iteration 11'!B172</f>
        <v>UG</v>
      </c>
      <c r="C172" s="35">
        <f>'GF + UG Iteration 11'!C172</f>
        <v>11.211</v>
      </c>
      <c r="D172" s="36">
        <f>'GF + UG Iteration 11'!P$16*(C172^'GF + UG Iteration 11'!P$15)</f>
        <v>10.192844084410824</v>
      </c>
      <c r="E172" s="37">
        <f>'GF + UG Iteration 11'!E172</f>
        <v>1988</v>
      </c>
      <c r="F172" s="35">
        <f>'GF + UG Iteration 11'!F172</f>
        <v>1</v>
      </c>
      <c r="G172" s="36">
        <f>'GF + UG Iteration 11'!G172</f>
        <v>0.55588557988620213</v>
      </c>
      <c r="H172" s="38">
        <f>'GF + UG Iteration 11'!H172</f>
        <v>2004</v>
      </c>
      <c r="I172" s="35">
        <f t="shared" si="10"/>
        <v>12.211</v>
      </c>
      <c r="J172" s="36">
        <f t="shared" si="11"/>
        <v>10.748729664297027</v>
      </c>
      <c r="K172" s="38">
        <f t="shared" si="12"/>
        <v>2004</v>
      </c>
      <c r="M172" s="21">
        <f t="shared" si="18"/>
        <v>2.5023371848508846</v>
      </c>
      <c r="N172" s="21">
        <f t="shared" si="19"/>
        <v>2.3747875768278899</v>
      </c>
    </row>
    <row r="173" spans="1:14" x14ac:dyDescent="0.2">
      <c r="A173" s="33">
        <f>'GF + UG Iteration 11'!A173</f>
        <v>650</v>
      </c>
      <c r="B173" s="34" t="str">
        <f>'GF + UG Iteration 11'!B173</f>
        <v>UG</v>
      </c>
      <c r="C173" s="35">
        <f>'GF + UG Iteration 11'!C173</f>
        <v>23</v>
      </c>
      <c r="D173" s="36">
        <f>'GF + UG Iteration 11'!P$16*(C173^'GF + UG Iteration 11'!P$15)</f>
        <v>15.381290304257373</v>
      </c>
      <c r="E173" s="37">
        <f>'GF + UG Iteration 11'!E173</f>
        <v>1981</v>
      </c>
      <c r="F173" s="35">
        <f>'GF + UG Iteration 11'!F173</f>
        <v>0</v>
      </c>
      <c r="G173" s="36">
        <f>'GF + UG Iteration 11'!G173</f>
        <v>5.9476879309059552</v>
      </c>
      <c r="H173" s="38">
        <f>'GF + UG Iteration 11'!H173</f>
        <v>2007</v>
      </c>
      <c r="I173" s="35">
        <f t="shared" si="10"/>
        <v>23</v>
      </c>
      <c r="J173" s="36">
        <f t="shared" si="11"/>
        <v>21.328978235163326</v>
      </c>
      <c r="K173" s="38">
        <f t="shared" si="12"/>
        <v>2007</v>
      </c>
      <c r="M173" s="21">
        <f t="shared" si="18"/>
        <v>3.1354942159291497</v>
      </c>
      <c r="N173" s="21">
        <f t="shared" si="19"/>
        <v>3.0600666286243698</v>
      </c>
    </row>
    <row r="174" spans="1:14" x14ac:dyDescent="0.2">
      <c r="A174" s="33">
        <f>'GF + UG Iteration 11'!A174</f>
        <v>902</v>
      </c>
      <c r="B174" s="34" t="str">
        <f>'GF + UG Iteration 11'!B174</f>
        <v>UG</v>
      </c>
      <c r="C174" s="35">
        <f>'GF + UG Iteration 11'!C174</f>
        <v>19.2</v>
      </c>
      <c r="D174" s="36">
        <f>'GF + UG Iteration 11'!P$16*(C174^'GF + UG Iteration 11'!P$15)</f>
        <v>13.87030782300968</v>
      </c>
      <c r="E174" s="37">
        <f>'GF + UG Iteration 11'!E174</f>
        <v>2002</v>
      </c>
      <c r="F174" s="35">
        <f>'GF + UG Iteration 11'!F174</f>
        <v>13.500000000000004</v>
      </c>
      <c r="G174" s="36">
        <f>'GF + UG Iteration 11'!G174</f>
        <v>0.54699963688402187</v>
      </c>
      <c r="H174" s="38">
        <f>'GF + UG Iteration 11'!H174</f>
        <v>2009</v>
      </c>
      <c r="I174" s="35">
        <f t="shared" si="10"/>
        <v>32.700000000000003</v>
      </c>
      <c r="J174" s="36">
        <f t="shared" si="11"/>
        <v>14.417307459893703</v>
      </c>
      <c r="K174" s="38">
        <f t="shared" si="12"/>
        <v>2009</v>
      </c>
      <c r="M174" s="21">
        <f t="shared" si="18"/>
        <v>3.487375077903208</v>
      </c>
      <c r="N174" s="21">
        <f t="shared" si="19"/>
        <v>2.6684293918071043</v>
      </c>
    </row>
    <row r="175" spans="1:14" x14ac:dyDescent="0.2">
      <c r="A175" s="33">
        <f>'GF + UG Iteration 11'!A175</f>
        <v>1202</v>
      </c>
      <c r="B175" s="34" t="str">
        <f>'GF + UG Iteration 11'!B175</f>
        <v>UG</v>
      </c>
      <c r="C175" s="35">
        <f>'GF + UG Iteration 11'!C175</f>
        <v>19.399999999999999</v>
      </c>
      <c r="D175" s="36">
        <f>'GF + UG Iteration 11'!P$16*(C175^'GF + UG Iteration 11'!P$15)</f>
        <v>13.952854427059627</v>
      </c>
      <c r="E175" s="37">
        <f>'GF + UG Iteration 11'!E175</f>
        <v>1989</v>
      </c>
      <c r="F175" s="35">
        <f>'GF + UG Iteration 11'!F175</f>
        <v>1.6000000000000014</v>
      </c>
      <c r="G175" s="36">
        <f>'GF + UG Iteration 11'!G175</f>
        <v>10.745042225505973</v>
      </c>
      <c r="H175" s="38">
        <f>'GF + UG Iteration 11'!H175</f>
        <v>2012</v>
      </c>
      <c r="I175" s="35">
        <f t="shared" si="10"/>
        <v>21</v>
      </c>
      <c r="J175" s="36">
        <f t="shared" si="11"/>
        <v>24.6978966525656</v>
      </c>
      <c r="K175" s="38">
        <f t="shared" si="12"/>
        <v>2012</v>
      </c>
      <c r="M175" s="21">
        <f t="shared" si="18"/>
        <v>3.044522437723423</v>
      </c>
      <c r="N175" s="21">
        <f t="shared" si="19"/>
        <v>3.2067180842413983</v>
      </c>
    </row>
    <row r="176" spans="1:14" x14ac:dyDescent="0.2">
      <c r="A176" s="33">
        <f>'GF + UG Iteration 11'!A176</f>
        <v>1338</v>
      </c>
      <c r="B176" s="34" t="str">
        <f>'GF + UG Iteration 11'!B176</f>
        <v>UG</v>
      </c>
      <c r="C176" s="35">
        <f>'GF + UG Iteration 11'!C176</f>
        <v>7.5</v>
      </c>
      <c r="D176" s="36">
        <f>'GF + UG Iteration 11'!P$16*(C176^'GF + UG Iteration 11'!P$15)</f>
        <v>8.0971094065716791</v>
      </c>
      <c r="E176" s="37" t="str">
        <f>'GF + UG Iteration 11'!E176</f>
        <v>unknown</v>
      </c>
      <c r="F176" s="35">
        <f>'GF + UG Iteration 11'!F176</f>
        <v>2</v>
      </c>
      <c r="G176" s="36">
        <f>'GF + UG Iteration 11'!G176</f>
        <v>6.6635813355623759</v>
      </c>
      <c r="H176" s="38">
        <f>'GF + UG Iteration 11'!H176</f>
        <v>2013</v>
      </c>
      <c r="I176" s="35">
        <f t="shared" si="10"/>
        <v>9.5</v>
      </c>
      <c r="J176" s="36">
        <f t="shared" si="11"/>
        <v>14.760690742134056</v>
      </c>
      <c r="K176" s="38">
        <f t="shared" si="12"/>
        <v>2013</v>
      </c>
      <c r="M176" s="21">
        <f t="shared" si="18"/>
        <v>2.2512917986064953</v>
      </c>
      <c r="N176" s="21">
        <f t="shared" si="19"/>
        <v>2.6919676163248876</v>
      </c>
    </row>
    <row r="177" spans="1:14" x14ac:dyDescent="0.2">
      <c r="A177" s="33">
        <f>'GF + UG Iteration 11'!A177</f>
        <v>212</v>
      </c>
      <c r="B177" s="34" t="str">
        <f>'GF + UG Iteration 11'!B177</f>
        <v>UG</v>
      </c>
      <c r="C177" s="35">
        <f>'GF + UG Iteration 11'!C177</f>
        <v>36.549999999999997</v>
      </c>
      <c r="D177" s="36">
        <f>'GF + UG Iteration 11'!P$16*(C177^'GF + UG Iteration 11'!P$15)</f>
        <v>20.052830548936821</v>
      </c>
      <c r="E177" s="37">
        <f>'GF + UG Iteration 11'!E177</f>
        <v>1978</v>
      </c>
      <c r="F177" s="35">
        <f>'GF + UG Iteration 11'!F177</f>
        <v>28</v>
      </c>
      <c r="G177" s="36">
        <f>'GF + UG Iteration 11'!G177</f>
        <v>4.6264535731184777</v>
      </c>
      <c r="H177" s="38">
        <f>'GF + UG Iteration 11'!H177</f>
        <v>2003</v>
      </c>
      <c r="I177" s="35">
        <f t="shared" si="10"/>
        <v>64.55</v>
      </c>
      <c r="J177" s="36">
        <f t="shared" si="11"/>
        <v>24.6792841220553</v>
      </c>
      <c r="K177" s="38">
        <f t="shared" si="12"/>
        <v>2003</v>
      </c>
      <c r="M177" s="21">
        <f t="shared" si="18"/>
        <v>4.1674401172926512</v>
      </c>
      <c r="N177" s="21">
        <f t="shared" si="19"/>
        <v>3.205964192216789</v>
      </c>
    </row>
    <row r="178" spans="1:14" x14ac:dyDescent="0.2">
      <c r="A178" s="33">
        <f>'GF + UG Iteration 11'!A178</f>
        <v>653</v>
      </c>
      <c r="B178" s="34" t="str">
        <f>'GF + UG Iteration 11'!B178</f>
        <v>UG</v>
      </c>
      <c r="C178" s="35">
        <f>'GF + UG Iteration 11'!C178</f>
        <v>64.55</v>
      </c>
      <c r="D178" s="36">
        <f>'GF + UG Iteration 11'!P$16*(C178^'GF + UG Iteration 11'!P$15)</f>
        <v>27.772289407393497</v>
      </c>
      <c r="E178" s="37">
        <f>'GF + UG Iteration 11'!E178</f>
        <v>1977</v>
      </c>
      <c r="F178" s="35">
        <f>'GF + UG Iteration 11'!F178</f>
        <v>1.3200000000000074</v>
      </c>
      <c r="G178" s="36">
        <f>'GF + UG Iteration 11'!G178</f>
        <v>0.56894692945086811</v>
      </c>
      <c r="H178" s="38">
        <f>'GF + UG Iteration 11'!H178</f>
        <v>2007</v>
      </c>
      <c r="I178" s="35">
        <f t="shared" si="10"/>
        <v>65.87</v>
      </c>
      <c r="J178" s="36">
        <f t="shared" si="11"/>
        <v>28.341236336844364</v>
      </c>
      <c r="K178" s="38">
        <f t="shared" si="12"/>
        <v>2007</v>
      </c>
      <c r="M178" s="21">
        <f t="shared" si="18"/>
        <v>4.1876831026526018</v>
      </c>
      <c r="N178" s="21">
        <f t="shared" si="19"/>
        <v>3.3443178584642794</v>
      </c>
    </row>
    <row r="179" spans="1:14" x14ac:dyDescent="0.2">
      <c r="A179" s="33">
        <f>'GF + UG Iteration 11'!A179</f>
        <v>1679</v>
      </c>
      <c r="B179" s="34" t="str">
        <f>'GF + UG Iteration 11'!B179</f>
        <v>UG</v>
      </c>
      <c r="C179" s="35">
        <f>'GF + UG Iteration 11'!C179</f>
        <v>65.87</v>
      </c>
      <c r="D179" s="36">
        <f>'GF + UG Iteration 11'!P$16*(C179^'GF + UG Iteration 11'!P$15)</f>
        <v>28.096071670295203</v>
      </c>
      <c r="E179" s="37">
        <f>'GF + UG Iteration 11'!E179</f>
        <v>1977</v>
      </c>
      <c r="F179" s="35">
        <f>'GF + UG Iteration 11'!F179</f>
        <v>0</v>
      </c>
      <c r="G179" s="36">
        <f>'GF + UG Iteration 11'!G179</f>
        <v>3.0359489017822221</v>
      </c>
      <c r="H179" s="38">
        <f>'GF + UG Iteration 11'!H179</f>
        <v>2016</v>
      </c>
      <c r="I179" s="35">
        <f t="shared" si="10"/>
        <v>65.87</v>
      </c>
      <c r="J179" s="36">
        <f t="shared" si="11"/>
        <v>31.132020572077426</v>
      </c>
      <c r="K179" s="38">
        <f t="shared" si="12"/>
        <v>2016</v>
      </c>
      <c r="M179" s="21">
        <f t="shared" si="18"/>
        <v>4.1876831026526018</v>
      </c>
      <c r="N179" s="21">
        <f t="shared" si="19"/>
        <v>3.438236889898588</v>
      </c>
    </row>
    <row r="180" spans="1:14" x14ac:dyDescent="0.2">
      <c r="A180" s="33">
        <f>'GF + UG Iteration 11'!A180</f>
        <v>1382</v>
      </c>
      <c r="B180" s="34" t="str">
        <f>'GF + UG Iteration 11'!B180</f>
        <v>UG</v>
      </c>
      <c r="C180" s="35">
        <f>'GF + UG Iteration 11'!C180</f>
        <v>24.2</v>
      </c>
      <c r="D180" s="36">
        <f>'GF + UG Iteration 11'!P$16*(C180^'GF + UG Iteration 11'!P$15)</f>
        <v>15.835798770736353</v>
      </c>
      <c r="E180" s="37" t="str">
        <f>'GF + UG Iteration 11'!E180</f>
        <v>unknown</v>
      </c>
      <c r="F180" s="35">
        <f>'GF + UG Iteration 11'!F180</f>
        <v>11.900000000000002</v>
      </c>
      <c r="G180" s="36">
        <f>'GF + UG Iteration 11'!G180</f>
        <v>2.4484361075925429</v>
      </c>
      <c r="H180" s="38">
        <f>'GF + UG Iteration 11'!H180</f>
        <v>2013</v>
      </c>
      <c r="I180" s="35">
        <f t="shared" si="10"/>
        <v>36.1</v>
      </c>
      <c r="J180" s="36">
        <f t="shared" si="11"/>
        <v>18.284234878328895</v>
      </c>
      <c r="K180" s="38">
        <f t="shared" si="12"/>
        <v>2013</v>
      </c>
      <c r="M180" s="21">
        <f t="shared" si="18"/>
        <v>3.5862928653388351</v>
      </c>
      <c r="N180" s="21">
        <f t="shared" si="19"/>
        <v>2.9060392064999219</v>
      </c>
    </row>
    <row r="181" spans="1:14" x14ac:dyDescent="0.2">
      <c r="A181" s="33">
        <f>'GF + UG Iteration 11'!A181</f>
        <v>1638</v>
      </c>
      <c r="B181" s="34" t="str">
        <f>'GF + UG Iteration 11'!B181</f>
        <v>UG</v>
      </c>
      <c r="C181" s="35">
        <f>'GF + UG Iteration 11'!C181</f>
        <v>36.1</v>
      </c>
      <c r="D181" s="36">
        <f>'GF + UG Iteration 11'!P$16*(C181^'GF + UG Iteration 11'!P$15)</f>
        <v>19.911089341604761</v>
      </c>
      <c r="E181" s="37" t="str">
        <f>'GF + UG Iteration 11'!E181</f>
        <v>unknown</v>
      </c>
      <c r="F181" s="35">
        <f>'GF + UG Iteration 11'!F181</f>
        <v>0</v>
      </c>
      <c r="G181" s="36">
        <f>'GF + UG Iteration 11'!G181</f>
        <v>1.4307693737810239</v>
      </c>
      <c r="H181" s="38">
        <f>'GF + UG Iteration 11'!H181</f>
        <v>2015</v>
      </c>
      <c r="I181" s="35">
        <f t="shared" si="10"/>
        <v>36.1</v>
      </c>
      <c r="J181" s="36">
        <f t="shared" si="11"/>
        <v>21.341858715385786</v>
      </c>
      <c r="K181" s="38">
        <f t="shared" si="12"/>
        <v>2015</v>
      </c>
      <c r="M181" s="21">
        <f t="shared" si="18"/>
        <v>3.5862928653388351</v>
      </c>
      <c r="N181" s="21">
        <f t="shared" si="19"/>
        <v>3.0606703421455554</v>
      </c>
    </row>
    <row r="182" spans="1:14" x14ac:dyDescent="0.2">
      <c r="A182" s="33">
        <f>'GF + UG Iteration 11'!A182</f>
        <v>874</v>
      </c>
      <c r="B182" s="34" t="str">
        <f>'GF + UG Iteration 11'!B182</f>
        <v>UG</v>
      </c>
      <c r="C182" s="35">
        <f>'GF + UG Iteration 11'!C182</f>
        <v>6.4</v>
      </c>
      <c r="D182" s="36">
        <f>'GF + UG Iteration 11'!P$16*(C182^'GF + UG Iteration 11'!P$15)</f>
        <v>7.3941615930425195</v>
      </c>
      <c r="E182" s="37">
        <f>'GF + UG Iteration 11'!E182</f>
        <v>1997</v>
      </c>
      <c r="F182" s="35">
        <f>'GF + UG Iteration 11'!F182</f>
        <v>0.5</v>
      </c>
      <c r="G182" s="36">
        <f>'GF + UG Iteration 11'!G182</f>
        <v>3.6333602061432981</v>
      </c>
      <c r="H182" s="38">
        <f>'GF + UG Iteration 11'!H182</f>
        <v>2009</v>
      </c>
      <c r="I182" s="35">
        <f t="shared" si="10"/>
        <v>6.9</v>
      </c>
      <c r="J182" s="36">
        <f t="shared" si="11"/>
        <v>11.027521799185818</v>
      </c>
      <c r="K182" s="38">
        <f t="shared" si="12"/>
        <v>2009</v>
      </c>
      <c r="M182" s="21">
        <f t="shared" si="18"/>
        <v>1.9315214116032138</v>
      </c>
      <c r="N182" s="21">
        <f t="shared" si="19"/>
        <v>2.4003941297971636</v>
      </c>
    </row>
    <row r="183" spans="1:14" x14ac:dyDescent="0.2">
      <c r="A183" s="33">
        <f>'GF + UG Iteration 11'!A183</f>
        <v>491</v>
      </c>
      <c r="B183" s="34" t="str">
        <f>'GF + UG Iteration 11'!B183</f>
        <v>UG</v>
      </c>
      <c r="C183" s="35">
        <f>'GF + UG Iteration 11'!C183</f>
        <v>27.9</v>
      </c>
      <c r="D183" s="36">
        <f>'GF + UG Iteration 11'!P$16*(C183^'GF + UG Iteration 11'!P$15)</f>
        <v>17.17987276065319</v>
      </c>
      <c r="E183" s="37">
        <f>'GF + UG Iteration 11'!E183</f>
        <v>1984</v>
      </c>
      <c r="F183" s="35">
        <f>'GF + UG Iteration 11'!F183</f>
        <v>1</v>
      </c>
      <c r="G183" s="36">
        <f>'GF + UG Iteration 11'!G183</f>
        <v>0.19252271805052243</v>
      </c>
      <c r="H183" s="38">
        <f>'GF + UG Iteration 11'!H183</f>
        <v>2006</v>
      </c>
      <c r="I183" s="35">
        <f t="shared" si="10"/>
        <v>28.9</v>
      </c>
      <c r="J183" s="36">
        <f t="shared" si="11"/>
        <v>17.372395478703712</v>
      </c>
      <c r="K183" s="38">
        <f t="shared" si="12"/>
        <v>2006</v>
      </c>
      <c r="M183" s="21">
        <f t="shared" si="18"/>
        <v>3.3638415951183864</v>
      </c>
      <c r="N183" s="21">
        <f t="shared" si="19"/>
        <v>2.8548824797083907</v>
      </c>
    </row>
    <row r="184" spans="1:14" x14ac:dyDescent="0.2">
      <c r="A184" s="33">
        <f>'GF + UG Iteration 11'!A184</f>
        <v>1396</v>
      </c>
      <c r="B184" s="34" t="str">
        <f>'GF + UG Iteration 11'!B184</f>
        <v>UG</v>
      </c>
      <c r="C184" s="35">
        <f>'GF + UG Iteration 11'!C184</f>
        <v>20.6</v>
      </c>
      <c r="D184" s="36">
        <f>'GF + UG Iteration 11'!P$16*(C184^'GF + UG Iteration 11'!P$15)</f>
        <v>14.440692763399721</v>
      </c>
      <c r="E184" s="37">
        <f>'GF + UG Iteration 11'!E184</f>
        <v>2009</v>
      </c>
      <c r="F184" s="35">
        <f>'GF + UG Iteration 11'!F184</f>
        <v>5.3999999999999986</v>
      </c>
      <c r="G184" s="36">
        <f>'GF + UG Iteration 11'!G184</f>
        <v>0.37351117224616898</v>
      </c>
      <c r="H184" s="38">
        <f>'GF + UG Iteration 11'!H184</f>
        <v>2013</v>
      </c>
      <c r="I184" s="35">
        <f t="shared" ref="I184:I246" si="20">C184+F184</f>
        <v>26</v>
      </c>
      <c r="J184" s="36">
        <f t="shared" ref="J184:J246" si="21">D184+G184</f>
        <v>14.814203935645889</v>
      </c>
      <c r="K184" s="38">
        <f t="shared" ref="K184:K246" si="22">MAX(E184,H184)</f>
        <v>2013</v>
      </c>
      <c r="M184" s="21">
        <f>LN(I184)</f>
        <v>3.2580965380214821</v>
      </c>
      <c r="N184" s="21">
        <f>LN(J184)</f>
        <v>2.6955864459095915</v>
      </c>
    </row>
    <row r="185" spans="1:14" x14ac:dyDescent="0.2">
      <c r="A185" s="33">
        <f>'GF + UG Iteration 11'!A185</f>
        <v>1597</v>
      </c>
      <c r="B185" s="34" t="str">
        <f>'GF + UG Iteration 11'!B185</f>
        <v>UG</v>
      </c>
      <c r="C185" s="35">
        <f>'GF + UG Iteration 11'!C185</f>
        <v>26</v>
      </c>
      <c r="D185" s="36">
        <f>'GF + UG Iteration 11'!P$16*(C185^'GF + UG Iteration 11'!P$15)</f>
        <v>16.499883344134208</v>
      </c>
      <c r="E185" s="37">
        <f>'GF + UG Iteration 11'!E185</f>
        <v>2009</v>
      </c>
      <c r="F185" s="35">
        <f>'GF + UG Iteration 11'!F185</f>
        <v>27.299999999999997</v>
      </c>
      <c r="G185" s="36">
        <f>'GF + UG Iteration 11'!G185</f>
        <v>4.2355817632178319</v>
      </c>
      <c r="H185" s="38">
        <f>'GF + UG Iteration 11'!H185</f>
        <v>2015</v>
      </c>
      <c r="I185" s="35">
        <f t="shared" si="20"/>
        <v>53.3</v>
      </c>
      <c r="J185" s="36">
        <f t="shared" si="21"/>
        <v>20.735465107352042</v>
      </c>
      <c r="K185" s="38">
        <f t="shared" si="22"/>
        <v>2015</v>
      </c>
      <c r="M185" s="21">
        <f t="shared" ref="M185:M247" si="23">LN(I185)</f>
        <v>3.9759363311717988</v>
      </c>
      <c r="N185" s="21">
        <f t="shared" ref="N185:N247" si="24">LN(J185)</f>
        <v>3.0318455244741198</v>
      </c>
    </row>
    <row r="186" spans="1:14" x14ac:dyDescent="0.2">
      <c r="A186" s="33">
        <f>'GF + UG Iteration 11'!A186</f>
        <v>1292</v>
      </c>
      <c r="B186" s="34" t="str">
        <f>'GF + UG Iteration 11'!B186</f>
        <v>UG</v>
      </c>
      <c r="C186" s="35">
        <f>'GF + UG Iteration 11'!C186</f>
        <v>30.3</v>
      </c>
      <c r="D186" s="36">
        <f>'GF + UG Iteration 11'!P$16*(C186^'GF + UG Iteration 11'!P$15)</f>
        <v>18.011124981501943</v>
      </c>
      <c r="E186" s="37" t="str">
        <f>'GF + UG Iteration 11'!E186</f>
        <v>unknown</v>
      </c>
      <c r="F186" s="35">
        <f>'GF + UG Iteration 11'!F186</f>
        <v>2.4999999999999964</v>
      </c>
      <c r="G186" s="36">
        <f>'GF + UG Iteration 11'!G186</f>
        <v>4.47116983018676</v>
      </c>
      <c r="H186" s="38">
        <f>'GF + UG Iteration 11'!H186</f>
        <v>2013</v>
      </c>
      <c r="I186" s="35">
        <f t="shared" si="20"/>
        <v>32.799999999999997</v>
      </c>
      <c r="J186" s="36">
        <f t="shared" si="21"/>
        <v>22.482294811688703</v>
      </c>
      <c r="K186" s="38">
        <f t="shared" si="22"/>
        <v>2013</v>
      </c>
      <c r="M186" s="21">
        <f t="shared" si="23"/>
        <v>3.4904285153900978</v>
      </c>
      <c r="N186" s="21">
        <f t="shared" si="24"/>
        <v>3.1127281021859337</v>
      </c>
    </row>
    <row r="187" spans="1:14" x14ac:dyDescent="0.2">
      <c r="A187" s="33">
        <f>'GF + UG Iteration 11'!A187</f>
        <v>364</v>
      </c>
      <c r="B187" s="34" t="str">
        <f>'GF + UG Iteration 11'!B187</f>
        <v>UG</v>
      </c>
      <c r="C187" s="35">
        <f>'GF + UG Iteration 11'!C187</f>
        <v>44.904000000000003</v>
      </c>
      <c r="D187" s="36">
        <f>'GF + UG Iteration 11'!P$16*(C187^'GF + UG Iteration 11'!P$15)</f>
        <v>22.561310088462566</v>
      </c>
      <c r="E187" s="37">
        <f>'GF + UG Iteration 11'!E187</f>
        <v>1975</v>
      </c>
      <c r="F187" s="35">
        <f>'GF + UG Iteration 11'!F187</f>
        <v>2</v>
      </c>
      <c r="G187" s="36">
        <f>'GF + UG Iteration 11'!G187</f>
        <v>1.3174901179839253</v>
      </c>
      <c r="H187" s="38">
        <f>'GF + UG Iteration 11'!H187</f>
        <v>2004</v>
      </c>
      <c r="I187" s="35">
        <f t="shared" si="20"/>
        <v>46.904000000000003</v>
      </c>
      <c r="J187" s="36">
        <f t="shared" si="21"/>
        <v>23.878800206446492</v>
      </c>
      <c r="K187" s="38">
        <f t="shared" si="22"/>
        <v>2004</v>
      </c>
      <c r="M187" s="21">
        <f t="shared" si="23"/>
        <v>3.8481029596619138</v>
      </c>
      <c r="N187" s="21">
        <f t="shared" si="24"/>
        <v>3.1729910446510807</v>
      </c>
    </row>
    <row r="188" spans="1:14" x14ac:dyDescent="0.2">
      <c r="A188" s="33">
        <f>'GF + UG Iteration 11'!A188</f>
        <v>1306</v>
      </c>
      <c r="B188" s="34" t="str">
        <f>'GF + UG Iteration 11'!B188</f>
        <v>UG</v>
      </c>
      <c r="C188" s="35">
        <f>'GF + UG Iteration 11'!C188</f>
        <v>23.1</v>
      </c>
      <c r="D188" s="36">
        <f>'GF + UG Iteration 11'!P$16*(C188^'GF + UG Iteration 11'!P$15)</f>
        <v>15.419547177970047</v>
      </c>
      <c r="E188" s="37">
        <f>'GF + UG Iteration 11'!E188</f>
        <v>1985</v>
      </c>
      <c r="F188" s="35">
        <f>'GF + UG Iteration 11'!F188</f>
        <v>2.0999999999999979</v>
      </c>
      <c r="G188" s="36">
        <f>'GF + UG Iteration 11'!G188</f>
        <v>5.9848606370399509</v>
      </c>
      <c r="H188" s="38">
        <f>'GF + UG Iteration 11'!H188</f>
        <v>2013</v>
      </c>
      <c r="I188" s="35">
        <f t="shared" si="20"/>
        <v>25.2</v>
      </c>
      <c r="J188" s="36">
        <f t="shared" si="21"/>
        <v>21.404407815009996</v>
      </c>
      <c r="K188" s="38">
        <f t="shared" si="22"/>
        <v>2013</v>
      </c>
      <c r="M188" s="21">
        <f t="shared" si="23"/>
        <v>3.2268439945173775</v>
      </c>
      <c r="N188" s="21">
        <f t="shared" si="24"/>
        <v>3.0635968734823673</v>
      </c>
    </row>
    <row r="189" spans="1:14" x14ac:dyDescent="0.2">
      <c r="A189" s="33">
        <f>'GF + UG Iteration 11'!A189</f>
        <v>858</v>
      </c>
      <c r="B189" s="34" t="str">
        <f>'GF + UG Iteration 11'!B189</f>
        <v>UG</v>
      </c>
      <c r="C189" s="35">
        <f>'GF + UG Iteration 11'!C189</f>
        <v>28.4</v>
      </c>
      <c r="D189" s="36">
        <f>'GF + UG Iteration 11'!P$16*(C189^'GF + UG Iteration 11'!P$15)</f>
        <v>17.355495519563746</v>
      </c>
      <c r="E189" s="37">
        <f>'GF + UG Iteration 11'!E189</f>
        <v>2009</v>
      </c>
      <c r="F189" s="35">
        <f>'GF + UG Iteration 11'!F189</f>
        <v>13.300000000000004</v>
      </c>
      <c r="G189" s="36">
        <f>'GF + UG Iteration 11'!G189</f>
        <v>5.4358775042665943</v>
      </c>
      <c r="H189" s="38">
        <f>'GF + UG Iteration 11'!H189</f>
        <v>2010</v>
      </c>
      <c r="I189" s="35">
        <f t="shared" si="20"/>
        <v>41.7</v>
      </c>
      <c r="J189" s="36">
        <f t="shared" si="21"/>
        <v>22.791373023830339</v>
      </c>
      <c r="K189" s="38">
        <f t="shared" si="22"/>
        <v>2010</v>
      </c>
      <c r="M189" s="21">
        <f t="shared" si="23"/>
        <v>3.730501128804756</v>
      </c>
      <c r="N189" s="21">
        <f t="shared" si="24"/>
        <v>3.1263820882102862</v>
      </c>
    </row>
    <row r="190" spans="1:14" x14ac:dyDescent="0.2">
      <c r="A190" s="33">
        <f>'GF + UG Iteration 11'!A190</f>
        <v>1454</v>
      </c>
      <c r="B190" s="34" t="str">
        <f>'GF + UG Iteration 11'!B190</f>
        <v>UG</v>
      </c>
      <c r="C190" s="35">
        <f>'GF + UG Iteration 11'!C190</f>
        <v>41.7</v>
      </c>
      <c r="D190" s="36">
        <f>'GF + UG Iteration 11'!P$16*(C190^'GF + UG Iteration 11'!P$15)</f>
        <v>21.62499313677106</v>
      </c>
      <c r="E190" s="37">
        <f>'GF + UG Iteration 11'!E190</f>
        <v>2009</v>
      </c>
      <c r="F190" s="35">
        <f>'GF + UG Iteration 11'!F190</f>
        <v>5.6999999999999957</v>
      </c>
      <c r="G190" s="36">
        <f>'GF + UG Iteration 11'!G190</f>
        <v>0.45762240995573644</v>
      </c>
      <c r="H190" s="38">
        <f>'GF + UG Iteration 11'!H190</f>
        <v>2013</v>
      </c>
      <c r="I190" s="35">
        <f t="shared" si="20"/>
        <v>47.4</v>
      </c>
      <c r="J190" s="36">
        <f t="shared" si="21"/>
        <v>22.082615546726796</v>
      </c>
      <c r="K190" s="38">
        <f t="shared" si="22"/>
        <v>2013</v>
      </c>
      <c r="M190" s="21">
        <f t="shared" si="23"/>
        <v>3.858622228701031</v>
      </c>
      <c r="N190" s="21">
        <f t="shared" si="24"/>
        <v>3.0947906721255234</v>
      </c>
    </row>
    <row r="191" spans="1:14" x14ac:dyDescent="0.2">
      <c r="A191" s="33">
        <f>'GF + UG Iteration 11'!A191</f>
        <v>637</v>
      </c>
      <c r="B191" s="34" t="str">
        <f>'GF + UG Iteration 11'!B191</f>
        <v>UG</v>
      </c>
      <c r="C191" s="35">
        <f>'GF + UG Iteration 11'!C191</f>
        <v>15.499999999999998</v>
      </c>
      <c r="D191" s="36">
        <f>'GF + UG Iteration 11'!P$16*(C191^'GF + UG Iteration 11'!P$15)</f>
        <v>12.270216545968745</v>
      </c>
      <c r="E191" s="37">
        <f>'GF + UG Iteration 11'!E191</f>
        <v>1989</v>
      </c>
      <c r="F191" s="35">
        <f>'GF + UG Iteration 11'!F191</f>
        <v>8.4</v>
      </c>
      <c r="G191" s="36">
        <f>'GF + UG Iteration 11'!G191</f>
        <v>5.068859840469166</v>
      </c>
      <c r="H191" s="38">
        <f>'GF + UG Iteration 11'!H191</f>
        <v>2007</v>
      </c>
      <c r="I191" s="35">
        <f t="shared" si="20"/>
        <v>23.9</v>
      </c>
      <c r="J191" s="36">
        <f t="shared" si="21"/>
        <v>17.33907638643791</v>
      </c>
      <c r="K191" s="38">
        <f t="shared" si="22"/>
        <v>2007</v>
      </c>
      <c r="M191" s="21">
        <f t="shared" si="23"/>
        <v>3.1738784589374651</v>
      </c>
      <c r="N191" s="21">
        <f t="shared" si="24"/>
        <v>2.8529627050224615</v>
      </c>
    </row>
    <row r="192" spans="1:14" x14ac:dyDescent="0.2">
      <c r="A192" s="33">
        <f>'GF + UG Iteration 11'!A192</f>
        <v>1254</v>
      </c>
      <c r="B192" s="34" t="str">
        <f>'GF + UG Iteration 11'!B192</f>
        <v>UG</v>
      </c>
      <c r="C192" s="35">
        <f>'GF + UG Iteration 11'!C192</f>
        <v>23.9</v>
      </c>
      <c r="D192" s="36">
        <f>'GF + UG Iteration 11'!P$16*(C192^'GF + UG Iteration 11'!P$15)</f>
        <v>15.723092230987598</v>
      </c>
      <c r="E192" s="37">
        <f>'GF + UG Iteration 11'!E192</f>
        <v>1989</v>
      </c>
      <c r="F192" s="35">
        <f>'GF + UG Iteration 11'!F192</f>
        <v>15.399999999999999</v>
      </c>
      <c r="G192" s="36">
        <f>'GF + UG Iteration 11'!G192</f>
        <v>6.528436764593768</v>
      </c>
      <c r="H192" s="38">
        <f>'GF + UG Iteration 11'!H192</f>
        <v>2012</v>
      </c>
      <c r="I192" s="35">
        <f t="shared" si="20"/>
        <v>39.299999999999997</v>
      </c>
      <c r="J192" s="36">
        <f t="shared" si="21"/>
        <v>22.251528995581367</v>
      </c>
      <c r="K192" s="38">
        <f t="shared" si="22"/>
        <v>2012</v>
      </c>
      <c r="M192" s="21">
        <f t="shared" si="23"/>
        <v>3.6712245188752153</v>
      </c>
      <c r="N192" s="21">
        <f t="shared" si="24"/>
        <v>3.1024107251537472</v>
      </c>
    </row>
    <row r="193" spans="1:14" x14ac:dyDescent="0.2">
      <c r="A193" s="33">
        <f>'GF + UG Iteration 11'!A193</f>
        <v>734</v>
      </c>
      <c r="B193" s="34" t="str">
        <f>'GF + UG Iteration 11'!B193</f>
        <v>UG</v>
      </c>
      <c r="C193" s="35">
        <f>'GF + UG Iteration 11'!C193</f>
        <v>20</v>
      </c>
      <c r="D193" s="36">
        <f>'GF + UG Iteration 11'!P$16*(C193^'GF + UG Iteration 11'!P$15)</f>
        <v>14.198337643324161</v>
      </c>
      <c r="E193" s="37">
        <f>'GF + UG Iteration 11'!E193</f>
        <v>1974</v>
      </c>
      <c r="F193" s="35">
        <f>'GF + UG Iteration 11'!F193</f>
        <v>4.3999999999999986</v>
      </c>
      <c r="G193" s="36">
        <f>'GF + UG Iteration 11'!G193</f>
        <v>11.261124599264825</v>
      </c>
      <c r="H193" s="38">
        <f>'GF + UG Iteration 11'!H193</f>
        <v>2011</v>
      </c>
      <c r="I193" s="35">
        <f t="shared" ref="I193" si="25">C193+F193</f>
        <v>24.4</v>
      </c>
      <c r="J193" s="36">
        <f t="shared" ref="J193" si="26">D193+G193</f>
        <v>25.459462242588984</v>
      </c>
      <c r="K193" s="38">
        <f t="shared" ref="K193" si="27">MAX(E193,H193)</f>
        <v>2011</v>
      </c>
      <c r="M193" s="21">
        <f t="shared" ref="M193" si="28">LN(I193)</f>
        <v>3.1945831322991562</v>
      </c>
      <c r="N193" s="21">
        <f t="shared" ref="N193" si="29">LN(J193)</f>
        <v>3.2370874712482602</v>
      </c>
    </row>
    <row r="194" spans="1:14" x14ac:dyDescent="0.2">
      <c r="A194" s="33">
        <f>'GF + UG Iteration 11'!A194</f>
        <v>1594</v>
      </c>
      <c r="B194" s="34" t="str">
        <f>'GF + UG Iteration 11'!B194</f>
        <v>UG</v>
      </c>
      <c r="C194" s="35">
        <f>'GF + UG Iteration 11'!C194</f>
        <v>24.4</v>
      </c>
      <c r="D194" s="36">
        <f>'GF + UG Iteration 11'!P$16*(C194^'GF + UG Iteration 11'!P$15)</f>
        <v>15.910604924982536</v>
      </c>
      <c r="E194" s="37">
        <f>'GF + UG Iteration 11'!E194</f>
        <v>1974</v>
      </c>
      <c r="F194" s="35">
        <f>'GF + UG Iteration 11'!F194</f>
        <v>0</v>
      </c>
      <c r="G194" s="36">
        <f>'GF + UG Iteration 11'!G194</f>
        <v>17.2334453477478</v>
      </c>
      <c r="H194" s="38">
        <f>'GF + UG Iteration 11'!H194</f>
        <v>2017</v>
      </c>
      <c r="I194" s="35">
        <f t="shared" si="20"/>
        <v>24.4</v>
      </c>
      <c r="J194" s="36">
        <f t="shared" si="21"/>
        <v>33.14405027273034</v>
      </c>
      <c r="K194" s="38">
        <f t="shared" si="22"/>
        <v>2017</v>
      </c>
      <c r="M194" s="21">
        <f t="shared" si="23"/>
        <v>3.1945831322991562</v>
      </c>
      <c r="N194" s="21">
        <f t="shared" si="24"/>
        <v>3.5008632215712692</v>
      </c>
    </row>
    <row r="195" spans="1:14" x14ac:dyDescent="0.2">
      <c r="A195" s="33">
        <f>'GF + UG Iteration 11'!A195</f>
        <v>1674</v>
      </c>
      <c r="B195" s="34" t="str">
        <f>'GF + UG Iteration 11'!B195</f>
        <v>UG</v>
      </c>
      <c r="C195" s="35">
        <f>'GF + UG Iteration 11'!C195</f>
        <v>17.399999999999999</v>
      </c>
      <c r="D195" s="36">
        <f>'GF + UG Iteration 11'!P$16*(C195^'GF + UG Iteration 11'!P$15)</f>
        <v>13.110116067917055</v>
      </c>
      <c r="E195" s="37">
        <f>'GF + UG Iteration 11'!E195</f>
        <v>0</v>
      </c>
      <c r="F195" s="35">
        <f>'GF + UG Iteration 11'!F195</f>
        <v>3.7000000000000028</v>
      </c>
      <c r="G195" s="36">
        <f>'GF + UG Iteration 11'!G195</f>
        <v>10.327278566796926</v>
      </c>
      <c r="H195" s="38">
        <f>'GF + UG Iteration 11'!H195</f>
        <v>2016</v>
      </c>
      <c r="I195" s="35">
        <f t="shared" si="20"/>
        <v>21.1</v>
      </c>
      <c r="J195" s="36">
        <f t="shared" si="21"/>
        <v>23.437394634713982</v>
      </c>
      <c r="K195" s="38">
        <f t="shared" si="22"/>
        <v>2016</v>
      </c>
      <c r="M195" s="21">
        <f t="shared" si="23"/>
        <v>3.0492730404820207</v>
      </c>
      <c r="N195" s="21">
        <f t="shared" si="24"/>
        <v>3.1543328081349875</v>
      </c>
    </row>
    <row r="196" spans="1:14" x14ac:dyDescent="0.2">
      <c r="A196" s="33">
        <f>'GF + UG Iteration 11'!A196</f>
        <v>711</v>
      </c>
      <c r="B196" s="34" t="str">
        <f>'GF + UG Iteration 11'!B196</f>
        <v>UG</v>
      </c>
      <c r="C196" s="35">
        <f>'GF + UG Iteration 11'!C196</f>
        <v>11.5</v>
      </c>
      <c r="D196" s="36">
        <f>'GF + UG Iteration 11'!P$16*(C196^'GF + UG Iteration 11'!P$15)</f>
        <v>10.342476695072458</v>
      </c>
      <c r="E196" s="37">
        <f>'GF + UG Iteration 11'!E196</f>
        <v>1976</v>
      </c>
      <c r="F196" s="35">
        <f>'GF + UG Iteration 11'!F196</f>
        <v>13.7</v>
      </c>
      <c r="G196" s="36">
        <f>'GF + UG Iteration 11'!G196</f>
        <v>9.2617881543087019</v>
      </c>
      <c r="H196" s="38">
        <f>'GF + UG Iteration 11'!H196</f>
        <v>2009</v>
      </c>
      <c r="I196" s="35">
        <f t="shared" si="20"/>
        <v>25.2</v>
      </c>
      <c r="J196" s="36">
        <f t="shared" si="21"/>
        <v>19.60426484938116</v>
      </c>
      <c r="K196" s="38">
        <f t="shared" si="22"/>
        <v>2009</v>
      </c>
      <c r="M196" s="21">
        <f t="shared" si="23"/>
        <v>3.2268439945173775</v>
      </c>
      <c r="N196" s="21">
        <f t="shared" si="24"/>
        <v>2.9757471369224349</v>
      </c>
    </row>
    <row r="197" spans="1:14" x14ac:dyDescent="0.2">
      <c r="A197" s="33">
        <f>'GF + UG Iteration 11'!A197</f>
        <v>408</v>
      </c>
      <c r="B197" s="34" t="str">
        <f>'GF + UG Iteration 11'!B197</f>
        <v>UG</v>
      </c>
      <c r="C197" s="35">
        <f>'GF + UG Iteration 11'!C197</f>
        <v>37.700000000000003</v>
      </c>
      <c r="D197" s="36">
        <f>'GF + UG Iteration 11'!P$16*(C197^'GF + UG Iteration 11'!P$15)</f>
        <v>20.411708471591037</v>
      </c>
      <c r="E197" s="37">
        <f>'GF + UG Iteration 11'!E197</f>
        <v>1976</v>
      </c>
      <c r="F197" s="35">
        <f>'GF + UG Iteration 11'!F197</f>
        <v>2.0419999999999945</v>
      </c>
      <c r="G197" s="36">
        <f>'GF + UG Iteration 11'!G197</f>
        <v>0.58015876995711901</v>
      </c>
      <c r="H197" s="38">
        <f>'GF + UG Iteration 11'!H197</f>
        <v>2004</v>
      </c>
      <c r="I197" s="35">
        <f t="shared" si="20"/>
        <v>39.741999999999997</v>
      </c>
      <c r="J197" s="36">
        <f t="shared" si="21"/>
        <v>20.991867241548157</v>
      </c>
      <c r="K197" s="38">
        <f t="shared" si="22"/>
        <v>2004</v>
      </c>
      <c r="M197" s="21">
        <f t="shared" si="23"/>
        <v>3.6824085629836243</v>
      </c>
      <c r="N197" s="21">
        <f t="shared" si="24"/>
        <v>3.044135088501406</v>
      </c>
    </row>
    <row r="198" spans="1:14" x14ac:dyDescent="0.2">
      <c r="A198" s="33">
        <f>'GF + UG Iteration 11'!A198</f>
        <v>698</v>
      </c>
      <c r="B198" s="34" t="str">
        <f>'GF + UG Iteration 11'!B198</f>
        <v>UG</v>
      </c>
      <c r="C198" s="35">
        <f>'GF + UG Iteration 11'!C198</f>
        <v>39.700000000000003</v>
      </c>
      <c r="D198" s="36">
        <f>'GF + UG Iteration 11'!P$16*(C198^'GF + UG Iteration 11'!P$15)</f>
        <v>21.024884942884238</v>
      </c>
      <c r="E198" s="37">
        <f>'GF + UG Iteration 11'!E198</f>
        <v>1976</v>
      </c>
      <c r="F198" s="35">
        <f>'GF + UG Iteration 11'!F198</f>
        <v>20.9</v>
      </c>
      <c r="G198" s="36">
        <f>'GF + UG Iteration 11'!G198</f>
        <v>1.4406821685518079</v>
      </c>
      <c r="H198" s="38">
        <f>'GF + UG Iteration 11'!H198</f>
        <v>2007</v>
      </c>
      <c r="I198" s="35">
        <f t="shared" si="20"/>
        <v>60.6</v>
      </c>
      <c r="J198" s="36">
        <f t="shared" si="21"/>
        <v>22.465567111436044</v>
      </c>
      <c r="K198" s="38">
        <f t="shared" si="22"/>
        <v>2007</v>
      </c>
      <c r="M198" s="21">
        <f t="shared" si="23"/>
        <v>4.1042948930752692</v>
      </c>
      <c r="N198" s="21">
        <f t="shared" si="24"/>
        <v>3.1119837864249953</v>
      </c>
    </row>
    <row r="199" spans="1:14" x14ac:dyDescent="0.2">
      <c r="A199" s="33">
        <f>'GF + UG Iteration 11'!A199</f>
        <v>696</v>
      </c>
      <c r="B199" s="34" t="str">
        <f>'GF + UG Iteration 11'!B199</f>
        <v>UG</v>
      </c>
      <c r="C199" s="35">
        <f>'GF + UG Iteration 11'!C199</f>
        <v>9.1370000000000005</v>
      </c>
      <c r="D199" s="36">
        <f>'GF + UG Iteration 11'!P$16*(C199^'GF + UG Iteration 11'!P$15)</f>
        <v>9.0662071953336394</v>
      </c>
      <c r="E199" s="37">
        <f>'GF + UG Iteration 11'!E199</f>
        <v>1981</v>
      </c>
      <c r="F199" s="35">
        <f>'GF + UG Iteration 11'!F199</f>
        <v>8.0629999999999988</v>
      </c>
      <c r="G199" s="36">
        <f>'GF + UG Iteration 11'!G199</f>
        <v>0.26810351472539734</v>
      </c>
      <c r="H199" s="38">
        <f>'GF + UG Iteration 11'!H199</f>
        <v>2007</v>
      </c>
      <c r="I199" s="35">
        <f t="shared" si="20"/>
        <v>17.2</v>
      </c>
      <c r="J199" s="36">
        <f t="shared" si="21"/>
        <v>9.3343107100590359</v>
      </c>
      <c r="K199" s="38">
        <f t="shared" si="22"/>
        <v>2007</v>
      </c>
      <c r="M199" s="21">
        <f t="shared" si="23"/>
        <v>2.8449093838194073</v>
      </c>
      <c r="N199" s="21">
        <f t="shared" si="24"/>
        <v>2.2336969349593461</v>
      </c>
    </row>
    <row r="200" spans="1:14" x14ac:dyDescent="0.2">
      <c r="A200" s="33">
        <f>'GF + UG Iteration 11'!A200</f>
        <v>1636</v>
      </c>
      <c r="B200" s="34" t="str">
        <f>'GF + UG Iteration 11'!B200</f>
        <v>UG</v>
      </c>
      <c r="C200" s="35">
        <f>'GF + UG Iteration 11'!C200</f>
        <v>17.2</v>
      </c>
      <c r="D200" s="36">
        <f>'GF + UG Iteration 11'!P$16*(C200^'GF + UG Iteration 11'!P$15)</f>
        <v>13.02361807379619</v>
      </c>
      <c r="E200" s="37">
        <f>'GF + UG Iteration 11'!E200</f>
        <v>1981</v>
      </c>
      <c r="F200" s="35">
        <f>'GF + UG Iteration 11'!F200</f>
        <v>0</v>
      </c>
      <c r="G200" s="36">
        <f>'GF + UG Iteration 11'!G200</f>
        <v>6.6058972937468434</v>
      </c>
      <c r="H200" s="38">
        <f>'GF + UG Iteration 11'!H200</f>
        <v>2015</v>
      </c>
      <c r="I200" s="35">
        <f t="shared" si="20"/>
        <v>17.2</v>
      </c>
      <c r="J200" s="36">
        <f t="shared" si="21"/>
        <v>19.629515367543032</v>
      </c>
      <c r="K200" s="38">
        <f t="shared" si="22"/>
        <v>2015</v>
      </c>
      <c r="M200" s="21">
        <f t="shared" si="23"/>
        <v>2.8449093838194073</v>
      </c>
      <c r="N200" s="21">
        <f t="shared" si="24"/>
        <v>2.9770343196261457</v>
      </c>
    </row>
    <row r="201" spans="1:14" x14ac:dyDescent="0.2">
      <c r="A201" s="33">
        <f>'GF + UG Iteration 11'!A201</f>
        <v>1185</v>
      </c>
      <c r="B201" s="34" t="str">
        <f>'GF + UG Iteration 11'!B201</f>
        <v>UG</v>
      </c>
      <c r="C201" s="35">
        <f>'GF + UG Iteration 11'!C201</f>
        <v>32.4</v>
      </c>
      <c r="D201" s="36">
        <f>'GF + UG Iteration 11'!P$16*(C201^'GF + UG Iteration 11'!P$15)</f>
        <v>18.715641302301325</v>
      </c>
      <c r="E201" s="37">
        <f>'GF + UG Iteration 11'!E201</f>
        <v>1988</v>
      </c>
      <c r="F201" s="35">
        <f>'GF + UG Iteration 11'!F201</f>
        <v>2.5</v>
      </c>
      <c r="G201" s="36">
        <f>'GF + UG Iteration 11'!G201</f>
        <v>2.8087836612562955</v>
      </c>
      <c r="H201" s="38">
        <f>'GF + UG Iteration 11'!H201</f>
        <v>2011</v>
      </c>
      <c r="I201" s="35">
        <f t="shared" si="20"/>
        <v>34.9</v>
      </c>
      <c r="J201" s="36">
        <f t="shared" si="21"/>
        <v>21.524424963557621</v>
      </c>
      <c r="K201" s="38">
        <f t="shared" si="22"/>
        <v>2011</v>
      </c>
      <c r="M201" s="21">
        <f t="shared" si="23"/>
        <v>3.5524868292083815</v>
      </c>
      <c r="N201" s="21">
        <f t="shared" si="24"/>
        <v>3.0691883351396476</v>
      </c>
    </row>
    <row r="202" spans="1:14" x14ac:dyDescent="0.2">
      <c r="A202" s="33">
        <f>'GF + UG Iteration 11'!A202</f>
        <v>568</v>
      </c>
      <c r="B202" s="34" t="str">
        <f>'GF + UG Iteration 11'!B202</f>
        <v>UG</v>
      </c>
      <c r="C202" s="35">
        <f>'GF + UG Iteration 11'!C202</f>
        <v>38.04</v>
      </c>
      <c r="D202" s="36">
        <f>'GF + UG Iteration 11'!P$16*(C202^'GF + UG Iteration 11'!P$15)</f>
        <v>20.516911950832885</v>
      </c>
      <c r="E202" s="37">
        <f>'GF + UG Iteration 11'!E202</f>
        <v>1978</v>
      </c>
      <c r="F202" s="35">
        <f>'GF + UG Iteration 11'!F202</f>
        <v>1</v>
      </c>
      <c r="G202" s="36">
        <f>'GF + UG Iteration 11'!G202</f>
        <v>2.8818936071529556E-2</v>
      </c>
      <c r="H202" s="38">
        <f>'GF + UG Iteration 11'!H202</f>
        <v>2006</v>
      </c>
      <c r="I202" s="35">
        <f t="shared" si="20"/>
        <v>39.04</v>
      </c>
      <c r="J202" s="36">
        <f t="shared" si="21"/>
        <v>20.545730886904416</v>
      </c>
      <c r="K202" s="38">
        <f t="shared" si="22"/>
        <v>2006</v>
      </c>
      <c r="M202" s="21">
        <f t="shared" si="23"/>
        <v>3.6645867615448919</v>
      </c>
      <c r="N202" s="21">
        <f t="shared" si="24"/>
        <v>3.0226531766310214</v>
      </c>
    </row>
    <row r="203" spans="1:14" x14ac:dyDescent="0.2">
      <c r="A203" s="33">
        <f>'GF + UG Iteration 11'!A203</f>
        <v>853</v>
      </c>
      <c r="B203" s="34" t="str">
        <f>'GF + UG Iteration 11'!B203</f>
        <v>UG</v>
      </c>
      <c r="C203" s="35">
        <f>'GF + UG Iteration 11'!C203</f>
        <v>20</v>
      </c>
      <c r="D203" s="36">
        <f>'GF + UG Iteration 11'!P$16*(C203^'GF + UG Iteration 11'!P$15)</f>
        <v>14.198337643324161</v>
      </c>
      <c r="E203" s="37">
        <f>'GF + UG Iteration 11'!E203</f>
        <v>1991</v>
      </c>
      <c r="F203" s="35">
        <f>'GF + UG Iteration 11'!F203</f>
        <v>21.700000000000003</v>
      </c>
      <c r="G203" s="36">
        <f>'GF + UG Iteration 11'!G203</f>
        <v>4.2556245512411124</v>
      </c>
      <c r="H203" s="38">
        <f>'GF + UG Iteration 11'!H203</f>
        <v>2009</v>
      </c>
      <c r="I203" s="35">
        <f t="shared" si="20"/>
        <v>41.7</v>
      </c>
      <c r="J203" s="36">
        <f t="shared" si="21"/>
        <v>18.453962194565271</v>
      </c>
      <c r="K203" s="38">
        <f t="shared" si="22"/>
        <v>2009</v>
      </c>
      <c r="M203" s="21">
        <f t="shared" si="23"/>
        <v>3.730501128804756</v>
      </c>
      <c r="N203" s="21">
        <f t="shared" si="24"/>
        <v>2.9152791005233603</v>
      </c>
    </row>
    <row r="204" spans="1:14" x14ac:dyDescent="0.2">
      <c r="A204" s="33">
        <f>'GF + UG Iteration 11'!A204</f>
        <v>1201</v>
      </c>
      <c r="B204" s="34" t="str">
        <f>'GF + UG Iteration 11'!B204</f>
        <v>UG</v>
      </c>
      <c r="C204" s="35">
        <f>'GF + UG Iteration 11'!C204</f>
        <v>13.3</v>
      </c>
      <c r="D204" s="36">
        <f>'GF + UG Iteration 11'!P$16*(C204^'GF + UG Iteration 11'!P$15)</f>
        <v>11.240511918879497</v>
      </c>
      <c r="E204" s="37" t="str">
        <f>'GF + UG Iteration 11'!E204</f>
        <v>unknown</v>
      </c>
      <c r="F204" s="35">
        <f>'GF + UG Iteration 11'!F204</f>
        <v>10.599999999999998</v>
      </c>
      <c r="G204" s="36">
        <f>'GF + UG Iteration 11'!G204</f>
        <v>7.6364894321569698</v>
      </c>
      <c r="H204" s="38">
        <f>'GF + UG Iteration 11'!H204</f>
        <v>2012</v>
      </c>
      <c r="I204" s="35">
        <f t="shared" si="20"/>
        <v>23.9</v>
      </c>
      <c r="J204" s="36">
        <f t="shared" si="21"/>
        <v>18.877001351036466</v>
      </c>
      <c r="K204" s="38">
        <f t="shared" si="22"/>
        <v>2012</v>
      </c>
      <c r="M204" s="21">
        <f t="shared" si="23"/>
        <v>3.1738784589374651</v>
      </c>
      <c r="N204" s="21">
        <f t="shared" si="24"/>
        <v>2.9379443213571013</v>
      </c>
    </row>
    <row r="205" spans="1:14" x14ac:dyDescent="0.2">
      <c r="A205" s="33">
        <f>'GF + UG Iteration 11'!A205</f>
        <v>654</v>
      </c>
      <c r="B205" s="34" t="str">
        <f>'GF + UG Iteration 11'!B205</f>
        <v>UG</v>
      </c>
      <c r="C205" s="35">
        <f>'GF + UG Iteration 11'!C205</f>
        <v>7.29</v>
      </c>
      <c r="D205" s="36">
        <f>'GF + UG Iteration 11'!P$16*(C205^'GF + UG Iteration 11'!P$15)</f>
        <v>7.9665039264611863</v>
      </c>
      <c r="E205" s="37">
        <f>'GF + UG Iteration 11'!E205</f>
        <v>1976</v>
      </c>
      <c r="F205" s="35">
        <f>'GF + UG Iteration 11'!F205</f>
        <v>4.4099999999999993</v>
      </c>
      <c r="G205" s="36">
        <f>'GF + UG Iteration 11'!G205</f>
        <v>0.73672544554632269</v>
      </c>
      <c r="H205" s="38">
        <f>'GF + UG Iteration 11'!H205</f>
        <v>2007</v>
      </c>
      <c r="I205" s="35">
        <f t="shared" si="20"/>
        <v>11.7</v>
      </c>
      <c r="J205" s="36">
        <f t="shared" si="21"/>
        <v>8.7032293720075096</v>
      </c>
      <c r="K205" s="38">
        <f t="shared" si="22"/>
        <v>2007</v>
      </c>
      <c r="M205" s="21">
        <f t="shared" si="23"/>
        <v>2.4595888418037104</v>
      </c>
      <c r="N205" s="21">
        <f t="shared" si="24"/>
        <v>2.1636941489705337</v>
      </c>
    </row>
    <row r="206" spans="1:14" x14ac:dyDescent="0.2">
      <c r="A206" s="33">
        <f>'GF + UG Iteration 11'!A206</f>
        <v>1394</v>
      </c>
      <c r="B206" s="34" t="str">
        <f>'GF + UG Iteration 11'!B206</f>
        <v>UG</v>
      </c>
      <c r="C206" s="35">
        <f>'GF + UG Iteration 11'!C206</f>
        <v>11.7</v>
      </c>
      <c r="D206" s="36">
        <f>'GF + UG Iteration 11'!P$16*(C206^'GF + UG Iteration 11'!P$15)</f>
        <v>10.44508920262969</v>
      </c>
      <c r="E206" s="37">
        <f>'GF + UG Iteration 11'!E206</f>
        <v>1976</v>
      </c>
      <c r="F206" s="35">
        <f>'GF + UG Iteration 11'!F206</f>
        <v>10</v>
      </c>
      <c r="G206" s="36">
        <f>'GF + UG Iteration 11'!G206</f>
        <v>5.0057806862702598</v>
      </c>
      <c r="H206" s="38">
        <f>'GF + UG Iteration 11'!H206</f>
        <v>2014</v>
      </c>
      <c r="I206" s="35">
        <f t="shared" si="20"/>
        <v>21.7</v>
      </c>
      <c r="J206" s="36">
        <f t="shared" si="21"/>
        <v>15.45086988889995</v>
      </c>
      <c r="K206" s="38">
        <f t="shared" si="22"/>
        <v>2014</v>
      </c>
      <c r="M206" s="21">
        <f t="shared" si="23"/>
        <v>3.0773122605464138</v>
      </c>
      <c r="N206" s="21">
        <f t="shared" si="24"/>
        <v>2.7376653052474427</v>
      </c>
    </row>
    <row r="207" spans="1:14" x14ac:dyDescent="0.2">
      <c r="A207" s="33">
        <f>'GF + UG Iteration 11'!A207</f>
        <v>1294</v>
      </c>
      <c r="B207" s="34" t="str">
        <f>'GF + UG Iteration 11'!B207</f>
        <v>UG</v>
      </c>
      <c r="C207" s="35">
        <f>'GF + UG Iteration 11'!C207</f>
        <v>8.5</v>
      </c>
      <c r="D207" s="36">
        <f>'GF + UG Iteration 11'!P$16*(C207^'GF + UG Iteration 11'!P$15)</f>
        <v>8.6987114257069607</v>
      </c>
      <c r="E207" s="37">
        <f>'GF + UG Iteration 11'!E207</f>
        <v>0</v>
      </c>
      <c r="F207" s="35">
        <f>'GF + UG Iteration 11'!F207</f>
        <v>1.5999999999999996</v>
      </c>
      <c r="G207" s="36">
        <f>'GF + UG Iteration 11'!G207</f>
        <v>4.5619922667121129</v>
      </c>
      <c r="H207" s="38">
        <f>'GF + UG Iteration 11'!H207</f>
        <v>2014</v>
      </c>
      <c r="I207" s="35">
        <f t="shared" si="20"/>
        <v>10.1</v>
      </c>
      <c r="J207" s="36">
        <f t="shared" si="21"/>
        <v>13.260703692419074</v>
      </c>
      <c r="K207" s="38">
        <f t="shared" si="22"/>
        <v>2014</v>
      </c>
      <c r="M207" s="21">
        <f t="shared" si="23"/>
        <v>2.3125354238472138</v>
      </c>
      <c r="N207" s="21">
        <f t="shared" si="24"/>
        <v>2.5848050521595018</v>
      </c>
    </row>
    <row r="208" spans="1:14" x14ac:dyDescent="0.2">
      <c r="A208" s="33">
        <f>'GF + UG Iteration 11'!A208</f>
        <v>1670</v>
      </c>
      <c r="B208" s="34" t="str">
        <f>'GF + UG Iteration 11'!B208</f>
        <v>UG</v>
      </c>
      <c r="C208" s="35">
        <f>'GF + UG Iteration 11'!C208</f>
        <v>31.45</v>
      </c>
      <c r="D208" s="36">
        <f>'GF + UG Iteration 11'!P$16*(C208^'GF + UG Iteration 11'!P$15)</f>
        <v>18.399426696753292</v>
      </c>
      <c r="E208" s="37">
        <f>'GF + UG Iteration 11'!E208</f>
        <v>0</v>
      </c>
      <c r="F208" s="35">
        <f>'GF + UG Iteration 11'!F208</f>
        <v>24.250000000000004</v>
      </c>
      <c r="G208" s="36">
        <f>'GF + UG Iteration 11'!G208</f>
        <v>2.7943521582603679</v>
      </c>
      <c r="H208" s="38">
        <f>'GF + UG Iteration 11'!H208</f>
        <v>2016</v>
      </c>
      <c r="I208" s="35">
        <f t="shared" si="20"/>
        <v>55.7</v>
      </c>
      <c r="J208" s="36">
        <f t="shared" si="21"/>
        <v>21.193778855013658</v>
      </c>
      <c r="K208" s="38">
        <f t="shared" si="22"/>
        <v>2016</v>
      </c>
      <c r="M208" s="21">
        <f t="shared" si="23"/>
        <v>4.0199801469332384</v>
      </c>
      <c r="N208" s="21">
        <f t="shared" si="24"/>
        <v>3.0537076883778167</v>
      </c>
    </row>
    <row r="209" spans="1:14" x14ac:dyDescent="0.2">
      <c r="A209" s="33">
        <f>'GF + UG Iteration 11'!A209</f>
        <v>579</v>
      </c>
      <c r="B209" s="34" t="str">
        <f>'GF + UG Iteration 11'!B209</f>
        <v>UG</v>
      </c>
      <c r="C209" s="35">
        <f>'GF + UG Iteration 11'!C209</f>
        <v>17.100000000000001</v>
      </c>
      <c r="D209" s="36">
        <f>'GF + UG Iteration 11'!P$16*(C209^'GF + UG Iteration 11'!P$15)</f>
        <v>12.980207914668288</v>
      </c>
      <c r="E209" s="37" t="str">
        <f>'GF + UG Iteration 11'!E209</f>
        <v>unknown</v>
      </c>
      <c r="F209" s="35">
        <f>'GF + UG Iteration 11'!F209</f>
        <v>11</v>
      </c>
      <c r="G209" s="36">
        <f>'GF + UG Iteration 11'!G209</f>
        <v>3.6516230200538073</v>
      </c>
      <c r="H209" s="38">
        <f>'GF + UG Iteration 11'!H209</f>
        <v>2008</v>
      </c>
      <c r="I209" s="35">
        <f t="shared" si="20"/>
        <v>28.1</v>
      </c>
      <c r="J209" s="36">
        <f t="shared" si="21"/>
        <v>16.631830934722096</v>
      </c>
      <c r="K209" s="38">
        <f t="shared" si="22"/>
        <v>2008</v>
      </c>
      <c r="M209" s="21">
        <f t="shared" si="23"/>
        <v>3.3357695763396999</v>
      </c>
      <c r="N209" s="21">
        <f t="shared" si="24"/>
        <v>2.8113183854440482</v>
      </c>
    </row>
    <row r="210" spans="1:14" x14ac:dyDescent="0.2">
      <c r="A210" s="33">
        <f>'GF + UG Iteration 11'!A210</f>
        <v>1670</v>
      </c>
      <c r="B210" s="34" t="str">
        <f>'GF + UG Iteration 11'!B210</f>
        <v>UG</v>
      </c>
      <c r="C210" s="35">
        <f>'GF + UG Iteration 11'!C210</f>
        <v>18.79</v>
      </c>
      <c r="D210" s="36">
        <f>'GF + UG Iteration 11'!P$16*(C210^'GF + UG Iteration 11'!P$15)</f>
        <v>13.699929702124251</v>
      </c>
      <c r="E210" s="37">
        <f>'GF + UG Iteration 11'!E210</f>
        <v>0</v>
      </c>
      <c r="F210" s="35">
        <f>'GF + UG Iteration 11'!F210</f>
        <v>30.509999999999998</v>
      </c>
      <c r="G210" s="36">
        <f>'GF + UG Iteration 11'!G210</f>
        <v>18.363697996227653</v>
      </c>
      <c r="H210" s="38">
        <f>'GF + UG Iteration 11'!H210</f>
        <v>2016</v>
      </c>
      <c r="I210" s="35">
        <f t="shared" si="20"/>
        <v>49.3</v>
      </c>
      <c r="J210" s="36">
        <f t="shared" si="21"/>
        <v>32.063627698351908</v>
      </c>
      <c r="K210" s="38">
        <f t="shared" si="22"/>
        <v>2016</v>
      </c>
      <c r="M210" s="21">
        <f t="shared" si="23"/>
        <v>3.8979240810486444</v>
      </c>
      <c r="N210" s="21">
        <f t="shared" si="24"/>
        <v>3.4677222941908945</v>
      </c>
    </row>
    <row r="211" spans="1:14" x14ac:dyDescent="0.2">
      <c r="A211" s="33">
        <f>'GF + UG Iteration 11'!A211</f>
        <v>1083</v>
      </c>
      <c r="B211" s="34" t="str">
        <f>'GF + UG Iteration 11'!B211</f>
        <v>UG</v>
      </c>
      <c r="C211" s="35">
        <f>'GF + UG Iteration 11'!C211</f>
        <v>7.53</v>
      </c>
      <c r="D211" s="36">
        <f>'GF + UG Iteration 11'!P$16*(C211^'GF + UG Iteration 11'!P$15)</f>
        <v>8.1156390356432944</v>
      </c>
      <c r="E211" s="37">
        <f>'GF + UG Iteration 11'!E211</f>
        <v>1981</v>
      </c>
      <c r="F211" s="35">
        <f>'GF + UG Iteration 11'!F211</f>
        <v>5.87</v>
      </c>
      <c r="G211" s="36">
        <f>'GF + UG Iteration 11'!G211</f>
        <v>7.4125108979310461</v>
      </c>
      <c r="H211" s="38">
        <f>'GF + UG Iteration 11'!H211</f>
        <v>2011</v>
      </c>
      <c r="I211" s="35">
        <f t="shared" si="20"/>
        <v>13.4</v>
      </c>
      <c r="J211" s="36">
        <f t="shared" si="21"/>
        <v>15.52814993357434</v>
      </c>
      <c r="K211" s="38">
        <f t="shared" si="22"/>
        <v>2011</v>
      </c>
      <c r="M211" s="21">
        <f t="shared" si="23"/>
        <v>2.5952547069568657</v>
      </c>
      <c r="N211" s="21">
        <f t="shared" si="24"/>
        <v>2.7426545015113826</v>
      </c>
    </row>
    <row r="212" spans="1:14" x14ac:dyDescent="0.2">
      <c r="A212" s="33">
        <f>'GF + UG Iteration 11'!A212</f>
        <v>552</v>
      </c>
      <c r="B212" s="34" t="str">
        <f>'GF + UG Iteration 11'!B212</f>
        <v>UG</v>
      </c>
      <c r="C212" s="35">
        <f>'GF + UG Iteration 11'!C212</f>
        <v>20.229999999999997</v>
      </c>
      <c r="D212" s="36">
        <f>'GF + UG Iteration 11'!P$16*(C212^'GF + UG Iteration 11'!P$15)</f>
        <v>14.291602912190504</v>
      </c>
      <c r="E212" s="37">
        <f>'GF + UG Iteration 11'!E212</f>
        <v>1991</v>
      </c>
      <c r="F212" s="35">
        <f>'GF + UG Iteration 11'!F212</f>
        <v>10.470000000000002</v>
      </c>
      <c r="G212" s="36">
        <f>'GF + UG Iteration 11'!G212</f>
        <v>1.1457716756011658</v>
      </c>
      <c r="H212" s="38">
        <f>'GF + UG Iteration 11'!H212</f>
        <v>2006</v>
      </c>
      <c r="I212" s="35">
        <f t="shared" si="20"/>
        <v>30.7</v>
      </c>
      <c r="J212" s="36">
        <f t="shared" si="21"/>
        <v>15.43737458779167</v>
      </c>
      <c r="K212" s="38">
        <f t="shared" si="22"/>
        <v>2006</v>
      </c>
      <c r="M212" s="21">
        <f t="shared" si="23"/>
        <v>3.4242626545931514</v>
      </c>
      <c r="N212" s="21">
        <f t="shared" si="24"/>
        <v>2.7367914904874513</v>
      </c>
    </row>
    <row r="213" spans="1:14" x14ac:dyDescent="0.2">
      <c r="A213" s="33">
        <f>'GF + UG Iteration 11'!A213</f>
        <v>1311</v>
      </c>
      <c r="B213" s="34" t="str">
        <f>'GF + UG Iteration 11'!B213</f>
        <v>UG</v>
      </c>
      <c r="C213" s="35">
        <f>'GF + UG Iteration 11'!C213</f>
        <v>30.7</v>
      </c>
      <c r="D213" s="36">
        <f>'GF + UG Iteration 11'!P$16*(C213^'GF + UG Iteration 11'!P$15)</f>
        <v>18.146889515873191</v>
      </c>
      <c r="E213" s="37">
        <f>'GF + UG Iteration 11'!E213</f>
        <v>1991</v>
      </c>
      <c r="F213" s="35">
        <f>'GF + UG Iteration 11'!F213</f>
        <v>19.3</v>
      </c>
      <c r="G213" s="36">
        <f>'GF + UG Iteration 11'!G213</f>
        <v>5.9841430822776953</v>
      </c>
      <c r="H213" s="38">
        <f>'GF + UG Iteration 11'!H213</f>
        <v>2013</v>
      </c>
      <c r="I213" s="35">
        <f t="shared" si="20"/>
        <v>50</v>
      </c>
      <c r="J213" s="36">
        <f t="shared" si="21"/>
        <v>24.131032598150888</v>
      </c>
      <c r="K213" s="38">
        <f t="shared" si="22"/>
        <v>2013</v>
      </c>
      <c r="M213" s="21">
        <f t="shared" si="23"/>
        <v>3.912023005428146</v>
      </c>
      <c r="N213" s="21">
        <f t="shared" si="24"/>
        <v>3.1834986718481906</v>
      </c>
    </row>
    <row r="214" spans="1:14" x14ac:dyDescent="0.2">
      <c r="A214" s="33">
        <f>'GF + UG Iteration 11'!A214</f>
        <v>1078</v>
      </c>
      <c r="B214" s="34" t="str">
        <f>'GF + UG Iteration 11'!B214</f>
        <v>UG</v>
      </c>
      <c r="C214" s="35">
        <f>'GF + UG Iteration 11'!C214</f>
        <v>17.66</v>
      </c>
      <c r="D214" s="36">
        <f>'GF + UG Iteration 11'!P$16*(C214^'GF + UG Iteration 11'!P$15)</f>
        <v>13.221930748012362</v>
      </c>
      <c r="E214" s="37">
        <f>'GF + UG Iteration 11'!E214</f>
        <v>1957</v>
      </c>
      <c r="F214" s="35">
        <f>'GF + UG Iteration 11'!F214</f>
        <v>7.34</v>
      </c>
      <c r="G214" s="36">
        <f>'GF + UG Iteration 11'!G214</f>
        <v>1.0936387702296273</v>
      </c>
      <c r="H214" s="38">
        <f>'GF + UG Iteration 11'!H214</f>
        <v>2011</v>
      </c>
      <c r="I214" s="35">
        <f t="shared" si="20"/>
        <v>25</v>
      </c>
      <c r="J214" s="36">
        <f t="shared" si="21"/>
        <v>14.31556951824199</v>
      </c>
      <c r="K214" s="38">
        <f t="shared" si="22"/>
        <v>2011</v>
      </c>
      <c r="M214" s="21">
        <f t="shared" si="23"/>
        <v>3.2188758248682006</v>
      </c>
      <c r="N214" s="21">
        <f t="shared" si="24"/>
        <v>2.6613477224769544</v>
      </c>
    </row>
    <row r="215" spans="1:14" x14ac:dyDescent="0.2">
      <c r="A215" s="33">
        <f>'GF + UG Iteration 11'!A215</f>
        <v>495</v>
      </c>
      <c r="B215" s="34" t="str">
        <f>'GF + UG Iteration 11'!B215</f>
        <v>UG</v>
      </c>
      <c r="C215" s="35">
        <f>'GF + UG Iteration 11'!C215</f>
        <v>12.974</v>
      </c>
      <c r="D215" s="36">
        <f>'GF + UG Iteration 11'!P$16*(C215^'GF + UG Iteration 11'!P$15)</f>
        <v>11.081914830091744</v>
      </c>
      <c r="E215" s="37">
        <f>'GF + UG Iteration 11'!E215</f>
        <v>1982</v>
      </c>
      <c r="F215" s="35">
        <f>'GF + UG Iteration 11'!F215</f>
        <v>0</v>
      </c>
      <c r="G215" s="36">
        <f>'GF + UG Iteration 11'!G215</f>
        <v>3.5907902166068872</v>
      </c>
      <c r="H215" s="38">
        <f>'GF + UG Iteration 11'!H215</f>
        <v>2006</v>
      </c>
      <c r="I215" s="35">
        <f t="shared" si="20"/>
        <v>12.974</v>
      </c>
      <c r="J215" s="36">
        <f t="shared" si="21"/>
        <v>14.672705046698631</v>
      </c>
      <c r="K215" s="38">
        <f t="shared" si="22"/>
        <v>2006</v>
      </c>
      <c r="M215" s="21">
        <f t="shared" si="23"/>
        <v>2.5629473547908637</v>
      </c>
      <c r="N215" s="21">
        <f t="shared" si="24"/>
        <v>2.6859889682512312</v>
      </c>
    </row>
    <row r="216" spans="1:14" x14ac:dyDescent="0.2">
      <c r="A216" s="33">
        <f>'GF + UG Iteration 11'!A216</f>
        <v>383</v>
      </c>
      <c r="B216" s="34" t="str">
        <f>'GF + UG Iteration 11'!B216</f>
        <v>UG</v>
      </c>
      <c r="C216" s="35">
        <f>'GF + UG Iteration 11'!C216</f>
        <v>0.51</v>
      </c>
      <c r="D216" s="36">
        <f>'GF + UG Iteration 11'!P$16*(C216^'GF + UG Iteration 11'!P$15)</f>
        <v>1.7371233221779032</v>
      </c>
      <c r="E216" s="37">
        <f>'GF + UG Iteration 11'!E216</f>
        <v>1984</v>
      </c>
      <c r="F216" s="35">
        <f>'GF + UG Iteration 11'!F216</f>
        <v>8</v>
      </c>
      <c r="G216" s="36">
        <f>'GF + UG Iteration 11'!G216</f>
        <v>3.9501723720469593</v>
      </c>
      <c r="H216" s="38">
        <f>'GF + UG Iteration 11'!H216</f>
        <v>2005</v>
      </c>
      <c r="I216" s="35">
        <f t="shared" si="20"/>
        <v>8.51</v>
      </c>
      <c r="J216" s="36">
        <f t="shared" si="21"/>
        <v>5.6872956942248623</v>
      </c>
      <c r="K216" s="38">
        <f t="shared" si="22"/>
        <v>2005</v>
      </c>
      <c r="M216" s="21">
        <f t="shared" si="23"/>
        <v>2.1412419425852827</v>
      </c>
      <c r="N216" s="21">
        <f t="shared" si="24"/>
        <v>1.7382348617373324</v>
      </c>
    </row>
    <row r="217" spans="1:14" x14ac:dyDescent="0.2">
      <c r="A217" s="33">
        <f>'GF + UG Iteration 11'!A217</f>
        <v>1020</v>
      </c>
      <c r="B217" s="34" t="str">
        <f>'GF + UG Iteration 11'!B217</f>
        <v>UG</v>
      </c>
      <c r="C217" s="35">
        <f>'GF + UG Iteration 11'!C217</f>
        <v>13</v>
      </c>
      <c r="D217" s="36">
        <f>'GF + UG Iteration 11'!P$16*(C217^'GF + UG Iteration 11'!P$15)</f>
        <v>11.094625716211098</v>
      </c>
      <c r="E217" s="37">
        <f>'GF + UG Iteration 11'!E217</f>
        <v>1977</v>
      </c>
      <c r="F217" s="35">
        <f>'GF + UG Iteration 11'!F217</f>
        <v>9</v>
      </c>
      <c r="G217" s="36">
        <f>'GF + UG Iteration 11'!G217</f>
        <v>7.3449786888029998</v>
      </c>
      <c r="H217" s="38">
        <f>'GF + UG Iteration 11'!H217</f>
        <v>2010</v>
      </c>
      <c r="I217" s="35">
        <f t="shared" si="20"/>
        <v>22</v>
      </c>
      <c r="J217" s="36">
        <f t="shared" si="21"/>
        <v>18.439604405014098</v>
      </c>
      <c r="K217" s="38">
        <f t="shared" si="22"/>
        <v>2010</v>
      </c>
      <c r="M217" s="21">
        <f t="shared" si="23"/>
        <v>3.0910424533583161</v>
      </c>
      <c r="N217" s="21">
        <f t="shared" si="24"/>
        <v>2.9145007648079853</v>
      </c>
    </row>
    <row r="218" spans="1:14" x14ac:dyDescent="0.2">
      <c r="A218" s="33">
        <f>'GF + UG Iteration 11'!A218</f>
        <v>1364</v>
      </c>
      <c r="B218" s="34" t="str">
        <f>'GF + UG Iteration 11'!B218</f>
        <v>UG</v>
      </c>
      <c r="C218" s="35">
        <f>'GF + UG Iteration 11'!C218</f>
        <v>8.5</v>
      </c>
      <c r="D218" s="36">
        <f>'GF + UG Iteration 11'!P$16*(C218^'GF + UG Iteration 11'!P$15)</f>
        <v>8.6987114257069607</v>
      </c>
      <c r="E218" s="37">
        <f>'GF + UG Iteration 11'!E218</f>
        <v>0</v>
      </c>
      <c r="F218" s="35">
        <f>'GF + UG Iteration 11'!F218</f>
        <v>34</v>
      </c>
      <c r="G218" s="36">
        <f>'GF + UG Iteration 11'!G218</f>
        <v>8.7951197470845859</v>
      </c>
      <c r="H218" s="38">
        <f>'GF + UG Iteration 11'!H218</f>
        <v>2013</v>
      </c>
      <c r="I218" s="35">
        <f t="shared" si="20"/>
        <v>42.5</v>
      </c>
      <c r="J218" s="36">
        <f t="shared" si="21"/>
        <v>17.493831172791545</v>
      </c>
      <c r="K218" s="38">
        <f t="shared" si="22"/>
        <v>2013</v>
      </c>
      <c r="M218" s="21">
        <f t="shared" si="23"/>
        <v>3.7495040759303713</v>
      </c>
      <c r="N218" s="21">
        <f t="shared" si="24"/>
        <v>2.861848314373272</v>
      </c>
    </row>
    <row r="219" spans="1:14" x14ac:dyDescent="0.2">
      <c r="A219" s="33">
        <f>'GF + UG Iteration 11'!A219</f>
        <v>503</v>
      </c>
      <c r="B219" s="34" t="str">
        <f>'GF + UG Iteration 11'!B219</f>
        <v>UG</v>
      </c>
      <c r="C219" s="35">
        <f>'GF + UG Iteration 11'!C219</f>
        <v>31</v>
      </c>
      <c r="D219" s="36">
        <f>'GF + UG Iteration 11'!P$16*(C219^'GF + UG Iteration 11'!P$15)</f>
        <v>18.248217361666022</v>
      </c>
      <c r="E219" s="37">
        <f>'GF + UG Iteration 11'!E219</f>
        <v>1972</v>
      </c>
      <c r="F219" s="35">
        <f>'GF + UG Iteration 11'!F219</f>
        <v>16</v>
      </c>
      <c r="G219" s="36">
        <f>'GF + UG Iteration 11'!G219</f>
        <v>3.8033222269089473</v>
      </c>
      <c r="H219" s="38">
        <f>'GF + UG Iteration 11'!H219</f>
        <v>2007</v>
      </c>
      <c r="I219" s="35">
        <f t="shared" si="20"/>
        <v>47</v>
      </c>
      <c r="J219" s="36">
        <f t="shared" si="21"/>
        <v>22.051539588574968</v>
      </c>
      <c r="K219" s="38">
        <f t="shared" si="22"/>
        <v>2007</v>
      </c>
      <c r="M219" s="21">
        <f t="shared" si="23"/>
        <v>3.8501476017100584</v>
      </c>
      <c r="N219" s="21">
        <f t="shared" si="24"/>
        <v>3.0933824220664796</v>
      </c>
    </row>
    <row r="220" spans="1:14" x14ac:dyDescent="0.2">
      <c r="A220" s="33">
        <f>'GF + UG Iteration 11'!A220</f>
        <v>925</v>
      </c>
      <c r="B220" s="34" t="str">
        <f>'GF + UG Iteration 11'!B220</f>
        <v>UG</v>
      </c>
      <c r="C220" s="35">
        <f>'GF + UG Iteration 11'!C220</f>
        <v>47</v>
      </c>
      <c r="D220" s="36">
        <f>'GF + UG Iteration 11'!P$16*(C220^'GF + UG Iteration 11'!P$15)</f>
        <v>23.158425963520436</v>
      </c>
      <c r="E220" s="37">
        <f>'GF + UG Iteration 11'!E220</f>
        <v>1972</v>
      </c>
      <c r="F220" s="35">
        <f>'GF + UG Iteration 11'!F220</f>
        <v>9</v>
      </c>
      <c r="G220" s="36">
        <f>'GF + UG Iteration 11'!G220</f>
        <v>3.3164697860941139</v>
      </c>
      <c r="H220" s="38">
        <f>'GF + UG Iteration 11'!H220</f>
        <v>2011</v>
      </c>
      <c r="I220" s="35">
        <f t="shared" si="20"/>
        <v>56</v>
      </c>
      <c r="J220" s="36">
        <f t="shared" si="21"/>
        <v>26.47489574961455</v>
      </c>
      <c r="K220" s="38">
        <f t="shared" si="22"/>
        <v>2011</v>
      </c>
      <c r="M220" s="21">
        <f t="shared" si="23"/>
        <v>4.0253516907351496</v>
      </c>
      <c r="N220" s="21">
        <f t="shared" si="24"/>
        <v>3.2761969537881046</v>
      </c>
    </row>
    <row r="221" spans="1:14" x14ac:dyDescent="0.2">
      <c r="A221" s="33">
        <f>'GF + UG Iteration 11'!A221</f>
        <v>821</v>
      </c>
      <c r="B221" s="34" t="str">
        <f>'GF + UG Iteration 11'!B221</f>
        <v>UG</v>
      </c>
      <c r="C221" s="35">
        <f>'GF + UG Iteration 11'!C221</f>
        <v>25</v>
      </c>
      <c r="D221" s="36">
        <f>'GF + UG Iteration 11'!P$16*(C221^'GF + UG Iteration 11'!P$15)</f>
        <v>16.133465761734715</v>
      </c>
      <c r="E221" s="37">
        <f>'GF + UG Iteration 11'!E221</f>
        <v>2006</v>
      </c>
      <c r="F221" s="35">
        <f>'GF + UG Iteration 11'!F221</f>
        <v>32</v>
      </c>
      <c r="G221" s="36">
        <f>'GF + UG Iteration 11'!G221</f>
        <v>9.4177371403666275</v>
      </c>
      <c r="H221" s="38">
        <f>'GF + UG Iteration 11'!H221</f>
        <v>2011</v>
      </c>
      <c r="I221" s="35">
        <f t="shared" si="20"/>
        <v>57</v>
      </c>
      <c r="J221" s="36">
        <f t="shared" si="21"/>
        <v>25.551202902101345</v>
      </c>
      <c r="K221" s="38">
        <f t="shared" si="22"/>
        <v>2011</v>
      </c>
      <c r="M221" s="21">
        <f t="shared" si="23"/>
        <v>4.0430512678345503</v>
      </c>
      <c r="N221" s="21">
        <f t="shared" si="24"/>
        <v>3.2406843958585481</v>
      </c>
    </row>
    <row r="222" spans="1:14" x14ac:dyDescent="0.2">
      <c r="A222" s="33">
        <f>'GF + UG Iteration 11'!A222</f>
        <v>486</v>
      </c>
      <c r="B222" s="34" t="str">
        <f>'GF + UG Iteration 11'!B222</f>
        <v>UG</v>
      </c>
      <c r="C222" s="35">
        <f>'GF + UG Iteration 11'!C222</f>
        <v>10.81</v>
      </c>
      <c r="D222" s="36">
        <f>'GF + UG Iteration 11'!P$16*(C222^'GF + UG Iteration 11'!P$15)</f>
        <v>9.9824627656771057</v>
      </c>
      <c r="E222" s="37">
        <f>'GF + UG Iteration 11'!E222</f>
        <v>1993</v>
      </c>
      <c r="F222" s="35">
        <f>'GF + UG Iteration 11'!F222</f>
        <v>3.1399999999999988</v>
      </c>
      <c r="G222" s="36">
        <f>'GF + UG Iteration 11'!G222</f>
        <v>0.34692120274319505</v>
      </c>
      <c r="H222" s="38">
        <f>'GF + UG Iteration 11'!H222</f>
        <v>2005</v>
      </c>
      <c r="I222" s="35">
        <f t="shared" si="20"/>
        <v>13.95</v>
      </c>
      <c r="J222" s="36">
        <f t="shared" si="21"/>
        <v>10.3293839684203</v>
      </c>
      <c r="K222" s="38">
        <f t="shared" si="22"/>
        <v>2005</v>
      </c>
      <c r="M222" s="21">
        <f t="shared" si="23"/>
        <v>2.6354795082673745</v>
      </c>
      <c r="N222" s="21">
        <f t="shared" si="24"/>
        <v>2.3349926461568122</v>
      </c>
    </row>
    <row r="223" spans="1:14" x14ac:dyDescent="0.2">
      <c r="A223" s="33">
        <f>'GF + UG Iteration 11'!A223</f>
        <v>779</v>
      </c>
      <c r="B223" s="34" t="str">
        <f>'GF + UG Iteration 11'!B223</f>
        <v>UG</v>
      </c>
      <c r="C223" s="35">
        <f>'GF + UG Iteration 11'!C223</f>
        <v>13.95</v>
      </c>
      <c r="D223" s="36">
        <f>'GF + UG Iteration 11'!P$16*(C223^'GF + UG Iteration 11'!P$15)</f>
        <v>11.551854892315843</v>
      </c>
      <c r="E223" s="37">
        <f>'GF + UG Iteration 11'!E223</f>
        <v>1993</v>
      </c>
      <c r="F223" s="35">
        <f>'GF + UG Iteration 11'!F223</f>
        <v>4.0500000000000007</v>
      </c>
      <c r="G223" s="36">
        <f>'GF + UG Iteration 11'!G223</f>
        <v>0.91575874480529229</v>
      </c>
      <c r="H223" s="38">
        <f>'GF + UG Iteration 11'!H223</f>
        <v>2008</v>
      </c>
      <c r="I223" s="35">
        <f t="shared" si="20"/>
        <v>18</v>
      </c>
      <c r="J223" s="36">
        <f t="shared" si="21"/>
        <v>12.467613637121135</v>
      </c>
      <c r="K223" s="38">
        <f t="shared" si="22"/>
        <v>2008</v>
      </c>
      <c r="M223" s="21">
        <f t="shared" si="23"/>
        <v>2.8903717578961645</v>
      </c>
      <c r="N223" s="21">
        <f t="shared" si="24"/>
        <v>2.5231343730644293</v>
      </c>
    </row>
    <row r="224" spans="1:14" x14ac:dyDescent="0.2">
      <c r="A224" s="33">
        <f>'GF + UG Iteration 11'!A224</f>
        <v>1416</v>
      </c>
      <c r="B224" s="34" t="str">
        <f>'GF + UG Iteration 11'!B224</f>
        <v>UG</v>
      </c>
      <c r="C224" s="35">
        <f>'GF + UG Iteration 11'!C224</f>
        <v>18</v>
      </c>
      <c r="D224" s="36">
        <f>'GF + UG Iteration 11'!P$16*(C224^'GF + UG Iteration 11'!P$15)</f>
        <v>13.367093853096874</v>
      </c>
      <c r="E224" s="37">
        <f>'GF + UG Iteration 11'!E224</f>
        <v>1993</v>
      </c>
      <c r="F224" s="35">
        <f>'GF + UG Iteration 11'!F224</f>
        <v>6</v>
      </c>
      <c r="G224" s="36">
        <f>'GF + UG Iteration 11'!G224</f>
        <v>1.4181567457767223</v>
      </c>
      <c r="H224" s="38">
        <f>'GF + UG Iteration 11'!H224</f>
        <v>2014</v>
      </c>
      <c r="I224" s="35">
        <f t="shared" si="20"/>
        <v>24</v>
      </c>
      <c r="J224" s="36">
        <f t="shared" si="21"/>
        <v>14.785250598873596</v>
      </c>
      <c r="K224" s="38">
        <f t="shared" si="22"/>
        <v>2014</v>
      </c>
      <c r="M224" s="21">
        <f t="shared" si="23"/>
        <v>3.1780538303479458</v>
      </c>
      <c r="N224" s="21">
        <f t="shared" si="24"/>
        <v>2.6936301026957055</v>
      </c>
    </row>
    <row r="225" spans="1:14" x14ac:dyDescent="0.2">
      <c r="A225" s="33">
        <f>'GF + UG Iteration 11'!A225</f>
        <v>554</v>
      </c>
      <c r="B225" s="34" t="str">
        <f>'GF + UG Iteration 11'!B225</f>
        <v>UG</v>
      </c>
      <c r="C225" s="35">
        <f>'GF + UG Iteration 11'!C225</f>
        <v>23</v>
      </c>
      <c r="D225" s="36">
        <f>'GF + UG Iteration 11'!P$16*(C225^'GF + UG Iteration 11'!P$15)</f>
        <v>15.381290304257373</v>
      </c>
      <c r="E225" s="37">
        <f>'GF + UG Iteration 11'!E225</f>
        <v>1968</v>
      </c>
      <c r="F225" s="35">
        <f>'GF + UG Iteration 11'!F225</f>
        <v>8.2600000000000016</v>
      </c>
      <c r="G225" s="36">
        <f>'GF + UG Iteration 11'!G225</f>
        <v>1.061095708813089</v>
      </c>
      <c r="H225" s="38">
        <f>'GF + UG Iteration 11'!H225</f>
        <v>2006</v>
      </c>
      <c r="I225" s="35">
        <f t="shared" si="20"/>
        <v>31.26</v>
      </c>
      <c r="J225" s="36">
        <f t="shared" si="21"/>
        <v>16.442386013070461</v>
      </c>
      <c r="K225" s="38">
        <f t="shared" si="22"/>
        <v>2006</v>
      </c>
      <c r="M225" s="21">
        <f t="shared" si="23"/>
        <v>3.4423393249933305</v>
      </c>
      <c r="N225" s="21">
        <f t="shared" si="24"/>
        <v>2.7998625137120161</v>
      </c>
    </row>
    <row r="226" spans="1:14" x14ac:dyDescent="0.2">
      <c r="A226" s="33">
        <f>'GF + UG Iteration 11'!A226</f>
        <v>1581</v>
      </c>
      <c r="B226" s="34" t="str">
        <f>'GF + UG Iteration 11'!B226</f>
        <v>UG</v>
      </c>
      <c r="C226" s="35">
        <f>'GF + UG Iteration 11'!C226</f>
        <v>7.44</v>
      </c>
      <c r="D226" s="36">
        <f>'GF + UG Iteration 11'!P$16*(C226^'GF + UG Iteration 11'!P$15)</f>
        <v>8.0599548490119926</v>
      </c>
      <c r="E226" s="37" t="str">
        <f>'GF + UG Iteration 11'!E226</f>
        <v>unknown</v>
      </c>
      <c r="F226" s="35">
        <f>'GF + UG Iteration 11'!F226</f>
        <v>9.36</v>
      </c>
      <c r="G226" s="36">
        <f>'GF + UG Iteration 11'!G226</f>
        <v>5.3848313505476417</v>
      </c>
      <c r="H226" s="38">
        <f>'GF + UG Iteration 11'!H226</f>
        <v>2015</v>
      </c>
      <c r="I226" s="35">
        <f t="shared" si="20"/>
        <v>16.8</v>
      </c>
      <c r="J226" s="36">
        <f t="shared" si="21"/>
        <v>13.444786199559633</v>
      </c>
      <c r="K226" s="38">
        <f t="shared" si="22"/>
        <v>2015</v>
      </c>
      <c r="M226" s="21">
        <f t="shared" si="23"/>
        <v>2.8213788864092133</v>
      </c>
      <c r="N226" s="21">
        <f t="shared" si="24"/>
        <v>2.5985913877394</v>
      </c>
    </row>
    <row r="227" spans="1:14" x14ac:dyDescent="0.2">
      <c r="A227" s="33">
        <f>'GF + UG Iteration 11'!A227</f>
        <v>880</v>
      </c>
      <c r="B227" s="34" t="str">
        <f>'GF + UG Iteration 11'!B227</f>
        <v>UG</v>
      </c>
      <c r="C227" s="35">
        <f>'GF + UG Iteration 11'!C227</f>
        <v>8.9499999999999993</v>
      </c>
      <c r="D227" s="36">
        <f>'GF + UG Iteration 11'!P$16*(C227^'GF + UG Iteration 11'!P$15)</f>
        <v>8.9594923066412555</v>
      </c>
      <c r="E227" s="37">
        <f>'GF + UG Iteration 11'!E227</f>
        <v>1966</v>
      </c>
      <c r="F227" s="35">
        <f>'GF + UG Iteration 11'!F227</f>
        <v>2.0500000000000007</v>
      </c>
      <c r="G227" s="36">
        <f>'GF + UG Iteration 11'!G227</f>
        <v>4.5763928166345611</v>
      </c>
      <c r="H227" s="38">
        <f>'GF + UG Iteration 11'!H227</f>
        <v>2010</v>
      </c>
      <c r="I227" s="35">
        <f t="shared" si="20"/>
        <v>11</v>
      </c>
      <c r="J227" s="36">
        <f t="shared" si="21"/>
        <v>13.535885123275817</v>
      </c>
      <c r="K227" s="38">
        <f t="shared" si="22"/>
        <v>2010</v>
      </c>
      <c r="M227" s="21">
        <f t="shared" si="23"/>
        <v>2.3978952727983707</v>
      </c>
      <c r="N227" s="21">
        <f t="shared" si="24"/>
        <v>2.6053443160722267</v>
      </c>
    </row>
    <row r="228" spans="1:14" x14ac:dyDescent="0.2">
      <c r="A228" s="33">
        <f>'GF + UG Iteration 11'!A228</f>
        <v>1047</v>
      </c>
      <c r="B228" s="34" t="str">
        <f>'GF + UG Iteration 11'!B228</f>
        <v>UG</v>
      </c>
      <c r="C228" s="35">
        <f>'GF + UG Iteration 11'!C228</f>
        <v>10</v>
      </c>
      <c r="D228" s="36">
        <f>'GF + UG Iteration 11'!P$16*(C228^'GF + UG Iteration 11'!P$15)</f>
        <v>9.5470518584650073</v>
      </c>
      <c r="E228" s="37">
        <f>'GF + UG Iteration 11'!E228</f>
        <v>1965</v>
      </c>
      <c r="F228" s="35">
        <f>'GF + UG Iteration 11'!F228</f>
        <v>5</v>
      </c>
      <c r="G228" s="36">
        <f>'GF + UG Iteration 11'!G228</f>
        <v>6.2586429220605622</v>
      </c>
      <c r="H228" s="38">
        <f>'GF + UG Iteration 11'!H228</f>
        <v>2012</v>
      </c>
      <c r="I228" s="35">
        <f t="shared" si="20"/>
        <v>15</v>
      </c>
      <c r="J228" s="36">
        <f t="shared" si="21"/>
        <v>15.80569478052557</v>
      </c>
      <c r="K228" s="38">
        <f t="shared" si="22"/>
        <v>2012</v>
      </c>
      <c r="M228" s="21">
        <f t="shared" si="23"/>
        <v>2.7080502011022101</v>
      </c>
      <c r="N228" s="21">
        <f t="shared" si="24"/>
        <v>2.7603703042411274</v>
      </c>
    </row>
    <row r="229" spans="1:14" x14ac:dyDescent="0.2">
      <c r="A229" s="33">
        <f>'GF + UG Iteration 11'!A229</f>
        <v>1045</v>
      </c>
      <c r="B229" s="34" t="str">
        <f>'GF + UG Iteration 11'!B229</f>
        <v>UG</v>
      </c>
      <c r="C229" s="35">
        <f>'GF + UG Iteration 11'!C229</f>
        <v>24.065999999999999</v>
      </c>
      <c r="D229" s="36">
        <f>'GF + UG Iteration 11'!P$16*(C229^'GF + UG Iteration 11'!P$15)</f>
        <v>15.785530750025552</v>
      </c>
      <c r="E229" s="37">
        <f>'GF + UG Iteration 11'!E229</f>
        <v>1971</v>
      </c>
      <c r="F229" s="35">
        <f>'GF + UG Iteration 11'!F229</f>
        <v>7.9340000000000011</v>
      </c>
      <c r="G229" s="36">
        <f>'GF + UG Iteration 11'!G229</f>
        <v>3.8009199870921253</v>
      </c>
      <c r="H229" s="38">
        <f>'GF + UG Iteration 11'!H229</f>
        <v>2011</v>
      </c>
      <c r="I229" s="35">
        <f t="shared" si="20"/>
        <v>32</v>
      </c>
      <c r="J229" s="36">
        <f t="shared" si="21"/>
        <v>19.586450737117676</v>
      </c>
      <c r="K229" s="38">
        <f t="shared" si="22"/>
        <v>2011</v>
      </c>
      <c r="M229" s="21">
        <f t="shared" si="23"/>
        <v>3.4657359027997265</v>
      </c>
      <c r="N229" s="21">
        <f t="shared" si="24"/>
        <v>2.9748380382635418</v>
      </c>
    </row>
    <row r="230" spans="1:14" x14ac:dyDescent="0.2">
      <c r="A230" s="33">
        <f>'GF + UG Iteration 11'!A230</f>
        <v>1616</v>
      </c>
      <c r="B230" s="34" t="str">
        <f>'GF + UG Iteration 11'!B230</f>
        <v>UG</v>
      </c>
      <c r="C230" s="35">
        <f>'GF + UG Iteration 11'!C230</f>
        <v>21.68</v>
      </c>
      <c r="D230" s="36">
        <f>'GF + UG Iteration 11'!P$16*(C230^'GF + UG Iteration 11'!P$15)</f>
        <v>14.869456182528982</v>
      </c>
      <c r="E230" s="37" t="str">
        <f>'GF + UG Iteration 11'!E230</f>
        <v>unknown</v>
      </c>
      <c r="F230" s="35">
        <f>'GF + UG Iteration 11'!F230</f>
        <v>25.75</v>
      </c>
      <c r="G230" s="36">
        <f>'GF + UG Iteration 11'!G230</f>
        <v>0.84818580502502572</v>
      </c>
      <c r="H230" s="38">
        <f>'GF + UG Iteration 11'!H230</f>
        <v>2015</v>
      </c>
      <c r="I230" s="35">
        <f t="shared" si="20"/>
        <v>47.43</v>
      </c>
      <c r="J230" s="36">
        <f t="shared" si="21"/>
        <v>15.717641987554007</v>
      </c>
      <c r="K230" s="38">
        <f t="shared" si="22"/>
        <v>2015</v>
      </c>
      <c r="M230" s="21">
        <f t="shared" si="23"/>
        <v>3.8592549398894902</v>
      </c>
      <c r="N230" s="21">
        <f t="shared" si="24"/>
        <v>2.7547837749580868</v>
      </c>
    </row>
    <row r="231" spans="1:14" x14ac:dyDescent="0.2">
      <c r="A231" s="33">
        <f>'GF + UG Iteration 11'!A231</f>
        <v>362</v>
      </c>
      <c r="B231" s="34" t="str">
        <f>'GF + UG Iteration 11'!B231</f>
        <v>UG</v>
      </c>
      <c r="C231" s="35">
        <f>'GF + UG Iteration 11'!C231</f>
        <v>51.8</v>
      </c>
      <c r="D231" s="36">
        <f>'GF + UG Iteration 11'!P$16*(C231^'GF + UG Iteration 11'!P$15)</f>
        <v>24.484475568528133</v>
      </c>
      <c r="E231" s="37">
        <f>'GF + UG Iteration 11'!E231</f>
        <v>1971</v>
      </c>
      <c r="F231" s="35">
        <f>'GF + UG Iteration 11'!F231</f>
        <v>1</v>
      </c>
      <c r="G231" s="36">
        <f>'GF + UG Iteration 11'!G231</f>
        <v>0.78848028183233532</v>
      </c>
      <c r="H231" s="38">
        <f>'GF + UG Iteration 11'!H231</f>
        <v>2004</v>
      </c>
      <c r="I231" s="35">
        <f t="shared" si="20"/>
        <v>52.8</v>
      </c>
      <c r="J231" s="36">
        <f t="shared" si="21"/>
        <v>25.272955850360468</v>
      </c>
      <c r="K231" s="38">
        <f t="shared" si="22"/>
        <v>2004</v>
      </c>
      <c r="M231" s="21">
        <f t="shared" si="23"/>
        <v>3.9665111907122159</v>
      </c>
      <c r="N231" s="21">
        <f t="shared" si="24"/>
        <v>3.2297348852900893</v>
      </c>
    </row>
    <row r="232" spans="1:14" x14ac:dyDescent="0.2">
      <c r="A232" s="33">
        <f>'GF + UG Iteration 11'!A232</f>
        <v>924</v>
      </c>
      <c r="B232" s="34" t="str">
        <f>'GF + UG Iteration 11'!B232</f>
        <v>UG</v>
      </c>
      <c r="C232" s="35">
        <f>'GF + UG Iteration 11'!C232</f>
        <v>45.94</v>
      </c>
      <c r="D232" s="36">
        <f>'GF + UG Iteration 11'!P$16*(C232^'GF + UG Iteration 11'!P$15)</f>
        <v>22.857904663422872</v>
      </c>
      <c r="E232" s="37">
        <f>'GF + UG Iteration 11'!E232</f>
        <v>1982</v>
      </c>
      <c r="F232" s="35">
        <f>'GF + UG Iteration 11'!F232</f>
        <v>6.0600000000000023</v>
      </c>
      <c r="G232" s="36">
        <f>'GF + UG Iteration 11'!G232</f>
        <v>1.4264307906682692</v>
      </c>
      <c r="H232" s="38">
        <f>'GF + UG Iteration 11'!H232</f>
        <v>2010</v>
      </c>
      <c r="I232" s="35">
        <f t="shared" si="20"/>
        <v>52</v>
      </c>
      <c r="J232" s="36">
        <f t="shared" si="21"/>
        <v>24.284335454091142</v>
      </c>
      <c r="K232" s="38">
        <f t="shared" si="22"/>
        <v>2010</v>
      </c>
      <c r="M232" s="21">
        <f t="shared" si="23"/>
        <v>3.9512437185814275</v>
      </c>
      <c r="N232" s="21">
        <f t="shared" si="24"/>
        <v>3.189831510963387</v>
      </c>
    </row>
    <row r="233" spans="1:14" x14ac:dyDescent="0.2">
      <c r="A233" s="33">
        <f>'GF + UG Iteration 11'!A233</f>
        <v>1241</v>
      </c>
      <c r="B233" s="34" t="str">
        <f>'GF + UG Iteration 11'!B233</f>
        <v>UG</v>
      </c>
      <c r="C233" s="35">
        <f>'GF + UG Iteration 11'!C233</f>
        <v>20.29</v>
      </c>
      <c r="D233" s="36">
        <f>'GF + UG Iteration 11'!P$16*(C233^'GF + UG Iteration 11'!P$15)</f>
        <v>14.315858330278187</v>
      </c>
      <c r="E233" s="37" t="str">
        <f>'GF + UG Iteration 11'!E233</f>
        <v>unknown</v>
      </c>
      <c r="F233" s="35">
        <f>'GF + UG Iteration 11'!F233</f>
        <v>6</v>
      </c>
      <c r="G233" s="36">
        <f>'GF + UG Iteration 11'!G233</f>
        <v>2.625007735639064</v>
      </c>
      <c r="H233" s="38">
        <f>'GF + UG Iteration 11'!H233</f>
        <v>2012</v>
      </c>
      <c r="I233" s="35">
        <f t="shared" si="20"/>
        <v>26.29</v>
      </c>
      <c r="J233" s="36">
        <f t="shared" si="21"/>
        <v>16.940866065917252</v>
      </c>
      <c r="K233" s="38">
        <f t="shared" si="22"/>
        <v>2012</v>
      </c>
      <c r="M233" s="21">
        <f t="shared" si="23"/>
        <v>3.2691886387417899</v>
      </c>
      <c r="N233" s="21">
        <f t="shared" si="24"/>
        <v>2.8297288134139307</v>
      </c>
    </row>
    <row r="234" spans="1:14" x14ac:dyDescent="0.2">
      <c r="A234" s="33">
        <f>'GF + UG Iteration 11'!A234</f>
        <v>438</v>
      </c>
      <c r="B234" s="34" t="str">
        <f>'GF + UG Iteration 11'!B234</f>
        <v>UG</v>
      </c>
      <c r="C234" s="35">
        <f>'GF + UG Iteration 11'!C234</f>
        <v>8.2460000000000004</v>
      </c>
      <c r="D234" s="36">
        <f>'GF + UG Iteration 11'!P$16*(C234^'GF + UG Iteration 11'!P$15)</f>
        <v>8.548908050452523</v>
      </c>
      <c r="E234" s="37">
        <f>'GF + UG Iteration 11'!E234</f>
        <v>1978</v>
      </c>
      <c r="F234" s="35">
        <f>'GF + UG Iteration 11'!F234</f>
        <v>1</v>
      </c>
      <c r="G234" s="36">
        <f>'GF + UG Iteration 11'!G234</f>
        <v>0.18095315250984781</v>
      </c>
      <c r="H234" s="38">
        <f>'GF + UG Iteration 11'!H234</f>
        <v>2004</v>
      </c>
      <c r="I234" s="35">
        <f t="shared" si="20"/>
        <v>9.2460000000000004</v>
      </c>
      <c r="J234" s="36">
        <f t="shared" si="21"/>
        <v>8.7298612029623701</v>
      </c>
      <c r="K234" s="38">
        <f t="shared" si="22"/>
        <v>2004</v>
      </c>
      <c r="M234" s="21">
        <f t="shared" si="23"/>
        <v>2.2241910255660335</v>
      </c>
      <c r="N234" s="21">
        <f t="shared" si="24"/>
        <v>2.1667494708662876</v>
      </c>
    </row>
    <row r="235" spans="1:14" x14ac:dyDescent="0.2">
      <c r="A235" s="33">
        <f>'GF + UG Iteration 11'!A235</f>
        <v>748</v>
      </c>
      <c r="B235" s="34" t="str">
        <f>'GF + UG Iteration 11'!B235</f>
        <v>UG</v>
      </c>
      <c r="C235" s="35">
        <f>'GF + UG Iteration 11'!C235</f>
        <v>25.541</v>
      </c>
      <c r="D235" s="36">
        <f>'GF + UG Iteration 11'!P$16*(C235^'GF + UG Iteration 11'!P$15)</f>
        <v>16.332459673918855</v>
      </c>
      <c r="E235" s="37">
        <f>'GF + UG Iteration 11'!E235</f>
        <v>1995</v>
      </c>
      <c r="F235" s="35">
        <f>'GF + UG Iteration 11'!F235</f>
        <v>1</v>
      </c>
      <c r="G235" s="36">
        <f>'GF + UG Iteration 11'!G235</f>
        <v>0.38858476644316492</v>
      </c>
      <c r="H235" s="38">
        <f>'GF + UG Iteration 11'!H235</f>
        <v>2008</v>
      </c>
      <c r="I235" s="35">
        <f t="shared" si="20"/>
        <v>26.541</v>
      </c>
      <c r="J235" s="36">
        <f t="shared" si="21"/>
        <v>16.721044440362022</v>
      </c>
      <c r="K235" s="38">
        <f t="shared" si="22"/>
        <v>2008</v>
      </c>
      <c r="M235" s="21">
        <f t="shared" si="23"/>
        <v>3.2786907071693587</v>
      </c>
      <c r="N235" s="21">
        <f t="shared" si="24"/>
        <v>2.8166680722344322</v>
      </c>
    </row>
    <row r="236" spans="1:14" x14ac:dyDescent="0.2">
      <c r="A236" s="33">
        <f>'GF + UG Iteration 11'!A236</f>
        <v>1319</v>
      </c>
      <c r="B236" s="34" t="str">
        <f>'GF + UG Iteration 11'!B236</f>
        <v>UG</v>
      </c>
      <c r="C236" s="35">
        <f>'GF + UG Iteration 11'!C236</f>
        <v>15.71</v>
      </c>
      <c r="D236" s="36">
        <f>'GF + UG Iteration 11'!P$16*(C236^'GF + UG Iteration 11'!P$15)</f>
        <v>12.365131809702774</v>
      </c>
      <c r="E236" s="37">
        <f>'GF + UG Iteration 11'!E236</f>
        <v>0</v>
      </c>
      <c r="F236" s="35">
        <f>'GF + UG Iteration 11'!F236</f>
        <v>4.2899999999999991</v>
      </c>
      <c r="G236" s="36">
        <f>'GF + UG Iteration 11'!G236</f>
        <v>3.2376779482440865</v>
      </c>
      <c r="H236" s="38">
        <f>'GF + UG Iteration 11'!H236</f>
        <v>2014</v>
      </c>
      <c r="I236" s="35">
        <f t="shared" si="20"/>
        <v>20</v>
      </c>
      <c r="J236" s="36">
        <f t="shared" si="21"/>
        <v>15.602809757946861</v>
      </c>
      <c r="K236" s="38">
        <f t="shared" si="22"/>
        <v>2014</v>
      </c>
      <c r="M236" s="21">
        <f t="shared" si="23"/>
        <v>2.9957322735539909</v>
      </c>
      <c r="N236" s="21">
        <f t="shared" si="24"/>
        <v>2.7474510107260497</v>
      </c>
    </row>
    <row r="237" spans="1:14" x14ac:dyDescent="0.2">
      <c r="A237" s="33">
        <f>'GF + UG Iteration 11'!A237</f>
        <v>892</v>
      </c>
      <c r="B237" s="34" t="str">
        <f>'GF + UG Iteration 11'!B237</f>
        <v>UG</v>
      </c>
      <c r="C237" s="35">
        <f>'GF + UG Iteration 11'!C237</f>
        <v>13.05</v>
      </c>
      <c r="D237" s="36">
        <f>'GF + UG Iteration 11'!P$16*(C237^'GF + UG Iteration 11'!P$15)</f>
        <v>11.119039228917037</v>
      </c>
      <c r="E237" s="37">
        <f>'GF + UG Iteration 11'!E237</f>
        <v>1972</v>
      </c>
      <c r="F237" s="35">
        <f>'GF + UG Iteration 11'!F237</f>
        <v>0</v>
      </c>
      <c r="G237" s="36">
        <f>'GF + UG Iteration 11'!G237</f>
        <v>3.2490818561124843</v>
      </c>
      <c r="H237" s="38">
        <f>'GF + UG Iteration 11'!H237</f>
        <v>2011</v>
      </c>
      <c r="I237" s="35">
        <f t="shared" si="20"/>
        <v>13.05</v>
      </c>
      <c r="J237" s="36">
        <f t="shared" si="21"/>
        <v>14.368121085029522</v>
      </c>
      <c r="K237" s="38">
        <f t="shared" si="22"/>
        <v>2011</v>
      </c>
      <c r="M237" s="21">
        <f t="shared" si="23"/>
        <v>2.5687881337687024</v>
      </c>
      <c r="N237" s="21">
        <f t="shared" si="24"/>
        <v>2.665011938934517</v>
      </c>
    </row>
    <row r="238" spans="1:14" x14ac:dyDescent="0.2">
      <c r="A238" s="33">
        <f>'GF + UG Iteration 11'!A238</f>
        <v>504</v>
      </c>
      <c r="B238" s="34" t="str">
        <f>'GF + UG Iteration 11'!B238</f>
        <v>UG</v>
      </c>
      <c r="C238" s="35">
        <f>'GF + UG Iteration 11'!C238</f>
        <v>10.496</v>
      </c>
      <c r="D238" s="36">
        <f>'GF + UG Iteration 11'!P$16*(C238^'GF + UG Iteration 11'!P$15)</f>
        <v>9.8153866778053906</v>
      </c>
      <c r="E238" s="37">
        <f>'GF + UG Iteration 11'!E238</f>
        <v>2007</v>
      </c>
      <c r="F238" s="35">
        <f>'GF + UG Iteration 11'!F238</f>
        <v>0</v>
      </c>
      <c r="G238" s="36">
        <f>'GF + UG Iteration 11'!G238</f>
        <v>2.1923137026225539</v>
      </c>
      <c r="H238" s="38">
        <f>'GF + UG Iteration 11'!H238</f>
        <v>2006</v>
      </c>
      <c r="I238" s="35">
        <f t="shared" si="20"/>
        <v>10.496</v>
      </c>
      <c r="J238" s="36">
        <f t="shared" si="21"/>
        <v>12.007700380427945</v>
      </c>
      <c r="K238" s="38">
        <f t="shared" si="22"/>
        <v>2007</v>
      </c>
      <c r="M238" s="21">
        <f t="shared" si="23"/>
        <v>2.3509942322017334</v>
      </c>
      <c r="N238" s="21">
        <f t="shared" si="24"/>
        <v>2.4855481423566337</v>
      </c>
    </row>
    <row r="239" spans="1:14" x14ac:dyDescent="0.2">
      <c r="A239" s="33">
        <f>'GF + UG Iteration 11'!A239</f>
        <v>618</v>
      </c>
      <c r="B239" s="34" t="str">
        <f>'GF + UG Iteration 11'!B239</f>
        <v>UG</v>
      </c>
      <c r="C239" s="35">
        <f>'GF + UG Iteration 11'!C239</f>
        <v>11</v>
      </c>
      <c r="D239" s="36">
        <f>'GF + UG Iteration 11'!P$16*(C239^'GF + UG Iteration 11'!P$15)</f>
        <v>10.082553124830609</v>
      </c>
      <c r="E239" s="37">
        <f>'GF + UG Iteration 11'!E239</f>
        <v>1995</v>
      </c>
      <c r="F239" s="35">
        <f>'GF + UG Iteration 11'!F239</f>
        <v>11.5</v>
      </c>
      <c r="G239" s="36">
        <f>'GF + UG Iteration 11'!G239</f>
        <v>2.3464649770982668</v>
      </c>
      <c r="H239" s="38">
        <f>'GF + UG Iteration 11'!H239</f>
        <v>2006</v>
      </c>
      <c r="I239" s="35">
        <f t="shared" si="20"/>
        <v>22.5</v>
      </c>
      <c r="J239" s="36">
        <f t="shared" si="21"/>
        <v>12.429018101928875</v>
      </c>
      <c r="K239" s="38">
        <f t="shared" si="22"/>
        <v>2006</v>
      </c>
      <c r="M239" s="21">
        <f t="shared" si="23"/>
        <v>3.1135153092103742</v>
      </c>
      <c r="N239" s="21">
        <f t="shared" si="24"/>
        <v>2.5200339081891281</v>
      </c>
    </row>
    <row r="240" spans="1:14" x14ac:dyDescent="0.2">
      <c r="A240" s="33">
        <f>'GF + UG Iteration 11'!A240</f>
        <v>712</v>
      </c>
      <c r="B240" s="34" t="str">
        <f>'GF + UG Iteration 11'!B240</f>
        <v>UG</v>
      </c>
      <c r="C240" s="35">
        <f>'GF + UG Iteration 11'!C240</f>
        <v>7.5</v>
      </c>
      <c r="D240" s="36">
        <f>'GF + UG Iteration 11'!P$16*(C240^'GF + UG Iteration 11'!P$15)</f>
        <v>8.0971094065716791</v>
      </c>
      <c r="E240" s="37">
        <f>'GF + UG Iteration 11'!E240</f>
        <v>1980</v>
      </c>
      <c r="F240" s="35">
        <f>'GF + UG Iteration 11'!F240</f>
        <v>1</v>
      </c>
      <c r="G240" s="36">
        <f>'GF + UG Iteration 11'!G240</f>
        <v>7.8904141673966368</v>
      </c>
      <c r="H240" s="38">
        <f>'GF + UG Iteration 11'!H240</f>
        <v>2011</v>
      </c>
      <c r="I240" s="35">
        <f t="shared" si="20"/>
        <v>8.5</v>
      </c>
      <c r="J240" s="36">
        <f t="shared" si="21"/>
        <v>15.987523573968316</v>
      </c>
      <c r="K240" s="38">
        <f t="shared" si="22"/>
        <v>2011</v>
      </c>
      <c r="M240" s="21">
        <f t="shared" si="23"/>
        <v>2.1400661634962708</v>
      </c>
      <c r="N240" s="21">
        <f t="shared" si="24"/>
        <v>2.7718086414288665</v>
      </c>
    </row>
    <row r="241" spans="1:14" x14ac:dyDescent="0.2">
      <c r="A241" s="33">
        <f>'GF + UG Iteration 11'!A241</f>
        <v>726</v>
      </c>
      <c r="B241" s="34" t="str">
        <f>'GF + UG Iteration 11'!B241</f>
        <v>UG</v>
      </c>
      <c r="C241" s="35">
        <f>'GF + UG Iteration 11'!C241</f>
        <v>25.635400000000001</v>
      </c>
      <c r="D241" s="36">
        <f>'GF + UG Iteration 11'!P$16*(C241^'GF + UG Iteration 11'!P$15)</f>
        <v>16.366997146355899</v>
      </c>
      <c r="E241" s="37">
        <f>'GF + UG Iteration 11'!E241</f>
        <v>1982</v>
      </c>
      <c r="F241" s="35">
        <f>'GF + UG Iteration 11'!F241</f>
        <v>5.3645999999999994</v>
      </c>
      <c r="G241" s="36">
        <f>'GF + UG Iteration 11'!G241</f>
        <v>1.031633192087684</v>
      </c>
      <c r="H241" s="38">
        <f>'GF + UG Iteration 11'!H241</f>
        <v>2008</v>
      </c>
      <c r="I241" s="35">
        <f t="shared" si="20"/>
        <v>31</v>
      </c>
      <c r="J241" s="36">
        <f t="shared" si="21"/>
        <v>17.398630338443585</v>
      </c>
      <c r="K241" s="38">
        <f t="shared" si="22"/>
        <v>2008</v>
      </c>
      <c r="M241" s="21">
        <f t="shared" si="23"/>
        <v>3.4339872044851463</v>
      </c>
      <c r="N241" s="21">
        <f t="shared" si="24"/>
        <v>2.8563914869407991</v>
      </c>
    </row>
    <row r="242" spans="1:14" x14ac:dyDescent="0.2">
      <c r="A242" s="33">
        <f>'GF + UG Iteration 11'!A242</f>
        <v>530</v>
      </c>
      <c r="B242" s="34" t="str">
        <f>'GF + UG Iteration 11'!B242</f>
        <v>UG</v>
      </c>
      <c r="C242" s="35">
        <f>'GF + UG Iteration 11'!C242</f>
        <v>25</v>
      </c>
      <c r="D242" s="36">
        <f>'GF + UG Iteration 11'!P$16*(C242^'GF + UG Iteration 11'!P$15)</f>
        <v>16.133465761734715</v>
      </c>
      <c r="E242" s="37">
        <f>'GF + UG Iteration 11'!E242</f>
        <v>1982</v>
      </c>
      <c r="F242" s="35">
        <f>'GF + UG Iteration 11'!F242</f>
        <v>20</v>
      </c>
      <c r="G242" s="36">
        <f>'GF + UG Iteration 11'!G242</f>
        <v>4.5022608459814819</v>
      </c>
      <c r="H242" s="38">
        <f>'GF + UG Iteration 11'!H242</f>
        <v>2006</v>
      </c>
      <c r="I242" s="35">
        <f t="shared" si="20"/>
        <v>45</v>
      </c>
      <c r="J242" s="36">
        <f t="shared" si="21"/>
        <v>20.635726607716197</v>
      </c>
      <c r="K242" s="38">
        <f t="shared" si="22"/>
        <v>2006</v>
      </c>
      <c r="M242" s="21">
        <f t="shared" si="23"/>
        <v>3.8066624897703196</v>
      </c>
      <c r="N242" s="21">
        <f t="shared" si="24"/>
        <v>3.027023874976956</v>
      </c>
    </row>
    <row r="243" spans="1:14" x14ac:dyDescent="0.2">
      <c r="A243" s="33">
        <f>'GF + UG Iteration 11'!A243</f>
        <v>755</v>
      </c>
      <c r="B243" s="34" t="str">
        <f>'GF + UG Iteration 11'!B243</f>
        <v>UG</v>
      </c>
      <c r="C243" s="35">
        <f>'GF + UG Iteration 11'!C243</f>
        <v>8.6980000000000004</v>
      </c>
      <c r="D243" s="36">
        <f>'GF + UG Iteration 11'!P$16*(C243^'GF + UG Iteration 11'!P$15)</f>
        <v>8.8141643747731049</v>
      </c>
      <c r="E243" s="37">
        <f>'GF + UG Iteration 11'!E243</f>
        <v>1983</v>
      </c>
      <c r="F243" s="35">
        <f>'GF + UG Iteration 11'!F243</f>
        <v>3.3019999999999996</v>
      </c>
      <c r="G243" s="36">
        <f>'GF + UG Iteration 11'!G243</f>
        <v>0.74649134624932623</v>
      </c>
      <c r="H243" s="38">
        <f>'GF + UG Iteration 11'!H243</f>
        <v>2008</v>
      </c>
      <c r="I243" s="35">
        <f t="shared" si="20"/>
        <v>12</v>
      </c>
      <c r="J243" s="36">
        <f t="shared" si="21"/>
        <v>9.5606557210224317</v>
      </c>
      <c r="K243" s="38">
        <f t="shared" si="22"/>
        <v>2008</v>
      </c>
      <c r="M243" s="21">
        <f t="shared" si="23"/>
        <v>2.4849066497880004</v>
      </c>
      <c r="N243" s="21">
        <f t="shared" si="24"/>
        <v>2.2576563147762267</v>
      </c>
    </row>
    <row r="244" spans="1:14" x14ac:dyDescent="0.2">
      <c r="A244" s="33">
        <f>'GF + UG Iteration 11'!A244</f>
        <v>1081</v>
      </c>
      <c r="B244" s="34" t="str">
        <f>'GF + UG Iteration 11'!B244</f>
        <v>UG</v>
      </c>
      <c r="C244" s="35">
        <f>'GF + UG Iteration 11'!C244</f>
        <v>12</v>
      </c>
      <c r="D244" s="36">
        <f>'GF + UG Iteration 11'!P$16*(C244^'GF + UG Iteration 11'!P$15)</f>
        <v>10.597612936210513</v>
      </c>
      <c r="E244" s="37">
        <f>'GF + UG Iteration 11'!E244</f>
        <v>1983</v>
      </c>
      <c r="F244" s="35">
        <f>'GF + UG Iteration 11'!F244</f>
        <v>4</v>
      </c>
      <c r="G244" s="36">
        <f>'GF + UG Iteration 11'!G244</f>
        <v>0.74615854172219498</v>
      </c>
      <c r="H244" s="38">
        <f>'GF + UG Iteration 11'!H244</f>
        <v>2010</v>
      </c>
      <c r="I244" s="35">
        <f t="shared" si="20"/>
        <v>16</v>
      </c>
      <c r="J244" s="36">
        <f t="shared" si="21"/>
        <v>11.343771477932709</v>
      </c>
      <c r="K244" s="38">
        <f t="shared" si="22"/>
        <v>2010</v>
      </c>
      <c r="M244" s="21">
        <f t="shared" si="23"/>
        <v>2.7725887222397811</v>
      </c>
      <c r="N244" s="21">
        <f t="shared" si="24"/>
        <v>2.4286688248348103</v>
      </c>
    </row>
    <row r="245" spans="1:14" x14ac:dyDescent="0.2">
      <c r="A245" s="33">
        <f>'GF + UG Iteration 11'!A245</f>
        <v>307</v>
      </c>
      <c r="B245" s="34" t="str">
        <f>'GF + UG Iteration 11'!B245</f>
        <v>UG</v>
      </c>
      <c r="C245" s="35">
        <f>'GF + UG Iteration 11'!C245</f>
        <v>9.07</v>
      </c>
      <c r="D245" s="36">
        <f>'GF + UG Iteration 11'!P$16*(C245^'GF + UG Iteration 11'!P$15)</f>
        <v>9.0280807212066829</v>
      </c>
      <c r="E245" s="37">
        <f>'GF + UG Iteration 11'!E245</f>
        <v>1985</v>
      </c>
      <c r="F245" s="35">
        <f>'GF + UG Iteration 11'!F245</f>
        <v>1.0019999999999989</v>
      </c>
      <c r="G245" s="36">
        <f>'GF + UG Iteration 11'!G245</f>
        <v>2.5230801807757093</v>
      </c>
      <c r="H245" s="38">
        <f>'GF + UG Iteration 11'!H245</f>
        <v>2003</v>
      </c>
      <c r="I245" s="35">
        <f t="shared" si="20"/>
        <v>10.071999999999999</v>
      </c>
      <c r="J245" s="36">
        <f t="shared" si="21"/>
        <v>11.551160901982392</v>
      </c>
      <c r="K245" s="38">
        <f t="shared" si="22"/>
        <v>2003</v>
      </c>
      <c r="M245" s="21">
        <f t="shared" si="23"/>
        <v>2.3097592967420462</v>
      </c>
      <c r="N245" s="21">
        <f t="shared" si="24"/>
        <v>2.4467859429110574</v>
      </c>
    </row>
    <row r="246" spans="1:14" x14ac:dyDescent="0.2">
      <c r="A246" s="33">
        <f>'GF + UG Iteration 11'!A246</f>
        <v>1466</v>
      </c>
      <c r="B246" s="34" t="str">
        <f>'GF + UG Iteration 11'!B246</f>
        <v>UG</v>
      </c>
      <c r="C246" s="35">
        <f>'GF + UG Iteration 11'!C246</f>
        <v>10.07</v>
      </c>
      <c r="D246" s="36">
        <f>'GF + UG Iteration 11'!P$16*(C246^'GF + UG Iteration 11'!P$15)</f>
        <v>9.5852609527959221</v>
      </c>
      <c r="E246" s="37">
        <f>'GF + UG Iteration 11'!E246</f>
        <v>1985</v>
      </c>
      <c r="F246" s="35">
        <f>'GF + UG Iteration 11'!F246</f>
        <v>4.93</v>
      </c>
      <c r="G246" s="36">
        <f>'GF + UG Iteration 11'!G246</f>
        <v>4.634839878669343</v>
      </c>
      <c r="H246" s="38">
        <f>'GF + UG Iteration 11'!H246</f>
        <v>2015</v>
      </c>
      <c r="I246" s="35">
        <f t="shared" si="20"/>
        <v>15</v>
      </c>
      <c r="J246" s="36">
        <f t="shared" si="21"/>
        <v>14.220100831465265</v>
      </c>
      <c r="K246" s="38">
        <f t="shared" si="22"/>
        <v>2015</v>
      </c>
      <c r="M246" s="21">
        <f t="shared" si="23"/>
        <v>2.7080502011022101</v>
      </c>
      <c r="N246" s="21">
        <f t="shared" si="24"/>
        <v>2.6546565151702972</v>
      </c>
    </row>
    <row r="247" spans="1:14" x14ac:dyDescent="0.2">
      <c r="A247" s="33">
        <f>'GF + UG Iteration 11'!A247</f>
        <v>1091</v>
      </c>
      <c r="B247" s="34" t="str">
        <f>'GF + UG Iteration 11'!B247</f>
        <v>UG</v>
      </c>
      <c r="C247" s="35">
        <f>'GF + UG Iteration 11'!C247</f>
        <v>16.059999999999999</v>
      </c>
      <c r="D247" s="36">
        <f>'GF + UG Iteration 11'!P$16*(C247^'GF + UG Iteration 11'!P$15)</f>
        <v>12.522127282117243</v>
      </c>
      <c r="E247" s="37">
        <f>'GF + UG Iteration 11'!E247</f>
        <v>1982</v>
      </c>
      <c r="F247" s="35">
        <f>'GF + UG Iteration 11'!F247</f>
        <v>24.34</v>
      </c>
      <c r="G247" s="36">
        <f>'GF + UG Iteration 11'!G247</f>
        <v>7.6638380518522098</v>
      </c>
      <c r="H247" s="38">
        <f>'GF + UG Iteration 11'!H247</f>
        <v>2011</v>
      </c>
      <c r="I247" s="35">
        <f t="shared" ref="I247:I292" si="30">C247+F247</f>
        <v>40.4</v>
      </c>
      <c r="J247" s="36">
        <f t="shared" ref="J247:J292" si="31">D247+G247</f>
        <v>20.185965333969452</v>
      </c>
      <c r="K247" s="38">
        <f t="shared" ref="K247:K292" si="32">MAX(E247,H247)</f>
        <v>2011</v>
      </c>
      <c r="M247" s="21">
        <f t="shared" si="23"/>
        <v>3.6988297849671046</v>
      </c>
      <c r="N247" s="21">
        <f t="shared" si="24"/>
        <v>3.004987577484838</v>
      </c>
    </row>
    <row r="248" spans="1:14" x14ac:dyDescent="0.2">
      <c r="A248" s="33">
        <f>'GF + UG Iteration 11'!A248</f>
        <v>666</v>
      </c>
      <c r="B248" s="34" t="str">
        <f>'GF + UG Iteration 11'!B248</f>
        <v>UG</v>
      </c>
      <c r="C248" s="35">
        <f>'GF + UG Iteration 11'!C248</f>
        <v>25.92</v>
      </c>
      <c r="D248" s="36">
        <f>'GF + UG Iteration 11'!P$16*(C248^'GF + UG Iteration 11'!P$15)</f>
        <v>16.470794207880424</v>
      </c>
      <c r="E248" s="37">
        <f>'GF + UG Iteration 11'!E248</f>
        <v>1987</v>
      </c>
      <c r="F248" s="35">
        <f>'GF + UG Iteration 11'!F248</f>
        <v>14.079999999999998</v>
      </c>
      <c r="G248" s="36">
        <f>'GF + UG Iteration 11'!G248</f>
        <v>3.6887760601263184</v>
      </c>
      <c r="H248" s="38">
        <f>'GF + UG Iteration 11'!H248</f>
        <v>2008</v>
      </c>
      <c r="I248" s="35">
        <f t="shared" si="30"/>
        <v>40</v>
      </c>
      <c r="J248" s="36">
        <f t="shared" si="31"/>
        <v>20.159570268006743</v>
      </c>
      <c r="K248" s="38">
        <f t="shared" si="32"/>
        <v>2008</v>
      </c>
      <c r="M248" s="21">
        <f t="shared" ref="M248:M292" si="33">LN(I248)</f>
        <v>3.6888794541139363</v>
      </c>
      <c r="N248" s="21">
        <f t="shared" ref="N248:N292" si="34">LN(J248)</f>
        <v>3.003679126904883</v>
      </c>
    </row>
    <row r="249" spans="1:14" x14ac:dyDescent="0.2">
      <c r="A249" s="33">
        <f>'GF + UG Iteration 11'!A249</f>
        <v>556</v>
      </c>
      <c r="B249" s="34" t="str">
        <f>'GF + UG Iteration 11'!B249</f>
        <v>UG</v>
      </c>
      <c r="C249" s="35">
        <f>'GF + UG Iteration 11'!C249</f>
        <v>8.6560000000000006</v>
      </c>
      <c r="D249" s="36">
        <f>'GF + UG Iteration 11'!P$16*(C249^'GF + UG Iteration 11'!P$15)</f>
        <v>8.7897690051189574</v>
      </c>
      <c r="E249" s="37">
        <f>'GF + UG Iteration 11'!E249</f>
        <v>1985</v>
      </c>
      <c r="F249" s="35">
        <f>'GF + UG Iteration 11'!F249</f>
        <v>4.3439999999999994</v>
      </c>
      <c r="G249" s="36">
        <f>'GF + UG Iteration 11'!G249</f>
        <v>3.2483692675760008</v>
      </c>
      <c r="H249" s="38">
        <f>'GF + UG Iteration 11'!H249</f>
        <v>2007</v>
      </c>
      <c r="I249" s="35">
        <f t="shared" si="30"/>
        <v>13</v>
      </c>
      <c r="J249" s="36">
        <f t="shared" si="31"/>
        <v>12.038138272694958</v>
      </c>
      <c r="K249" s="38">
        <f t="shared" si="32"/>
        <v>2007</v>
      </c>
      <c r="M249" s="21">
        <f t="shared" si="33"/>
        <v>2.5649493574615367</v>
      </c>
      <c r="N249" s="21">
        <f t="shared" si="34"/>
        <v>2.488079799410746</v>
      </c>
    </row>
    <row r="250" spans="1:14" x14ac:dyDescent="0.2">
      <c r="A250" s="33">
        <f>'GF + UG Iteration 11'!A250</f>
        <v>452</v>
      </c>
      <c r="B250" s="34" t="str">
        <f>'GF + UG Iteration 11'!B250</f>
        <v>UG</v>
      </c>
      <c r="C250" s="35">
        <f>'GF + UG Iteration 11'!C250</f>
        <v>10.781000000000001</v>
      </c>
      <c r="D250" s="36">
        <f>'GF + UG Iteration 11'!P$16*(C250^'GF + UG Iteration 11'!P$15)</f>
        <v>9.9671198940812609</v>
      </c>
      <c r="E250" s="37">
        <f>'GF + UG Iteration 11'!E250</f>
        <v>1986</v>
      </c>
      <c r="F250" s="35">
        <f>'GF + UG Iteration 11'!F250</f>
        <v>3.6189999999999998</v>
      </c>
      <c r="G250" s="36">
        <f>'GF + UG Iteration 11'!G250</f>
        <v>3.4437072461958511</v>
      </c>
      <c r="H250" s="38">
        <f>'GF + UG Iteration 11'!H250</f>
        <v>2005</v>
      </c>
      <c r="I250" s="35">
        <f t="shared" si="30"/>
        <v>14.4</v>
      </c>
      <c r="J250" s="36">
        <f t="shared" si="31"/>
        <v>13.410827140277112</v>
      </c>
      <c r="K250" s="38">
        <f t="shared" si="32"/>
        <v>2005</v>
      </c>
      <c r="M250" s="21">
        <f t="shared" si="33"/>
        <v>2.6672282065819548</v>
      </c>
      <c r="N250" s="21">
        <f t="shared" si="34"/>
        <v>2.5960623762472634</v>
      </c>
    </row>
    <row r="251" spans="1:14" x14ac:dyDescent="0.2">
      <c r="A251" s="33">
        <f>'GF + UG Iteration 11'!A251</f>
        <v>613</v>
      </c>
      <c r="B251" s="34" t="str">
        <f>'GF + UG Iteration 11'!B251</f>
        <v>UG</v>
      </c>
      <c r="C251" s="35">
        <f>'GF + UG Iteration 11'!C251</f>
        <v>6.2</v>
      </c>
      <c r="D251" s="36">
        <f>'GF + UG Iteration 11'!P$16*(C251^'GF + UG Iteration 11'!P$15)</f>
        <v>7.2609565364933282</v>
      </c>
      <c r="E251" s="37">
        <f>'GF + UG Iteration 11'!E251</f>
        <v>1999</v>
      </c>
      <c r="F251" s="35">
        <f>'GF + UG Iteration 11'!F251</f>
        <v>2.2000000000000002</v>
      </c>
      <c r="G251" s="36">
        <f>'GF + UG Iteration 11'!G251</f>
        <v>0.43131820582676678</v>
      </c>
      <c r="H251" s="38">
        <f>'GF + UG Iteration 11'!H251</f>
        <v>2006</v>
      </c>
      <c r="I251" s="35">
        <f t="shared" si="30"/>
        <v>8.4</v>
      </c>
      <c r="J251" s="36">
        <f t="shared" si="31"/>
        <v>7.6922747423200946</v>
      </c>
      <c r="K251" s="38">
        <f t="shared" si="32"/>
        <v>2006</v>
      </c>
      <c r="M251" s="21">
        <f t="shared" si="33"/>
        <v>2.1282317058492679</v>
      </c>
      <c r="N251" s="21">
        <f t="shared" si="34"/>
        <v>2.0402165450189926</v>
      </c>
    </row>
    <row r="252" spans="1:14" x14ac:dyDescent="0.2">
      <c r="A252" s="33">
        <f>'GF + UG Iteration 11'!A252</f>
        <v>778</v>
      </c>
      <c r="B252" s="34" t="str">
        <f>'GF + UG Iteration 11'!B252</f>
        <v>UG</v>
      </c>
      <c r="C252" s="35">
        <f>'GF + UG Iteration 11'!C252</f>
        <v>0.1</v>
      </c>
      <c r="D252" s="36">
        <f>'GF + UG Iteration 11'!P$16*(C252^'GF + UG Iteration 11'!P$15)</f>
        <v>0.68340732429483297</v>
      </c>
      <c r="E252" s="37">
        <f>'GF + UG Iteration 11'!E252</f>
        <v>1988</v>
      </c>
      <c r="F252" s="35">
        <f>'GF + UG Iteration 11'!F252</f>
        <v>1.9</v>
      </c>
      <c r="G252" s="36">
        <f>'GF + UG Iteration 11'!G252</f>
        <v>0.48701021540648831</v>
      </c>
      <c r="H252" s="38">
        <f>'GF + UG Iteration 11'!H252</f>
        <v>2008</v>
      </c>
      <c r="I252" s="35">
        <f t="shared" si="30"/>
        <v>2</v>
      </c>
      <c r="J252" s="36">
        <f t="shared" si="31"/>
        <v>1.1704175397013212</v>
      </c>
      <c r="K252" s="38">
        <f t="shared" si="32"/>
        <v>2008</v>
      </c>
      <c r="M252" s="21">
        <f t="shared" si="33"/>
        <v>0.69314718055994529</v>
      </c>
      <c r="N252" s="21">
        <f t="shared" si="34"/>
        <v>0.15736055668575366</v>
      </c>
    </row>
    <row r="253" spans="1:14" x14ac:dyDescent="0.2">
      <c r="A253" s="33">
        <f>'GF + UG Iteration 11'!A253</f>
        <v>1571</v>
      </c>
      <c r="B253" s="34" t="str">
        <f>'GF + UG Iteration 11'!B253</f>
        <v>UG</v>
      </c>
      <c r="C253" s="35">
        <f>'GF + UG Iteration 11'!C253</f>
        <v>2</v>
      </c>
      <c r="D253" s="36">
        <f>'GF + UG Iteration 11'!P$16*(C253^'GF + UG Iteration 11'!P$15)</f>
        <v>3.7987671465150412</v>
      </c>
      <c r="E253" s="37">
        <f>'GF + UG Iteration 11'!E253</f>
        <v>1988</v>
      </c>
      <c r="F253" s="35">
        <f>'GF + UG Iteration 11'!F253</f>
        <v>11</v>
      </c>
      <c r="G253" s="36">
        <f>'GF + UG Iteration 11'!G253</f>
        <v>1.5920457896917759</v>
      </c>
      <c r="H253" s="38">
        <f>'GF + UG Iteration 11'!H253</f>
        <v>2016</v>
      </c>
      <c r="I253" s="35">
        <f t="shared" si="30"/>
        <v>13</v>
      </c>
      <c r="J253" s="36">
        <f t="shared" si="31"/>
        <v>5.3908129362068173</v>
      </c>
      <c r="K253" s="38">
        <f t="shared" si="32"/>
        <v>2016</v>
      </c>
      <c r="M253" s="21">
        <f t="shared" si="33"/>
        <v>2.5649493574615367</v>
      </c>
      <c r="N253" s="21">
        <f t="shared" si="34"/>
        <v>1.6846961965921905</v>
      </c>
    </row>
    <row r="254" spans="1:14" x14ac:dyDescent="0.2">
      <c r="A254" s="33">
        <f>'GF + UG Iteration 11'!A254</f>
        <v>525</v>
      </c>
      <c r="B254" s="34" t="str">
        <f>'GF + UG Iteration 11'!B254</f>
        <v>UG</v>
      </c>
      <c r="C254" s="35">
        <f>'GF + UG Iteration 11'!C254</f>
        <v>11.55</v>
      </c>
      <c r="D254" s="36">
        <f>'GF + UG Iteration 11'!P$16*(C254^'GF + UG Iteration 11'!P$15)</f>
        <v>10.368200858453617</v>
      </c>
      <c r="E254" s="37">
        <f>'GF + UG Iteration 11'!E254</f>
        <v>1995</v>
      </c>
      <c r="F254" s="35">
        <f>'GF + UG Iteration 11'!F254</f>
        <v>14</v>
      </c>
      <c r="G254" s="36">
        <f>'GF + UG Iteration 11'!G254</f>
        <v>2.107818995325883</v>
      </c>
      <c r="H254" s="38">
        <f>'GF + UG Iteration 11'!H254</f>
        <v>2006</v>
      </c>
      <c r="I254" s="35">
        <f t="shared" si="30"/>
        <v>25.55</v>
      </c>
      <c r="J254" s="36">
        <f t="shared" si="31"/>
        <v>12.476019853779501</v>
      </c>
      <c r="K254" s="38">
        <f t="shared" si="32"/>
        <v>2006</v>
      </c>
      <c r="M254" s="21">
        <f t="shared" si="33"/>
        <v>3.2406373166497136</v>
      </c>
      <c r="N254" s="21">
        <f t="shared" si="34"/>
        <v>2.5238083901020576</v>
      </c>
    </row>
    <row r="255" spans="1:14" x14ac:dyDescent="0.2">
      <c r="A255" s="33">
        <f>'GF + UG Iteration 11'!A255</f>
        <v>1324</v>
      </c>
      <c r="B255" s="34" t="str">
        <f>'GF + UG Iteration 11'!B255</f>
        <v>UG</v>
      </c>
      <c r="C255" s="35">
        <f>'GF + UG Iteration 11'!C255</f>
        <v>15.8</v>
      </c>
      <c r="D255" s="36">
        <f>'GF + UG Iteration 11'!P$16*(C255^'GF + UG Iteration 11'!P$15)</f>
        <v>12.405643645357436</v>
      </c>
      <c r="E255" s="37">
        <f>'GF + UG Iteration 11'!E255</f>
        <v>2012</v>
      </c>
      <c r="F255" s="35">
        <f>'GF + UG Iteration 11'!F255</f>
        <v>12.3</v>
      </c>
      <c r="G255" s="36">
        <f>'GF + UG Iteration 11'!G255</f>
        <v>2.2692987542218521</v>
      </c>
      <c r="H255" s="38">
        <f>'GF + UG Iteration 11'!H255</f>
        <v>2014</v>
      </c>
      <c r="I255" s="35">
        <f t="shared" si="30"/>
        <v>28.1</v>
      </c>
      <c r="J255" s="36">
        <f t="shared" si="31"/>
        <v>14.674942399579288</v>
      </c>
      <c r="K255" s="38">
        <f t="shared" si="32"/>
        <v>2014</v>
      </c>
      <c r="M255" s="21">
        <f t="shared" si="33"/>
        <v>3.3357695763396999</v>
      </c>
      <c r="N255" s="21">
        <f t="shared" si="34"/>
        <v>2.6861414406351991</v>
      </c>
    </row>
    <row r="256" spans="1:14" x14ac:dyDescent="0.2">
      <c r="A256" s="33">
        <f>'GF + UG Iteration 11'!A256</f>
        <v>511</v>
      </c>
      <c r="B256" s="34" t="str">
        <f>'GF + UG Iteration 11'!B256</f>
        <v>UG</v>
      </c>
      <c r="C256" s="35">
        <f>'GF + UG Iteration 11'!C256</f>
        <v>13.95</v>
      </c>
      <c r="D256" s="36">
        <f>'GF + UG Iteration 11'!P$16*(C256^'GF + UG Iteration 11'!P$15)</f>
        <v>11.551854892315843</v>
      </c>
      <c r="E256" s="37">
        <f>'GF + UG Iteration 11'!E256</f>
        <v>2004</v>
      </c>
      <c r="F256" s="35">
        <f>'GF + UG Iteration 11'!F256</f>
        <v>4.0500000000000007</v>
      </c>
      <c r="G256" s="36">
        <f>'GF + UG Iteration 11'!G256</f>
        <v>0.42903557118440139</v>
      </c>
      <c r="H256" s="38">
        <f>'GF + UG Iteration 11'!H256</f>
        <v>2004</v>
      </c>
      <c r="I256" s="35">
        <f t="shared" si="30"/>
        <v>18</v>
      </c>
      <c r="J256" s="36">
        <f t="shared" si="31"/>
        <v>11.980890463500245</v>
      </c>
      <c r="K256" s="38">
        <f t="shared" si="32"/>
        <v>2004</v>
      </c>
      <c r="M256" s="21">
        <f t="shared" si="33"/>
        <v>2.8903717578961645</v>
      </c>
      <c r="N256" s="21">
        <f t="shared" si="34"/>
        <v>2.4833129190986702</v>
      </c>
    </row>
    <row r="257" spans="1:14" x14ac:dyDescent="0.2">
      <c r="A257" s="33">
        <f>'GF + UG Iteration 11'!A257</f>
        <v>1094</v>
      </c>
      <c r="B257" s="34" t="str">
        <f>'GF + UG Iteration 11'!B257</f>
        <v>UG</v>
      </c>
      <c r="C257" s="35">
        <f>'GF + UG Iteration 11'!C257</f>
        <v>18</v>
      </c>
      <c r="D257" s="36">
        <f>'GF + UG Iteration 11'!P$16*(C257^'GF + UG Iteration 11'!P$15)</f>
        <v>13.367093853096874</v>
      </c>
      <c r="E257" s="37">
        <f>'GF + UG Iteration 11'!E257</f>
        <v>2004</v>
      </c>
      <c r="F257" s="35">
        <f>'GF + UG Iteration 11'!F257</f>
        <v>6</v>
      </c>
      <c r="G257" s="36">
        <f>'GF + UG Iteration 11'!G257</f>
        <v>1.0646458657975095</v>
      </c>
      <c r="H257" s="38">
        <f>'GF + UG Iteration 11'!H257</f>
        <v>2011</v>
      </c>
      <c r="I257" s="35">
        <f t="shared" si="30"/>
        <v>24</v>
      </c>
      <c r="J257" s="36">
        <f t="shared" si="31"/>
        <v>14.431739718894383</v>
      </c>
      <c r="K257" s="38">
        <f t="shared" si="32"/>
        <v>2011</v>
      </c>
      <c r="M257" s="21">
        <f t="shared" si="33"/>
        <v>3.1780538303479458</v>
      </c>
      <c r="N257" s="21">
        <f t="shared" si="34"/>
        <v>2.6694299281586318</v>
      </c>
    </row>
    <row r="258" spans="1:14" x14ac:dyDescent="0.2">
      <c r="A258" s="33">
        <f>'GF + UG Iteration 11'!A258</f>
        <v>775</v>
      </c>
      <c r="B258" s="34" t="str">
        <f>'GF + UG Iteration 11'!B258</f>
        <v>UG</v>
      </c>
      <c r="C258" s="35">
        <f>'GF + UG Iteration 11'!C258</f>
        <v>8</v>
      </c>
      <c r="D258" s="36">
        <f>'GF + UG Iteration 11'!P$16*(C258^'GF + UG Iteration 11'!P$15)</f>
        <v>8.4019309791646783</v>
      </c>
      <c r="E258" s="37">
        <f>'GF + UG Iteration 11'!E258</f>
        <v>2002</v>
      </c>
      <c r="F258" s="35">
        <f>'GF + UG Iteration 11'!F258</f>
        <v>7</v>
      </c>
      <c r="G258" s="36">
        <f>'GF + UG Iteration 11'!G258</f>
        <v>1.4058744428987999</v>
      </c>
      <c r="H258" s="38">
        <f>'GF + UG Iteration 11'!H258</f>
        <v>2008</v>
      </c>
      <c r="I258" s="35">
        <f t="shared" si="30"/>
        <v>15</v>
      </c>
      <c r="J258" s="36">
        <f t="shared" si="31"/>
        <v>9.8078054220634776</v>
      </c>
      <c r="K258" s="38">
        <f t="shared" si="32"/>
        <v>2008</v>
      </c>
      <c r="M258" s="21">
        <f t="shared" si="33"/>
        <v>2.7080502011022101</v>
      </c>
      <c r="N258" s="21">
        <f t="shared" si="34"/>
        <v>2.2831785403004385</v>
      </c>
    </row>
    <row r="259" spans="1:14" x14ac:dyDescent="0.2">
      <c r="A259" s="33">
        <f>'GF + UG Iteration 11'!A259</f>
        <v>1646</v>
      </c>
      <c r="B259" s="34" t="str">
        <f>'GF + UG Iteration 11'!B259</f>
        <v>UG</v>
      </c>
      <c r="C259" s="35">
        <f>'GF + UG Iteration 11'!C259</f>
        <v>2.88</v>
      </c>
      <c r="D259" s="36">
        <f>'GF + UG Iteration 11'!P$16*(C259^'GF + UG Iteration 11'!P$15)</f>
        <v>4.6808014218745475</v>
      </c>
      <c r="E259" s="37" t="str">
        <f>'GF + UG Iteration 11'!E259</f>
        <v>unknown</v>
      </c>
      <c r="F259" s="35">
        <f>'GF + UG Iteration 11'!F259</f>
        <v>3.5200000000000005</v>
      </c>
      <c r="G259" s="36">
        <f>'GF + UG Iteration 11'!G259</f>
        <v>6.6895680450065891</v>
      </c>
      <c r="H259" s="38">
        <f>'GF + UG Iteration 11'!H259</f>
        <v>2016</v>
      </c>
      <c r="I259" s="35">
        <f t="shared" si="30"/>
        <v>6.4</v>
      </c>
      <c r="J259" s="36">
        <f t="shared" si="31"/>
        <v>11.370369466881137</v>
      </c>
      <c r="K259" s="38">
        <f t="shared" si="32"/>
        <v>2016</v>
      </c>
      <c r="M259" s="21">
        <f t="shared" si="33"/>
        <v>1.8562979903656263</v>
      </c>
      <c r="N259" s="21">
        <f t="shared" si="34"/>
        <v>2.4310108021228998</v>
      </c>
    </row>
    <row r="260" spans="1:14" x14ac:dyDescent="0.2">
      <c r="A260" s="33">
        <f>'GF + UG Iteration 11'!A260</f>
        <v>467</v>
      </c>
      <c r="B260" s="34" t="str">
        <f>'GF + UG Iteration 11'!B260</f>
        <v>UG</v>
      </c>
      <c r="C260" s="35">
        <f>'GF + UG Iteration 11'!C260</f>
        <v>5.7</v>
      </c>
      <c r="D260" s="36">
        <f>'GF + UG Iteration 11'!P$16*(C260^'GF + UG Iteration 11'!P$15)</f>
        <v>6.9196557175989808</v>
      </c>
      <c r="E260" s="37">
        <f>'GF + UG Iteration 11'!E260</f>
        <v>1996</v>
      </c>
      <c r="F260" s="35">
        <f>'GF + UG Iteration 11'!F260</f>
        <v>7.8999999999999995</v>
      </c>
      <c r="G260" s="36">
        <f>'GF + UG Iteration 11'!G260</f>
        <v>3.4855022233326953</v>
      </c>
      <c r="H260" s="38">
        <f>'GF + UG Iteration 11'!H260</f>
        <v>2005</v>
      </c>
      <c r="I260" s="35">
        <f t="shared" si="30"/>
        <v>13.6</v>
      </c>
      <c r="J260" s="36">
        <f t="shared" si="31"/>
        <v>10.405157940931677</v>
      </c>
      <c r="K260" s="38">
        <f t="shared" si="32"/>
        <v>2005</v>
      </c>
      <c r="M260" s="21">
        <f t="shared" si="33"/>
        <v>2.6100697927420065</v>
      </c>
      <c r="N260" s="21">
        <f t="shared" si="34"/>
        <v>2.3423016390606839</v>
      </c>
    </row>
    <row r="261" spans="1:14" x14ac:dyDescent="0.2">
      <c r="A261" s="33">
        <f>'GF + UG Iteration 11'!A261</f>
        <v>437</v>
      </c>
      <c r="B261" s="34" t="str">
        <f>'GF + UG Iteration 11'!B261</f>
        <v>UG</v>
      </c>
      <c r="C261" s="35">
        <f>'GF + UG Iteration 11'!C261</f>
        <v>23</v>
      </c>
      <c r="D261" s="36">
        <f>'GF + UG Iteration 11'!P$16*(C261^'GF + UG Iteration 11'!P$15)</f>
        <v>15.381290304257373</v>
      </c>
      <c r="E261" s="37">
        <f>'GF + UG Iteration 11'!E261</f>
        <v>2001</v>
      </c>
      <c r="F261" s="35">
        <f>'GF + UG Iteration 11'!F261</f>
        <v>17</v>
      </c>
      <c r="G261" s="36">
        <f>'GF + UG Iteration 11'!G261</f>
        <v>3.6313804067567292</v>
      </c>
      <c r="H261" s="38">
        <f>'GF + UG Iteration 11'!H261</f>
        <v>2008</v>
      </c>
      <c r="I261" s="35">
        <f t="shared" si="30"/>
        <v>40</v>
      </c>
      <c r="J261" s="36">
        <f t="shared" si="31"/>
        <v>19.012670711014103</v>
      </c>
      <c r="K261" s="38">
        <f t="shared" si="32"/>
        <v>2008</v>
      </c>
      <c r="M261" s="21">
        <f t="shared" si="33"/>
        <v>3.6888794541139363</v>
      </c>
      <c r="N261" s="21">
        <f t="shared" si="34"/>
        <v>2.9451056364281571</v>
      </c>
    </row>
    <row r="262" spans="1:14" x14ac:dyDescent="0.2">
      <c r="A262" s="33">
        <f>'GF + UG Iteration 11'!A262</f>
        <v>1233</v>
      </c>
      <c r="B262" s="34" t="str">
        <f>'GF + UG Iteration 11'!B262</f>
        <v>UG</v>
      </c>
      <c r="C262" s="35">
        <f>'GF + UG Iteration 11'!C262</f>
        <v>40</v>
      </c>
      <c r="D262" s="36">
        <f>'GF + UG Iteration 11'!P$16*(C262^'GF + UG Iteration 11'!P$15)</f>
        <v>21.11571140729599</v>
      </c>
      <c r="E262" s="37">
        <f>'GF + UG Iteration 11'!E262</f>
        <v>2001</v>
      </c>
      <c r="F262" s="35">
        <f>'GF + UG Iteration 11'!F262</f>
        <v>10</v>
      </c>
      <c r="G262" s="36">
        <f>'GF + UG Iteration 11'!G262</f>
        <v>3.8904117673360803</v>
      </c>
      <c r="H262" s="38">
        <f>'GF + UG Iteration 11'!H262</f>
        <v>2011</v>
      </c>
      <c r="I262" s="35">
        <f t="shared" si="30"/>
        <v>50</v>
      </c>
      <c r="J262" s="36">
        <f t="shared" si="31"/>
        <v>25.006123174632069</v>
      </c>
      <c r="K262" s="38">
        <f t="shared" si="32"/>
        <v>2011</v>
      </c>
      <c r="M262" s="21">
        <f t="shared" si="33"/>
        <v>3.912023005428146</v>
      </c>
      <c r="N262" s="21">
        <f t="shared" si="34"/>
        <v>3.2191207218637663</v>
      </c>
    </row>
    <row r="263" spans="1:14" x14ac:dyDescent="0.2">
      <c r="A263" s="33">
        <f>'GF + UG Iteration 11'!A263</f>
        <v>361</v>
      </c>
      <c r="B263" s="34" t="str">
        <f>'GF + UG Iteration 11'!B263</f>
        <v>UG</v>
      </c>
      <c r="C263" s="35">
        <f>'GF + UG Iteration 11'!C263</f>
        <v>12.22</v>
      </c>
      <c r="D263" s="36">
        <f>'GF + UG Iteration 11'!P$16*(C263^'GF + UG Iteration 11'!P$15)</f>
        <v>10.708430038229354</v>
      </c>
      <c r="E263" s="37">
        <f>'GF + UG Iteration 11'!E263</f>
        <v>1986</v>
      </c>
      <c r="F263" s="35">
        <f>'GF + UG Iteration 11'!F263</f>
        <v>12.999999999999998</v>
      </c>
      <c r="G263" s="36">
        <f>'GF + UG Iteration 11'!G263</f>
        <v>1.1719780512644304</v>
      </c>
      <c r="H263" s="38">
        <f>'GF + UG Iteration 11'!H263</f>
        <v>2002</v>
      </c>
      <c r="I263" s="35">
        <f t="shared" si="30"/>
        <v>25.22</v>
      </c>
      <c r="J263" s="36">
        <f t="shared" si="31"/>
        <v>11.880408089493784</v>
      </c>
      <c r="K263" s="38">
        <f t="shared" si="32"/>
        <v>2002</v>
      </c>
      <c r="M263" s="21">
        <f t="shared" si="33"/>
        <v>3.2276373305367736</v>
      </c>
      <c r="N263" s="21">
        <f t="shared" si="34"/>
        <v>2.4748906643120083</v>
      </c>
    </row>
    <row r="264" spans="1:14" x14ac:dyDescent="0.2">
      <c r="A264" s="33">
        <f>'GF + UG Iteration 11'!A264</f>
        <v>645</v>
      </c>
      <c r="B264" s="34" t="str">
        <f>'GF + UG Iteration 11'!B264</f>
        <v>UG</v>
      </c>
      <c r="C264" s="35">
        <f>'GF + UG Iteration 11'!C264</f>
        <v>25.22</v>
      </c>
      <c r="D264" s="36">
        <f>'GF + UG Iteration 11'!P$16*(C264^'GF + UG Iteration 11'!P$15)</f>
        <v>16.214607382042114</v>
      </c>
      <c r="E264" s="37">
        <f>'GF + UG Iteration 11'!E264</f>
        <v>1986</v>
      </c>
      <c r="F264" s="35">
        <f>'GF + UG Iteration 11'!F264</f>
        <v>1</v>
      </c>
      <c r="G264" s="36">
        <f>'GF + UG Iteration 11'!G264</f>
        <v>0.22667756309168191</v>
      </c>
      <c r="H264" s="38">
        <f>'GF + UG Iteration 11'!H264</f>
        <v>2006</v>
      </c>
      <c r="I264" s="35">
        <f t="shared" si="30"/>
        <v>26.22</v>
      </c>
      <c r="J264" s="36">
        <f t="shared" si="31"/>
        <v>16.441284945133795</v>
      </c>
      <c r="K264" s="38">
        <f t="shared" si="32"/>
        <v>2006</v>
      </c>
      <c r="M264" s="21">
        <f t="shared" si="33"/>
        <v>3.2665224783355535</v>
      </c>
      <c r="N264" s="21">
        <f t="shared" si="34"/>
        <v>2.7997955462533963</v>
      </c>
    </row>
    <row r="265" spans="1:14" x14ac:dyDescent="0.2">
      <c r="A265" s="33">
        <f>'GF + UG Iteration 11'!A265</f>
        <v>720</v>
      </c>
      <c r="B265" s="34" t="str">
        <f>'GF + UG Iteration 11'!B265</f>
        <v>UG</v>
      </c>
      <c r="C265" s="35">
        <f>'GF + UG Iteration 11'!C265</f>
        <v>5.29</v>
      </c>
      <c r="D265" s="36">
        <f>'GF + UG Iteration 11'!P$16*(C265^'GF + UG Iteration 11'!P$15)</f>
        <v>6.6301206304860019</v>
      </c>
      <c r="E265" s="37">
        <f>'GF + UG Iteration 11'!E265</f>
        <v>1974</v>
      </c>
      <c r="F265" s="35">
        <f>'GF + UG Iteration 11'!F265</f>
        <v>3.9099999999999993</v>
      </c>
      <c r="G265" s="36">
        <f>'GF + UG Iteration 11'!G265</f>
        <v>3.214674226156069</v>
      </c>
      <c r="H265" s="38">
        <f>'GF + UG Iteration 11'!H265</f>
        <v>2009</v>
      </c>
      <c r="I265" s="35">
        <f t="shared" si="30"/>
        <v>9.1999999999999993</v>
      </c>
      <c r="J265" s="36">
        <f t="shared" si="31"/>
        <v>9.8447948566420713</v>
      </c>
      <c r="K265" s="38">
        <f t="shared" si="32"/>
        <v>2009</v>
      </c>
      <c r="M265" s="21">
        <f t="shared" si="33"/>
        <v>2.2192034840549946</v>
      </c>
      <c r="N265" s="21">
        <f t="shared" si="34"/>
        <v>2.2869428745598266</v>
      </c>
    </row>
    <row r="266" spans="1:14" x14ac:dyDescent="0.2">
      <c r="A266" s="33">
        <f>'GF + UG Iteration 11'!A266</f>
        <v>1554</v>
      </c>
      <c r="B266" s="34" t="str">
        <f>'GF + UG Iteration 11'!B266</f>
        <v>UG</v>
      </c>
      <c r="C266" s="35">
        <f>'GF + UG Iteration 11'!C266</f>
        <v>18</v>
      </c>
      <c r="D266" s="36">
        <f>'GF + UG Iteration 11'!P$16*(C266^'GF + UG Iteration 11'!P$15)</f>
        <v>13.367093853096874</v>
      </c>
      <c r="E266" s="37">
        <f>'GF + UG Iteration 11'!E266</f>
        <v>2013</v>
      </c>
      <c r="F266" s="35">
        <f>'GF + UG Iteration 11'!F266</f>
        <v>13</v>
      </c>
      <c r="G266" s="36">
        <f>'GF + UG Iteration 11'!G266</f>
        <v>4.0040929633677633</v>
      </c>
      <c r="H266" s="38">
        <f>'GF + UG Iteration 11'!H266</f>
        <v>2015</v>
      </c>
      <c r="I266" s="35">
        <f t="shared" si="30"/>
        <v>31</v>
      </c>
      <c r="J266" s="36">
        <f t="shared" si="31"/>
        <v>17.371186816464636</v>
      </c>
      <c r="K266" s="38">
        <f t="shared" si="32"/>
        <v>2015</v>
      </c>
      <c r="M266" s="21">
        <f t="shared" si="33"/>
        <v>3.4339872044851463</v>
      </c>
      <c r="N266" s="21">
        <f t="shared" si="34"/>
        <v>2.8548129035645555</v>
      </c>
    </row>
    <row r="267" spans="1:14" x14ac:dyDescent="0.2">
      <c r="A267" s="33">
        <f>'GF + UG Iteration 11'!A267</f>
        <v>1570</v>
      </c>
      <c r="B267" s="34" t="str">
        <f>'GF + UG Iteration 11'!B267</f>
        <v>UG</v>
      </c>
      <c r="C267" s="35">
        <f>'GF + UG Iteration 11'!C267</f>
        <v>12</v>
      </c>
      <c r="D267" s="36">
        <f>'GF + UG Iteration 11'!P$16*(C267^'GF + UG Iteration 11'!P$15)</f>
        <v>10.597612936210513</v>
      </c>
      <c r="E267" s="37">
        <f>'GF + UG Iteration 11'!E267</f>
        <v>0</v>
      </c>
      <c r="F267" s="35">
        <f>'GF + UG Iteration 11'!F267</f>
        <v>7</v>
      </c>
      <c r="G267" s="36">
        <f>'GF + UG Iteration 11'!G267</f>
        <v>5.7128729653456798</v>
      </c>
      <c r="H267" s="38">
        <f>'GF + UG Iteration 11'!H267</f>
        <v>2016</v>
      </c>
      <c r="I267" s="35">
        <f t="shared" si="30"/>
        <v>19</v>
      </c>
      <c r="J267" s="36">
        <f t="shared" si="31"/>
        <v>16.310485901556191</v>
      </c>
      <c r="K267" s="38">
        <f t="shared" si="32"/>
        <v>2016</v>
      </c>
      <c r="M267" s="21">
        <f t="shared" si="33"/>
        <v>2.9444389791664403</v>
      </c>
      <c r="N267" s="21">
        <f t="shared" si="34"/>
        <v>2.7918082078235069</v>
      </c>
    </row>
    <row r="268" spans="1:14" x14ac:dyDescent="0.2">
      <c r="A268" s="33">
        <f>'GF + UG Iteration 11'!A268</f>
        <v>1280</v>
      </c>
      <c r="B268" s="34" t="str">
        <f>'GF + UG Iteration 11'!B268</f>
        <v>UG</v>
      </c>
      <c r="C268" s="35">
        <f>'GF + UG Iteration 11'!C268</f>
        <v>10</v>
      </c>
      <c r="D268" s="36">
        <f>'GF + UG Iteration 11'!P$16*(C268^'GF + UG Iteration 11'!P$15)</f>
        <v>9.5470518584650073</v>
      </c>
      <c r="E268" s="37">
        <f>'GF + UG Iteration 11'!E268</f>
        <v>0</v>
      </c>
      <c r="F268" s="35">
        <f>'GF + UG Iteration 11'!F268</f>
        <v>10</v>
      </c>
      <c r="G268" s="36">
        <f>'GF + UG Iteration 11'!G268</f>
        <v>3.9567117678399111</v>
      </c>
      <c r="H268" s="38">
        <f>'GF + UG Iteration 11'!H268</f>
        <v>2013</v>
      </c>
      <c r="I268" s="35">
        <f t="shared" si="30"/>
        <v>20</v>
      </c>
      <c r="J268" s="36">
        <f t="shared" si="31"/>
        <v>13.503763626304918</v>
      </c>
      <c r="K268" s="38">
        <f t="shared" si="32"/>
        <v>2013</v>
      </c>
      <c r="M268" s="21">
        <f t="shared" si="33"/>
        <v>2.9957322735539909</v>
      </c>
      <c r="N268" s="21">
        <f t="shared" si="34"/>
        <v>2.6029684337241696</v>
      </c>
    </row>
    <row r="269" spans="1:14" x14ac:dyDescent="0.2">
      <c r="A269" s="33">
        <f>'GF + UG Iteration 11'!A269</f>
        <v>659</v>
      </c>
      <c r="B269" s="34" t="str">
        <f>'GF + UG Iteration 11'!B269</f>
        <v>UG</v>
      </c>
      <c r="C269" s="35">
        <f>'GF + UG Iteration 11'!C269</f>
        <v>51</v>
      </c>
      <c r="D269" s="36">
        <f>'GF + UG Iteration 11'!P$16*(C269^'GF + UG Iteration 11'!P$15)</f>
        <v>24.267235441899771</v>
      </c>
      <c r="E269" s="37">
        <f>'GF + UG Iteration 11'!E269</f>
        <v>1974</v>
      </c>
      <c r="F269" s="35">
        <f>'GF + UG Iteration 11'!F269</f>
        <v>7</v>
      </c>
      <c r="G269" s="36">
        <f>'GF + UG Iteration 11'!G269</f>
        <v>0.19038861907506671</v>
      </c>
      <c r="H269" s="38">
        <f>'GF + UG Iteration 11'!H269</f>
        <v>2006</v>
      </c>
      <c r="I269" s="35">
        <f t="shared" si="30"/>
        <v>58</v>
      </c>
      <c r="J269" s="36">
        <f t="shared" si="31"/>
        <v>24.457624060974837</v>
      </c>
      <c r="K269" s="38">
        <f t="shared" si="32"/>
        <v>2006</v>
      </c>
      <c r="M269" s="21">
        <f t="shared" si="33"/>
        <v>4.0604430105464191</v>
      </c>
      <c r="N269" s="21">
        <f t="shared" si="34"/>
        <v>3.1969419898490967</v>
      </c>
    </row>
    <row r="270" spans="1:14" x14ac:dyDescent="0.2">
      <c r="A270" s="33">
        <f>'GF + UG Iteration 11'!A270</f>
        <v>1240</v>
      </c>
      <c r="B270" s="34" t="str">
        <f>'GF + UG Iteration 11'!B270</f>
        <v>UG</v>
      </c>
      <c r="C270" s="35">
        <f>'GF + UG Iteration 11'!C270</f>
        <v>9</v>
      </c>
      <c r="D270" s="36">
        <f>'GF + UG Iteration 11'!P$16*(C270^'GF + UG Iteration 11'!P$15)</f>
        <v>8.988118286684637</v>
      </c>
      <c r="E270" s="37">
        <f>'GF + UG Iteration 11'!E270</f>
        <v>0</v>
      </c>
      <c r="F270" s="35">
        <f>'GF + UG Iteration 11'!F270</f>
        <v>12</v>
      </c>
      <c r="G270" s="36">
        <f>'GF + UG Iteration 11'!G270</f>
        <v>2.4762389627807444</v>
      </c>
      <c r="H270" s="38">
        <f>'GF + UG Iteration 11'!H270</f>
        <v>2013</v>
      </c>
      <c r="I270" s="35">
        <f t="shared" si="30"/>
        <v>21</v>
      </c>
      <c r="J270" s="36">
        <f t="shared" si="31"/>
        <v>11.464357249465381</v>
      </c>
      <c r="K270" s="38">
        <f t="shared" si="32"/>
        <v>2013</v>
      </c>
      <c r="M270" s="21">
        <f t="shared" si="33"/>
        <v>3.044522437723423</v>
      </c>
      <c r="N270" s="21">
        <f t="shared" si="34"/>
        <v>2.4392428527641004</v>
      </c>
    </row>
    <row r="271" spans="1:14" x14ac:dyDescent="0.2">
      <c r="A271" s="33">
        <f>'GF + UG Iteration 11'!A271</f>
        <v>317</v>
      </c>
      <c r="B271" s="34" t="str">
        <f>'GF + UG Iteration 11'!B271</f>
        <v>UG</v>
      </c>
      <c r="C271" s="35">
        <f>'GF + UG Iteration 11'!C271</f>
        <v>26.67</v>
      </c>
      <c r="D271" s="36">
        <f>'GF + UG Iteration 11'!P$16*(C271^'GF + UG Iteration 11'!P$15)</f>
        <v>16.74201999560422</v>
      </c>
      <c r="E271" s="37">
        <f>'GF + UG Iteration 11'!E271</f>
        <v>1978</v>
      </c>
      <c r="F271" s="35">
        <f>'GF + UG Iteration 11'!F271</f>
        <v>8.4600000000000009</v>
      </c>
      <c r="G271" s="36">
        <f>'GF + UG Iteration 11'!G271</f>
        <v>3.7336154837609361</v>
      </c>
      <c r="H271" s="38">
        <f>'GF + UG Iteration 11'!H271</f>
        <v>2002</v>
      </c>
      <c r="I271" s="35">
        <f t="shared" si="30"/>
        <v>35.130000000000003</v>
      </c>
      <c r="J271" s="36">
        <f t="shared" si="31"/>
        <v>20.475635479365156</v>
      </c>
      <c r="K271" s="38">
        <f t="shared" si="32"/>
        <v>2002</v>
      </c>
      <c r="M271" s="21">
        <f t="shared" si="33"/>
        <v>3.5590554662777358</v>
      </c>
      <c r="N271" s="21">
        <f t="shared" si="34"/>
        <v>3.0192356661007311</v>
      </c>
    </row>
    <row r="272" spans="1:14" x14ac:dyDescent="0.2">
      <c r="A272" s="33">
        <f>'GF + UG Iteration 11'!A272</f>
        <v>1510</v>
      </c>
      <c r="B272" s="34" t="str">
        <f>'GF + UG Iteration 11'!B272</f>
        <v>UG</v>
      </c>
      <c r="C272" s="35">
        <f>'GF + UG Iteration 11'!C272</f>
        <v>35.130000000000003</v>
      </c>
      <c r="D272" s="36">
        <f>'GF + UG Iteration 11'!P$16*(C272^'GF + UG Iteration 11'!P$15)</f>
        <v>19.602965113282426</v>
      </c>
      <c r="E272" s="37">
        <f>'GF + UG Iteration 11'!E272</f>
        <v>1978</v>
      </c>
      <c r="F272" s="35">
        <f>'GF + UG Iteration 11'!F272</f>
        <v>0</v>
      </c>
      <c r="G272" s="36">
        <f>'GF + UG Iteration 11'!G272</f>
        <v>1.0378442790997116</v>
      </c>
      <c r="H272" s="38">
        <f>'GF + UG Iteration 11'!H272</f>
        <v>2014</v>
      </c>
      <c r="I272" s="35">
        <f t="shared" si="30"/>
        <v>35.130000000000003</v>
      </c>
      <c r="J272" s="36">
        <f t="shared" si="31"/>
        <v>20.640809392382138</v>
      </c>
      <c r="K272" s="38">
        <f t="shared" si="32"/>
        <v>2014</v>
      </c>
      <c r="M272" s="21">
        <f t="shared" si="33"/>
        <v>3.5590554662777358</v>
      </c>
      <c r="N272" s="21">
        <f t="shared" si="34"/>
        <v>3.0272701545916805</v>
      </c>
    </row>
    <row r="273" spans="1:14" x14ac:dyDescent="0.2">
      <c r="A273" s="33">
        <f>'GF + UG Iteration 11'!A273</f>
        <v>1678</v>
      </c>
      <c r="B273" s="34" t="str">
        <f>'GF + UG Iteration 11'!B273</f>
        <v>UG</v>
      </c>
      <c r="C273" s="35">
        <f>'GF + UG Iteration 11'!C273</f>
        <v>71.19</v>
      </c>
      <c r="D273" s="36">
        <f>'GF + UG Iteration 11'!P$16*(C273^'GF + UG Iteration 11'!P$15)</f>
        <v>29.3737900777096</v>
      </c>
      <c r="E273" s="37">
        <f>'GF + UG Iteration 11'!E273</f>
        <v>0</v>
      </c>
      <c r="F273" s="35">
        <f>'GF + UG Iteration 11'!F273</f>
        <v>3.8100000000000023</v>
      </c>
      <c r="G273" s="36">
        <f>'GF + UG Iteration 11'!G273</f>
        <v>0.1876880715541229</v>
      </c>
      <c r="H273" s="38">
        <f>'GF + UG Iteration 11'!H273</f>
        <v>2015</v>
      </c>
      <c r="I273" s="35">
        <f t="shared" si="30"/>
        <v>75</v>
      </c>
      <c r="J273" s="36">
        <f t="shared" si="31"/>
        <v>29.561478149263724</v>
      </c>
      <c r="K273" s="38">
        <f t="shared" si="32"/>
        <v>2015</v>
      </c>
      <c r="M273" s="21">
        <f t="shared" si="33"/>
        <v>4.3174881135363101</v>
      </c>
      <c r="N273" s="21">
        <f t="shared" si="34"/>
        <v>3.3864720998793074</v>
      </c>
    </row>
    <row r="274" spans="1:14" x14ac:dyDescent="0.2">
      <c r="A274" s="33">
        <f>'GF + UG Iteration 11'!A274</f>
        <v>409</v>
      </c>
      <c r="B274" s="34" t="str">
        <f>'GF + UG Iteration 11'!B274</f>
        <v>UG</v>
      </c>
      <c r="C274" s="35">
        <f>'GF + UG Iteration 11'!C274</f>
        <v>50.9</v>
      </c>
      <c r="D274" s="36">
        <f>'GF + UG Iteration 11'!P$16*(C274^'GF + UG Iteration 11'!P$15)</f>
        <v>24.239978341169138</v>
      </c>
      <c r="E274" s="37" t="str">
        <f>'GF + UG Iteration 11'!E274</f>
        <v>unknown</v>
      </c>
      <c r="F274" s="35">
        <f>'GF + UG Iteration 11'!F274</f>
        <v>0</v>
      </c>
      <c r="G274" s="36">
        <f>'GF + UG Iteration 11'!G274</f>
        <v>6.9500275644125207</v>
      </c>
      <c r="H274" s="38">
        <f>'GF + UG Iteration 11'!H274</f>
        <v>2004</v>
      </c>
      <c r="I274" s="35">
        <f t="shared" si="30"/>
        <v>50.9</v>
      </c>
      <c r="J274" s="36">
        <f t="shared" si="31"/>
        <v>31.190005905581657</v>
      </c>
      <c r="K274" s="38">
        <f t="shared" si="32"/>
        <v>2004</v>
      </c>
      <c r="M274" s="21">
        <f t="shared" si="33"/>
        <v>3.929862923556477</v>
      </c>
      <c r="N274" s="21">
        <f t="shared" si="34"/>
        <v>3.4400977199618441</v>
      </c>
    </row>
    <row r="275" spans="1:14" x14ac:dyDescent="0.2">
      <c r="A275" s="33">
        <f>'GF + UG Iteration 11'!A275</f>
        <v>620</v>
      </c>
      <c r="B275" s="34" t="str">
        <f>'GF + UG Iteration 11'!B275</f>
        <v>UG</v>
      </c>
      <c r="C275" s="35">
        <f>'GF + UG Iteration 11'!C275</f>
        <v>66.040000000000006</v>
      </c>
      <c r="D275" s="36">
        <f>'GF + UG Iteration 11'!P$16*(C275^'GF + UG Iteration 11'!P$15)</f>
        <v>28.137568505865218</v>
      </c>
      <c r="E275" s="37" t="str">
        <f>'GF + UG Iteration 11'!E275</f>
        <v>unknown</v>
      </c>
      <c r="F275" s="35">
        <f>'GF + UG Iteration 11'!F275</f>
        <v>1</v>
      </c>
      <c r="G275" s="36">
        <f>'GF + UG Iteration 11'!G275</f>
        <v>5.2327101351069411E-2</v>
      </c>
      <c r="H275" s="38">
        <f>'GF + UG Iteration 11'!H275</f>
        <v>2006</v>
      </c>
      <c r="I275" s="35">
        <f t="shared" si="30"/>
        <v>67.040000000000006</v>
      </c>
      <c r="J275" s="36">
        <f t="shared" si="31"/>
        <v>28.189895607216286</v>
      </c>
      <c r="K275" s="38">
        <f t="shared" si="32"/>
        <v>2006</v>
      </c>
      <c r="M275" s="21">
        <f t="shared" si="33"/>
        <v>4.2052894561738281</v>
      </c>
      <c r="N275" s="21">
        <f t="shared" si="34"/>
        <v>3.3389636019342155</v>
      </c>
    </row>
    <row r="276" spans="1:14" x14ac:dyDescent="0.2">
      <c r="A276" s="33">
        <f>'GF + UG Iteration 11'!A276</f>
        <v>1085</v>
      </c>
      <c r="B276" s="34" t="str">
        <f>'GF + UG Iteration 11'!B276</f>
        <v>UG</v>
      </c>
      <c r="C276" s="35">
        <f>'GF + UG Iteration 11'!C276</f>
        <v>67.040000000000006</v>
      </c>
      <c r="D276" s="36">
        <f>'GF + UG Iteration 11'!P$16*(C276^'GF + UG Iteration 11'!P$15)</f>
        <v>28.38074934297277</v>
      </c>
      <c r="E276" s="37" t="str">
        <f>'GF + UG Iteration 11'!E276</f>
        <v>unknown</v>
      </c>
      <c r="F276" s="35">
        <f>'GF + UG Iteration 11'!F276</f>
        <v>2</v>
      </c>
      <c r="G276" s="36">
        <f>'GF + UG Iteration 11'!G276</f>
        <v>7.9312358901564406E-2</v>
      </c>
      <c r="H276" s="38">
        <f>'GF + UG Iteration 11'!H276</f>
        <v>2010</v>
      </c>
      <c r="I276" s="35">
        <f t="shared" si="30"/>
        <v>69.040000000000006</v>
      </c>
      <c r="J276" s="36">
        <f t="shared" si="31"/>
        <v>28.460061701874334</v>
      </c>
      <c r="K276" s="38">
        <f t="shared" si="32"/>
        <v>2010</v>
      </c>
      <c r="M276" s="21">
        <f t="shared" si="33"/>
        <v>4.234686046775173</v>
      </c>
      <c r="N276" s="21">
        <f t="shared" si="34"/>
        <v>3.3485017606802394</v>
      </c>
    </row>
    <row r="277" spans="1:14" x14ac:dyDescent="0.2">
      <c r="A277" s="33">
        <f>'GF + UG Iteration 11'!A277</f>
        <v>589</v>
      </c>
      <c r="B277" s="34" t="str">
        <f>'GF + UG Iteration 11'!B277</f>
        <v>UG</v>
      </c>
      <c r="C277" s="35">
        <f>'GF + UG Iteration 11'!C277</f>
        <v>36.963000000000001</v>
      </c>
      <c r="D277" s="36">
        <f>'GF + UG Iteration 11'!P$16*(C277^'GF + UG Iteration 11'!P$15)</f>
        <v>20.182262472600502</v>
      </c>
      <c r="E277" s="37">
        <f>'GF + UG Iteration 11'!E277</f>
        <v>1974</v>
      </c>
      <c r="F277" s="35">
        <f>'GF + UG Iteration 11'!F277</f>
        <v>0</v>
      </c>
      <c r="G277" s="36">
        <f>'GF + UG Iteration 11'!G277</f>
        <v>3.2007376892660457E-2</v>
      </c>
      <c r="H277" s="38">
        <f>'GF + UG Iteration 11'!H277</f>
        <v>2005</v>
      </c>
      <c r="I277" s="35">
        <f t="shared" si="30"/>
        <v>36.963000000000001</v>
      </c>
      <c r="J277" s="36">
        <f t="shared" si="31"/>
        <v>20.214269849493164</v>
      </c>
      <c r="K277" s="38">
        <f t="shared" si="32"/>
        <v>2005</v>
      </c>
      <c r="M277" s="21">
        <f t="shared" si="33"/>
        <v>3.609917412310641</v>
      </c>
      <c r="N277" s="21">
        <f t="shared" si="34"/>
        <v>3.006388783196944</v>
      </c>
    </row>
    <row r="278" spans="1:14" x14ac:dyDescent="0.2">
      <c r="A278" s="33">
        <f>'GF + UG Iteration 11'!A278</f>
        <v>836</v>
      </c>
      <c r="B278" s="34" t="str">
        <f>'GF + UG Iteration 11'!B278</f>
        <v>UG</v>
      </c>
      <c r="C278" s="35">
        <f>'GF + UG Iteration 11'!C278</f>
        <v>33.963000000000001</v>
      </c>
      <c r="D278" s="36">
        <f>'GF + UG Iteration 11'!P$16*(C278^'GF + UG Iteration 11'!P$15)</f>
        <v>19.227401526576841</v>
      </c>
      <c r="E278" s="37">
        <f>'GF + UG Iteration 11'!E278</f>
        <v>1974</v>
      </c>
      <c r="F278" s="35">
        <f>'GF + UG Iteration 11'!F278</f>
        <v>10.036999999999999</v>
      </c>
      <c r="G278" s="36">
        <f>'GF + UG Iteration 11'!G278</f>
        <v>0.20824846319974696</v>
      </c>
      <c r="H278" s="38">
        <f>'GF + UG Iteration 11'!H278</f>
        <v>2008</v>
      </c>
      <c r="I278" s="35">
        <f t="shared" si="30"/>
        <v>44</v>
      </c>
      <c r="J278" s="36">
        <f t="shared" si="31"/>
        <v>19.435649989776589</v>
      </c>
      <c r="K278" s="38">
        <f t="shared" si="32"/>
        <v>2008</v>
      </c>
      <c r="M278" s="21">
        <f t="shared" si="33"/>
        <v>3.784189633918261</v>
      </c>
      <c r="N278" s="21">
        <f t="shared" si="34"/>
        <v>2.9671090080349614</v>
      </c>
    </row>
    <row r="279" spans="1:14" x14ac:dyDescent="0.2">
      <c r="A279" s="33">
        <f>'GF + UG Iteration 11'!A279</f>
        <v>1417</v>
      </c>
      <c r="B279" s="34" t="str">
        <f>'GF + UG Iteration 11'!B279</f>
        <v>UG</v>
      </c>
      <c r="C279" s="35">
        <f>'GF + UG Iteration 11'!C279</f>
        <v>53.176000000000002</v>
      </c>
      <c r="D279" s="36">
        <f>'GF + UG Iteration 11'!P$16*(C279^'GF + UG Iteration 11'!P$15)</f>
        <v>24.854802539388665</v>
      </c>
      <c r="E279" s="37">
        <f>'GF + UG Iteration 11'!E279</f>
        <v>0</v>
      </c>
      <c r="F279" s="35">
        <f>'GF + UG Iteration 11'!F279</f>
        <v>2.8239999999999981</v>
      </c>
      <c r="G279" s="36">
        <f>'GF + UG Iteration 11'!G279</f>
        <v>0.36631755287404399</v>
      </c>
      <c r="H279" s="38">
        <f>'GF + UG Iteration 11'!H279</f>
        <v>2013</v>
      </c>
      <c r="I279" s="35">
        <f t="shared" si="30"/>
        <v>56</v>
      </c>
      <c r="J279" s="36">
        <f t="shared" si="31"/>
        <v>25.221120092262709</v>
      </c>
      <c r="K279" s="38">
        <f t="shared" si="32"/>
        <v>2013</v>
      </c>
      <c r="M279" s="21">
        <f t="shared" si="33"/>
        <v>4.0253516907351496</v>
      </c>
      <c r="N279" s="21">
        <f t="shared" si="34"/>
        <v>3.2276817424079152</v>
      </c>
    </row>
    <row r="280" spans="1:14" x14ac:dyDescent="0.2">
      <c r="A280" s="33">
        <f>'GF + UG Iteration 11'!A280</f>
        <v>1575</v>
      </c>
      <c r="B280" s="34" t="str">
        <f>'GF + UG Iteration 11'!B280</f>
        <v>UG</v>
      </c>
      <c r="C280" s="35">
        <f>'GF + UG Iteration 11'!C280</f>
        <v>107.8</v>
      </c>
      <c r="D280" s="36">
        <f>'GF + UG Iteration 11'!P$16*(C280^'GF + UG Iteration 11'!P$15)</f>
        <v>37.251300705930717</v>
      </c>
      <c r="E280" s="37">
        <f>'GF + UG Iteration 11'!E280</f>
        <v>0</v>
      </c>
      <c r="F280" s="35">
        <f>'GF + UG Iteration 11'!F280</f>
        <v>2.2000000000000028</v>
      </c>
      <c r="G280" s="36">
        <f>'GF + UG Iteration 11'!G280</f>
        <v>8.4606138058298655E-2</v>
      </c>
      <c r="H280" s="38">
        <f>'GF + UG Iteration 11'!H280</f>
        <v>2014</v>
      </c>
      <c r="I280" s="35">
        <f t="shared" si="30"/>
        <v>110</v>
      </c>
      <c r="J280" s="36">
        <f t="shared" si="31"/>
        <v>37.335906843989015</v>
      </c>
      <c r="K280" s="38">
        <f t="shared" si="32"/>
        <v>2014</v>
      </c>
      <c r="M280" s="21">
        <f t="shared" si="33"/>
        <v>4.7004803657924166</v>
      </c>
      <c r="N280" s="21">
        <f t="shared" si="34"/>
        <v>3.6199555135723269</v>
      </c>
    </row>
    <row r="281" spans="1:14" x14ac:dyDescent="0.2">
      <c r="A281" s="33">
        <f>'GF + UG Iteration 11'!A281</f>
        <v>1480</v>
      </c>
      <c r="B281" s="34" t="str">
        <f>'GF + UG Iteration 11'!B281</f>
        <v>UG</v>
      </c>
      <c r="C281" s="35">
        <f>'GF + UG Iteration 11'!C281</f>
        <v>92</v>
      </c>
      <c r="D281" s="36">
        <f>'GF + UG Iteration 11'!P$16*(C281^'GF + UG Iteration 11'!P$15)</f>
        <v>34.019600181448936</v>
      </c>
      <c r="E281" s="37">
        <f>'GF + UG Iteration 11'!E281</f>
        <v>0</v>
      </c>
      <c r="F281" s="35">
        <f>'GF + UG Iteration 11'!F281</f>
        <v>9</v>
      </c>
      <c r="G281" s="36">
        <f>'GF + UG Iteration 11'!G281</f>
        <v>1.4186292000498641</v>
      </c>
      <c r="H281" s="38">
        <f>'GF + UG Iteration 11'!H281</f>
        <v>2015</v>
      </c>
      <c r="I281" s="35">
        <f t="shared" si="30"/>
        <v>101</v>
      </c>
      <c r="J281" s="36">
        <f t="shared" si="31"/>
        <v>35.4382293814988</v>
      </c>
      <c r="K281" s="38">
        <f t="shared" si="32"/>
        <v>2015</v>
      </c>
      <c r="M281" s="21">
        <f t="shared" si="33"/>
        <v>4.6151205168412597</v>
      </c>
      <c r="N281" s="21">
        <f t="shared" si="34"/>
        <v>3.56779116347013</v>
      </c>
    </row>
    <row r="282" spans="1:14" x14ac:dyDescent="0.2">
      <c r="A282" s="33">
        <f>'GF + UG Iteration 11'!A282</f>
        <v>1644</v>
      </c>
      <c r="B282" s="34" t="str">
        <f>'GF + UG Iteration 11'!B282</f>
        <v>UG</v>
      </c>
      <c r="C282" s="35">
        <f>'GF + UG Iteration 11'!C282</f>
        <v>25</v>
      </c>
      <c r="D282" s="36">
        <f>'GF + UG Iteration 11'!P$16*(C282^'GF + UG Iteration 11'!P$15)</f>
        <v>16.133465761734715</v>
      </c>
      <c r="E282" s="37">
        <f>'GF + UG Iteration 11'!E282</f>
        <v>0</v>
      </c>
      <c r="F282" s="35">
        <f>'GF + UG Iteration 11'!F282</f>
        <v>14</v>
      </c>
      <c r="G282" s="36">
        <f>'GF + UG Iteration 11'!G282</f>
        <v>6.4881768587089867</v>
      </c>
      <c r="H282" s="38">
        <f>'GF + UG Iteration 11'!H282</f>
        <v>2016</v>
      </c>
      <c r="I282" s="35">
        <f t="shared" si="30"/>
        <v>39</v>
      </c>
      <c r="J282" s="36">
        <f t="shared" si="31"/>
        <v>22.621642620443701</v>
      </c>
      <c r="K282" s="38">
        <f t="shared" si="32"/>
        <v>2016</v>
      </c>
      <c r="M282" s="21">
        <f t="shared" si="33"/>
        <v>3.6635616461296463</v>
      </c>
      <c r="N282" s="21">
        <f t="shared" si="34"/>
        <v>3.1189070861081616</v>
      </c>
    </row>
    <row r="283" spans="1:14" x14ac:dyDescent="0.2">
      <c r="A283" s="33">
        <f>'GF + UG Iteration 11'!A283</f>
        <v>1276</v>
      </c>
      <c r="B283" s="34" t="str">
        <f>'GF + UG Iteration 11'!B283</f>
        <v>UG</v>
      </c>
      <c r="C283" s="35">
        <f>'GF + UG Iteration 11'!C283</f>
        <v>34</v>
      </c>
      <c r="D283" s="36">
        <f>'GF + UG Iteration 11'!P$16*(C283^'GF + UG Iteration 11'!P$15)</f>
        <v>19.239392726008376</v>
      </c>
      <c r="E283" s="37" t="str">
        <f>'GF + UG Iteration 11'!E283</f>
        <v>unknown</v>
      </c>
      <c r="F283" s="35">
        <f>'GF + UG Iteration 11'!F283</f>
        <v>4</v>
      </c>
      <c r="G283" s="36">
        <f>'GF + UG Iteration 11'!G283</f>
        <v>0.69755192087391271</v>
      </c>
      <c r="H283" s="38">
        <f>'GF + UG Iteration 11'!H283</f>
        <v>2012</v>
      </c>
      <c r="I283" s="35">
        <f t="shared" si="30"/>
        <v>38</v>
      </c>
      <c r="J283" s="36">
        <f t="shared" si="31"/>
        <v>19.936944646882289</v>
      </c>
      <c r="K283" s="38">
        <f t="shared" si="32"/>
        <v>2012</v>
      </c>
      <c r="M283" s="21">
        <f t="shared" si="33"/>
        <v>3.6375861597263857</v>
      </c>
      <c r="N283" s="21">
        <f t="shared" si="34"/>
        <v>2.9925745254552854</v>
      </c>
    </row>
    <row r="284" spans="1:14" x14ac:dyDescent="0.2">
      <c r="A284" s="33">
        <f>'GF + UG Iteration 11'!A284</f>
        <v>823</v>
      </c>
      <c r="B284" s="34" t="str">
        <f>'GF + UG Iteration 11'!B284</f>
        <v>UG</v>
      </c>
      <c r="C284" s="35">
        <f>'GF + UG Iteration 11'!C284</f>
        <v>10</v>
      </c>
      <c r="D284" s="36">
        <f>'GF + UG Iteration 11'!P$16*(C284^'GF + UG Iteration 11'!P$15)</f>
        <v>9.5470518584650073</v>
      </c>
      <c r="E284" s="37" t="str">
        <f>'GF + UG Iteration 11'!E284</f>
        <v>unknown</v>
      </c>
      <c r="F284" s="35">
        <f>'GF + UG Iteration 11'!F284</f>
        <v>25</v>
      </c>
      <c r="G284" s="36">
        <f>'GF + UG Iteration 11'!G284</f>
        <v>8.3156614233786232</v>
      </c>
      <c r="H284" s="38">
        <f>'GF + UG Iteration 11'!H284</f>
        <v>2009</v>
      </c>
      <c r="I284" s="35">
        <f t="shared" si="30"/>
        <v>35</v>
      </c>
      <c r="J284" s="36">
        <f t="shared" si="31"/>
        <v>17.862713281843632</v>
      </c>
      <c r="K284" s="38">
        <f t="shared" si="32"/>
        <v>2009</v>
      </c>
      <c r="M284" s="21">
        <f t="shared" si="33"/>
        <v>3.5553480614894135</v>
      </c>
      <c r="N284" s="21">
        <f t="shared" si="34"/>
        <v>2.8827154833858852</v>
      </c>
    </row>
    <row r="285" spans="1:14" x14ac:dyDescent="0.2">
      <c r="A285" s="33">
        <f>'GF + UG Iteration 11'!A285</f>
        <v>1601</v>
      </c>
      <c r="B285" s="34" t="str">
        <f>'GF + UG Iteration 11'!B285</f>
        <v>UG</v>
      </c>
      <c r="C285" s="35">
        <f>'GF + UG Iteration 11'!C285</f>
        <v>77</v>
      </c>
      <c r="D285" s="36">
        <f>'GF + UG Iteration 11'!P$16*(C285^'GF + UG Iteration 11'!P$15)</f>
        <v>30.723400656452622</v>
      </c>
      <c r="E285" s="37">
        <f>'GF + UG Iteration 11'!E285</f>
        <v>0</v>
      </c>
      <c r="F285" s="35">
        <f>'GF + UG Iteration 11'!F285</f>
        <v>0</v>
      </c>
      <c r="G285" s="36">
        <f>'GF + UG Iteration 11'!G285</f>
        <v>4.0094648670350015</v>
      </c>
      <c r="H285" s="38">
        <f>'GF + UG Iteration 11'!H285</f>
        <v>2015</v>
      </c>
      <c r="I285" s="35">
        <f t="shared" si="30"/>
        <v>77</v>
      </c>
      <c r="J285" s="36">
        <f t="shared" si="31"/>
        <v>34.732865523487625</v>
      </c>
      <c r="K285" s="38">
        <f t="shared" si="32"/>
        <v>2015</v>
      </c>
      <c r="M285" s="21">
        <f t="shared" si="33"/>
        <v>4.3438054218536841</v>
      </c>
      <c r="N285" s="21">
        <f t="shared" si="34"/>
        <v>3.5476863719468543</v>
      </c>
    </row>
    <row r="286" spans="1:14" x14ac:dyDescent="0.2">
      <c r="A286" s="33">
        <f>'GF + UG Iteration 11'!A286</f>
        <v>1046</v>
      </c>
      <c r="B286" s="34" t="str">
        <f>'GF + UG Iteration 11'!B286</f>
        <v>UG</v>
      </c>
      <c r="C286" s="35">
        <f>'GF + UG Iteration 11'!C286</f>
        <v>33</v>
      </c>
      <c r="D286" s="36">
        <f>'GF + UG Iteration 11'!P$16*(C286^'GF + UG Iteration 11'!P$15)</f>
        <v>18.913316097235107</v>
      </c>
      <c r="E286" s="37" t="str">
        <f>'GF + UG Iteration 11'!E286</f>
        <v>unknown</v>
      </c>
      <c r="F286" s="35">
        <f>'GF + UG Iteration 11'!F286</f>
        <v>17</v>
      </c>
      <c r="G286" s="36">
        <f>'GF + UG Iteration 11'!G286</f>
        <v>13.838101419471103</v>
      </c>
      <c r="H286" s="38">
        <f>'GF + UG Iteration 11'!H286</f>
        <v>2011</v>
      </c>
      <c r="I286" s="35">
        <f t="shared" si="30"/>
        <v>50</v>
      </c>
      <c r="J286" s="36">
        <f t="shared" si="31"/>
        <v>32.751417516706212</v>
      </c>
      <c r="K286" s="38">
        <f t="shared" si="32"/>
        <v>2011</v>
      </c>
      <c r="M286" s="21">
        <f t="shared" si="33"/>
        <v>3.912023005428146</v>
      </c>
      <c r="N286" s="21">
        <f t="shared" si="34"/>
        <v>3.4889462440974426</v>
      </c>
    </row>
    <row r="287" spans="1:14" x14ac:dyDescent="0.2">
      <c r="A287" s="33">
        <f>'GF + UG Iteration 11'!A287</f>
        <v>873</v>
      </c>
      <c r="B287" s="34" t="str">
        <f>'GF + UG Iteration 11'!B287</f>
        <v>UG</v>
      </c>
      <c r="C287" s="35">
        <f>'GF + UG Iteration 11'!C287</f>
        <v>38</v>
      </c>
      <c r="D287" s="36">
        <f>'GF + UG Iteration 11'!P$16*(C287^'GF + UG Iteration 11'!P$15)</f>
        <v>20.504555989882178</v>
      </c>
      <c r="E287" s="37" t="str">
        <f>'GF + UG Iteration 11'!E287</f>
        <v>unknown</v>
      </c>
      <c r="F287" s="35">
        <f>'GF + UG Iteration 11'!F287</f>
        <v>10</v>
      </c>
      <c r="G287" s="36">
        <f>'GF + UG Iteration 11'!G287</f>
        <v>10.835025062169574</v>
      </c>
      <c r="H287" s="38">
        <f>'GF + UG Iteration 11'!H287</f>
        <v>2011</v>
      </c>
      <c r="I287" s="35">
        <f t="shared" si="30"/>
        <v>48</v>
      </c>
      <c r="J287" s="36">
        <f t="shared" si="31"/>
        <v>31.339581052051752</v>
      </c>
      <c r="K287" s="38">
        <f t="shared" si="32"/>
        <v>2011</v>
      </c>
      <c r="M287" s="21">
        <f t="shared" si="33"/>
        <v>3.8712010109078911</v>
      </c>
      <c r="N287" s="21">
        <f t="shared" si="34"/>
        <v>3.4448818690035452</v>
      </c>
    </row>
    <row r="288" spans="1:14" x14ac:dyDescent="0.2">
      <c r="A288" s="33">
        <f>'GF + UG Iteration 11'!A288</f>
        <v>630</v>
      </c>
      <c r="B288" s="34" t="str">
        <f>'GF + UG Iteration 11'!B288</f>
        <v>UG</v>
      </c>
      <c r="C288" s="35">
        <f>'GF + UG Iteration 11'!C288</f>
        <v>36.4</v>
      </c>
      <c r="D288" s="36">
        <f>'GF + UG Iteration 11'!P$16*(C288^'GF + UG Iteration 11'!P$15)</f>
        <v>20.005666785979056</v>
      </c>
      <c r="E288" s="37" t="str">
        <f>'GF + UG Iteration 11'!E288</f>
        <v>unknown</v>
      </c>
      <c r="F288" s="35">
        <f>'GF + UG Iteration 11'!F288</f>
        <v>3.6000000000000014</v>
      </c>
      <c r="G288" s="36">
        <f>'GF + UG Iteration 11'!G288</f>
        <v>0.76181860016629799</v>
      </c>
      <c r="H288" s="38">
        <f>'GF + UG Iteration 11'!H288</f>
        <v>2007</v>
      </c>
      <c r="I288" s="35">
        <f t="shared" si="30"/>
        <v>40</v>
      </c>
      <c r="J288" s="36">
        <f t="shared" si="31"/>
        <v>20.767485386145353</v>
      </c>
      <c r="K288" s="38">
        <f t="shared" si="32"/>
        <v>2007</v>
      </c>
      <c r="M288" s="21">
        <f t="shared" si="33"/>
        <v>3.6888794541139363</v>
      </c>
      <c r="N288" s="21">
        <f t="shared" si="34"/>
        <v>3.0333885610421625</v>
      </c>
    </row>
    <row r="289" spans="1:20" x14ac:dyDescent="0.2">
      <c r="A289" s="33">
        <f>'GF + UG Iteration 11'!A289</f>
        <v>1107</v>
      </c>
      <c r="B289" s="34" t="str">
        <f>'GF + UG Iteration 11'!B289</f>
        <v>UG</v>
      </c>
      <c r="C289" s="35">
        <f>'GF + UG Iteration 11'!C289</f>
        <v>16</v>
      </c>
      <c r="D289" s="36">
        <f>'GF + UG Iteration 11'!P$16*(C289^'GF + UG Iteration 11'!P$15)</f>
        <v>12.495318415214467</v>
      </c>
      <c r="E289" s="37">
        <f>'GF + UG Iteration 11'!E289</f>
        <v>2010</v>
      </c>
      <c r="F289" s="35">
        <f>'GF + UG Iteration 11'!F289</f>
        <v>24</v>
      </c>
      <c r="G289" s="36">
        <f>'GF + UG Iteration 11'!G289</f>
        <v>7.7000094501504579</v>
      </c>
      <c r="H289" s="38">
        <f>'GF + UG Iteration 11'!H289</f>
        <v>2014</v>
      </c>
      <c r="I289" s="35">
        <f t="shared" si="30"/>
        <v>40</v>
      </c>
      <c r="J289" s="36">
        <f t="shared" si="31"/>
        <v>20.195327865364924</v>
      </c>
      <c r="K289" s="38">
        <f t="shared" si="32"/>
        <v>2014</v>
      </c>
      <c r="M289" s="21">
        <f t="shared" si="33"/>
        <v>3.6888794541139363</v>
      </c>
      <c r="N289" s="21">
        <f t="shared" si="34"/>
        <v>3.0054512838608085</v>
      </c>
    </row>
    <row r="290" spans="1:20" x14ac:dyDescent="0.2">
      <c r="A290" s="33">
        <f>'GF + UG Iteration 11'!A290</f>
        <v>682</v>
      </c>
      <c r="B290" s="34" t="str">
        <f>'GF + UG Iteration 11'!B290</f>
        <v>UG</v>
      </c>
      <c r="C290" s="35">
        <f>'GF + UG Iteration 11'!C290</f>
        <v>12</v>
      </c>
      <c r="D290" s="36">
        <f>'GF + UG Iteration 11'!P$16*(C290^'GF + UG Iteration 11'!P$15)</f>
        <v>10.597612936210513</v>
      </c>
      <c r="E290" s="37">
        <f>'GF + UG Iteration 11'!E290</f>
        <v>2005</v>
      </c>
      <c r="F290" s="35">
        <f>'GF + UG Iteration 11'!F290</f>
        <v>18</v>
      </c>
      <c r="G290" s="36">
        <f>'GF + UG Iteration 11'!G290</f>
        <v>4.2252233548626927</v>
      </c>
      <c r="H290" s="38">
        <f>'GF + UG Iteration 11'!H290</f>
        <v>2009</v>
      </c>
      <c r="I290" s="35">
        <f t="shared" ref="I290:I291" si="35">C290+F290</f>
        <v>30</v>
      </c>
      <c r="J290" s="36">
        <f t="shared" ref="J290:J291" si="36">D290+G290</f>
        <v>14.822836291073205</v>
      </c>
      <c r="K290" s="38">
        <f t="shared" ref="K290:K291" si="37">MAX(E290,H290)</f>
        <v>2009</v>
      </c>
      <c r="M290" s="21">
        <f t="shared" ref="M290:M291" si="38">LN(I290)</f>
        <v>3.4011973816621555</v>
      </c>
      <c r="N290" s="21">
        <f t="shared" ref="N290:N291" si="39">LN(J290)</f>
        <v>2.6961689842201242</v>
      </c>
    </row>
    <row r="291" spans="1:20" x14ac:dyDescent="0.2">
      <c r="A291" s="33">
        <f>'GF + UG Iteration 11'!A291</f>
        <v>677</v>
      </c>
      <c r="B291" s="34" t="str">
        <f>'GF + UG Iteration 11'!B291</f>
        <v>UG</v>
      </c>
      <c r="C291" s="35">
        <f>'GF + UG Iteration 11'!C291</f>
        <v>117</v>
      </c>
      <c r="D291" s="36">
        <f>'GF + UG Iteration 11'!P$16*(C291^'GF + UG Iteration 11'!P$15)</f>
        <v>39.039745657911105</v>
      </c>
      <c r="E291" s="37" t="str">
        <f>'GF + UG Iteration 11'!E291</f>
        <v>unknown</v>
      </c>
      <c r="F291" s="35">
        <f>'GF + UG Iteration 11'!F291</f>
        <v>0</v>
      </c>
      <c r="G291" s="36">
        <f>'GF + UG Iteration 11'!G291</f>
        <v>5.9672660834890454</v>
      </c>
      <c r="H291" s="38">
        <f>'GF + UG Iteration 11'!H291</f>
        <v>2009</v>
      </c>
      <c r="I291" s="35">
        <f t="shared" si="35"/>
        <v>117</v>
      </c>
      <c r="J291" s="36">
        <f t="shared" si="36"/>
        <v>45.007011741400149</v>
      </c>
      <c r="K291" s="38">
        <f t="shared" si="37"/>
        <v>2009</v>
      </c>
      <c r="M291" s="21">
        <f t="shared" si="38"/>
        <v>4.7621739347977563</v>
      </c>
      <c r="N291" s="21">
        <f t="shared" si="39"/>
        <v>3.8068182941077526</v>
      </c>
    </row>
    <row r="292" spans="1:20" x14ac:dyDescent="0.2">
      <c r="A292" s="33">
        <f>'GF + UG Iteration 11'!A292</f>
        <v>643</v>
      </c>
      <c r="B292" s="34" t="str">
        <f>'GF + UG Iteration 11'!B292</f>
        <v>UG</v>
      </c>
      <c r="C292" s="35">
        <f>'GF + UG Iteration 11'!C292</f>
        <v>53.37</v>
      </c>
      <c r="D292" s="36">
        <f>'GF + UG Iteration 11'!P$16*(C292^'GF + UG Iteration 11'!P$15)</f>
        <v>24.906683219557507</v>
      </c>
      <c r="E292" s="37" t="str">
        <f>'GF + UG Iteration 11'!E292</f>
        <v>unknown</v>
      </c>
      <c r="F292" s="35">
        <f>'GF + UG Iteration 11'!F292</f>
        <v>0.5</v>
      </c>
      <c r="G292" s="36">
        <f>'GF + UG Iteration 11'!G292</f>
        <v>4.4086715648995529</v>
      </c>
      <c r="H292" s="38">
        <f>'GF + UG Iteration 11'!H292</f>
        <v>2009</v>
      </c>
      <c r="I292" s="35">
        <f t="shared" si="30"/>
        <v>53.87</v>
      </c>
      <c r="J292" s="36">
        <f t="shared" si="31"/>
        <v>29.31535478445706</v>
      </c>
      <c r="K292" s="38">
        <f t="shared" si="32"/>
        <v>2009</v>
      </c>
      <c r="M292" s="21">
        <f t="shared" si="33"/>
        <v>3.9865737366924425</v>
      </c>
      <c r="N292" s="21">
        <f t="shared" si="34"/>
        <v>3.3781114328316719</v>
      </c>
    </row>
    <row r="294" spans="1:20" s="9" customFormat="1" x14ac:dyDescent="0.2">
      <c r="A294" s="26" t="s">
        <v>29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47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6"/>
  <sheetViews>
    <sheetView zoomScaleNormal="100" workbookViewId="0"/>
  </sheetViews>
  <sheetFormatPr defaultRowHeight="12.75" x14ac:dyDescent="0.2"/>
  <cols>
    <col min="1" max="1" width="6.42578125" customWidth="1"/>
    <col min="2" max="2" width="22.5703125" bestFit="1" customWidth="1"/>
    <col min="3" max="3" width="6.7109375" customWidth="1"/>
    <col min="4" max="4" width="9.42578125" bestFit="1" customWidth="1"/>
    <col min="5" max="5" width="12" customWidth="1"/>
    <col min="6" max="8" width="8.7109375" customWidth="1"/>
    <col min="9" max="9" width="5" customWidth="1"/>
    <col min="10" max="10" width="6.140625" customWidth="1"/>
    <col min="11" max="11" width="15.5703125" bestFit="1" customWidth="1"/>
    <col min="12" max="12" width="10.7109375" customWidth="1"/>
    <col min="13" max="13" width="13.7109375" customWidth="1"/>
    <col min="14" max="16" width="8.7109375" customWidth="1"/>
  </cols>
  <sheetData>
    <row r="1" spans="1:16" s="1" customFormat="1" x14ac:dyDescent="0.2">
      <c r="A1" s="1" t="s">
        <v>54</v>
      </c>
    </row>
    <row r="2" spans="1:16" s="1" customFormat="1" x14ac:dyDescent="0.2">
      <c r="A2" s="1" t="str">
        <f>Application</f>
        <v>2018 ISO Tariff Application</v>
      </c>
    </row>
    <row r="3" spans="1:16" s="1" customFormat="1" x14ac:dyDescent="0.2">
      <c r="A3" s="1" t="str">
        <f>ApplicationSection</f>
        <v>Appendix G - Point of Delivery Cost Function Workbook</v>
      </c>
    </row>
    <row r="4" spans="1:16" s="1" customFormat="1" x14ac:dyDescent="0.2">
      <c r="A4" s="1" t="s">
        <v>963</v>
      </c>
    </row>
    <row r="5" spans="1:16" s="1" customFormat="1" x14ac:dyDescent="0.2">
      <c r="A5" s="43" t="str">
        <f>TableDate</f>
        <v>August 17, 2018</v>
      </c>
      <c r="B5" s="44"/>
    </row>
    <row r="7" spans="1:16" s="83" customFormat="1" ht="51" x14ac:dyDescent="0.2">
      <c r="A7" s="81" t="s">
        <v>55</v>
      </c>
      <c r="B7" s="82" t="s">
        <v>58</v>
      </c>
      <c r="C7" s="82" t="s">
        <v>60</v>
      </c>
      <c r="D7" s="82" t="s">
        <v>424</v>
      </c>
      <c r="E7" s="81" t="s">
        <v>425</v>
      </c>
      <c r="F7" s="81" t="s">
        <v>426</v>
      </c>
      <c r="G7" s="81" t="s">
        <v>427</v>
      </c>
      <c r="H7" s="81" t="s">
        <v>79</v>
      </c>
      <c r="I7" s="82" t="s">
        <v>83</v>
      </c>
      <c r="J7" s="82" t="s">
        <v>84</v>
      </c>
      <c r="K7" s="81" t="s">
        <v>85</v>
      </c>
      <c r="L7" s="81" t="s">
        <v>86</v>
      </c>
      <c r="M7" s="81" t="s">
        <v>87</v>
      </c>
      <c r="N7" s="81" t="s">
        <v>428</v>
      </c>
      <c r="O7" s="81" t="s">
        <v>429</v>
      </c>
      <c r="P7" s="81" t="s">
        <v>91</v>
      </c>
    </row>
    <row r="8" spans="1:16" x14ac:dyDescent="0.2">
      <c r="A8" s="84" t="s">
        <v>430</v>
      </c>
      <c r="B8" t="s">
        <v>431</v>
      </c>
      <c r="C8" t="s">
        <v>432</v>
      </c>
      <c r="D8" t="s">
        <v>433</v>
      </c>
      <c r="E8" s="85">
        <v>1076035.6796672335</v>
      </c>
      <c r="F8" s="86">
        <v>0.1</v>
      </c>
      <c r="G8" s="86">
        <v>2.2000000000000002</v>
      </c>
      <c r="H8" s="86">
        <v>2.2000000000000002</v>
      </c>
      <c r="I8">
        <v>1990</v>
      </c>
      <c r="J8">
        <f>I8-1</f>
        <v>1989</v>
      </c>
      <c r="L8" s="87">
        <f>LOOKUP(J8,'2018 Escalator'!$A$9:$A$41,'2018 Escalator'!$G$9:$G$41)</f>
        <v>2.3171826229745704</v>
      </c>
      <c r="M8" s="88">
        <f>E8*L8</f>
        <v>2493371.1786255445</v>
      </c>
      <c r="N8" s="86">
        <v>7.5</v>
      </c>
      <c r="O8" s="86">
        <f>N8</f>
        <v>7.5</v>
      </c>
      <c r="P8" s="86">
        <f>O8*0.9</f>
        <v>6.75</v>
      </c>
    </row>
    <row r="9" spans="1:16" x14ac:dyDescent="0.2">
      <c r="A9" s="84" t="s">
        <v>434</v>
      </c>
      <c r="B9" t="s">
        <v>435</v>
      </c>
      <c r="C9" t="s">
        <v>436</v>
      </c>
      <c r="D9" t="s">
        <v>433</v>
      </c>
      <c r="E9" s="85">
        <v>583612.57202290627</v>
      </c>
      <c r="F9" s="86">
        <v>1.464</v>
      </c>
      <c r="G9" s="86">
        <v>1.464</v>
      </c>
      <c r="H9" s="86">
        <v>1.464</v>
      </c>
      <c r="I9">
        <v>1987</v>
      </c>
      <c r="J9">
        <f t="shared" ref="J9:J25" si="0">I9-1</f>
        <v>1986</v>
      </c>
      <c r="L9" s="87">
        <f>LOOKUP(J9,'2018 Escalator'!$A$9:$A$41,'2018 Escalator'!$G$9:$G$41)</f>
        <v>2.559955793487025</v>
      </c>
      <c r="M9" s="88">
        <f t="shared" ref="M9:M25" si="1">E9*L9</f>
        <v>1494022.3849019026</v>
      </c>
      <c r="N9" s="86">
        <v>5</v>
      </c>
      <c r="O9" s="86">
        <f t="shared" ref="O9:O25" si="2">N9</f>
        <v>5</v>
      </c>
      <c r="P9" s="86">
        <f t="shared" ref="P9:P25" si="3">O9*0.9</f>
        <v>4.5</v>
      </c>
    </row>
    <row r="10" spans="1:16" x14ac:dyDescent="0.2">
      <c r="A10" s="84" t="s">
        <v>437</v>
      </c>
      <c r="B10" s="89" t="s">
        <v>438</v>
      </c>
      <c r="C10" t="s">
        <v>439</v>
      </c>
      <c r="D10" t="s">
        <v>433</v>
      </c>
      <c r="E10" s="85">
        <v>835903.42347030842</v>
      </c>
      <c r="F10" s="86">
        <v>4.0750000000000002</v>
      </c>
      <c r="G10" s="86">
        <v>0</v>
      </c>
      <c r="H10" s="86">
        <v>4.0750000000000002</v>
      </c>
      <c r="I10">
        <v>1990</v>
      </c>
      <c r="J10">
        <f t="shared" si="0"/>
        <v>1989</v>
      </c>
      <c r="L10" s="87">
        <f>LOOKUP(J10,'2018 Escalator'!$A$9:$A$41,'2018 Escalator'!$G$9:$G$41)</f>
        <v>2.3171826229745704</v>
      </c>
      <c r="M10" s="88">
        <f t="shared" si="1"/>
        <v>1936940.8873503525</v>
      </c>
      <c r="N10" s="86">
        <v>11.2</v>
      </c>
      <c r="O10" s="86">
        <f t="shared" si="2"/>
        <v>11.2</v>
      </c>
      <c r="P10" s="86">
        <f t="shared" si="3"/>
        <v>10.08</v>
      </c>
    </row>
    <row r="11" spans="1:16" x14ac:dyDescent="0.2">
      <c r="A11" s="84" t="s">
        <v>440</v>
      </c>
      <c r="B11" t="s">
        <v>441</v>
      </c>
      <c r="C11" t="s">
        <v>442</v>
      </c>
      <c r="D11" t="s">
        <v>433</v>
      </c>
      <c r="E11" s="85">
        <v>3869472.9384643734</v>
      </c>
      <c r="F11" s="62">
        <v>4.234</v>
      </c>
      <c r="G11" s="62">
        <v>10</v>
      </c>
      <c r="H11" s="62">
        <v>10</v>
      </c>
      <c r="I11">
        <v>1991</v>
      </c>
      <c r="J11">
        <f t="shared" si="0"/>
        <v>1990</v>
      </c>
      <c r="L11" s="87">
        <f>LOOKUP(J11,'2018 Escalator'!$A$9:$A$41,'2018 Escalator'!$G$9:$G$41)</f>
        <v>2.2035350721892151</v>
      </c>
      <c r="M11" s="88">
        <f t="shared" si="1"/>
        <v>8526519.3307933062</v>
      </c>
      <c r="N11" s="62">
        <v>15</v>
      </c>
      <c r="O11" s="62">
        <f t="shared" si="2"/>
        <v>15</v>
      </c>
      <c r="P11" s="62">
        <f t="shared" si="3"/>
        <v>13.5</v>
      </c>
    </row>
    <row r="12" spans="1:16" x14ac:dyDescent="0.2">
      <c r="A12" s="84" t="s">
        <v>443</v>
      </c>
      <c r="B12" t="s">
        <v>444</v>
      </c>
      <c r="C12" t="s">
        <v>445</v>
      </c>
      <c r="D12" t="s">
        <v>433</v>
      </c>
      <c r="E12" s="85">
        <v>1614053.5195008502</v>
      </c>
      <c r="F12" s="86">
        <v>4.8</v>
      </c>
      <c r="G12" s="86">
        <v>4.8</v>
      </c>
      <c r="H12" s="86">
        <v>4.8</v>
      </c>
      <c r="I12">
        <v>1988</v>
      </c>
      <c r="J12">
        <f t="shared" si="0"/>
        <v>1987</v>
      </c>
      <c r="L12" s="87">
        <f>LOOKUP(J12,'2018 Escalator'!$A$9:$A$41,'2018 Escalator'!$G$9:$G$41)</f>
        <v>2.5105627854788519</v>
      </c>
      <c r="M12" s="88">
        <f t="shared" si="1"/>
        <v>4052182.6998299989</v>
      </c>
      <c r="N12" s="86">
        <v>17.899999999999999</v>
      </c>
      <c r="O12" s="86">
        <f t="shared" si="2"/>
        <v>17.899999999999999</v>
      </c>
      <c r="P12" s="86">
        <f t="shared" si="3"/>
        <v>16.11</v>
      </c>
    </row>
    <row r="13" spans="1:16" x14ac:dyDescent="0.2">
      <c r="A13" s="84" t="s">
        <v>446</v>
      </c>
      <c r="B13" t="s">
        <v>447</v>
      </c>
      <c r="C13" t="s">
        <v>448</v>
      </c>
      <c r="D13" t="s">
        <v>433</v>
      </c>
      <c r="E13" s="85">
        <v>3975860.646906049</v>
      </c>
      <c r="F13" s="86">
        <v>5.0999999999999996</v>
      </c>
      <c r="G13" s="86">
        <v>2.2999999999999998</v>
      </c>
      <c r="H13" s="86">
        <v>5.0999999999999996</v>
      </c>
      <c r="I13">
        <v>1989</v>
      </c>
      <c r="J13">
        <f t="shared" si="0"/>
        <v>1988</v>
      </c>
      <c r="K13" t="s">
        <v>449</v>
      </c>
      <c r="L13" s="87">
        <f>LOOKUP(J13,'2018 Escalator'!$A$9:$A$41,'2018 Escalator'!$G$9:$G$41)</f>
        <v>2.4266990937307562</v>
      </c>
      <c r="M13" s="88">
        <f t="shared" si="1"/>
        <v>9648217.4286466874</v>
      </c>
      <c r="N13" s="86">
        <v>33.200000000000003</v>
      </c>
      <c r="O13" s="86">
        <f t="shared" si="2"/>
        <v>33.200000000000003</v>
      </c>
      <c r="P13" s="86">
        <f t="shared" si="3"/>
        <v>29.880000000000003</v>
      </c>
    </row>
    <row r="14" spans="1:16" x14ac:dyDescent="0.2">
      <c r="A14" s="84" t="s">
        <v>450</v>
      </c>
      <c r="B14" t="s">
        <v>451</v>
      </c>
      <c r="C14" t="s">
        <v>452</v>
      </c>
      <c r="D14" t="s">
        <v>433</v>
      </c>
      <c r="E14" s="85">
        <v>2668811.6574797486</v>
      </c>
      <c r="F14" s="86">
        <v>5.5579999999999998</v>
      </c>
      <c r="G14" s="86">
        <v>6.9</v>
      </c>
      <c r="H14" s="86">
        <v>6.9</v>
      </c>
      <c r="I14">
        <v>1997</v>
      </c>
      <c r="J14">
        <f t="shared" si="0"/>
        <v>1996</v>
      </c>
      <c r="L14" s="87">
        <f>LOOKUP(J14,'2018 Escalator'!$A$9:$A$41,'2018 Escalator'!$G$9:$G$41)</f>
        <v>1.8845214140989586</v>
      </c>
      <c r="M14" s="88">
        <f t="shared" si="1"/>
        <v>5029432.7187175211</v>
      </c>
      <c r="N14" s="86">
        <v>25</v>
      </c>
      <c r="O14" s="86">
        <f t="shared" si="2"/>
        <v>25</v>
      </c>
      <c r="P14" s="86">
        <f t="shared" si="3"/>
        <v>22.5</v>
      </c>
    </row>
    <row r="15" spans="1:16" x14ac:dyDescent="0.2">
      <c r="A15" s="84" t="s">
        <v>453</v>
      </c>
      <c r="B15" t="s">
        <v>454</v>
      </c>
      <c r="C15" t="s">
        <v>455</v>
      </c>
      <c r="D15" t="s">
        <v>433</v>
      </c>
      <c r="E15" s="85">
        <v>2489472.3775352095</v>
      </c>
      <c r="F15" s="86">
        <v>5.7839999999999998</v>
      </c>
      <c r="G15" s="86">
        <v>11.8</v>
      </c>
      <c r="H15" s="86">
        <v>11.8</v>
      </c>
      <c r="I15">
        <v>1987</v>
      </c>
      <c r="J15">
        <f t="shared" si="0"/>
        <v>1986</v>
      </c>
      <c r="L15" s="87">
        <f>LOOKUP(J15,'2018 Escalator'!$A$9:$A$41,'2018 Escalator'!$G$9:$G$41)</f>
        <v>2.559955793487025</v>
      </c>
      <c r="M15" s="88">
        <f t="shared" si="1"/>
        <v>6372939.2355971774</v>
      </c>
      <c r="N15" s="86">
        <v>42</v>
      </c>
      <c r="O15" s="86">
        <f t="shared" si="2"/>
        <v>42</v>
      </c>
      <c r="P15" s="86">
        <f t="shared" si="3"/>
        <v>37.800000000000004</v>
      </c>
    </row>
    <row r="16" spans="1:16" x14ac:dyDescent="0.2">
      <c r="A16" s="84" t="s">
        <v>456</v>
      </c>
      <c r="B16" t="s">
        <v>457</v>
      </c>
      <c r="C16" t="s">
        <v>458</v>
      </c>
      <c r="D16" t="s">
        <v>433</v>
      </c>
      <c r="E16" s="85">
        <v>1562379.4896863222</v>
      </c>
      <c r="F16" s="62">
        <v>6</v>
      </c>
      <c r="G16" s="62">
        <v>9.6999999999999993</v>
      </c>
      <c r="H16" s="62">
        <v>9.6999999999999993</v>
      </c>
      <c r="I16">
        <v>1997</v>
      </c>
      <c r="J16">
        <f t="shared" si="0"/>
        <v>1996</v>
      </c>
      <c r="L16" s="87">
        <f>LOOKUP(J16,'2018 Escalator'!$A$9:$A$41,'2018 Escalator'!$G$9:$G$41)</f>
        <v>1.8845214140989586</v>
      </c>
      <c r="M16" s="88">
        <f t="shared" si="1"/>
        <v>2944337.605262877</v>
      </c>
      <c r="N16" s="62">
        <v>25</v>
      </c>
      <c r="O16" s="62">
        <f t="shared" si="2"/>
        <v>25</v>
      </c>
      <c r="P16" s="62">
        <f t="shared" si="3"/>
        <v>22.5</v>
      </c>
    </row>
    <row r="17" spans="1:16" x14ac:dyDescent="0.2">
      <c r="A17" s="84" t="s">
        <v>459</v>
      </c>
      <c r="B17" t="s">
        <v>460</v>
      </c>
      <c r="C17" t="s">
        <v>461</v>
      </c>
      <c r="D17" t="s">
        <v>433</v>
      </c>
      <c r="E17" s="85">
        <v>5817887.8273533471</v>
      </c>
      <c r="F17" s="86">
        <v>6.12</v>
      </c>
      <c r="G17" s="86">
        <v>6.12</v>
      </c>
      <c r="H17" s="86">
        <v>6.12</v>
      </c>
      <c r="I17">
        <v>1990</v>
      </c>
      <c r="J17">
        <f t="shared" si="0"/>
        <v>1989</v>
      </c>
      <c r="L17" s="87">
        <f>LOOKUP(J17,'2018 Escalator'!$A$9:$A$41,'2018 Escalator'!$G$9:$G$41)</f>
        <v>2.3171826229745704</v>
      </c>
      <c r="M17" s="88">
        <f t="shared" si="1"/>
        <v>13481108.575958453</v>
      </c>
      <c r="N17" s="86">
        <v>25</v>
      </c>
      <c r="O17" s="86">
        <f t="shared" si="2"/>
        <v>25</v>
      </c>
      <c r="P17" s="86">
        <f t="shared" si="3"/>
        <v>22.5</v>
      </c>
    </row>
    <row r="18" spans="1:16" x14ac:dyDescent="0.2">
      <c r="A18" s="84" t="s">
        <v>462</v>
      </c>
      <c r="B18" t="s">
        <v>463</v>
      </c>
      <c r="C18" t="s">
        <v>464</v>
      </c>
      <c r="D18" t="s">
        <v>433</v>
      </c>
      <c r="E18" s="85">
        <v>1136828.6559196194</v>
      </c>
      <c r="F18" s="86">
        <v>6.2671999999999999</v>
      </c>
      <c r="G18" s="86">
        <v>6.2671999999999999</v>
      </c>
      <c r="H18" s="86">
        <v>6.2671999999999999</v>
      </c>
      <c r="I18">
        <v>1987</v>
      </c>
      <c r="J18">
        <f t="shared" si="0"/>
        <v>1986</v>
      </c>
      <c r="L18" s="87">
        <f>LOOKUP(J18,'2018 Escalator'!$A$9:$A$41,'2018 Escalator'!$G$9:$G$41)</f>
        <v>2.559955793487025</v>
      </c>
      <c r="M18" s="88">
        <f t="shared" si="1"/>
        <v>2910231.1039234973</v>
      </c>
      <c r="N18" s="86">
        <v>29.9</v>
      </c>
      <c r="O18" s="86">
        <f t="shared" si="2"/>
        <v>29.9</v>
      </c>
      <c r="P18" s="86">
        <f t="shared" si="3"/>
        <v>26.91</v>
      </c>
    </row>
    <row r="19" spans="1:16" x14ac:dyDescent="0.2">
      <c r="A19" s="84" t="s">
        <v>465</v>
      </c>
      <c r="B19" t="s">
        <v>466</v>
      </c>
      <c r="C19" t="s">
        <v>467</v>
      </c>
      <c r="D19" t="s">
        <v>433</v>
      </c>
      <c r="E19" s="85">
        <v>4857358.8025656473</v>
      </c>
      <c r="F19" s="86">
        <v>6.3659999999999997</v>
      </c>
      <c r="G19" s="86">
        <v>6.3659999999999997</v>
      </c>
      <c r="H19" s="86">
        <v>6.3659999999999997</v>
      </c>
      <c r="I19">
        <v>1993</v>
      </c>
      <c r="J19">
        <f t="shared" si="0"/>
        <v>1992</v>
      </c>
      <c r="L19" s="87">
        <f>LOOKUP(J19,'2018 Escalator'!$A$9:$A$41,'2018 Escalator'!$G$9:$G$41)</f>
        <v>2.0362284374192305</v>
      </c>
      <c r="M19" s="88">
        <f t="shared" si="1"/>
        <v>9890692.1245327927</v>
      </c>
      <c r="N19" s="86">
        <v>42</v>
      </c>
      <c r="O19" s="86">
        <f t="shared" si="2"/>
        <v>42</v>
      </c>
      <c r="P19" s="86">
        <f t="shared" si="3"/>
        <v>37.800000000000004</v>
      </c>
    </row>
    <row r="20" spans="1:16" x14ac:dyDescent="0.2">
      <c r="A20" s="84" t="s">
        <v>468</v>
      </c>
      <c r="B20" t="s">
        <v>469</v>
      </c>
      <c r="C20" t="s">
        <v>470</v>
      </c>
      <c r="D20" t="s">
        <v>433</v>
      </c>
      <c r="E20" s="85">
        <v>2565463.5978506925</v>
      </c>
      <c r="F20" s="86">
        <v>6.5810000000000004</v>
      </c>
      <c r="G20" s="86">
        <v>8.5</v>
      </c>
      <c r="H20" s="86">
        <v>8.5</v>
      </c>
      <c r="I20">
        <v>1990</v>
      </c>
      <c r="J20">
        <f t="shared" si="0"/>
        <v>1989</v>
      </c>
      <c r="L20" s="87">
        <f>LOOKUP(J20,'2018 Escalator'!$A$9:$A$41,'2018 Escalator'!$G$9:$G$41)</f>
        <v>2.3171826229745704</v>
      </c>
      <c r="M20" s="88">
        <f t="shared" si="1"/>
        <v>5944647.6688134465</v>
      </c>
      <c r="N20" s="86">
        <v>14.9</v>
      </c>
      <c r="O20" s="86">
        <f t="shared" si="2"/>
        <v>14.9</v>
      </c>
      <c r="P20" s="86">
        <f t="shared" si="3"/>
        <v>13.41</v>
      </c>
    </row>
    <row r="21" spans="1:16" x14ac:dyDescent="0.2">
      <c r="A21" s="84" t="s">
        <v>471</v>
      </c>
      <c r="B21" t="s">
        <v>472</v>
      </c>
      <c r="C21" t="s">
        <v>473</v>
      </c>
      <c r="D21" t="s">
        <v>474</v>
      </c>
      <c r="E21" s="85">
        <v>3264582.8247531317</v>
      </c>
      <c r="F21" s="86">
        <v>46.55</v>
      </c>
      <c r="G21" s="86">
        <v>1</v>
      </c>
      <c r="H21" s="86">
        <v>46.55</v>
      </c>
      <c r="I21">
        <v>1991</v>
      </c>
      <c r="J21">
        <f t="shared" si="0"/>
        <v>1990</v>
      </c>
      <c r="K21" t="s">
        <v>475</v>
      </c>
      <c r="L21" s="87">
        <f>LOOKUP(J21,'2018 Escalator'!$A$9:$A$41,'2018 Escalator'!$G$9:$G$41)</f>
        <v>2.2035350721892151</v>
      </c>
      <c r="M21" s="88">
        <f t="shared" si="1"/>
        <v>7193622.7504100641</v>
      </c>
      <c r="N21" s="86">
        <v>83</v>
      </c>
      <c r="O21" s="86">
        <f t="shared" si="2"/>
        <v>83</v>
      </c>
      <c r="P21" s="86">
        <f t="shared" si="3"/>
        <v>74.7</v>
      </c>
    </row>
    <row r="22" spans="1:16" x14ac:dyDescent="0.2">
      <c r="A22" s="84" t="s">
        <v>476</v>
      </c>
      <c r="B22" t="s">
        <v>477</v>
      </c>
      <c r="C22" t="s">
        <v>478</v>
      </c>
      <c r="D22" t="s">
        <v>474</v>
      </c>
      <c r="E22" s="85">
        <v>7593042.7339230208</v>
      </c>
      <c r="F22" s="86">
        <v>56.8</v>
      </c>
      <c r="G22" s="86">
        <v>0</v>
      </c>
      <c r="H22" s="86">
        <v>56.8</v>
      </c>
      <c r="I22">
        <v>1990</v>
      </c>
      <c r="J22">
        <f t="shared" si="0"/>
        <v>1989</v>
      </c>
      <c r="K22" s="90" t="s">
        <v>479</v>
      </c>
      <c r="L22" s="87">
        <f>LOOKUP(J22,'2018 Escalator'!$A$9:$A$41,'2018 Escalator'!$G$9:$G$41)</f>
        <v>2.3171826229745704</v>
      </c>
      <c r="M22" s="88">
        <f t="shared" si="1"/>
        <v>17594466.678549748</v>
      </c>
      <c r="N22" s="86">
        <v>100</v>
      </c>
      <c r="O22" s="86">
        <f t="shared" si="2"/>
        <v>100</v>
      </c>
      <c r="P22" s="86">
        <f t="shared" si="3"/>
        <v>90</v>
      </c>
    </row>
    <row r="23" spans="1:16" x14ac:dyDescent="0.2">
      <c r="A23" s="84" t="s">
        <v>480</v>
      </c>
      <c r="B23" t="s">
        <v>481</v>
      </c>
      <c r="C23" t="s">
        <v>482</v>
      </c>
      <c r="D23" t="s">
        <v>474</v>
      </c>
      <c r="E23" s="85">
        <v>5586874.5175942807</v>
      </c>
      <c r="F23" s="86">
        <v>81.575999999999993</v>
      </c>
      <c r="G23" s="86">
        <v>81.575999999999993</v>
      </c>
      <c r="H23" s="86">
        <v>81.575999999999993</v>
      </c>
      <c r="I23">
        <v>1988</v>
      </c>
      <c r="J23">
        <f t="shared" si="0"/>
        <v>1987</v>
      </c>
      <c r="L23" s="87">
        <f>LOOKUP(J23,'2018 Escalator'!$A$9:$A$41,'2018 Escalator'!$G$9:$G$41)</f>
        <v>2.5105627854788519</v>
      </c>
      <c r="M23" s="88">
        <f t="shared" si="1"/>
        <v>14026199.251012314</v>
      </c>
      <c r="N23" s="86">
        <v>187.5</v>
      </c>
      <c r="O23" s="86">
        <f t="shared" si="2"/>
        <v>187.5</v>
      </c>
      <c r="P23" s="86">
        <f t="shared" si="3"/>
        <v>168.75</v>
      </c>
    </row>
    <row r="24" spans="1:16" x14ac:dyDescent="0.2">
      <c r="A24" s="84" t="s">
        <v>483</v>
      </c>
      <c r="B24" t="s">
        <v>484</v>
      </c>
      <c r="C24" t="s">
        <v>485</v>
      </c>
      <c r="D24" t="s">
        <v>474</v>
      </c>
      <c r="E24" s="85">
        <v>7994276.3771887682</v>
      </c>
      <c r="F24" s="86">
        <v>95.2</v>
      </c>
      <c r="G24" s="86">
        <v>95.2</v>
      </c>
      <c r="H24" s="86">
        <v>95.2</v>
      </c>
      <c r="I24">
        <v>1999</v>
      </c>
      <c r="J24">
        <f t="shared" si="0"/>
        <v>1998</v>
      </c>
      <c r="L24" s="87">
        <f>LOOKUP(J24,'2018 Escalator'!$A$9:$A$41,'2018 Escalator'!$G$9:$G$41)</f>
        <v>1.7787606414910384</v>
      </c>
      <c r="M24" s="88">
        <f t="shared" si="1"/>
        <v>14219904.176944949</v>
      </c>
      <c r="N24" s="86">
        <v>100</v>
      </c>
      <c r="O24" s="86">
        <f t="shared" si="2"/>
        <v>100</v>
      </c>
      <c r="P24" s="86">
        <f t="shared" si="3"/>
        <v>90</v>
      </c>
    </row>
    <row r="25" spans="1:16" x14ac:dyDescent="0.2">
      <c r="A25" s="84" t="s">
        <v>486</v>
      </c>
      <c r="B25" t="s">
        <v>487</v>
      </c>
      <c r="C25" t="s">
        <v>488</v>
      </c>
      <c r="D25" t="s">
        <v>474</v>
      </c>
      <c r="E25" s="85">
        <v>10118990.897209661</v>
      </c>
      <c r="F25" s="86">
        <v>122.77200000000001</v>
      </c>
      <c r="G25" s="86">
        <v>122.77200000000001</v>
      </c>
      <c r="H25" s="86">
        <v>122.77200000000001</v>
      </c>
      <c r="I25">
        <v>1990</v>
      </c>
      <c r="J25">
        <f t="shared" si="0"/>
        <v>1989</v>
      </c>
      <c r="L25" s="87">
        <f>LOOKUP(J25,'2018 Escalator'!$A$9:$A$41,'2018 Escalator'!$G$9:$G$41)</f>
        <v>2.3171826229745704</v>
      </c>
      <c r="M25" s="88">
        <f t="shared" si="1"/>
        <v>23447549.869052086</v>
      </c>
      <c r="N25" s="86">
        <v>225</v>
      </c>
      <c r="O25" s="86">
        <f t="shared" si="2"/>
        <v>225</v>
      </c>
      <c r="P25" s="86">
        <f t="shared" si="3"/>
        <v>202.5</v>
      </c>
    </row>
    <row r="26" spans="1:16" x14ac:dyDescent="0.2">
      <c r="A26" s="91" t="s">
        <v>423</v>
      </c>
      <c r="B26" s="92" t="str">
        <f>COUNTA(B8:B25)&amp;" Projects"</f>
        <v>18 Projects</v>
      </c>
      <c r="E26" s="93">
        <f>SUM(E8:E25)</f>
        <v>67610908.539091155</v>
      </c>
      <c r="H26" s="94">
        <f>SUM(H8:H25)</f>
        <v>486.1902</v>
      </c>
      <c r="L26" s="87"/>
      <c r="M26" s="93">
        <f>SUM(M8:M25)</f>
        <v>151206385.66892272</v>
      </c>
      <c r="N26" s="94">
        <f>SUM(N8:N25)</f>
        <v>989.1</v>
      </c>
      <c r="O26" s="94">
        <f>SUM(O8:O25)</f>
        <v>989.1</v>
      </c>
      <c r="P26" s="94">
        <f>SUM(P8:P25)</f>
        <v>890.19</v>
      </c>
    </row>
  </sheetData>
  <pageMargins left="0.5" right="0.5" top="0.75" bottom="0.5" header="0.5" footer="0.25"/>
  <pageSetup paperSize="17" fitToHeight="0" orientation="landscape" r:id="rId1"/>
  <headerFooter alignWithMargins="0">
    <oddHeader>&amp;C&amp;"Arial Black,Regular"&amp;11&amp;F [&amp;A]</oddHeader>
    <oddFooter xml:space="preserve">&amp;L&amp;8 20 Jun 2013
 &amp;Z&amp;F&amp;C&amp;8Page &amp;P of &amp;N
&amp;R&amp;8Confidentiality: Public
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8" activePane="bottomLeft" state="frozen"/>
      <selection activeCell="A4" sqref="A4"/>
      <selection pane="bottomLeft" activeCell="A8" sqref="A8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54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G - Point of Delivery Cost Function Workbook</v>
      </c>
    </row>
    <row r="4" spans="1:20" s="1" customFormat="1" x14ac:dyDescent="0.2">
      <c r="A4" s="1" t="s">
        <v>981</v>
      </c>
      <c r="B4" s="42"/>
    </row>
    <row r="5" spans="1:20" s="1" customFormat="1" x14ac:dyDescent="0.2">
      <c r="A5" s="43" t="str">
        <f>TableDate</f>
        <v>August 17, 2018</v>
      </c>
      <c r="B5" s="44"/>
    </row>
    <row r="6" spans="1:20" x14ac:dyDescent="0.2">
      <c r="E6" s="28"/>
    </row>
    <row r="7" spans="1:20" ht="25.5" x14ac:dyDescent="0.2">
      <c r="A7" s="10" t="s">
        <v>0</v>
      </c>
      <c r="B7" s="11" t="s">
        <v>7</v>
      </c>
      <c r="C7" s="12" t="s">
        <v>8</v>
      </c>
      <c r="D7" s="13" t="s">
        <v>30</v>
      </c>
      <c r="E7" s="14" t="s">
        <v>10</v>
      </c>
      <c r="F7" s="12" t="s">
        <v>11</v>
      </c>
      <c r="G7" s="13" t="s">
        <v>12</v>
      </c>
      <c r="H7" s="14" t="s">
        <v>13</v>
      </c>
      <c r="I7" s="12" t="s">
        <v>2</v>
      </c>
      <c r="J7" s="13" t="s">
        <v>14</v>
      </c>
      <c r="K7" s="14" t="s">
        <v>15</v>
      </c>
      <c r="M7" s="11" t="s">
        <v>16</v>
      </c>
      <c r="N7" s="11" t="s">
        <v>17</v>
      </c>
      <c r="P7" s="41" t="s">
        <v>53</v>
      </c>
      <c r="Q7" s="15"/>
      <c r="T7" s="3"/>
    </row>
    <row r="8" spans="1:20" x14ac:dyDescent="0.2">
      <c r="A8" s="25">
        <f>'GF + UG Iteration 12'!A8</f>
        <v>476</v>
      </c>
      <c r="B8" s="25" t="str">
        <f>'GF + UG Iteration 12'!B8</f>
        <v>GF</v>
      </c>
      <c r="C8" s="18">
        <f>'GF + UG Iteration 12'!C8</f>
        <v>14</v>
      </c>
      <c r="D8" s="19">
        <f>'GF + UG Iteration 12'!D8</f>
        <v>16.861812370959647</v>
      </c>
      <c r="E8" s="30">
        <f>'GF + UG Iteration 12'!E8</f>
        <v>2003</v>
      </c>
      <c r="F8" s="18"/>
      <c r="G8" s="19"/>
      <c r="H8" s="20"/>
      <c r="I8" s="18">
        <f>C8+F8</f>
        <v>14</v>
      </c>
      <c r="J8" s="19">
        <f>D8+G8</f>
        <v>16.861812370959647</v>
      </c>
      <c r="K8" s="20">
        <f>MAX(E8,H8)</f>
        <v>2003</v>
      </c>
      <c r="M8" s="21">
        <f>LN(I8)</f>
        <v>2.6390573296152584</v>
      </c>
      <c r="N8" s="21">
        <f>LN(J8)</f>
        <v>2.8250514421084625</v>
      </c>
      <c r="O8" s="3" t="s">
        <v>19</v>
      </c>
      <c r="P8" s="22">
        <f t="array" ref="P8:Q12">LINEST(N8:N292,M8:M292,TRUE,TRUE)</f>
        <v>0.5726014716062624</v>
      </c>
      <c r="Q8" s="22">
        <v>0.93775869232602993</v>
      </c>
      <c r="R8" s="5" t="s">
        <v>20</v>
      </c>
    </row>
    <row r="9" spans="1:20" x14ac:dyDescent="0.2">
      <c r="A9" s="25">
        <f>'GF + UG Iteration 12'!A9</f>
        <v>478</v>
      </c>
      <c r="B9" s="25" t="str">
        <f>'GF + UG Iteration 12'!B9</f>
        <v>GF</v>
      </c>
      <c r="C9" s="18">
        <f>'GF + UG Iteration 12'!C9</f>
        <v>8.5</v>
      </c>
      <c r="D9" s="19">
        <f>'GF + UG Iteration 12'!D9</f>
        <v>6.0182252638842719</v>
      </c>
      <c r="E9" s="30">
        <f>'GF + UG Iteration 12'!E9</f>
        <v>2003</v>
      </c>
      <c r="F9" s="18"/>
      <c r="G9" s="19"/>
      <c r="H9" s="20"/>
      <c r="I9" s="18">
        <f t="shared" ref="I9:I71" si="0">C9+F9</f>
        <v>8.5</v>
      </c>
      <c r="J9" s="19">
        <f t="shared" ref="J9:J71" si="1">D9+G9</f>
        <v>6.0182252638842719</v>
      </c>
      <c r="K9" s="20">
        <f t="shared" ref="K9:K71" si="2">MAX(E9,H9)</f>
        <v>2003</v>
      </c>
      <c r="M9" s="21">
        <f t="shared" ref="M9:M71" si="3">LN(I9)</f>
        <v>2.1400661634962708</v>
      </c>
      <c r="N9" s="21">
        <f t="shared" ref="N9:N71" si="4">LN(J9)</f>
        <v>1.7947924091929603</v>
      </c>
      <c r="O9" s="3" t="s">
        <v>21</v>
      </c>
      <c r="P9" s="22">
        <v>3.2094364148998751E-2</v>
      </c>
      <c r="Q9" s="22">
        <v>0.10233991070853066</v>
      </c>
      <c r="R9" s="5" t="s">
        <v>22</v>
      </c>
    </row>
    <row r="10" spans="1:20" x14ac:dyDescent="0.2">
      <c r="A10" s="25">
        <f>'GF + UG Iteration 12'!A10</f>
        <v>473</v>
      </c>
      <c r="B10" s="25" t="str">
        <f>'GF + UG Iteration 12'!B10</f>
        <v>GF</v>
      </c>
      <c r="C10" s="18">
        <f>'GF + UG Iteration 12'!C10</f>
        <v>30</v>
      </c>
      <c r="D10" s="19">
        <f>'GF + UG Iteration 12'!D10</f>
        <v>14.998991377977235</v>
      </c>
      <c r="E10" s="30">
        <f>'GF + UG Iteration 12'!E10</f>
        <v>2003</v>
      </c>
      <c r="F10" s="18"/>
      <c r="G10" s="19"/>
      <c r="H10" s="20"/>
      <c r="I10" s="18">
        <f t="shared" si="0"/>
        <v>30</v>
      </c>
      <c r="J10" s="19">
        <f t="shared" si="1"/>
        <v>14.998991377977235</v>
      </c>
      <c r="K10" s="20">
        <f t="shared" si="2"/>
        <v>2003</v>
      </c>
      <c r="M10" s="21">
        <f t="shared" si="3"/>
        <v>3.4011973816621555</v>
      </c>
      <c r="N10" s="21">
        <f t="shared" si="4"/>
        <v>2.707982957373217</v>
      </c>
      <c r="O10" s="3" t="s">
        <v>1</v>
      </c>
      <c r="P10" s="22">
        <v>0.52935922332145602</v>
      </c>
      <c r="Q10" s="22">
        <v>0.39316153585379371</v>
      </c>
      <c r="R10" s="5" t="s">
        <v>23</v>
      </c>
    </row>
    <row r="11" spans="1:20" x14ac:dyDescent="0.2">
      <c r="A11" s="25">
        <f>'GF + UG Iteration 12'!A11</f>
        <v>1042</v>
      </c>
      <c r="B11" s="25" t="str">
        <f>'GF + UG Iteration 12'!B11</f>
        <v>GF</v>
      </c>
      <c r="C11" s="18">
        <f>'GF + UG Iteration 12'!C11</f>
        <v>13</v>
      </c>
      <c r="D11" s="19">
        <f>'GF + UG Iteration 12'!D11</f>
        <v>11.164764224012115</v>
      </c>
      <c r="E11" s="30">
        <f>'GF + UG Iteration 12'!E11</f>
        <v>2011</v>
      </c>
      <c r="F11" s="18"/>
      <c r="G11" s="19"/>
      <c r="H11" s="20"/>
      <c r="I11" s="18">
        <f t="shared" si="0"/>
        <v>13</v>
      </c>
      <c r="J11" s="19">
        <f t="shared" si="1"/>
        <v>11.164764224012115</v>
      </c>
      <c r="K11" s="20">
        <f t="shared" si="2"/>
        <v>2011</v>
      </c>
      <c r="M11" s="21">
        <f t="shared" si="3"/>
        <v>2.5649493574615367</v>
      </c>
      <c r="N11" s="21">
        <f t="shared" si="4"/>
        <v>2.4127627676497201</v>
      </c>
      <c r="O11" s="3" t="s">
        <v>24</v>
      </c>
      <c r="P11" s="22">
        <v>318.30786371129506</v>
      </c>
      <c r="Q11" s="22">
        <v>283</v>
      </c>
      <c r="R11" s="5" t="s">
        <v>25</v>
      </c>
    </row>
    <row r="12" spans="1:20" x14ac:dyDescent="0.2">
      <c r="A12" s="25">
        <f>'GF + UG Iteration 12'!A12</f>
        <v>443</v>
      </c>
      <c r="B12" s="25" t="str">
        <f>'GF + UG Iteration 12'!B12</f>
        <v>GF</v>
      </c>
      <c r="C12" s="18">
        <f>'GF + UG Iteration 12'!C12</f>
        <v>24.3</v>
      </c>
      <c r="D12" s="19">
        <f>'GF + UG Iteration 12'!D12</f>
        <v>11.705577131494863</v>
      </c>
      <c r="E12" s="30">
        <f>'GF + UG Iteration 12'!E12</f>
        <v>2006</v>
      </c>
      <c r="F12" s="18"/>
      <c r="G12" s="19"/>
      <c r="H12" s="20"/>
      <c r="I12" s="18">
        <f t="shared" si="0"/>
        <v>24.3</v>
      </c>
      <c r="J12" s="19">
        <f t="shared" si="1"/>
        <v>11.705577131494863</v>
      </c>
      <c r="K12" s="20">
        <f t="shared" si="2"/>
        <v>2006</v>
      </c>
      <c r="M12" s="21">
        <f t="shared" si="3"/>
        <v>3.1904763503465028</v>
      </c>
      <c r="N12" s="21">
        <f t="shared" si="4"/>
        <v>2.4600654061344325</v>
      </c>
      <c r="O12" s="3" t="s">
        <v>26</v>
      </c>
      <c r="P12" s="22">
        <v>49.202754200389364</v>
      </c>
      <c r="Q12" s="22">
        <v>43.745006096800637</v>
      </c>
      <c r="R12" s="5" t="s">
        <v>27</v>
      </c>
    </row>
    <row r="13" spans="1:20" x14ac:dyDescent="0.2">
      <c r="A13" s="25">
        <f>'GF + UG Iteration 12'!A13</f>
        <v>1195</v>
      </c>
      <c r="B13" s="25" t="str">
        <f>'GF + UG Iteration 12'!B13</f>
        <v>GF</v>
      </c>
      <c r="C13" s="18">
        <f>'GF + UG Iteration 12'!C13</f>
        <v>18</v>
      </c>
      <c r="D13" s="19">
        <f>'GF + UG Iteration 12'!D13</f>
        <v>31.659927445331629</v>
      </c>
      <c r="E13" s="30">
        <f>'GF + UG Iteration 12'!E13</f>
        <v>2011</v>
      </c>
      <c r="F13" s="18"/>
      <c r="G13" s="19"/>
      <c r="H13" s="20"/>
      <c r="I13" s="18">
        <f t="shared" si="0"/>
        <v>18</v>
      </c>
      <c r="J13" s="19">
        <f t="shared" si="1"/>
        <v>31.659927445331629</v>
      </c>
      <c r="K13" s="20">
        <f t="shared" si="2"/>
        <v>2011</v>
      </c>
      <c r="M13" s="21">
        <f t="shared" si="3"/>
        <v>2.8903717578961645</v>
      </c>
      <c r="N13" s="21">
        <f t="shared" si="4"/>
        <v>3.4550517627677269</v>
      </c>
    </row>
    <row r="14" spans="1:20" x14ac:dyDescent="0.2">
      <c r="A14" s="25">
        <f>'GF + UG Iteration 12'!A14</f>
        <v>420</v>
      </c>
      <c r="B14" s="25" t="str">
        <f>'GF + UG Iteration 12'!B14</f>
        <v>GF</v>
      </c>
      <c r="C14" s="18">
        <f>'GF + UG Iteration 12'!C14</f>
        <v>6</v>
      </c>
      <c r="D14" s="19">
        <f>'GF + UG Iteration 12'!D14</f>
        <v>9.6396451057157435</v>
      </c>
      <c r="E14" s="30">
        <f>'GF + UG Iteration 12'!E14</f>
        <v>2007</v>
      </c>
      <c r="F14" s="18"/>
      <c r="G14" s="19"/>
      <c r="H14" s="20"/>
      <c r="I14" s="18">
        <f t="shared" si="0"/>
        <v>6</v>
      </c>
      <c r="J14" s="19">
        <f t="shared" si="1"/>
        <v>9.6396451057157435</v>
      </c>
      <c r="K14" s="20">
        <f t="shared" si="2"/>
        <v>2007</v>
      </c>
      <c r="M14" s="21">
        <f t="shared" si="3"/>
        <v>1.791759469228055</v>
      </c>
      <c r="N14" s="21">
        <f t="shared" si="4"/>
        <v>2.2658842931849965</v>
      </c>
      <c r="P14" s="15" t="s">
        <v>6</v>
      </c>
      <c r="Q14" s="15"/>
    </row>
    <row r="15" spans="1:20" x14ac:dyDescent="0.2">
      <c r="A15" s="25">
        <f>'GF + UG Iteration 12'!A15</f>
        <v>440</v>
      </c>
      <c r="B15" s="25" t="str">
        <f>'GF + UG Iteration 12'!B15</f>
        <v>GF</v>
      </c>
      <c r="C15" s="18">
        <f>'GF + UG Iteration 12'!C15</f>
        <v>10</v>
      </c>
      <c r="D15" s="19">
        <f>'GF + UG Iteration 12'!D15</f>
        <v>16.009559216092757</v>
      </c>
      <c r="E15" s="30">
        <f>'GF + UG Iteration 12'!E15</f>
        <v>2006</v>
      </c>
      <c r="F15" s="18"/>
      <c r="G15" s="19"/>
      <c r="H15" s="20"/>
      <c r="I15" s="18">
        <f t="shared" si="0"/>
        <v>10</v>
      </c>
      <c r="J15" s="19">
        <f t="shared" si="1"/>
        <v>16.009559216092757</v>
      </c>
      <c r="K15" s="20">
        <f t="shared" si="2"/>
        <v>2006</v>
      </c>
      <c r="M15" s="21">
        <f t="shared" si="3"/>
        <v>2.3025850929940459</v>
      </c>
      <c r="N15" s="21">
        <f t="shared" si="4"/>
        <v>2.7731859948427808</v>
      </c>
      <c r="O15" s="3" t="s">
        <v>19</v>
      </c>
      <c r="P15" s="23">
        <f>P8</f>
        <v>0.5726014716062624</v>
      </c>
      <c r="Q15" s="31">
        <f>(P15-'GF + UG Iteration 12'!P15)/'GF + UG Iteration 12'!P15</f>
        <v>2.4815159935835902E-6</v>
      </c>
      <c r="R15" s="32" t="s">
        <v>31</v>
      </c>
    </row>
    <row r="16" spans="1:20" x14ac:dyDescent="0.2">
      <c r="A16" s="25">
        <f>'GF + UG Iteration 12'!A16</f>
        <v>1102</v>
      </c>
      <c r="B16" s="25" t="str">
        <f>'GF + UG Iteration 12'!B16</f>
        <v>GF</v>
      </c>
      <c r="C16" s="18">
        <f>'GF + UG Iteration 12'!C16</f>
        <v>20</v>
      </c>
      <c r="D16" s="19">
        <f>'GF + UG Iteration 12'!D16</f>
        <v>16.293644713264708</v>
      </c>
      <c r="E16" s="30">
        <f>'GF + UG Iteration 12'!E16</f>
        <v>2011</v>
      </c>
      <c r="F16" s="18"/>
      <c r="G16" s="19"/>
      <c r="H16" s="20"/>
      <c r="I16" s="18">
        <f t="shared" si="0"/>
        <v>20</v>
      </c>
      <c r="J16" s="19">
        <f t="shared" si="1"/>
        <v>16.293644713264708</v>
      </c>
      <c r="K16" s="20">
        <f t="shared" si="2"/>
        <v>2011</v>
      </c>
      <c r="M16" s="21">
        <f t="shared" si="3"/>
        <v>2.9957322735539909</v>
      </c>
      <c r="N16" s="21">
        <f t="shared" si="4"/>
        <v>2.7907751368922047</v>
      </c>
      <c r="O16" s="3" t="s">
        <v>28</v>
      </c>
      <c r="P16" s="23">
        <f>EXP(Q8)</f>
        <v>2.5542501375122257</v>
      </c>
      <c r="Q16" s="31">
        <f>(P16-'GF + UG Iteration 12'!P16)/'GF + UG Iteration 12'!P16</f>
        <v>-6.1825419187904896E-6</v>
      </c>
      <c r="R16" s="32" t="s">
        <v>32</v>
      </c>
    </row>
    <row r="17" spans="1:18" x14ac:dyDescent="0.2">
      <c r="A17" s="25">
        <f>'GF + UG Iteration 12'!A17</f>
        <v>324</v>
      </c>
      <c r="B17" s="25" t="str">
        <f>'GF + UG Iteration 12'!B17</f>
        <v>GF</v>
      </c>
      <c r="C17" s="18">
        <f>'GF + UG Iteration 12'!C17</f>
        <v>17.2</v>
      </c>
      <c r="D17" s="19">
        <f>'GF + UG Iteration 12'!D17</f>
        <v>8.9094125785416409</v>
      </c>
      <c r="E17" s="30">
        <f>'GF + UG Iteration 12'!E17</f>
        <v>2003</v>
      </c>
      <c r="F17" s="18"/>
      <c r="G17" s="19"/>
      <c r="H17" s="20"/>
      <c r="I17" s="18">
        <f t="shared" si="0"/>
        <v>17.2</v>
      </c>
      <c r="J17" s="19">
        <f t="shared" si="1"/>
        <v>8.9094125785416409</v>
      </c>
      <c r="K17" s="20">
        <f t="shared" si="2"/>
        <v>2003</v>
      </c>
      <c r="M17" s="21">
        <f t="shared" si="3"/>
        <v>2.8449093838194073</v>
      </c>
      <c r="N17" s="21">
        <f t="shared" si="4"/>
        <v>2.1871083109750784</v>
      </c>
      <c r="O17" s="3"/>
      <c r="P17" s="24"/>
      <c r="R17" s="32" t="s">
        <v>33</v>
      </c>
    </row>
    <row r="18" spans="1:18" x14ac:dyDescent="0.2">
      <c r="A18" s="25">
        <f>'GF + UG Iteration 12'!A18</f>
        <v>1103</v>
      </c>
      <c r="B18" s="25" t="str">
        <f>'GF + UG Iteration 12'!B18</f>
        <v>GF</v>
      </c>
      <c r="C18" s="18">
        <f>'GF + UG Iteration 12'!C18</f>
        <v>20</v>
      </c>
      <c r="D18" s="19">
        <f>'GF + UG Iteration 12'!D18</f>
        <v>17.299482978955592</v>
      </c>
      <c r="E18" s="30">
        <f>'GF + UG Iteration 12'!E18</f>
        <v>2011</v>
      </c>
      <c r="F18" s="18"/>
      <c r="G18" s="19"/>
      <c r="H18" s="20"/>
      <c r="I18" s="18">
        <f t="shared" si="0"/>
        <v>20</v>
      </c>
      <c r="J18" s="19">
        <f t="shared" si="1"/>
        <v>17.299482978955592</v>
      </c>
      <c r="K18" s="20">
        <f t="shared" si="2"/>
        <v>2011</v>
      </c>
      <c r="M18" s="21">
        <f t="shared" si="3"/>
        <v>2.9957322735539909</v>
      </c>
      <c r="N18" s="21">
        <f t="shared" si="4"/>
        <v>2.8506766154476462</v>
      </c>
      <c r="P18"/>
      <c r="Q18"/>
      <c r="R18" s="32" t="s">
        <v>34</v>
      </c>
    </row>
    <row r="19" spans="1:18" x14ac:dyDescent="0.2">
      <c r="A19" s="25">
        <f>'GF + UG Iteration 12'!A19</f>
        <v>386</v>
      </c>
      <c r="B19" s="25" t="str">
        <f>'GF + UG Iteration 12'!B19</f>
        <v>GF</v>
      </c>
      <c r="C19" s="18">
        <f>'GF + UG Iteration 12'!C19</f>
        <v>9</v>
      </c>
      <c r="D19" s="19">
        <f>'GF + UG Iteration 12'!D19</f>
        <v>9.9511250787738224</v>
      </c>
      <c r="E19" s="30">
        <f>'GF + UG Iteration 12'!E19</f>
        <v>2003</v>
      </c>
      <c r="F19" s="18"/>
      <c r="G19" s="19"/>
      <c r="H19" s="20"/>
      <c r="I19" s="18">
        <f t="shared" si="0"/>
        <v>9</v>
      </c>
      <c r="J19" s="19">
        <f t="shared" si="1"/>
        <v>9.9511250787738224</v>
      </c>
      <c r="K19" s="20">
        <f t="shared" si="2"/>
        <v>2003</v>
      </c>
      <c r="M19" s="21">
        <f t="shared" si="3"/>
        <v>2.1972245773362196</v>
      </c>
      <c r="N19" s="21">
        <f t="shared" si="4"/>
        <v>2.2976856180218044</v>
      </c>
      <c r="P19"/>
      <c r="Q19"/>
    </row>
    <row r="20" spans="1:18" x14ac:dyDescent="0.2">
      <c r="A20" s="25">
        <f>'GF + UG Iteration 12'!A20</f>
        <v>80</v>
      </c>
      <c r="B20" s="25" t="str">
        <f>'GF + UG Iteration 12'!B20</f>
        <v>GF</v>
      </c>
      <c r="C20" s="18">
        <f>'GF + UG Iteration 12'!C20</f>
        <v>8</v>
      </c>
      <c r="D20" s="19">
        <f>'GF + UG Iteration 12'!D20</f>
        <v>6.0754029342110369</v>
      </c>
      <c r="E20" s="30">
        <f>'GF + UG Iteration 12'!E20</f>
        <v>2001</v>
      </c>
      <c r="F20" s="18"/>
      <c r="G20" s="19"/>
      <c r="H20" s="20"/>
      <c r="I20" s="18">
        <f t="shared" si="0"/>
        <v>8</v>
      </c>
      <c r="J20" s="19">
        <f t="shared" si="1"/>
        <v>6.0754029342110369</v>
      </c>
      <c r="K20" s="20">
        <f t="shared" si="2"/>
        <v>2001</v>
      </c>
      <c r="M20" s="21">
        <f t="shared" si="3"/>
        <v>2.0794415416798357</v>
      </c>
      <c r="N20" s="21">
        <f t="shared" si="4"/>
        <v>1.8042483136462</v>
      </c>
      <c r="P20"/>
      <c r="Q20"/>
    </row>
    <row r="21" spans="1:18" x14ac:dyDescent="0.2">
      <c r="A21" s="25">
        <f>'GF + UG Iteration 12'!A21</f>
        <v>1052</v>
      </c>
      <c r="B21" s="25" t="str">
        <f>'GF + UG Iteration 12'!B21</f>
        <v>GF</v>
      </c>
      <c r="C21" s="18">
        <f>'GF + UG Iteration 12'!C21</f>
        <v>13.6</v>
      </c>
      <c r="D21" s="19">
        <f>'GF + UG Iteration 12'!D21</f>
        <v>10.90270245998838</v>
      </c>
      <c r="E21" s="30">
        <f>'GF + UG Iteration 12'!E21</f>
        <v>2011</v>
      </c>
      <c r="F21" s="18"/>
      <c r="G21" s="19"/>
      <c r="H21" s="20"/>
      <c r="I21" s="18">
        <f t="shared" si="0"/>
        <v>13.6</v>
      </c>
      <c r="J21" s="19">
        <f t="shared" si="1"/>
        <v>10.90270245998838</v>
      </c>
      <c r="K21" s="20">
        <f t="shared" si="2"/>
        <v>2011</v>
      </c>
      <c r="M21" s="21">
        <f t="shared" si="3"/>
        <v>2.6100697927420065</v>
      </c>
      <c r="N21" s="21">
        <f t="shared" si="4"/>
        <v>2.3890106906140374</v>
      </c>
      <c r="P21"/>
      <c r="Q21"/>
    </row>
    <row r="22" spans="1:18" x14ac:dyDescent="0.2">
      <c r="A22" s="25">
        <f>'GF + UG Iteration 12'!A22</f>
        <v>347</v>
      </c>
      <c r="B22" s="25" t="str">
        <f>'GF + UG Iteration 12'!B22</f>
        <v>GF</v>
      </c>
      <c r="C22" s="18">
        <f>'GF + UG Iteration 12'!C22</f>
        <v>10.548</v>
      </c>
      <c r="D22" s="19">
        <f>'GF + UG Iteration 12'!D22</f>
        <v>9.3004925979781259</v>
      </c>
      <c r="E22" s="30">
        <f>'GF + UG Iteration 12'!E22</f>
        <v>2003</v>
      </c>
      <c r="F22" s="18"/>
      <c r="G22" s="19"/>
      <c r="H22" s="20"/>
      <c r="I22" s="18">
        <f t="shared" si="0"/>
        <v>10.548</v>
      </c>
      <c r="J22" s="19">
        <f t="shared" si="1"/>
        <v>9.3004925979781259</v>
      </c>
      <c r="K22" s="20">
        <f t="shared" si="2"/>
        <v>2003</v>
      </c>
      <c r="M22" s="21">
        <f t="shared" si="3"/>
        <v>2.3559362684910403</v>
      </c>
      <c r="N22" s="21">
        <f t="shared" si="4"/>
        <v>2.23006736628101</v>
      </c>
    </row>
    <row r="23" spans="1:18" x14ac:dyDescent="0.2">
      <c r="A23" s="25">
        <f>'GF + UG Iteration 12'!A23</f>
        <v>1358</v>
      </c>
      <c r="B23" s="25" t="str">
        <f>'GF + UG Iteration 12'!B23</f>
        <v>GF</v>
      </c>
      <c r="C23" s="18">
        <f>'GF + UG Iteration 12'!C23</f>
        <v>27</v>
      </c>
      <c r="D23" s="19">
        <f>'GF + UG Iteration 12'!D23</f>
        <v>13.07265503282744</v>
      </c>
      <c r="E23" s="30">
        <f>'GF + UG Iteration 12'!E23</f>
        <v>2011</v>
      </c>
      <c r="F23" s="18"/>
      <c r="G23" s="19"/>
      <c r="H23" s="20"/>
      <c r="I23" s="18">
        <f t="shared" si="0"/>
        <v>27</v>
      </c>
      <c r="J23" s="19">
        <f t="shared" si="1"/>
        <v>13.07265503282744</v>
      </c>
      <c r="K23" s="20">
        <f t="shared" si="2"/>
        <v>2011</v>
      </c>
      <c r="M23" s="21">
        <f t="shared" si="3"/>
        <v>3.2958368660043291</v>
      </c>
      <c r="N23" s="21">
        <f t="shared" si="4"/>
        <v>2.5705226464726247</v>
      </c>
    </row>
    <row r="24" spans="1:18" x14ac:dyDescent="0.2">
      <c r="A24" s="25">
        <f>'GF + UG Iteration 12'!A24</f>
        <v>584</v>
      </c>
      <c r="B24" s="25" t="str">
        <f>'GF + UG Iteration 12'!B24</f>
        <v>GF</v>
      </c>
      <c r="C24" s="18">
        <f>'GF + UG Iteration 12'!C24</f>
        <v>28</v>
      </c>
      <c r="D24" s="19">
        <f>'GF + UG Iteration 12'!D24</f>
        <v>34.903749706800433</v>
      </c>
      <c r="E24" s="30">
        <f>'GF + UG Iteration 12'!E24</f>
        <v>2011</v>
      </c>
      <c r="F24" s="18"/>
      <c r="G24" s="19"/>
      <c r="H24" s="20"/>
      <c r="I24" s="18">
        <f t="shared" si="0"/>
        <v>28</v>
      </c>
      <c r="J24" s="19">
        <f t="shared" si="1"/>
        <v>34.903749706800433</v>
      </c>
      <c r="K24" s="20">
        <f t="shared" si="2"/>
        <v>2011</v>
      </c>
      <c r="M24" s="21">
        <f t="shared" si="3"/>
        <v>3.3322045101752038</v>
      </c>
      <c r="N24" s="21">
        <f t="shared" si="4"/>
        <v>3.5525942648925612</v>
      </c>
    </row>
    <row r="25" spans="1:18" x14ac:dyDescent="0.2">
      <c r="A25" s="25">
        <f>'GF + UG Iteration 12'!A25</f>
        <v>422</v>
      </c>
      <c r="B25" s="25" t="str">
        <f>'GF + UG Iteration 12'!B25</f>
        <v>GF</v>
      </c>
      <c r="C25" s="18">
        <f>'GF + UG Iteration 12'!C25</f>
        <v>24</v>
      </c>
      <c r="D25" s="19">
        <f>'GF + UG Iteration 12'!D25</f>
        <v>13.650794587226329</v>
      </c>
      <c r="E25" s="30">
        <f>'GF + UG Iteration 12'!E25</f>
        <v>2003</v>
      </c>
      <c r="F25" s="18"/>
      <c r="G25" s="19"/>
      <c r="H25" s="20"/>
      <c r="I25" s="18">
        <f t="shared" si="0"/>
        <v>24</v>
      </c>
      <c r="J25" s="19">
        <f t="shared" si="1"/>
        <v>13.650794587226329</v>
      </c>
      <c r="K25" s="20">
        <f t="shared" si="2"/>
        <v>2003</v>
      </c>
      <c r="M25" s="21">
        <f t="shared" si="3"/>
        <v>3.1780538303479458</v>
      </c>
      <c r="N25" s="21">
        <f t="shared" si="4"/>
        <v>2.6137977314551564</v>
      </c>
    </row>
    <row r="26" spans="1:18" x14ac:dyDescent="0.2">
      <c r="A26" s="25">
        <f>'GF + UG Iteration 12'!A26</f>
        <v>944</v>
      </c>
      <c r="B26" s="25" t="str">
        <f>'GF + UG Iteration 12'!B26</f>
        <v>GF</v>
      </c>
      <c r="C26" s="18">
        <f>'GF + UG Iteration 12'!C26</f>
        <v>43</v>
      </c>
      <c r="D26" s="19">
        <f>'GF + UG Iteration 12'!D26</f>
        <v>26.816090615909914</v>
      </c>
      <c r="E26" s="30">
        <f>'GF + UG Iteration 12'!E26</f>
        <v>2010</v>
      </c>
      <c r="F26" s="18"/>
      <c r="G26" s="19"/>
      <c r="H26" s="20"/>
      <c r="I26" s="18">
        <f t="shared" si="0"/>
        <v>43</v>
      </c>
      <c r="J26" s="19">
        <f t="shared" si="1"/>
        <v>26.816090615909914</v>
      </c>
      <c r="K26" s="20">
        <f t="shared" si="2"/>
        <v>2010</v>
      </c>
      <c r="M26" s="21">
        <f t="shared" si="3"/>
        <v>3.7612001156935624</v>
      </c>
      <c r="N26" s="21">
        <f t="shared" si="4"/>
        <v>3.2890021034672148</v>
      </c>
    </row>
    <row r="27" spans="1:18" x14ac:dyDescent="0.2">
      <c r="A27" s="25">
        <f>'GF + UG Iteration 12'!A27</f>
        <v>387</v>
      </c>
      <c r="B27" s="25" t="str">
        <f>'GF + UG Iteration 12'!B27</f>
        <v>GF</v>
      </c>
      <c r="C27" s="18">
        <f>'GF + UG Iteration 12'!C27</f>
        <v>7.5</v>
      </c>
      <c r="D27" s="19">
        <f>'GF + UG Iteration 12'!D27</f>
        <v>9.5130592102135658</v>
      </c>
      <c r="E27" s="30">
        <f>'GF + UG Iteration 12'!E27</f>
        <v>2003</v>
      </c>
      <c r="F27" s="18"/>
      <c r="G27" s="19"/>
      <c r="H27" s="20"/>
      <c r="I27" s="18">
        <f t="shared" si="0"/>
        <v>7.5</v>
      </c>
      <c r="J27" s="19">
        <f t="shared" si="1"/>
        <v>9.5130592102135658</v>
      </c>
      <c r="K27" s="20">
        <f t="shared" si="2"/>
        <v>2003</v>
      </c>
      <c r="M27" s="21">
        <f t="shared" si="3"/>
        <v>2.0149030205422647</v>
      </c>
      <c r="N27" s="21">
        <f t="shared" si="4"/>
        <v>2.2526655083417699</v>
      </c>
    </row>
    <row r="28" spans="1:18" x14ac:dyDescent="0.2">
      <c r="A28" s="25">
        <f>'GF + UG Iteration 12'!A28</f>
        <v>587</v>
      </c>
      <c r="B28" s="25" t="str">
        <f>'GF + UG Iteration 12'!B28</f>
        <v>GF</v>
      </c>
      <c r="C28" s="18">
        <f>'GF + UG Iteration 12'!C28</f>
        <v>17.8</v>
      </c>
      <c r="D28" s="19">
        <f>'GF + UG Iteration 12'!D28</f>
        <v>13.152201549137706</v>
      </c>
      <c r="E28" s="30">
        <f>'GF + UG Iteration 12'!E28</f>
        <v>2006</v>
      </c>
      <c r="F28" s="18"/>
      <c r="G28" s="19"/>
      <c r="H28" s="20"/>
      <c r="I28" s="18">
        <f t="shared" si="0"/>
        <v>17.8</v>
      </c>
      <c r="J28" s="19">
        <f t="shared" si="1"/>
        <v>13.152201549137706</v>
      </c>
      <c r="K28" s="20">
        <f t="shared" si="2"/>
        <v>2006</v>
      </c>
      <c r="M28" s="21">
        <f t="shared" si="3"/>
        <v>2.8791984572980396</v>
      </c>
      <c r="N28" s="21">
        <f t="shared" si="4"/>
        <v>2.57658916279629</v>
      </c>
    </row>
    <row r="29" spans="1:18" x14ac:dyDescent="0.2">
      <c r="A29" s="25">
        <f>'GF + UG Iteration 12'!A29</f>
        <v>585</v>
      </c>
      <c r="B29" s="25" t="str">
        <f>'GF + UG Iteration 12'!B29</f>
        <v>GF</v>
      </c>
      <c r="C29" s="18">
        <f>'GF + UG Iteration 12'!C29</f>
        <v>20.6</v>
      </c>
      <c r="D29" s="19">
        <f>'GF + UG Iteration 12'!D29</f>
        <v>11.291169205189183</v>
      </c>
      <c r="E29" s="30">
        <f>'GF + UG Iteration 12'!E29</f>
        <v>2007</v>
      </c>
      <c r="F29" s="18"/>
      <c r="G29" s="19"/>
      <c r="H29" s="20"/>
      <c r="I29" s="18">
        <f t="shared" si="0"/>
        <v>20.6</v>
      </c>
      <c r="J29" s="19">
        <f t="shared" si="1"/>
        <v>11.291169205189183</v>
      </c>
      <c r="K29" s="20">
        <f t="shared" si="2"/>
        <v>2007</v>
      </c>
      <c r="M29" s="21">
        <f t="shared" si="3"/>
        <v>3.0252910757955354</v>
      </c>
      <c r="N29" s="21">
        <f t="shared" si="4"/>
        <v>2.4240209339322751</v>
      </c>
    </row>
    <row r="30" spans="1:18" x14ac:dyDescent="0.2">
      <c r="A30" s="25">
        <f>'GF + UG Iteration 12'!A30</f>
        <v>831</v>
      </c>
      <c r="B30" s="25" t="str">
        <f>'GF + UG Iteration 12'!B30</f>
        <v>GF</v>
      </c>
      <c r="C30" s="18">
        <f>'GF + UG Iteration 12'!C30</f>
        <v>19.600000000000001</v>
      </c>
      <c r="D30" s="19">
        <f>'GF + UG Iteration 12'!D30</f>
        <v>20.965601428070691</v>
      </c>
      <c r="E30" s="30">
        <f>'GF + UG Iteration 12'!E30</f>
        <v>2011</v>
      </c>
      <c r="F30" s="18"/>
      <c r="G30" s="19"/>
      <c r="H30" s="20"/>
      <c r="I30" s="18">
        <f t="shared" si="0"/>
        <v>19.600000000000001</v>
      </c>
      <c r="J30" s="19">
        <f t="shared" si="1"/>
        <v>20.965601428070691</v>
      </c>
      <c r="K30" s="20">
        <f t="shared" si="2"/>
        <v>2011</v>
      </c>
      <c r="M30" s="21">
        <f t="shared" si="3"/>
        <v>2.9755295662364718</v>
      </c>
      <c r="N30" s="21">
        <f t="shared" si="4"/>
        <v>3.042883067455266</v>
      </c>
    </row>
    <row r="31" spans="1:18" x14ac:dyDescent="0.2">
      <c r="A31" s="25">
        <f>'GF + UG Iteration 12'!A31</f>
        <v>340</v>
      </c>
      <c r="B31" s="25" t="str">
        <f>'GF + UG Iteration 12'!B31</f>
        <v>GF</v>
      </c>
      <c r="C31" s="18">
        <f>'GF + UG Iteration 12'!C31</f>
        <v>22</v>
      </c>
      <c r="D31" s="19">
        <f>'GF + UG Iteration 12'!D31</f>
        <v>13.309615571039751</v>
      </c>
      <c r="E31" s="30">
        <f>'GF + UG Iteration 12'!E31</f>
        <v>2003</v>
      </c>
      <c r="F31" s="18"/>
      <c r="G31" s="19"/>
      <c r="H31" s="20"/>
      <c r="I31" s="18">
        <f t="shared" si="0"/>
        <v>22</v>
      </c>
      <c r="J31" s="19">
        <f t="shared" si="1"/>
        <v>13.309615571039751</v>
      </c>
      <c r="K31" s="20">
        <f t="shared" si="2"/>
        <v>2003</v>
      </c>
      <c r="M31" s="21">
        <f t="shared" si="3"/>
        <v>3.0910424533583161</v>
      </c>
      <c r="N31" s="21">
        <f t="shared" si="4"/>
        <v>2.5884867492731334</v>
      </c>
    </row>
    <row r="32" spans="1:18" x14ac:dyDescent="0.2">
      <c r="A32" s="25">
        <f>'GF + UG Iteration 12'!A32</f>
        <v>334</v>
      </c>
      <c r="B32" s="25" t="str">
        <f>'GF + UG Iteration 12'!B32</f>
        <v>GF</v>
      </c>
      <c r="C32" s="18">
        <f>'GF + UG Iteration 12'!C32</f>
        <v>18.8</v>
      </c>
      <c r="D32" s="19">
        <f>'GF + UG Iteration 12'!D32</f>
        <v>7.9463711126733889</v>
      </c>
      <c r="E32" s="30">
        <f>'GF + UG Iteration 12'!E32</f>
        <v>2003</v>
      </c>
      <c r="F32" s="18"/>
      <c r="G32" s="19"/>
      <c r="H32" s="20"/>
      <c r="I32" s="18">
        <f t="shared" si="0"/>
        <v>18.8</v>
      </c>
      <c r="J32" s="19">
        <f t="shared" si="1"/>
        <v>7.9463711126733889</v>
      </c>
      <c r="K32" s="20">
        <f t="shared" si="2"/>
        <v>2003</v>
      </c>
      <c r="M32" s="21">
        <f t="shared" si="3"/>
        <v>2.9338568698359038</v>
      </c>
      <c r="N32" s="21">
        <f t="shared" si="4"/>
        <v>2.072715360640252</v>
      </c>
    </row>
    <row r="33" spans="1:14" x14ac:dyDescent="0.2">
      <c r="A33" s="25">
        <f>'GF + UG Iteration 12'!A33</f>
        <v>343</v>
      </c>
      <c r="B33" s="25" t="str">
        <f>'GF + UG Iteration 12'!B33</f>
        <v>GF</v>
      </c>
      <c r="C33" s="18">
        <f>'GF + UG Iteration 12'!C33</f>
        <v>15.6</v>
      </c>
      <c r="D33" s="19">
        <f>'GF + UG Iteration 12'!D33</f>
        <v>13.99971574022935</v>
      </c>
      <c r="E33" s="30">
        <f>'GF + UG Iteration 12'!E33</f>
        <v>2003</v>
      </c>
      <c r="F33" s="18"/>
      <c r="G33" s="19"/>
      <c r="H33" s="20"/>
      <c r="I33" s="18">
        <f t="shared" si="0"/>
        <v>15.6</v>
      </c>
      <c r="J33" s="19">
        <f t="shared" si="1"/>
        <v>13.99971574022935</v>
      </c>
      <c r="K33" s="20">
        <f t="shared" si="2"/>
        <v>2003</v>
      </c>
      <c r="M33" s="21">
        <f t="shared" si="3"/>
        <v>2.7472709142554912</v>
      </c>
      <c r="N33" s="21">
        <f t="shared" si="4"/>
        <v>2.6390370251397921</v>
      </c>
    </row>
    <row r="34" spans="1:14" x14ac:dyDescent="0.2">
      <c r="A34" s="25">
        <f>'GF + UG Iteration 12'!A34</f>
        <v>358</v>
      </c>
      <c r="B34" s="25" t="str">
        <f>'GF + UG Iteration 12'!B34</f>
        <v>GF</v>
      </c>
      <c r="C34" s="18">
        <f>'GF + UG Iteration 12'!C34</f>
        <v>19.8</v>
      </c>
      <c r="D34" s="19">
        <f>'GF + UG Iteration 12'!D34</f>
        <v>7.2248521864398549</v>
      </c>
      <c r="E34" s="30">
        <f>'GF + UG Iteration 12'!E34</f>
        <v>2003</v>
      </c>
      <c r="F34" s="18"/>
      <c r="G34" s="19"/>
      <c r="H34" s="20"/>
      <c r="I34" s="18">
        <f t="shared" si="0"/>
        <v>19.8</v>
      </c>
      <c r="J34" s="19">
        <f t="shared" si="1"/>
        <v>7.2248521864398549</v>
      </c>
      <c r="K34" s="20">
        <f t="shared" si="2"/>
        <v>2003</v>
      </c>
      <c r="M34" s="21">
        <f t="shared" si="3"/>
        <v>2.9856819377004897</v>
      </c>
      <c r="N34" s="21">
        <f t="shared" si="4"/>
        <v>1.9775267751649739</v>
      </c>
    </row>
    <row r="35" spans="1:14" x14ac:dyDescent="0.2">
      <c r="A35" s="25">
        <f>'GF + UG Iteration 12'!A35</f>
        <v>702</v>
      </c>
      <c r="B35" s="25" t="str">
        <f>'GF + UG Iteration 12'!B35</f>
        <v>GF</v>
      </c>
      <c r="C35" s="18">
        <f>'GF + UG Iteration 12'!C35</f>
        <v>28.4</v>
      </c>
      <c r="D35" s="19">
        <f>'GF + UG Iteration 12'!D35</f>
        <v>5.2101531080390755</v>
      </c>
      <c r="E35" s="30">
        <f>'GF + UG Iteration 12'!E35</f>
        <v>2007</v>
      </c>
      <c r="F35" s="18"/>
      <c r="G35" s="19"/>
      <c r="H35" s="20"/>
      <c r="I35" s="18">
        <f t="shared" si="0"/>
        <v>28.4</v>
      </c>
      <c r="J35" s="19">
        <f t="shared" si="1"/>
        <v>5.2101531080390755</v>
      </c>
      <c r="K35" s="20">
        <f t="shared" si="2"/>
        <v>2007</v>
      </c>
      <c r="M35" s="21">
        <f t="shared" si="3"/>
        <v>3.3463891451671604</v>
      </c>
      <c r="N35" s="21">
        <f t="shared" si="4"/>
        <v>1.6506092426730299</v>
      </c>
    </row>
    <row r="36" spans="1:14" x14ac:dyDescent="0.2">
      <c r="A36" s="25">
        <f>'GF + UG Iteration 12'!A36</f>
        <v>526</v>
      </c>
      <c r="B36" s="25" t="str">
        <f>'GF + UG Iteration 12'!B36</f>
        <v>GF</v>
      </c>
      <c r="C36" s="18">
        <f>'GF + UG Iteration 12'!C36</f>
        <v>19</v>
      </c>
      <c r="D36" s="19">
        <f>'GF + UG Iteration 12'!D36</f>
        <v>13.758834109767626</v>
      </c>
      <c r="E36" s="30">
        <f>'GF + UG Iteration 12'!E36</f>
        <v>2007</v>
      </c>
      <c r="F36" s="18"/>
      <c r="G36" s="19"/>
      <c r="H36" s="20"/>
      <c r="I36" s="18">
        <f t="shared" si="0"/>
        <v>19</v>
      </c>
      <c r="J36" s="19">
        <f t="shared" si="1"/>
        <v>13.758834109767626</v>
      </c>
      <c r="K36" s="20">
        <f t="shared" si="2"/>
        <v>2007</v>
      </c>
      <c r="M36" s="21">
        <f t="shared" si="3"/>
        <v>2.9444389791664403</v>
      </c>
      <c r="N36" s="21">
        <f t="shared" si="4"/>
        <v>2.6216810985205803</v>
      </c>
    </row>
    <row r="37" spans="1:14" x14ac:dyDescent="0.2">
      <c r="A37" s="25">
        <f>'GF + UG Iteration 12'!A37</f>
        <v>288</v>
      </c>
      <c r="B37" s="25" t="str">
        <f>'GF + UG Iteration 12'!B37</f>
        <v>GF</v>
      </c>
      <c r="C37" s="18">
        <f>'GF + UG Iteration 12'!C37</f>
        <v>12</v>
      </c>
      <c r="D37" s="19">
        <f>'GF + UG Iteration 12'!D37</f>
        <v>4.4533584840568787</v>
      </c>
      <c r="E37" s="30">
        <f>'GF + UG Iteration 12'!E37</f>
        <v>2001</v>
      </c>
      <c r="F37" s="18"/>
      <c r="G37" s="19"/>
      <c r="H37" s="20"/>
      <c r="I37" s="18">
        <f t="shared" si="0"/>
        <v>12</v>
      </c>
      <c r="J37" s="19">
        <f t="shared" si="1"/>
        <v>4.4533584840568787</v>
      </c>
      <c r="K37" s="20">
        <f t="shared" si="2"/>
        <v>2001</v>
      </c>
      <c r="M37" s="21">
        <f t="shared" si="3"/>
        <v>2.4849066497880004</v>
      </c>
      <c r="N37" s="21">
        <f t="shared" si="4"/>
        <v>1.4936585270420049</v>
      </c>
    </row>
    <row r="38" spans="1:14" x14ac:dyDescent="0.2">
      <c r="A38" s="25">
        <f>'GF + UG Iteration 12'!A38</f>
        <v>851</v>
      </c>
      <c r="B38" s="25" t="str">
        <f>'GF + UG Iteration 12'!B38</f>
        <v>GF</v>
      </c>
      <c r="C38" s="18">
        <f>'GF + UG Iteration 12'!C38</f>
        <v>25</v>
      </c>
      <c r="D38" s="19">
        <f>'GF + UG Iteration 12'!D38</f>
        <v>12.931754132918639</v>
      </c>
      <c r="E38" s="30">
        <f>'GF + UG Iteration 12'!E38</f>
        <v>2007</v>
      </c>
      <c r="F38" s="18"/>
      <c r="G38" s="19"/>
      <c r="H38" s="20"/>
      <c r="I38" s="18">
        <f t="shared" si="0"/>
        <v>25</v>
      </c>
      <c r="J38" s="19">
        <f t="shared" si="1"/>
        <v>12.931754132918639</v>
      </c>
      <c r="K38" s="20">
        <f t="shared" si="2"/>
        <v>2007</v>
      </c>
      <c r="M38" s="21">
        <f t="shared" si="3"/>
        <v>3.2188758248682006</v>
      </c>
      <c r="N38" s="21">
        <f t="shared" si="4"/>
        <v>2.5596858473810773</v>
      </c>
    </row>
    <row r="39" spans="1:14" x14ac:dyDescent="0.2">
      <c r="A39" s="25">
        <f>'GF + UG Iteration 12'!A39</f>
        <v>648</v>
      </c>
      <c r="B39" s="25" t="str">
        <f>'GF + UG Iteration 12'!B39</f>
        <v>GF</v>
      </c>
      <c r="C39" s="18">
        <f>'GF + UG Iteration 12'!C39</f>
        <v>15</v>
      </c>
      <c r="D39" s="19">
        <f>'GF + UG Iteration 12'!D39</f>
        <v>14.973718181093032</v>
      </c>
      <c r="E39" s="30">
        <f>'GF + UG Iteration 12'!E39</f>
        <v>2007</v>
      </c>
      <c r="F39" s="18"/>
      <c r="G39" s="19"/>
      <c r="H39" s="20"/>
      <c r="I39" s="18">
        <f t="shared" si="0"/>
        <v>15</v>
      </c>
      <c r="J39" s="19">
        <f t="shared" si="1"/>
        <v>14.973718181093032</v>
      </c>
      <c r="K39" s="20">
        <f t="shared" si="2"/>
        <v>2007</v>
      </c>
      <c r="M39" s="21">
        <f t="shared" si="3"/>
        <v>2.7080502011022101</v>
      </c>
      <c r="N39" s="21">
        <f t="shared" si="4"/>
        <v>2.7062965430819679</v>
      </c>
    </row>
    <row r="40" spans="1:14" x14ac:dyDescent="0.2">
      <c r="A40" s="25">
        <f>'GF + UG Iteration 12'!A40</f>
        <v>855</v>
      </c>
      <c r="B40" s="25" t="str">
        <f>'GF + UG Iteration 12'!B40</f>
        <v>GF</v>
      </c>
      <c r="C40" s="18">
        <f>'GF + UG Iteration 12'!C40</f>
        <v>23</v>
      </c>
      <c r="D40" s="19">
        <f>'GF + UG Iteration 12'!D40</f>
        <v>28.66706963950903</v>
      </c>
      <c r="E40" s="30">
        <f>'GF + UG Iteration 12'!E40</f>
        <v>2011</v>
      </c>
      <c r="F40" s="18"/>
      <c r="G40" s="19"/>
      <c r="H40" s="20"/>
      <c r="I40" s="18">
        <f t="shared" si="0"/>
        <v>23</v>
      </c>
      <c r="J40" s="19">
        <f t="shared" si="1"/>
        <v>28.66706963950903</v>
      </c>
      <c r="K40" s="20">
        <f t="shared" si="2"/>
        <v>2011</v>
      </c>
      <c r="M40" s="21">
        <f t="shared" si="3"/>
        <v>3.1354942159291497</v>
      </c>
      <c r="N40" s="21">
        <f t="shared" si="4"/>
        <v>3.355749064678772</v>
      </c>
    </row>
    <row r="41" spans="1:14" x14ac:dyDescent="0.2">
      <c r="A41" s="25">
        <f>'GF + UG Iteration 12'!A41</f>
        <v>700</v>
      </c>
      <c r="B41" s="25" t="str">
        <f>'GF + UG Iteration 12'!B41</f>
        <v>GF</v>
      </c>
      <c r="C41" s="18">
        <f>'GF + UG Iteration 12'!C41</f>
        <v>9.8000000000000007</v>
      </c>
      <c r="D41" s="19">
        <f>'GF + UG Iteration 12'!D41</f>
        <v>7.0657947644327148</v>
      </c>
      <c r="E41" s="30">
        <f>'GF + UG Iteration 12'!E41</f>
        <v>2007</v>
      </c>
      <c r="F41" s="18"/>
      <c r="G41" s="19"/>
      <c r="H41" s="20"/>
      <c r="I41" s="18">
        <f t="shared" si="0"/>
        <v>9.8000000000000007</v>
      </c>
      <c r="J41" s="19">
        <f t="shared" si="1"/>
        <v>7.0657947644327148</v>
      </c>
      <c r="K41" s="20">
        <f t="shared" si="2"/>
        <v>2007</v>
      </c>
      <c r="M41" s="21">
        <f t="shared" si="3"/>
        <v>2.2823823856765264</v>
      </c>
      <c r="N41" s="21">
        <f t="shared" si="4"/>
        <v>1.9552655030060266</v>
      </c>
    </row>
    <row r="42" spans="1:14" x14ac:dyDescent="0.2">
      <c r="A42" s="25">
        <f>'GF + UG Iteration 12'!A42</f>
        <v>683</v>
      </c>
      <c r="B42" s="25" t="str">
        <f>'GF + UG Iteration 12'!B42</f>
        <v>GF</v>
      </c>
      <c r="C42" s="18">
        <f>'GF + UG Iteration 12'!C42</f>
        <v>30</v>
      </c>
      <c r="D42" s="19">
        <f>'GF + UG Iteration 12'!D42</f>
        <v>16.03232257186292</v>
      </c>
      <c r="E42" s="30">
        <f>'GF + UG Iteration 12'!E42</f>
        <v>2011</v>
      </c>
      <c r="F42" s="18"/>
      <c r="G42" s="19"/>
      <c r="H42" s="20"/>
      <c r="I42" s="18">
        <f t="shared" si="0"/>
        <v>30</v>
      </c>
      <c r="J42" s="19">
        <f t="shared" si="1"/>
        <v>16.03232257186292</v>
      </c>
      <c r="K42" s="20">
        <f t="shared" si="2"/>
        <v>2011</v>
      </c>
      <c r="M42" s="21">
        <f t="shared" si="3"/>
        <v>3.4011973816621555</v>
      </c>
      <c r="N42" s="21">
        <f t="shared" si="4"/>
        <v>2.7746068452004713</v>
      </c>
    </row>
    <row r="43" spans="1:14" x14ac:dyDescent="0.2">
      <c r="A43" s="25">
        <f>'GF + UG Iteration 12'!A43</f>
        <v>559</v>
      </c>
      <c r="B43" s="25" t="str">
        <f>'GF + UG Iteration 12'!B43</f>
        <v>GF</v>
      </c>
      <c r="C43" s="18">
        <f>'GF + UG Iteration 12'!C43</f>
        <v>115</v>
      </c>
      <c r="D43" s="19">
        <f>'GF + UG Iteration 12'!D43</f>
        <v>56.859498956472109</v>
      </c>
      <c r="E43" s="30">
        <f>'GF + UG Iteration 12'!E43</f>
        <v>2011</v>
      </c>
      <c r="F43" s="18"/>
      <c r="G43" s="19"/>
      <c r="H43" s="20"/>
      <c r="I43" s="18">
        <f t="shared" si="0"/>
        <v>115</v>
      </c>
      <c r="J43" s="19">
        <f t="shared" si="1"/>
        <v>56.859498956472109</v>
      </c>
      <c r="K43" s="20">
        <f t="shared" si="2"/>
        <v>2011</v>
      </c>
      <c r="M43" s="21">
        <f t="shared" si="3"/>
        <v>4.7449321283632502</v>
      </c>
      <c r="N43" s="21">
        <f t="shared" si="4"/>
        <v>4.0405832943034818</v>
      </c>
    </row>
    <row r="44" spans="1:14" x14ac:dyDescent="0.2">
      <c r="A44" s="25">
        <f>'GF + UG Iteration 12'!A44</f>
        <v>1074</v>
      </c>
      <c r="B44" s="25" t="str">
        <f>'GF + UG Iteration 12'!B44</f>
        <v>GF</v>
      </c>
      <c r="C44" s="18">
        <f>'GF + UG Iteration 12'!C44</f>
        <v>67</v>
      </c>
      <c r="D44" s="19">
        <f>'GF + UG Iteration 12'!D44</f>
        <v>43.13883453102715</v>
      </c>
      <c r="E44" s="30">
        <f>'GF + UG Iteration 12'!E44</f>
        <v>2011</v>
      </c>
      <c r="F44" s="18"/>
      <c r="G44" s="19"/>
      <c r="H44" s="20"/>
      <c r="I44" s="18">
        <f t="shared" si="0"/>
        <v>67</v>
      </c>
      <c r="J44" s="19">
        <f t="shared" si="1"/>
        <v>43.13883453102715</v>
      </c>
      <c r="K44" s="20">
        <f t="shared" si="2"/>
        <v>2011</v>
      </c>
      <c r="M44" s="21">
        <f t="shared" si="3"/>
        <v>4.2046926193909657</v>
      </c>
      <c r="N44" s="21">
        <f t="shared" si="4"/>
        <v>3.7644236246254454</v>
      </c>
    </row>
    <row r="45" spans="1:14" x14ac:dyDescent="0.2">
      <c r="A45" s="25">
        <f>'GF + UG Iteration 12'!A45</f>
        <v>34</v>
      </c>
      <c r="B45" s="25" t="str">
        <f>'GF + UG Iteration 12'!B45</f>
        <v>GF</v>
      </c>
      <c r="C45" s="18">
        <f>'GF + UG Iteration 12'!C45</f>
        <v>16</v>
      </c>
      <c r="D45" s="19">
        <f>'GF + UG Iteration 12'!D45</f>
        <v>7.5134124542159286</v>
      </c>
      <c r="E45" s="30">
        <f>'GF + UG Iteration 12'!E45</f>
        <v>2000</v>
      </c>
      <c r="F45" s="18"/>
      <c r="G45" s="19"/>
      <c r="H45" s="20"/>
      <c r="I45" s="18">
        <f t="shared" si="0"/>
        <v>16</v>
      </c>
      <c r="J45" s="19">
        <f t="shared" si="1"/>
        <v>7.5134124542159286</v>
      </c>
      <c r="K45" s="20">
        <f t="shared" si="2"/>
        <v>2000</v>
      </c>
      <c r="M45" s="21">
        <f t="shared" si="3"/>
        <v>2.7725887222397811</v>
      </c>
      <c r="N45" s="21">
        <f t="shared" si="4"/>
        <v>2.0166897506177883</v>
      </c>
    </row>
    <row r="46" spans="1:14" x14ac:dyDescent="0.2">
      <c r="A46" s="25">
        <f>'GF + UG Iteration 12'!A46</f>
        <v>433</v>
      </c>
      <c r="B46" s="25" t="str">
        <f>'GF + UG Iteration 12'!B46</f>
        <v>GF</v>
      </c>
      <c r="C46" s="18">
        <f>'GF + UG Iteration 12'!C46</f>
        <v>25</v>
      </c>
      <c r="D46" s="19">
        <f>'GF + UG Iteration 12'!D46</f>
        <v>22.308265318441425</v>
      </c>
      <c r="E46" s="30">
        <f>'GF + UG Iteration 12'!E46</f>
        <v>2003</v>
      </c>
      <c r="F46" s="18"/>
      <c r="G46" s="19"/>
      <c r="H46" s="20"/>
      <c r="I46" s="18">
        <f t="shared" si="0"/>
        <v>25</v>
      </c>
      <c r="J46" s="19">
        <f t="shared" si="1"/>
        <v>22.308265318441425</v>
      </c>
      <c r="K46" s="20">
        <f t="shared" si="2"/>
        <v>2003</v>
      </c>
      <c r="M46" s="21">
        <f t="shared" si="3"/>
        <v>3.2188758248682006</v>
      </c>
      <c r="N46" s="21">
        <f t="shared" si="4"/>
        <v>3.1049572518778392</v>
      </c>
    </row>
    <row r="47" spans="1:14" x14ac:dyDescent="0.2">
      <c r="A47" s="25" t="str">
        <f>'GF + UG Iteration 12'!A47</f>
        <v>79A</v>
      </c>
      <c r="B47" s="25" t="str">
        <f>'GF + UG Iteration 12'!B47</f>
        <v>GF</v>
      </c>
      <c r="C47" s="18">
        <f>'GF + UG Iteration 12'!C47</f>
        <v>8</v>
      </c>
      <c r="D47" s="19">
        <f>'GF + UG Iteration 12'!D47</f>
        <v>5.0823375539699818</v>
      </c>
      <c r="E47" s="30">
        <f>'GF + UG Iteration 12'!E47</f>
        <v>2000</v>
      </c>
      <c r="F47" s="18"/>
      <c r="G47" s="19"/>
      <c r="H47" s="20"/>
      <c r="I47" s="18">
        <f t="shared" si="0"/>
        <v>8</v>
      </c>
      <c r="J47" s="19">
        <f t="shared" si="1"/>
        <v>5.0823375539699818</v>
      </c>
      <c r="K47" s="20">
        <f t="shared" si="2"/>
        <v>2000</v>
      </c>
      <c r="M47" s="21">
        <f t="shared" si="3"/>
        <v>2.0794415416798357</v>
      </c>
      <c r="N47" s="21">
        <f t="shared" si="4"/>
        <v>1.62577130417386</v>
      </c>
    </row>
    <row r="48" spans="1:14" x14ac:dyDescent="0.2">
      <c r="A48" s="25" t="str">
        <f>'GF + UG Iteration 12'!A48</f>
        <v>10A</v>
      </c>
      <c r="B48" s="25" t="str">
        <f>'GF + UG Iteration 12'!B48</f>
        <v>GF</v>
      </c>
      <c r="C48" s="18">
        <f>'GF + UG Iteration 12'!C48</f>
        <v>6.2</v>
      </c>
      <c r="D48" s="19">
        <f>'GF + UG Iteration 12'!D48</f>
        <v>8.9160103759227685</v>
      </c>
      <c r="E48" s="30">
        <f>'GF + UG Iteration 12'!E48</f>
        <v>2001</v>
      </c>
      <c r="F48" s="18"/>
      <c r="G48" s="19"/>
      <c r="H48" s="20"/>
      <c r="I48" s="18">
        <f t="shared" si="0"/>
        <v>6.2</v>
      </c>
      <c r="J48" s="19">
        <f t="shared" si="1"/>
        <v>8.9160103759227685</v>
      </c>
      <c r="K48" s="20">
        <f t="shared" si="2"/>
        <v>2001</v>
      </c>
      <c r="M48" s="21">
        <f t="shared" si="3"/>
        <v>1.824549292051046</v>
      </c>
      <c r="N48" s="21">
        <f t="shared" si="4"/>
        <v>2.1878485792648439</v>
      </c>
    </row>
    <row r="49" spans="1:14" x14ac:dyDescent="0.2">
      <c r="A49" s="25">
        <f>'GF + UG Iteration 12'!A49</f>
        <v>345</v>
      </c>
      <c r="B49" s="25" t="str">
        <f>'GF + UG Iteration 12'!B49</f>
        <v>GF</v>
      </c>
      <c r="C49" s="18">
        <f>'GF + UG Iteration 12'!C49</f>
        <v>35</v>
      </c>
      <c r="D49" s="19">
        <f>'GF + UG Iteration 12'!D49</f>
        <v>8.3689831482940882</v>
      </c>
      <c r="E49" s="30">
        <f>'GF + UG Iteration 12'!E49</f>
        <v>2003</v>
      </c>
      <c r="F49" s="18"/>
      <c r="G49" s="19"/>
      <c r="H49" s="20"/>
      <c r="I49" s="18">
        <f t="shared" si="0"/>
        <v>35</v>
      </c>
      <c r="J49" s="19">
        <f t="shared" si="1"/>
        <v>8.3689831482940882</v>
      </c>
      <c r="K49" s="20">
        <f t="shared" si="2"/>
        <v>2003</v>
      </c>
      <c r="M49" s="21">
        <f t="shared" si="3"/>
        <v>3.5553480614894135</v>
      </c>
      <c r="N49" s="21">
        <f t="shared" si="4"/>
        <v>2.1245323894621508</v>
      </c>
    </row>
    <row r="50" spans="1:14" x14ac:dyDescent="0.2">
      <c r="A50" s="25">
        <f>'GF + UG Iteration 12'!A50</f>
        <v>1049</v>
      </c>
      <c r="B50" s="25" t="str">
        <f>'GF + UG Iteration 12'!B50</f>
        <v>GF</v>
      </c>
      <c r="C50" s="18">
        <f>'GF + UG Iteration 12'!C50</f>
        <v>15.2</v>
      </c>
      <c r="D50" s="19">
        <f>'GF + UG Iteration 12'!D50</f>
        <v>54.551770509232071</v>
      </c>
      <c r="E50" s="30">
        <f>'GF + UG Iteration 12'!E50</f>
        <v>2011</v>
      </c>
      <c r="F50" s="18"/>
      <c r="G50" s="19"/>
      <c r="H50" s="20"/>
      <c r="I50" s="18">
        <f t="shared" si="0"/>
        <v>15.2</v>
      </c>
      <c r="J50" s="19">
        <f t="shared" si="1"/>
        <v>54.551770509232071</v>
      </c>
      <c r="K50" s="20">
        <f t="shared" si="2"/>
        <v>2011</v>
      </c>
      <c r="M50" s="21">
        <f t="shared" si="3"/>
        <v>2.7212954278522306</v>
      </c>
      <c r="N50" s="21">
        <f t="shared" si="4"/>
        <v>3.9991501683835766</v>
      </c>
    </row>
    <row r="51" spans="1:14" x14ac:dyDescent="0.2">
      <c r="A51" s="25">
        <f>'GF + UG Iteration 12'!A51</f>
        <v>230</v>
      </c>
      <c r="B51" s="25" t="str">
        <f>'GF + UG Iteration 12'!B51</f>
        <v>GF</v>
      </c>
      <c r="C51" s="18">
        <f>'GF + UG Iteration 12'!C51</f>
        <v>17</v>
      </c>
      <c r="D51" s="19">
        <f>'GF + UG Iteration 12'!D51</f>
        <v>10.739901169983137</v>
      </c>
      <c r="E51" s="30">
        <f>'GF + UG Iteration 12'!E51</f>
        <v>2003</v>
      </c>
      <c r="F51" s="18"/>
      <c r="G51" s="19"/>
      <c r="H51" s="20"/>
      <c r="I51" s="18">
        <f t="shared" si="0"/>
        <v>17</v>
      </c>
      <c r="J51" s="19">
        <f t="shared" si="1"/>
        <v>10.739901169983137</v>
      </c>
      <c r="K51" s="20">
        <f t="shared" si="2"/>
        <v>2003</v>
      </c>
      <c r="M51" s="21">
        <f t="shared" si="3"/>
        <v>2.8332133440562162</v>
      </c>
      <c r="N51" s="21">
        <f t="shared" si="4"/>
        <v>2.3739658869883922</v>
      </c>
    </row>
    <row r="52" spans="1:14" x14ac:dyDescent="0.2">
      <c r="A52" s="25" t="str">
        <f>'GF + UG Iteration 12'!A52</f>
        <v>79B</v>
      </c>
      <c r="B52" s="25" t="str">
        <f>'GF + UG Iteration 12'!B52</f>
        <v>GF</v>
      </c>
      <c r="C52" s="18">
        <f>'GF + UG Iteration 12'!C52</f>
        <v>8</v>
      </c>
      <c r="D52" s="19">
        <f>'GF + UG Iteration 12'!D52</f>
        <v>3.3788339951362953</v>
      </c>
      <c r="E52" s="30">
        <f>'GF + UG Iteration 12'!E52</f>
        <v>2000</v>
      </c>
      <c r="F52" s="18"/>
      <c r="G52" s="19"/>
      <c r="H52" s="20"/>
      <c r="I52" s="18">
        <f t="shared" si="0"/>
        <v>8</v>
      </c>
      <c r="J52" s="19">
        <f t="shared" si="1"/>
        <v>3.3788339951362953</v>
      </c>
      <c r="K52" s="20">
        <f t="shared" si="2"/>
        <v>2000</v>
      </c>
      <c r="M52" s="21">
        <f t="shared" si="3"/>
        <v>2.0794415416798357</v>
      </c>
      <c r="N52" s="21">
        <f t="shared" si="4"/>
        <v>1.2175306781252826</v>
      </c>
    </row>
    <row r="53" spans="1:14" x14ac:dyDescent="0.2">
      <c r="A53" s="25" t="str">
        <f>'GF + UG Iteration 12'!A53</f>
        <v>10B</v>
      </c>
      <c r="B53" s="25" t="str">
        <f>'GF + UG Iteration 12'!B53</f>
        <v>GF</v>
      </c>
      <c r="C53" s="18">
        <f>'GF + UG Iteration 12'!C53</f>
        <v>9.4060000000000006</v>
      </c>
      <c r="D53" s="19">
        <f>'GF + UG Iteration 12'!D53</f>
        <v>9.7991326901064184</v>
      </c>
      <c r="E53" s="30">
        <f>'GF + UG Iteration 12'!E53</f>
        <v>2001</v>
      </c>
      <c r="F53" s="18"/>
      <c r="G53" s="19"/>
      <c r="H53" s="20"/>
      <c r="I53" s="18">
        <f t="shared" si="0"/>
        <v>9.4060000000000006</v>
      </c>
      <c r="J53" s="19">
        <f t="shared" si="1"/>
        <v>9.7991326901064184</v>
      </c>
      <c r="K53" s="20">
        <f t="shared" si="2"/>
        <v>2001</v>
      </c>
      <c r="M53" s="21">
        <f t="shared" si="3"/>
        <v>2.2413477835228561</v>
      </c>
      <c r="N53" s="21">
        <f t="shared" si="4"/>
        <v>2.2822938807505317</v>
      </c>
    </row>
    <row r="54" spans="1:14" x14ac:dyDescent="0.2">
      <c r="A54" s="25">
        <f>'GF + UG Iteration 12'!A54</f>
        <v>8</v>
      </c>
      <c r="B54" s="25" t="str">
        <f>'GF + UG Iteration 12'!B54</f>
        <v>GF</v>
      </c>
      <c r="C54" s="18">
        <f>'GF + UG Iteration 12'!C54</f>
        <v>18</v>
      </c>
      <c r="D54" s="19">
        <f>'GF + UG Iteration 12'!D54</f>
        <v>11.984110505191126</v>
      </c>
      <c r="E54" s="30">
        <f>'GF + UG Iteration 12'!E54</f>
        <v>2000</v>
      </c>
      <c r="F54" s="18"/>
      <c r="G54" s="19"/>
      <c r="H54" s="20"/>
      <c r="I54" s="18">
        <f t="shared" si="0"/>
        <v>18</v>
      </c>
      <c r="J54" s="19">
        <f t="shared" si="1"/>
        <v>11.984110505191126</v>
      </c>
      <c r="K54" s="20">
        <f t="shared" si="2"/>
        <v>2000</v>
      </c>
      <c r="M54" s="21">
        <f t="shared" si="3"/>
        <v>2.8903717578961645</v>
      </c>
      <c r="N54" s="21">
        <f t="shared" si="4"/>
        <v>2.4835816477930246</v>
      </c>
    </row>
    <row r="55" spans="1:14" x14ac:dyDescent="0.2">
      <c r="A55" s="25">
        <f>'GF + UG Iteration 12'!A55</f>
        <v>487</v>
      </c>
      <c r="B55" s="25" t="str">
        <f>'GF + UG Iteration 12'!B55</f>
        <v>GF</v>
      </c>
      <c r="C55" s="18">
        <f>'GF + UG Iteration 12'!C55</f>
        <v>22</v>
      </c>
      <c r="D55" s="19">
        <f>'GF + UG Iteration 12'!D55</f>
        <v>16.606728766354362</v>
      </c>
      <c r="E55" s="30">
        <f>'GF + UG Iteration 12'!E55</f>
        <v>2007</v>
      </c>
      <c r="F55" s="18"/>
      <c r="G55" s="19"/>
      <c r="H55" s="20"/>
      <c r="I55" s="18">
        <f t="shared" si="0"/>
        <v>22</v>
      </c>
      <c r="J55" s="19">
        <f t="shared" si="1"/>
        <v>16.606728766354362</v>
      </c>
      <c r="K55" s="20">
        <f t="shared" si="2"/>
        <v>2007</v>
      </c>
      <c r="M55" s="21">
        <f t="shared" si="3"/>
        <v>3.0910424533583161</v>
      </c>
      <c r="N55" s="21">
        <f t="shared" si="4"/>
        <v>2.8098079606021904</v>
      </c>
    </row>
    <row r="56" spans="1:14" x14ac:dyDescent="0.2">
      <c r="A56" s="25">
        <f>'GF + UG Iteration 12'!A56</f>
        <v>385</v>
      </c>
      <c r="B56" s="25" t="str">
        <f>'GF + UG Iteration 12'!B56</f>
        <v>GF</v>
      </c>
      <c r="C56" s="18">
        <f>'GF + UG Iteration 12'!C56</f>
        <v>7.5</v>
      </c>
      <c r="D56" s="19">
        <f>'GF + UG Iteration 12'!D56</f>
        <v>8.5880709825089685</v>
      </c>
      <c r="E56" s="30">
        <f>'GF + UG Iteration 12'!E56</f>
        <v>2003</v>
      </c>
      <c r="F56" s="18"/>
      <c r="G56" s="19"/>
      <c r="H56" s="20"/>
      <c r="I56" s="18">
        <f t="shared" si="0"/>
        <v>7.5</v>
      </c>
      <c r="J56" s="19">
        <f t="shared" si="1"/>
        <v>8.5880709825089685</v>
      </c>
      <c r="K56" s="20">
        <f t="shared" si="2"/>
        <v>2003</v>
      </c>
      <c r="M56" s="21">
        <f t="shared" si="3"/>
        <v>2.0149030205422647</v>
      </c>
      <c r="N56" s="21">
        <f t="shared" si="4"/>
        <v>2.1503741452954848</v>
      </c>
    </row>
    <row r="57" spans="1:14" x14ac:dyDescent="0.2">
      <c r="A57" s="25">
        <f>'GF + UG Iteration 12'!A57</f>
        <v>865</v>
      </c>
      <c r="B57" s="25" t="str">
        <f>'GF + UG Iteration 12'!B57</f>
        <v>GF</v>
      </c>
      <c r="C57" s="18">
        <f>'GF + UG Iteration 12'!C57</f>
        <v>25</v>
      </c>
      <c r="D57" s="19">
        <f>'GF + UG Iteration 12'!D57</f>
        <v>8.6091983279462436</v>
      </c>
      <c r="E57" s="30">
        <f>'GF + UG Iteration 12'!E57</f>
        <v>2007</v>
      </c>
      <c r="F57" s="18"/>
      <c r="G57" s="19"/>
      <c r="H57" s="20"/>
      <c r="I57" s="18">
        <f t="shared" si="0"/>
        <v>25</v>
      </c>
      <c r="J57" s="19">
        <f t="shared" si="1"/>
        <v>8.6091983279462436</v>
      </c>
      <c r="K57" s="20">
        <f t="shared" si="2"/>
        <v>2007</v>
      </c>
      <c r="M57" s="21">
        <f t="shared" si="3"/>
        <v>3.2188758248682006</v>
      </c>
      <c r="N57" s="21">
        <f t="shared" si="4"/>
        <v>2.1528312046907798</v>
      </c>
    </row>
    <row r="58" spans="1:14" x14ac:dyDescent="0.2">
      <c r="A58" s="25">
        <f>'GF + UG Iteration 12'!A58</f>
        <v>863</v>
      </c>
      <c r="B58" s="25" t="str">
        <f>'GF + UG Iteration 12'!B58</f>
        <v>GF</v>
      </c>
      <c r="C58" s="18">
        <f>'GF + UG Iteration 12'!C58</f>
        <v>25</v>
      </c>
      <c r="D58" s="19">
        <f>'GF + UG Iteration 12'!D58</f>
        <v>8.2434360504581008</v>
      </c>
      <c r="E58" s="30">
        <f>'GF + UG Iteration 12'!E58</f>
        <v>2007</v>
      </c>
      <c r="F58" s="18"/>
      <c r="G58" s="19"/>
      <c r="H58" s="20"/>
      <c r="I58" s="18">
        <f t="shared" si="0"/>
        <v>25</v>
      </c>
      <c r="J58" s="19">
        <f t="shared" si="1"/>
        <v>8.2434360504581008</v>
      </c>
      <c r="K58" s="20">
        <f t="shared" si="2"/>
        <v>2007</v>
      </c>
      <c r="M58" s="21">
        <f t="shared" si="3"/>
        <v>3.2188758248682006</v>
      </c>
      <c r="N58" s="21">
        <f t="shared" si="4"/>
        <v>2.1094172534173556</v>
      </c>
    </row>
    <row r="59" spans="1:14" x14ac:dyDescent="0.2">
      <c r="A59" s="25">
        <f>'GF + UG Iteration 12'!A59</f>
        <v>527</v>
      </c>
      <c r="B59" s="25" t="str">
        <f>'GF + UG Iteration 12'!B59</f>
        <v>GF</v>
      </c>
      <c r="C59" s="18">
        <f>'GF + UG Iteration 12'!C59</f>
        <v>17</v>
      </c>
      <c r="D59" s="19">
        <f>'GF + UG Iteration 12'!D59</f>
        <v>6.9318595783251213</v>
      </c>
      <c r="E59" s="30">
        <f>'GF + UG Iteration 12'!E59</f>
        <v>2007</v>
      </c>
      <c r="F59" s="18"/>
      <c r="G59" s="19"/>
      <c r="H59" s="20"/>
      <c r="I59" s="18">
        <f t="shared" si="0"/>
        <v>17</v>
      </c>
      <c r="J59" s="19">
        <f t="shared" si="1"/>
        <v>6.9318595783251213</v>
      </c>
      <c r="K59" s="20">
        <f t="shared" si="2"/>
        <v>2007</v>
      </c>
      <c r="M59" s="21">
        <f t="shared" si="3"/>
        <v>2.8332133440562162</v>
      </c>
      <c r="N59" s="21">
        <f t="shared" si="4"/>
        <v>1.936128114626418</v>
      </c>
    </row>
    <row r="60" spans="1:14" x14ac:dyDescent="0.2">
      <c r="A60" s="25">
        <f>'GF + UG Iteration 12'!A60</f>
        <v>595</v>
      </c>
      <c r="B60" s="25" t="str">
        <f>'GF + UG Iteration 12'!B60</f>
        <v>GF</v>
      </c>
      <c r="C60" s="18">
        <f>'GF + UG Iteration 12'!C60</f>
        <v>11</v>
      </c>
      <c r="D60" s="19">
        <f>'GF + UG Iteration 12'!D60</f>
        <v>19.087371326529755</v>
      </c>
      <c r="E60" s="30">
        <f>'GF + UG Iteration 12'!E60</f>
        <v>2007</v>
      </c>
      <c r="F60" s="18"/>
      <c r="G60" s="19"/>
      <c r="H60" s="20"/>
      <c r="I60" s="18">
        <f t="shared" si="0"/>
        <v>11</v>
      </c>
      <c r="J60" s="19">
        <f t="shared" si="1"/>
        <v>19.087371326529755</v>
      </c>
      <c r="K60" s="20">
        <f t="shared" si="2"/>
        <v>2007</v>
      </c>
      <c r="M60" s="21">
        <f t="shared" si="3"/>
        <v>2.3978952727983707</v>
      </c>
      <c r="N60" s="21">
        <f t="shared" si="4"/>
        <v>2.9490269292793174</v>
      </c>
    </row>
    <row r="61" spans="1:14" x14ac:dyDescent="0.2">
      <c r="A61" s="25">
        <f>'GF + UG Iteration 12'!A61</f>
        <v>528</v>
      </c>
      <c r="B61" s="25" t="str">
        <f>'GF + UG Iteration 12'!B61</f>
        <v>GF</v>
      </c>
      <c r="C61" s="18">
        <f>'GF + UG Iteration 12'!C61</f>
        <v>17</v>
      </c>
      <c r="D61" s="19">
        <f>'GF + UG Iteration 12'!D61</f>
        <v>5.2657663175025586</v>
      </c>
      <c r="E61" s="30">
        <f>'GF + UG Iteration 12'!E61</f>
        <v>2007</v>
      </c>
      <c r="F61" s="18"/>
      <c r="G61" s="19"/>
      <c r="H61" s="20"/>
      <c r="I61" s="18">
        <f t="shared" si="0"/>
        <v>17</v>
      </c>
      <c r="J61" s="19">
        <f t="shared" si="1"/>
        <v>5.2657663175025586</v>
      </c>
      <c r="K61" s="20">
        <f t="shared" si="2"/>
        <v>2007</v>
      </c>
      <c r="M61" s="21">
        <f t="shared" si="3"/>
        <v>2.8332133440562162</v>
      </c>
      <c r="N61" s="21">
        <f t="shared" si="4"/>
        <v>1.6612266843778571</v>
      </c>
    </row>
    <row r="62" spans="1:14" x14ac:dyDescent="0.2">
      <c r="A62" s="25">
        <f>'GF + UG Iteration 12'!A62</f>
        <v>529</v>
      </c>
      <c r="B62" s="25" t="str">
        <f>'GF + UG Iteration 12'!B62</f>
        <v>GF</v>
      </c>
      <c r="C62" s="18">
        <f>'GF + UG Iteration 12'!C62</f>
        <v>17</v>
      </c>
      <c r="D62" s="19">
        <f>'GF + UG Iteration 12'!D62</f>
        <v>7.7921694439597555</v>
      </c>
      <c r="E62" s="30">
        <f>'GF + UG Iteration 12'!E62</f>
        <v>2007</v>
      </c>
      <c r="F62" s="18"/>
      <c r="G62" s="19"/>
      <c r="H62" s="20"/>
      <c r="I62" s="18">
        <f t="shared" si="0"/>
        <v>17</v>
      </c>
      <c r="J62" s="19">
        <f t="shared" si="1"/>
        <v>7.7921694439597555</v>
      </c>
      <c r="K62" s="20">
        <f t="shared" si="2"/>
        <v>2007</v>
      </c>
      <c r="M62" s="21">
        <f t="shared" si="3"/>
        <v>2.8332133440562162</v>
      </c>
      <c r="N62" s="21">
        <f t="shared" si="4"/>
        <v>2.0531193119918547</v>
      </c>
    </row>
    <row r="63" spans="1:14" x14ac:dyDescent="0.2">
      <c r="A63" s="25">
        <f>'GF + UG Iteration 12'!A63</f>
        <v>1095</v>
      </c>
      <c r="B63" s="25" t="str">
        <f>'GF + UG Iteration 12'!B63</f>
        <v>GF</v>
      </c>
      <c r="C63" s="18">
        <f>'GF + UG Iteration 12'!C63</f>
        <v>18</v>
      </c>
      <c r="D63" s="19">
        <f>'GF + UG Iteration 12'!D63</f>
        <v>11.923356574074873</v>
      </c>
      <c r="E63" s="30">
        <f>'GF + UG Iteration 12'!E63</f>
        <v>2011</v>
      </c>
      <c r="F63" s="18"/>
      <c r="G63" s="19"/>
      <c r="H63" s="20"/>
      <c r="I63" s="18">
        <f t="shared" si="0"/>
        <v>18</v>
      </c>
      <c r="J63" s="19">
        <f t="shared" si="1"/>
        <v>11.923356574074873</v>
      </c>
      <c r="K63" s="20">
        <f t="shared" si="2"/>
        <v>2011</v>
      </c>
      <c r="M63" s="21">
        <f t="shared" si="3"/>
        <v>2.8903717578961645</v>
      </c>
      <c r="N63" s="21">
        <f t="shared" si="4"/>
        <v>2.4784992137824831</v>
      </c>
    </row>
    <row r="64" spans="1:14" x14ac:dyDescent="0.2">
      <c r="A64" s="25">
        <f>'GF + UG Iteration 12'!A64</f>
        <v>561</v>
      </c>
      <c r="B64" s="25" t="str">
        <f>'GF + UG Iteration 12'!B64</f>
        <v>GF</v>
      </c>
      <c r="C64" s="18">
        <f>'GF + UG Iteration 12'!C64</f>
        <v>46</v>
      </c>
      <c r="D64" s="19">
        <f>'GF + UG Iteration 12'!D64</f>
        <v>58.100097147658744</v>
      </c>
      <c r="E64" s="30">
        <f>'GF + UG Iteration 12'!E64</f>
        <v>2011</v>
      </c>
      <c r="F64" s="18"/>
      <c r="G64" s="19"/>
      <c r="H64" s="20"/>
      <c r="I64" s="18">
        <f t="shared" si="0"/>
        <v>46</v>
      </c>
      <c r="J64" s="19">
        <f t="shared" si="1"/>
        <v>58.100097147658744</v>
      </c>
      <c r="K64" s="20">
        <f t="shared" si="2"/>
        <v>2011</v>
      </c>
      <c r="M64" s="21">
        <f t="shared" si="3"/>
        <v>3.8286413964890951</v>
      </c>
      <c r="N64" s="21">
        <f t="shared" si="4"/>
        <v>4.0621673359332098</v>
      </c>
    </row>
    <row r="65" spans="1:14" x14ac:dyDescent="0.2">
      <c r="A65" s="25">
        <f>'GF + UG Iteration 12'!A65</f>
        <v>1018</v>
      </c>
      <c r="B65" s="25" t="str">
        <f>'GF + UG Iteration 12'!B65</f>
        <v>GF</v>
      </c>
      <c r="C65" s="18">
        <f>'GF + UG Iteration 12'!C65</f>
        <v>3</v>
      </c>
      <c r="D65" s="19">
        <f>'GF + UG Iteration 12'!D65</f>
        <v>10.634643135603309</v>
      </c>
      <c r="E65" s="30">
        <f>'GF + UG Iteration 12'!E65</f>
        <v>2011</v>
      </c>
      <c r="F65" s="18"/>
      <c r="G65" s="19"/>
      <c r="H65" s="20"/>
      <c r="I65" s="18">
        <f t="shared" si="0"/>
        <v>3</v>
      </c>
      <c r="J65" s="19">
        <f t="shared" si="1"/>
        <v>10.634643135603309</v>
      </c>
      <c r="K65" s="20">
        <f t="shared" si="2"/>
        <v>2011</v>
      </c>
      <c r="M65" s="21">
        <f t="shared" si="3"/>
        <v>1.0986122886681098</v>
      </c>
      <c r="N65" s="21">
        <f t="shared" si="4"/>
        <v>2.3641168924336546</v>
      </c>
    </row>
    <row r="66" spans="1:14" x14ac:dyDescent="0.2">
      <c r="A66" s="25">
        <f>'GF + UG Iteration 12'!A66</f>
        <v>360</v>
      </c>
      <c r="B66" s="25" t="str">
        <f>'GF + UG Iteration 12'!B66</f>
        <v>GF</v>
      </c>
      <c r="C66" s="18">
        <f>'GF + UG Iteration 12'!C66</f>
        <v>22</v>
      </c>
      <c r="D66" s="19">
        <f>'GF + UG Iteration 12'!D66</f>
        <v>7.1174715515965792</v>
      </c>
      <c r="E66" s="30">
        <f>'GF + UG Iteration 12'!E66</f>
        <v>2003</v>
      </c>
      <c r="F66" s="18"/>
      <c r="G66" s="19"/>
      <c r="H66" s="20"/>
      <c r="I66" s="18">
        <f t="shared" si="0"/>
        <v>22</v>
      </c>
      <c r="J66" s="19">
        <f t="shared" si="1"/>
        <v>7.1174715515965792</v>
      </c>
      <c r="K66" s="20">
        <f t="shared" si="2"/>
        <v>2003</v>
      </c>
      <c r="M66" s="21">
        <f t="shared" si="3"/>
        <v>3.0910424533583161</v>
      </c>
      <c r="N66" s="21">
        <f t="shared" si="4"/>
        <v>1.9625525431963604</v>
      </c>
    </row>
    <row r="67" spans="1:14" x14ac:dyDescent="0.2">
      <c r="A67" s="25">
        <f>'GF + UG Iteration 12'!A67</f>
        <v>1106</v>
      </c>
      <c r="B67" s="25" t="str">
        <f>'GF + UG Iteration 12'!B67</f>
        <v>GF</v>
      </c>
      <c r="C67" s="18">
        <f>'GF + UG Iteration 12'!C67</f>
        <v>12</v>
      </c>
      <c r="D67" s="19">
        <f>'GF + UG Iteration 12'!D67</f>
        <v>20.217898457447252</v>
      </c>
      <c r="E67" s="30">
        <f>'GF + UG Iteration 12'!E67</f>
        <v>2011</v>
      </c>
      <c r="F67" s="18"/>
      <c r="G67" s="19"/>
      <c r="H67" s="20"/>
      <c r="I67" s="18">
        <f t="shared" si="0"/>
        <v>12</v>
      </c>
      <c r="J67" s="19">
        <f t="shared" si="1"/>
        <v>20.217898457447252</v>
      </c>
      <c r="K67" s="20">
        <f t="shared" si="2"/>
        <v>2011</v>
      </c>
      <c r="M67" s="21">
        <f t="shared" si="3"/>
        <v>2.4849066497880004</v>
      </c>
      <c r="N67" s="21">
        <f t="shared" si="4"/>
        <v>3.0065682743355979</v>
      </c>
    </row>
    <row r="68" spans="1:14" x14ac:dyDescent="0.2">
      <c r="A68" s="25">
        <f>'GF + UG Iteration 12'!A68</f>
        <v>899</v>
      </c>
      <c r="B68" s="25" t="str">
        <f>'GF + UG Iteration 12'!B68</f>
        <v>GF</v>
      </c>
      <c r="C68" s="18">
        <f>'GF + UG Iteration 12'!C68</f>
        <v>25</v>
      </c>
      <c r="D68" s="19">
        <f>'GF + UG Iteration 12'!D68</f>
        <v>15.17251837286627</v>
      </c>
      <c r="E68" s="30">
        <f>'GF + UG Iteration 12'!E68</f>
        <v>2010</v>
      </c>
      <c r="F68" s="18"/>
      <c r="G68" s="19"/>
      <c r="H68" s="20"/>
      <c r="I68" s="18">
        <f t="shared" si="0"/>
        <v>25</v>
      </c>
      <c r="J68" s="19">
        <f t="shared" si="1"/>
        <v>15.17251837286627</v>
      </c>
      <c r="K68" s="20">
        <f t="shared" si="2"/>
        <v>2010</v>
      </c>
      <c r="M68" s="21">
        <f t="shared" si="3"/>
        <v>3.2188758248682006</v>
      </c>
      <c r="N68" s="21">
        <f t="shared" si="4"/>
        <v>2.7194857896591729</v>
      </c>
    </row>
    <row r="69" spans="1:14" x14ac:dyDescent="0.2">
      <c r="A69" s="25">
        <f>'GF + UG Iteration 12'!A69</f>
        <v>1191</v>
      </c>
      <c r="B69" s="25" t="str">
        <f>'GF + UG Iteration 12'!B69</f>
        <v>GF</v>
      </c>
      <c r="C69" s="18">
        <f>'GF + UG Iteration 12'!C69</f>
        <v>11</v>
      </c>
      <c r="D69" s="19">
        <f>'GF + UG Iteration 12'!D69</f>
        <v>12.628076471206382</v>
      </c>
      <c r="E69" s="30">
        <f>'GF + UG Iteration 12'!E69</f>
        <v>2011</v>
      </c>
      <c r="F69" s="18"/>
      <c r="G69" s="19"/>
      <c r="H69" s="20"/>
      <c r="I69" s="18">
        <f t="shared" si="0"/>
        <v>11</v>
      </c>
      <c r="J69" s="19">
        <f t="shared" si="1"/>
        <v>12.628076471206382</v>
      </c>
      <c r="K69" s="20">
        <f t="shared" si="2"/>
        <v>2011</v>
      </c>
      <c r="M69" s="21">
        <f t="shared" si="3"/>
        <v>2.3978952727983707</v>
      </c>
      <c r="N69" s="21">
        <f t="shared" si="4"/>
        <v>2.5359226263636927</v>
      </c>
    </row>
    <row r="70" spans="1:14" x14ac:dyDescent="0.2">
      <c r="A70" s="25">
        <f>'GF + UG Iteration 12'!A70</f>
        <v>1115</v>
      </c>
      <c r="B70" s="25" t="str">
        <f>'GF + UG Iteration 12'!B70</f>
        <v>GF</v>
      </c>
      <c r="C70" s="18">
        <f>'GF + UG Iteration 12'!C70</f>
        <v>10</v>
      </c>
      <c r="D70" s="19">
        <f>'GF + UG Iteration 12'!D70</f>
        <v>24.362790290493837</v>
      </c>
      <c r="E70" s="30">
        <f>'GF + UG Iteration 12'!E70</f>
        <v>2011</v>
      </c>
      <c r="F70" s="18"/>
      <c r="G70" s="19"/>
      <c r="H70" s="20"/>
      <c r="I70" s="18">
        <f t="shared" si="0"/>
        <v>10</v>
      </c>
      <c r="J70" s="19">
        <f t="shared" si="1"/>
        <v>24.362790290493837</v>
      </c>
      <c r="K70" s="20">
        <f t="shared" si="2"/>
        <v>2011</v>
      </c>
      <c r="M70" s="21">
        <f t="shared" si="3"/>
        <v>2.3025850929940459</v>
      </c>
      <c r="N70" s="21">
        <f t="shared" si="4"/>
        <v>3.1930569802267783</v>
      </c>
    </row>
    <row r="71" spans="1:14" x14ac:dyDescent="0.2">
      <c r="A71" s="25">
        <f>'GF + UG Iteration 12'!A71</f>
        <v>1053</v>
      </c>
      <c r="B71" s="25" t="str">
        <f>'GF + UG Iteration 12'!B71</f>
        <v>GF</v>
      </c>
      <c r="C71" s="18">
        <f>'GF + UG Iteration 12'!C71</f>
        <v>9</v>
      </c>
      <c r="D71" s="19">
        <f>'GF + UG Iteration 12'!D71</f>
        <v>14.71443826778331</v>
      </c>
      <c r="E71" s="30">
        <f>'GF + UG Iteration 12'!E71</f>
        <v>2011</v>
      </c>
      <c r="F71" s="18"/>
      <c r="G71" s="19"/>
      <c r="H71" s="20"/>
      <c r="I71" s="18">
        <f t="shared" si="0"/>
        <v>9</v>
      </c>
      <c r="J71" s="19">
        <f t="shared" si="1"/>
        <v>14.71443826778331</v>
      </c>
      <c r="K71" s="20">
        <f t="shared" si="2"/>
        <v>2011</v>
      </c>
      <c r="M71" s="21">
        <f t="shared" si="3"/>
        <v>2.1972245773362196</v>
      </c>
      <c r="N71" s="21">
        <f t="shared" si="4"/>
        <v>2.6888292068340069</v>
      </c>
    </row>
    <row r="72" spans="1:14" x14ac:dyDescent="0.2">
      <c r="A72" s="25">
        <f>'GF + UG Iteration 12'!A72</f>
        <v>864</v>
      </c>
      <c r="B72" s="25" t="str">
        <f>'GF + UG Iteration 12'!B72</f>
        <v>GF</v>
      </c>
      <c r="C72" s="18">
        <f>'GF + UG Iteration 12'!C72</f>
        <v>25</v>
      </c>
      <c r="D72" s="19">
        <f>'GF + UG Iteration 12'!D72</f>
        <v>9.825778201045452</v>
      </c>
      <c r="E72" s="30">
        <f>'GF + UG Iteration 12'!E72</f>
        <v>2007</v>
      </c>
      <c r="F72" s="18"/>
      <c r="G72" s="19"/>
      <c r="H72" s="20"/>
      <c r="I72" s="18">
        <f t="shared" ref="I72:I117" si="5">C72+F72</f>
        <v>25</v>
      </c>
      <c r="J72" s="19">
        <f t="shared" ref="J72:J117" si="6">D72+G72</f>
        <v>9.825778201045452</v>
      </c>
      <c r="K72" s="20">
        <f t="shared" ref="K72:K117" si="7">MAX(E72,H72)</f>
        <v>2007</v>
      </c>
      <c r="M72" s="21">
        <f t="shared" ref="M72:M135" si="8">LN(I72)</f>
        <v>3.2188758248682006</v>
      </c>
      <c r="N72" s="21">
        <f t="shared" ref="N72:N135" si="9">LN(J72)</f>
        <v>2.2850093608319559</v>
      </c>
    </row>
    <row r="73" spans="1:14" x14ac:dyDescent="0.2">
      <c r="A73" s="25">
        <f>'GF + UG Iteration 12'!A73</f>
        <v>834</v>
      </c>
      <c r="B73" s="25" t="str">
        <f>'GF + UG Iteration 12'!B73</f>
        <v>GF</v>
      </c>
      <c r="C73" s="18">
        <f>'GF + UG Iteration 12'!C73</f>
        <v>45</v>
      </c>
      <c r="D73" s="19">
        <f>'GF + UG Iteration 12'!D73</f>
        <v>25.798393978216257</v>
      </c>
      <c r="E73" s="30">
        <f>'GF + UG Iteration 12'!E73</f>
        <v>2010</v>
      </c>
      <c r="F73" s="18"/>
      <c r="G73" s="19"/>
      <c r="H73" s="20"/>
      <c r="I73" s="18">
        <f t="shared" si="5"/>
        <v>45</v>
      </c>
      <c r="J73" s="19">
        <f t="shared" si="6"/>
        <v>25.798393978216257</v>
      </c>
      <c r="K73" s="20">
        <f t="shared" si="7"/>
        <v>2010</v>
      </c>
      <c r="M73" s="21">
        <f t="shared" si="8"/>
        <v>3.8066624897703196</v>
      </c>
      <c r="N73" s="21">
        <f t="shared" si="9"/>
        <v>3.2503122410836816</v>
      </c>
    </row>
    <row r="74" spans="1:14" x14ac:dyDescent="0.2">
      <c r="A74" s="25">
        <f>'GF + UG Iteration 12'!A74</f>
        <v>722</v>
      </c>
      <c r="B74" s="25" t="str">
        <f>'GF + UG Iteration 12'!B74</f>
        <v>GF</v>
      </c>
      <c r="C74" s="18">
        <f>'GF + UG Iteration 12'!C74</f>
        <v>10.5</v>
      </c>
      <c r="D74" s="19">
        <f>'GF + UG Iteration 12'!D74</f>
        <v>13.501544643115857</v>
      </c>
      <c r="E74" s="30">
        <f>'GF + UG Iteration 12'!E74</f>
        <v>2010</v>
      </c>
      <c r="F74" s="18"/>
      <c r="G74" s="19"/>
      <c r="H74" s="20"/>
      <c r="I74" s="18">
        <f t="shared" si="5"/>
        <v>10.5</v>
      </c>
      <c r="J74" s="19">
        <f t="shared" si="6"/>
        <v>13.501544643115857</v>
      </c>
      <c r="K74" s="20">
        <f t="shared" si="7"/>
        <v>2010</v>
      </c>
      <c r="M74" s="21">
        <f t="shared" si="8"/>
        <v>2.3513752571634776</v>
      </c>
      <c r="N74" s="21">
        <f t="shared" si="9"/>
        <v>2.6028040969077249</v>
      </c>
    </row>
    <row r="75" spans="1:14" x14ac:dyDescent="0.2">
      <c r="A75" s="25">
        <f>'GF + UG Iteration 12'!A75</f>
        <v>927</v>
      </c>
      <c r="B75" s="25" t="str">
        <f>'GF + UG Iteration 12'!B75</f>
        <v>GF</v>
      </c>
      <c r="C75" s="18">
        <f>'GF + UG Iteration 12'!C75</f>
        <v>60</v>
      </c>
      <c r="D75" s="19">
        <f>'GF + UG Iteration 12'!D75</f>
        <v>25.887106037100622</v>
      </c>
      <c r="E75" s="30">
        <f>'GF + UG Iteration 12'!E75</f>
        <v>2011</v>
      </c>
      <c r="F75" s="18"/>
      <c r="G75" s="19"/>
      <c r="H75" s="20"/>
      <c r="I75" s="18">
        <f t="shared" si="5"/>
        <v>60</v>
      </c>
      <c r="J75" s="19">
        <f t="shared" si="6"/>
        <v>25.887106037100622</v>
      </c>
      <c r="K75" s="20">
        <f t="shared" si="7"/>
        <v>2011</v>
      </c>
      <c r="M75" s="21">
        <f t="shared" si="8"/>
        <v>4.0943445622221004</v>
      </c>
      <c r="N75" s="21">
        <f t="shared" si="9"/>
        <v>3.2537450083384241</v>
      </c>
    </row>
    <row r="76" spans="1:14" x14ac:dyDescent="0.2">
      <c r="A76" s="25">
        <f>'GF + UG Iteration 12'!A76</f>
        <v>1068</v>
      </c>
      <c r="B76" s="25" t="str">
        <f>'GF + UG Iteration 12'!B76</f>
        <v>GF</v>
      </c>
      <c r="C76" s="18">
        <f>'GF + UG Iteration 12'!C76</f>
        <v>11.2</v>
      </c>
      <c r="D76" s="19">
        <f>'GF + UG Iteration 12'!D76</f>
        <v>26.918199168374588</v>
      </c>
      <c r="E76" s="30">
        <f>'GF + UG Iteration 12'!E76</f>
        <v>2011</v>
      </c>
      <c r="F76" s="18"/>
      <c r="G76" s="19"/>
      <c r="H76" s="20"/>
      <c r="I76" s="18">
        <f t="shared" si="5"/>
        <v>11.2</v>
      </c>
      <c r="J76" s="19">
        <f t="shared" si="6"/>
        <v>26.918199168374588</v>
      </c>
      <c r="K76" s="20">
        <f t="shared" si="7"/>
        <v>2011</v>
      </c>
      <c r="M76" s="21">
        <f t="shared" si="8"/>
        <v>2.4159137783010487</v>
      </c>
      <c r="N76" s="21">
        <f t="shared" si="9"/>
        <v>3.2928026068618901</v>
      </c>
    </row>
    <row r="77" spans="1:14" x14ac:dyDescent="0.2">
      <c r="A77" s="25">
        <f>'GF + UG Iteration 12'!A77</f>
        <v>506</v>
      </c>
      <c r="B77" s="25" t="str">
        <f>'GF + UG Iteration 12'!B77</f>
        <v>GF</v>
      </c>
      <c r="C77" s="18">
        <f>'GF + UG Iteration 12'!C77</f>
        <v>20</v>
      </c>
      <c r="D77" s="19">
        <f>'GF + UG Iteration 12'!D77</f>
        <v>13.969254162639503</v>
      </c>
      <c r="E77" s="30">
        <f>'GF + UG Iteration 12'!E77</f>
        <v>2003</v>
      </c>
      <c r="F77" s="18"/>
      <c r="G77" s="19"/>
      <c r="H77" s="20"/>
      <c r="I77" s="18">
        <f t="shared" si="5"/>
        <v>20</v>
      </c>
      <c r="J77" s="19">
        <f t="shared" si="6"/>
        <v>13.969254162639503</v>
      </c>
      <c r="K77" s="20">
        <f t="shared" si="7"/>
        <v>2003</v>
      </c>
      <c r="M77" s="21">
        <f t="shared" si="8"/>
        <v>2.9957322735539909</v>
      </c>
      <c r="N77" s="21">
        <f t="shared" si="9"/>
        <v>2.6368587833425443</v>
      </c>
    </row>
    <row r="78" spans="1:14" x14ac:dyDescent="0.2">
      <c r="A78" s="25">
        <f>'GF + UG Iteration 12'!A78</f>
        <v>456</v>
      </c>
      <c r="B78" s="25" t="str">
        <f>'GF + UG Iteration 12'!B78</f>
        <v>GF</v>
      </c>
      <c r="C78" s="18">
        <f>'GF + UG Iteration 12'!C78</f>
        <v>16</v>
      </c>
      <c r="D78" s="19">
        <f>'GF + UG Iteration 12'!D78</f>
        <v>17.647037003819346</v>
      </c>
      <c r="E78" s="30">
        <f>'GF + UG Iteration 12'!E78</f>
        <v>2007</v>
      </c>
      <c r="F78" s="18"/>
      <c r="G78" s="19"/>
      <c r="H78" s="20"/>
      <c r="I78" s="18">
        <f t="shared" si="5"/>
        <v>16</v>
      </c>
      <c r="J78" s="19">
        <f t="shared" si="6"/>
        <v>17.647037003819346</v>
      </c>
      <c r="K78" s="20">
        <f t="shared" si="7"/>
        <v>2007</v>
      </c>
      <c r="M78" s="21">
        <f t="shared" si="8"/>
        <v>2.7725887222397811</v>
      </c>
      <c r="N78" s="21">
        <f t="shared" si="9"/>
        <v>2.8705678941489836</v>
      </c>
    </row>
    <row r="79" spans="1:14" x14ac:dyDescent="0.2">
      <c r="A79" s="25">
        <f>'GF + UG Iteration 12'!A79</f>
        <v>130</v>
      </c>
      <c r="B79" s="25" t="str">
        <f>'GF + UG Iteration 12'!B79</f>
        <v>GF</v>
      </c>
      <c r="C79" s="18">
        <f>'GF + UG Iteration 12'!C79</f>
        <v>18</v>
      </c>
      <c r="D79" s="19">
        <f>'GF + UG Iteration 12'!D79</f>
        <v>8.4369732753123952</v>
      </c>
      <c r="E79" s="30">
        <f>'GF + UG Iteration 12'!E79</f>
        <v>2001</v>
      </c>
      <c r="F79" s="18"/>
      <c r="G79" s="19"/>
      <c r="H79" s="20"/>
      <c r="I79" s="18">
        <f t="shared" si="5"/>
        <v>18</v>
      </c>
      <c r="J79" s="19">
        <f t="shared" si="6"/>
        <v>8.4369732753123952</v>
      </c>
      <c r="K79" s="20">
        <f t="shared" si="7"/>
        <v>2001</v>
      </c>
      <c r="M79" s="21">
        <f t="shared" si="8"/>
        <v>2.8903717578961645</v>
      </c>
      <c r="N79" s="21">
        <f t="shared" si="9"/>
        <v>2.1326236276203829</v>
      </c>
    </row>
    <row r="80" spans="1:14" x14ac:dyDescent="0.2">
      <c r="A80" s="25">
        <f>'GF + UG Iteration 12'!A80</f>
        <v>308</v>
      </c>
      <c r="B80" s="25" t="str">
        <f>'GF + UG Iteration 12'!B80</f>
        <v>GF</v>
      </c>
      <c r="C80" s="18">
        <f>'GF + UG Iteration 12'!C80</f>
        <v>10</v>
      </c>
      <c r="D80" s="19">
        <f>'GF + UG Iteration 12'!D80</f>
        <v>8.8753762889293544</v>
      </c>
      <c r="E80" s="30">
        <f>'GF + UG Iteration 12'!E80</f>
        <v>2003</v>
      </c>
      <c r="F80" s="18"/>
      <c r="G80" s="19"/>
      <c r="H80" s="20"/>
      <c r="I80" s="18">
        <f t="shared" si="5"/>
        <v>10</v>
      </c>
      <c r="J80" s="19">
        <f t="shared" si="6"/>
        <v>8.8753762889293544</v>
      </c>
      <c r="K80" s="20">
        <f t="shared" si="7"/>
        <v>2003</v>
      </c>
      <c r="M80" s="21">
        <f t="shared" si="8"/>
        <v>2.3025850929940459</v>
      </c>
      <c r="N80" s="21">
        <f t="shared" si="9"/>
        <v>2.1832807332152813</v>
      </c>
    </row>
    <row r="81" spans="1:14" x14ac:dyDescent="0.2">
      <c r="A81" s="25">
        <f>'GF + UG Iteration 12'!A81</f>
        <v>829</v>
      </c>
      <c r="B81" s="25" t="str">
        <f>'GF + UG Iteration 12'!B81</f>
        <v>GF</v>
      </c>
      <c r="C81" s="18">
        <f>'GF + UG Iteration 12'!C81</f>
        <v>20</v>
      </c>
      <c r="D81" s="19">
        <f>'GF + UG Iteration 12'!D81</f>
        <v>27.761077137379147</v>
      </c>
      <c r="E81" s="30">
        <f>'GF + UG Iteration 12'!E81</f>
        <v>2011</v>
      </c>
      <c r="F81" s="18"/>
      <c r="G81" s="19"/>
      <c r="H81" s="20"/>
      <c r="I81" s="18">
        <f t="shared" si="5"/>
        <v>20</v>
      </c>
      <c r="J81" s="19">
        <f t="shared" si="6"/>
        <v>27.761077137379147</v>
      </c>
      <c r="K81" s="20">
        <f t="shared" si="7"/>
        <v>2011</v>
      </c>
      <c r="M81" s="21">
        <f t="shared" si="8"/>
        <v>2.9957322735539909</v>
      </c>
      <c r="N81" s="21">
        <f t="shared" si="9"/>
        <v>3.3236349366646221</v>
      </c>
    </row>
    <row r="82" spans="1:14" x14ac:dyDescent="0.2">
      <c r="A82" s="25">
        <f>'GF + UG Iteration 12'!A82</f>
        <v>425</v>
      </c>
      <c r="B82" s="25" t="str">
        <f>'GF + UG Iteration 12'!B82</f>
        <v>GF</v>
      </c>
      <c r="C82" s="18">
        <f>'GF + UG Iteration 12'!C82</f>
        <v>17</v>
      </c>
      <c r="D82" s="19">
        <f>'GF + UG Iteration 12'!D82</f>
        <v>11.725448588458148</v>
      </c>
      <c r="E82" s="30">
        <f>'GF + UG Iteration 12'!E82</f>
        <v>2006</v>
      </c>
      <c r="F82" s="18"/>
      <c r="G82" s="19"/>
      <c r="H82" s="20"/>
      <c r="I82" s="18">
        <f t="shared" si="5"/>
        <v>17</v>
      </c>
      <c r="J82" s="19">
        <f t="shared" si="6"/>
        <v>11.725448588458148</v>
      </c>
      <c r="K82" s="20">
        <f t="shared" si="7"/>
        <v>2006</v>
      </c>
      <c r="M82" s="21">
        <f t="shared" si="8"/>
        <v>2.8332133440562162</v>
      </c>
      <c r="N82" s="21">
        <f t="shared" si="9"/>
        <v>2.4617615727440327</v>
      </c>
    </row>
    <row r="83" spans="1:14" x14ac:dyDescent="0.2">
      <c r="A83" s="25">
        <f>'GF + UG Iteration 12'!A83</f>
        <v>333</v>
      </c>
      <c r="B83" s="25" t="str">
        <f>'GF + UG Iteration 12'!B83</f>
        <v>GF</v>
      </c>
      <c r="C83" s="18">
        <f>'GF + UG Iteration 12'!C83</f>
        <v>12</v>
      </c>
      <c r="D83" s="19">
        <f>'GF + UG Iteration 12'!D83</f>
        <v>7.5607136656563343</v>
      </c>
      <c r="E83" s="30">
        <f>'GF + UG Iteration 12'!E83</f>
        <v>2003</v>
      </c>
      <c r="F83" s="18"/>
      <c r="G83" s="19"/>
      <c r="H83" s="20"/>
      <c r="I83" s="18">
        <f t="shared" si="5"/>
        <v>12</v>
      </c>
      <c r="J83" s="19">
        <f t="shared" si="6"/>
        <v>7.5607136656563343</v>
      </c>
      <c r="K83" s="20">
        <f t="shared" si="7"/>
        <v>2003</v>
      </c>
      <c r="M83" s="21">
        <f t="shared" si="8"/>
        <v>2.4849066497880004</v>
      </c>
      <c r="N83" s="21">
        <f t="shared" si="9"/>
        <v>2.022965585955113</v>
      </c>
    </row>
    <row r="84" spans="1:14" x14ac:dyDescent="0.2">
      <c r="A84" s="25">
        <f>'GF + UG Iteration 12'!A84</f>
        <v>769</v>
      </c>
      <c r="B84" s="25" t="str">
        <f>'GF + UG Iteration 12'!B84</f>
        <v>GF</v>
      </c>
      <c r="C84" s="18">
        <f>'GF + UG Iteration 12'!C84</f>
        <v>40</v>
      </c>
      <c r="D84" s="19">
        <f>'GF + UG Iteration 12'!D84</f>
        <v>26.381292343151443</v>
      </c>
      <c r="E84" s="30">
        <f>'GF + UG Iteration 12'!E84</f>
        <v>2007</v>
      </c>
      <c r="F84" s="18"/>
      <c r="G84" s="19"/>
      <c r="H84" s="20"/>
      <c r="I84" s="18">
        <f t="shared" si="5"/>
        <v>40</v>
      </c>
      <c r="J84" s="19">
        <f t="shared" si="6"/>
        <v>26.381292343151443</v>
      </c>
      <c r="K84" s="20">
        <f t="shared" si="7"/>
        <v>2007</v>
      </c>
      <c r="M84" s="21">
        <f t="shared" si="8"/>
        <v>3.6888794541139363</v>
      </c>
      <c r="N84" s="21">
        <f t="shared" si="9"/>
        <v>3.2726551355945839</v>
      </c>
    </row>
    <row r="85" spans="1:14" x14ac:dyDescent="0.2">
      <c r="A85" s="25">
        <f>'GF + UG Iteration 12'!A85</f>
        <v>948</v>
      </c>
      <c r="B85" s="25" t="str">
        <f>'GF + UG Iteration 12'!B85</f>
        <v>GF</v>
      </c>
      <c r="C85" s="18">
        <f>'GF + UG Iteration 12'!C85</f>
        <v>57</v>
      </c>
      <c r="D85" s="19">
        <f>'GF + UG Iteration 12'!D85</f>
        <v>12.653662771089085</v>
      </c>
      <c r="E85" s="30">
        <f>'GF + UG Iteration 12'!E85</f>
        <v>2014</v>
      </c>
      <c r="F85" s="18"/>
      <c r="G85" s="19"/>
      <c r="H85" s="20"/>
      <c r="I85" s="18">
        <f t="shared" si="5"/>
        <v>57</v>
      </c>
      <c r="J85" s="19">
        <f t="shared" si="6"/>
        <v>12.653662771089085</v>
      </c>
      <c r="K85" s="20">
        <f t="shared" si="7"/>
        <v>2014</v>
      </c>
      <c r="M85" s="21">
        <f t="shared" si="8"/>
        <v>4.0430512678345503</v>
      </c>
      <c r="N85" s="21">
        <f t="shared" si="9"/>
        <v>2.5379467203845181</v>
      </c>
    </row>
    <row r="86" spans="1:14" x14ac:dyDescent="0.2">
      <c r="A86" s="25">
        <f>'GF + UG Iteration 12'!A86</f>
        <v>1128</v>
      </c>
      <c r="B86" s="25" t="str">
        <f>'GF + UG Iteration 12'!B86</f>
        <v>GF</v>
      </c>
      <c r="C86" s="18">
        <f>'GF + UG Iteration 12'!C86</f>
        <v>45</v>
      </c>
      <c r="D86" s="19">
        <f>'GF + UG Iteration 12'!D86</f>
        <v>63.556235718349399</v>
      </c>
      <c r="E86" s="30">
        <f>'GF + UG Iteration 12'!E86</f>
        <v>2013</v>
      </c>
      <c r="F86" s="18"/>
      <c r="G86" s="19"/>
      <c r="H86" s="20"/>
      <c r="I86" s="18">
        <f t="shared" si="5"/>
        <v>45</v>
      </c>
      <c r="J86" s="19">
        <f t="shared" si="6"/>
        <v>63.556235718349399</v>
      </c>
      <c r="K86" s="20">
        <f t="shared" si="7"/>
        <v>2013</v>
      </c>
      <c r="M86" s="21">
        <f t="shared" si="8"/>
        <v>3.8066624897703196</v>
      </c>
      <c r="N86" s="21">
        <f t="shared" si="9"/>
        <v>4.1519251158484547</v>
      </c>
    </row>
    <row r="87" spans="1:14" x14ac:dyDescent="0.2">
      <c r="A87" s="25">
        <f>'GF + UG Iteration 12'!A87</f>
        <v>1214</v>
      </c>
      <c r="B87" s="25" t="str">
        <f>'GF + UG Iteration 12'!B87</f>
        <v>GF</v>
      </c>
      <c r="C87" s="18">
        <f>'GF + UG Iteration 12'!C87</f>
        <v>52</v>
      </c>
      <c r="D87" s="19">
        <f>'GF + UG Iteration 12'!D87</f>
        <v>22.631695273294461</v>
      </c>
      <c r="E87" s="30">
        <f>'GF + UG Iteration 12'!E87</f>
        <v>2013</v>
      </c>
      <c r="F87" s="18"/>
      <c r="G87" s="19"/>
      <c r="H87" s="20"/>
      <c r="I87" s="18">
        <f t="shared" si="5"/>
        <v>52</v>
      </c>
      <c r="J87" s="19">
        <f t="shared" si="6"/>
        <v>22.631695273294461</v>
      </c>
      <c r="K87" s="20">
        <f t="shared" si="7"/>
        <v>2013</v>
      </c>
      <c r="M87" s="21">
        <f t="shared" si="8"/>
        <v>3.9512437185814275</v>
      </c>
      <c r="N87" s="21">
        <f t="shared" si="9"/>
        <v>3.1193513694907367</v>
      </c>
    </row>
    <row r="88" spans="1:14" x14ac:dyDescent="0.2">
      <c r="A88" s="25">
        <f>'GF + UG Iteration 12'!A88</f>
        <v>1225</v>
      </c>
      <c r="B88" s="25" t="str">
        <f>'GF + UG Iteration 12'!B88</f>
        <v>GF</v>
      </c>
      <c r="C88" s="18">
        <f>'GF + UG Iteration 12'!C88</f>
        <v>20</v>
      </c>
      <c r="D88" s="19">
        <f>'GF + UG Iteration 12'!D88</f>
        <v>18.636695744675041</v>
      </c>
      <c r="E88" s="30">
        <f>'GF + UG Iteration 12'!E88</f>
        <v>2013</v>
      </c>
      <c r="F88" s="18"/>
      <c r="G88" s="19"/>
      <c r="H88" s="20"/>
      <c r="I88" s="18">
        <f t="shared" si="5"/>
        <v>20</v>
      </c>
      <c r="J88" s="19">
        <f t="shared" si="6"/>
        <v>18.636695744675041</v>
      </c>
      <c r="K88" s="20">
        <f t="shared" si="7"/>
        <v>2013</v>
      </c>
      <c r="M88" s="21">
        <f t="shared" si="8"/>
        <v>2.9957322735539909</v>
      </c>
      <c r="N88" s="21">
        <f t="shared" si="9"/>
        <v>2.925132526627233</v>
      </c>
    </row>
    <row r="89" spans="1:14" x14ac:dyDescent="0.2">
      <c r="A89" s="25">
        <f>'GF + UG Iteration 12'!A89</f>
        <v>1263</v>
      </c>
      <c r="B89" s="25" t="str">
        <f>'GF + UG Iteration 12'!B89</f>
        <v>GF</v>
      </c>
      <c r="C89" s="18">
        <f>'GF + UG Iteration 12'!C89</f>
        <v>8</v>
      </c>
      <c r="D89" s="19">
        <f>'GF + UG Iteration 12'!D89</f>
        <v>19.611656992669992</v>
      </c>
      <c r="E89" s="30">
        <f>'GF + UG Iteration 12'!E89</f>
        <v>2013</v>
      </c>
      <c r="F89" s="18"/>
      <c r="G89" s="19"/>
      <c r="H89" s="20"/>
      <c r="I89" s="18">
        <f t="shared" si="5"/>
        <v>8</v>
      </c>
      <c r="J89" s="19">
        <f t="shared" si="6"/>
        <v>19.611656992669992</v>
      </c>
      <c r="K89" s="20">
        <f t="shared" si="7"/>
        <v>2013</v>
      </c>
      <c r="M89" s="21">
        <f t="shared" si="8"/>
        <v>2.0794415416798357</v>
      </c>
      <c r="N89" s="21">
        <f t="shared" si="9"/>
        <v>2.9761241339700195</v>
      </c>
    </row>
    <row r="90" spans="1:14" x14ac:dyDescent="0.2">
      <c r="A90" s="25">
        <f>'GF + UG Iteration 12'!A90</f>
        <v>1309</v>
      </c>
      <c r="B90" s="25" t="str">
        <f>'GF + UG Iteration 12'!B90</f>
        <v>GF</v>
      </c>
      <c r="C90" s="18">
        <f>'GF + UG Iteration 12'!C90</f>
        <v>15</v>
      </c>
      <c r="D90" s="19">
        <f>'GF + UG Iteration 12'!D90</f>
        <v>16.109333942693336</v>
      </c>
      <c r="E90" s="30">
        <f>'GF + UG Iteration 12'!E90</f>
        <v>2013</v>
      </c>
      <c r="F90" s="18"/>
      <c r="G90" s="19"/>
      <c r="H90" s="20"/>
      <c r="I90" s="18">
        <f t="shared" si="5"/>
        <v>15</v>
      </c>
      <c r="J90" s="19">
        <f t="shared" si="6"/>
        <v>16.109333942693336</v>
      </c>
      <c r="K90" s="20">
        <f t="shared" si="7"/>
        <v>2013</v>
      </c>
      <c r="M90" s="21">
        <f t="shared" si="8"/>
        <v>2.7080502011022101</v>
      </c>
      <c r="N90" s="21">
        <f t="shared" si="9"/>
        <v>2.7793988519948485</v>
      </c>
    </row>
    <row r="91" spans="1:14" x14ac:dyDescent="0.2">
      <c r="A91" s="25">
        <f>'GF + UG Iteration 12'!A91</f>
        <v>1349</v>
      </c>
      <c r="B91" s="25" t="str">
        <f>'GF + UG Iteration 12'!B91</f>
        <v>GF</v>
      </c>
      <c r="C91" s="18">
        <f>'GF + UG Iteration 12'!C91</f>
        <v>34</v>
      </c>
      <c r="D91" s="19">
        <f>'GF + UG Iteration 12'!D91</f>
        <v>8.9679522578977586</v>
      </c>
      <c r="E91" s="30">
        <f>'GF + UG Iteration 12'!E91</f>
        <v>2013</v>
      </c>
      <c r="F91" s="18"/>
      <c r="G91" s="19"/>
      <c r="H91" s="20"/>
      <c r="I91" s="18">
        <f t="shared" si="5"/>
        <v>34</v>
      </c>
      <c r="J91" s="19">
        <f t="shared" si="6"/>
        <v>8.9679522578977586</v>
      </c>
      <c r="K91" s="20">
        <f t="shared" si="7"/>
        <v>2013</v>
      </c>
      <c r="M91" s="21">
        <f t="shared" si="8"/>
        <v>3.5263605246161616</v>
      </c>
      <c r="N91" s="21">
        <f t="shared" si="9"/>
        <v>2.193657362149283</v>
      </c>
    </row>
    <row r="92" spans="1:14" x14ac:dyDescent="0.2">
      <c r="A92" s="25">
        <f>'GF + UG Iteration 12'!A92</f>
        <v>1358</v>
      </c>
      <c r="B92" s="25" t="str">
        <f>'GF + UG Iteration 12'!B92</f>
        <v>GF</v>
      </c>
      <c r="C92" s="18">
        <f>'GF + UG Iteration 12'!C92</f>
        <v>27</v>
      </c>
      <c r="D92" s="19">
        <f>'GF + UG Iteration 12'!D92</f>
        <v>13.07265503282744</v>
      </c>
      <c r="E92" s="30">
        <f>'GF + UG Iteration 12'!E92</f>
        <v>2013</v>
      </c>
      <c r="F92" s="18"/>
      <c r="G92" s="19"/>
      <c r="H92" s="20"/>
      <c r="I92" s="18">
        <f t="shared" si="5"/>
        <v>27</v>
      </c>
      <c r="J92" s="19">
        <f t="shared" si="6"/>
        <v>13.07265503282744</v>
      </c>
      <c r="K92" s="20">
        <f t="shared" si="7"/>
        <v>2013</v>
      </c>
      <c r="M92" s="21">
        <f t="shared" si="8"/>
        <v>3.2958368660043291</v>
      </c>
      <c r="N92" s="21">
        <f t="shared" si="9"/>
        <v>2.5705226464726247</v>
      </c>
    </row>
    <row r="93" spans="1:14" x14ac:dyDescent="0.2">
      <c r="A93" s="25">
        <f>'GF + UG Iteration 12'!A93</f>
        <v>1404</v>
      </c>
      <c r="B93" s="25" t="str">
        <f>'GF + UG Iteration 12'!B93</f>
        <v>GF</v>
      </c>
      <c r="C93" s="18">
        <f>'GF + UG Iteration 12'!C93</f>
        <v>35</v>
      </c>
      <c r="D93" s="19">
        <f>'GF + UG Iteration 12'!D93</f>
        <v>35.276341164894447</v>
      </c>
      <c r="E93" s="30">
        <f>'GF + UG Iteration 12'!E93</f>
        <v>2013</v>
      </c>
      <c r="F93" s="18"/>
      <c r="G93" s="19"/>
      <c r="H93" s="20"/>
      <c r="I93" s="18">
        <f t="shared" si="5"/>
        <v>35</v>
      </c>
      <c r="J93" s="19">
        <f t="shared" si="6"/>
        <v>35.276341164894447</v>
      </c>
      <c r="K93" s="20">
        <f t="shared" si="7"/>
        <v>2013</v>
      </c>
      <c r="M93" s="21">
        <f t="shared" si="8"/>
        <v>3.5553480614894135</v>
      </c>
      <c r="N93" s="21">
        <f t="shared" si="9"/>
        <v>3.5632125172824458</v>
      </c>
    </row>
    <row r="94" spans="1:14" x14ac:dyDescent="0.2">
      <c r="A94" s="25">
        <f>'GF + UG Iteration 12'!A94</f>
        <v>1482</v>
      </c>
      <c r="B94" s="25" t="str">
        <f>'GF + UG Iteration 12'!B94</f>
        <v>GF</v>
      </c>
      <c r="C94" s="18">
        <f>'GF + UG Iteration 12'!C94</f>
        <v>18.399999999999999</v>
      </c>
      <c r="D94" s="19">
        <f>'GF + UG Iteration 12'!D94</f>
        <v>18.765793673519447</v>
      </c>
      <c r="E94" s="30">
        <f>'GF + UG Iteration 12'!E94</f>
        <v>2013</v>
      </c>
      <c r="F94" s="18"/>
      <c r="G94" s="19"/>
      <c r="H94" s="20"/>
      <c r="I94" s="18">
        <f t="shared" si="5"/>
        <v>18.399999999999999</v>
      </c>
      <c r="J94" s="19">
        <f t="shared" si="6"/>
        <v>18.765793673519447</v>
      </c>
      <c r="K94" s="20">
        <f t="shared" si="7"/>
        <v>2013</v>
      </c>
      <c r="M94" s="21">
        <f t="shared" si="8"/>
        <v>2.91235066461494</v>
      </c>
      <c r="N94" s="21">
        <f t="shared" si="9"/>
        <v>2.9320357271105943</v>
      </c>
    </row>
    <row r="95" spans="1:14" x14ac:dyDescent="0.2">
      <c r="A95" s="25">
        <f>'GF + UG Iteration 12'!A95</f>
        <v>1515</v>
      </c>
      <c r="B95" s="25" t="str">
        <f>'GF + UG Iteration 12'!B95</f>
        <v>GF</v>
      </c>
      <c r="C95" s="18">
        <f>'GF + UG Iteration 12'!C95</f>
        <v>7.2</v>
      </c>
      <c r="D95" s="19">
        <f>'GF + UG Iteration 12'!D95</f>
        <v>12.99271394051414</v>
      </c>
      <c r="E95" s="30">
        <f>'GF + UG Iteration 12'!E95</f>
        <v>2013</v>
      </c>
      <c r="F95" s="18"/>
      <c r="G95" s="19"/>
      <c r="H95" s="20"/>
      <c r="I95" s="18">
        <f t="shared" si="5"/>
        <v>7.2</v>
      </c>
      <c r="J95" s="19">
        <f t="shared" si="6"/>
        <v>12.99271394051414</v>
      </c>
      <c r="K95" s="20">
        <f t="shared" si="7"/>
        <v>2013</v>
      </c>
      <c r="M95" s="21">
        <f t="shared" si="8"/>
        <v>1.9740810260220096</v>
      </c>
      <c r="N95" s="21">
        <f t="shared" si="9"/>
        <v>2.5643887342273977</v>
      </c>
    </row>
    <row r="96" spans="1:14" x14ac:dyDescent="0.2">
      <c r="A96" s="25">
        <f>'GF + UG Iteration 12'!A96</f>
        <v>1618</v>
      </c>
      <c r="B96" s="25" t="str">
        <f>'GF + UG Iteration 12'!B96</f>
        <v>GF</v>
      </c>
      <c r="C96" s="18">
        <f>'GF + UG Iteration 12'!C96</f>
        <v>21</v>
      </c>
      <c r="D96" s="19">
        <f>'GF + UG Iteration 12'!D96</f>
        <v>15.965955598995766</v>
      </c>
      <c r="E96" s="30">
        <f>'GF + UG Iteration 12'!E96</f>
        <v>2016</v>
      </c>
      <c r="F96" s="18"/>
      <c r="G96" s="19"/>
      <c r="H96" s="20"/>
      <c r="I96" s="18">
        <f t="shared" si="5"/>
        <v>21</v>
      </c>
      <c r="J96" s="19">
        <f t="shared" si="6"/>
        <v>15.965955598995766</v>
      </c>
      <c r="K96" s="20">
        <f t="shared" si="7"/>
        <v>2016</v>
      </c>
      <c r="M96" s="21">
        <f t="shared" si="8"/>
        <v>3.044522437723423</v>
      </c>
      <c r="N96" s="21">
        <f t="shared" si="9"/>
        <v>2.7704586802474096</v>
      </c>
    </row>
    <row r="97" spans="1:17" x14ac:dyDescent="0.2">
      <c r="A97" s="25">
        <f>'GF + UG Iteration 12'!A97</f>
        <v>1634</v>
      </c>
      <c r="B97" s="25" t="str">
        <f>'GF + UG Iteration 12'!B97</f>
        <v>GF</v>
      </c>
      <c r="C97" s="18">
        <f>'GF + UG Iteration 12'!C97</f>
        <v>17.899999999999999</v>
      </c>
      <c r="D97" s="19">
        <f>'GF + UG Iteration 12'!D97</f>
        <v>17.172783979023848</v>
      </c>
      <c r="E97" s="30">
        <f>'GF + UG Iteration 12'!E97</f>
        <v>2015</v>
      </c>
      <c r="F97" s="18"/>
      <c r="G97" s="19"/>
      <c r="H97" s="20"/>
      <c r="I97" s="18">
        <f t="shared" si="5"/>
        <v>17.899999999999999</v>
      </c>
      <c r="J97" s="19">
        <f t="shared" si="6"/>
        <v>17.172783979023848</v>
      </c>
      <c r="K97" s="20">
        <f t="shared" si="7"/>
        <v>2015</v>
      </c>
      <c r="M97" s="21">
        <f t="shared" si="8"/>
        <v>2.884800712846709</v>
      </c>
      <c r="N97" s="21">
        <f t="shared" si="9"/>
        <v>2.8433258038172586</v>
      </c>
    </row>
    <row r="98" spans="1:17" x14ac:dyDescent="0.2">
      <c r="A98" s="25">
        <f>'GF + UG Iteration 12'!A98</f>
        <v>1258</v>
      </c>
      <c r="B98" s="25" t="str">
        <f>'GF + UG Iteration 12'!B98</f>
        <v>GF</v>
      </c>
      <c r="C98" s="18">
        <f>'GF + UG Iteration 12'!C98</f>
        <v>46</v>
      </c>
      <c r="D98" s="19">
        <f>'GF + UG Iteration 12'!D98</f>
        <v>53.518330212347877</v>
      </c>
      <c r="E98" s="30">
        <f>'GF + UG Iteration 12'!E98</f>
        <v>2017</v>
      </c>
      <c r="F98" s="18"/>
      <c r="G98" s="19"/>
      <c r="H98" s="20"/>
      <c r="I98" s="18">
        <f t="shared" si="5"/>
        <v>46</v>
      </c>
      <c r="J98" s="19">
        <f t="shared" si="6"/>
        <v>53.518330212347877</v>
      </c>
      <c r="K98" s="20">
        <f t="shared" si="7"/>
        <v>2017</v>
      </c>
      <c r="M98" s="21">
        <f t="shared" si="8"/>
        <v>3.8286413964890951</v>
      </c>
      <c r="N98" s="21">
        <f t="shared" si="9"/>
        <v>3.98002421601241</v>
      </c>
    </row>
    <row r="99" spans="1:17" x14ac:dyDescent="0.2">
      <c r="A99" s="25">
        <f>'GF + UG Iteration 12'!A99</f>
        <v>1284</v>
      </c>
      <c r="B99" s="25" t="str">
        <f>'GF + UG Iteration 12'!B99</f>
        <v>GF</v>
      </c>
      <c r="C99" s="18">
        <f>'GF + UG Iteration 12'!C99</f>
        <v>24.1</v>
      </c>
      <c r="D99" s="19">
        <f>'GF + UG Iteration 12'!D99</f>
        <v>7.0843108002972475</v>
      </c>
      <c r="E99" s="30">
        <f>'GF + UG Iteration 12'!E99</f>
        <v>2013</v>
      </c>
      <c r="F99" s="18"/>
      <c r="G99" s="19"/>
      <c r="H99" s="20"/>
      <c r="I99" s="18">
        <f t="shared" si="5"/>
        <v>24.1</v>
      </c>
      <c r="J99" s="19">
        <f t="shared" si="6"/>
        <v>7.0843108002972475</v>
      </c>
      <c r="K99" s="20">
        <f t="shared" si="7"/>
        <v>2013</v>
      </c>
      <c r="M99" s="21">
        <f t="shared" si="8"/>
        <v>3.1822118404966093</v>
      </c>
      <c r="N99" s="21">
        <f t="shared" si="9"/>
        <v>1.9578825925179175</v>
      </c>
    </row>
    <row r="100" spans="1:17" x14ac:dyDescent="0.2">
      <c r="A100" s="25" t="str">
        <f>'GF + UG Iteration 12'!A100</f>
        <v>Pre-01</v>
      </c>
      <c r="B100" s="25" t="str">
        <f>'GF + UG Iteration 12'!B100</f>
        <v>GF</v>
      </c>
      <c r="C100" s="18">
        <f>'GF + UG Iteration 12'!C100</f>
        <v>2.2000000000000002</v>
      </c>
      <c r="D100" s="19">
        <f>'GF + UG Iteration 12'!D100</f>
        <v>2.4933711786255444</v>
      </c>
      <c r="E100" s="30">
        <f>'GF + UG Iteration 12'!E100</f>
        <v>1990</v>
      </c>
      <c r="F100" s="18"/>
      <c r="G100" s="19"/>
      <c r="H100" s="20"/>
      <c r="I100" s="18">
        <f t="shared" si="5"/>
        <v>2.2000000000000002</v>
      </c>
      <c r="J100" s="19">
        <f t="shared" si="6"/>
        <v>2.4933711786255444</v>
      </c>
      <c r="K100" s="20">
        <f t="shared" si="7"/>
        <v>1990</v>
      </c>
      <c r="M100" s="21">
        <f t="shared" si="8"/>
        <v>0.78845736036427028</v>
      </c>
      <c r="N100" s="21">
        <f t="shared" si="9"/>
        <v>0.91363568179621524</v>
      </c>
    </row>
    <row r="101" spans="1:17" x14ac:dyDescent="0.2">
      <c r="A101" s="25" t="str">
        <f>'GF + UG Iteration 12'!A101</f>
        <v>Pre-02</v>
      </c>
      <c r="B101" s="25" t="str">
        <f>'GF + UG Iteration 12'!B101</f>
        <v>GF</v>
      </c>
      <c r="C101" s="18">
        <f>'GF + UG Iteration 12'!C101</f>
        <v>1.464</v>
      </c>
      <c r="D101" s="19">
        <f>'GF + UG Iteration 12'!D101</f>
        <v>1.4940223849019025</v>
      </c>
      <c r="E101" s="30">
        <f>'GF + UG Iteration 12'!E101</f>
        <v>1987</v>
      </c>
      <c r="F101" s="18"/>
      <c r="G101" s="19"/>
      <c r="H101" s="20"/>
      <c r="I101" s="18">
        <f t="shared" si="5"/>
        <v>1.464</v>
      </c>
      <c r="J101" s="19">
        <f t="shared" si="6"/>
        <v>1.4940223849019025</v>
      </c>
      <c r="K101" s="20">
        <f t="shared" si="7"/>
        <v>1987</v>
      </c>
      <c r="M101" s="21">
        <f t="shared" si="8"/>
        <v>0.38117241553911979</v>
      </c>
      <c r="N101" s="21">
        <f t="shared" si="9"/>
        <v>0.40147206979911648</v>
      </c>
    </row>
    <row r="102" spans="1:17" x14ac:dyDescent="0.2">
      <c r="A102" s="25" t="str">
        <f>'GF + UG Iteration 12'!A102</f>
        <v>Pre-03</v>
      </c>
      <c r="B102" s="25" t="str">
        <f>'GF + UG Iteration 12'!B102</f>
        <v>GF</v>
      </c>
      <c r="C102" s="18">
        <f>'GF + UG Iteration 12'!C102</f>
        <v>4.0750000000000002</v>
      </c>
      <c r="D102" s="19">
        <f>'GF + UG Iteration 12'!D102</f>
        <v>1.9369408873503524</v>
      </c>
      <c r="E102" s="30">
        <f>'GF + UG Iteration 12'!E102</f>
        <v>1990</v>
      </c>
      <c r="F102" s="18"/>
      <c r="G102" s="19"/>
      <c r="H102" s="20"/>
      <c r="I102" s="18">
        <f t="shared" si="5"/>
        <v>4.0750000000000002</v>
      </c>
      <c r="J102" s="19">
        <f t="shared" si="6"/>
        <v>1.9369408873503524</v>
      </c>
      <c r="K102" s="20">
        <f t="shared" si="7"/>
        <v>1990</v>
      </c>
      <c r="M102" s="21">
        <f t="shared" si="8"/>
        <v>1.4048707466928261</v>
      </c>
      <c r="N102" s="21">
        <f t="shared" si="9"/>
        <v>0.66110986632901214</v>
      </c>
    </row>
    <row r="103" spans="1:17" x14ac:dyDescent="0.2">
      <c r="A103" s="25" t="str">
        <f>'GF + UG Iteration 12'!A103</f>
        <v>Pre-04</v>
      </c>
      <c r="B103" s="25" t="str">
        <f>'GF + UG Iteration 12'!B103</f>
        <v>GF</v>
      </c>
      <c r="C103" s="18">
        <f>'GF + UG Iteration 12'!C103</f>
        <v>10</v>
      </c>
      <c r="D103" s="19">
        <f>'GF + UG Iteration 12'!D103</f>
        <v>8.526519330793306</v>
      </c>
      <c r="E103" s="30">
        <f>'GF + UG Iteration 12'!E103</f>
        <v>1991</v>
      </c>
      <c r="F103" s="18"/>
      <c r="G103" s="19"/>
      <c r="H103" s="20"/>
      <c r="I103" s="18">
        <f t="shared" si="5"/>
        <v>10</v>
      </c>
      <c r="J103" s="19">
        <f t="shared" si="6"/>
        <v>8.526519330793306</v>
      </c>
      <c r="K103" s="20">
        <f t="shared" si="7"/>
        <v>1991</v>
      </c>
      <c r="M103" s="21">
        <f t="shared" si="8"/>
        <v>2.3025850929940459</v>
      </c>
      <c r="N103" s="21">
        <f t="shared" si="9"/>
        <v>2.143181227911088</v>
      </c>
      <c r="P103"/>
      <c r="Q103"/>
    </row>
    <row r="104" spans="1:17" x14ac:dyDescent="0.2">
      <c r="A104" s="25" t="str">
        <f>'GF + UG Iteration 12'!A104</f>
        <v>Pre-05</v>
      </c>
      <c r="B104" s="25" t="str">
        <f>'GF + UG Iteration 12'!B104</f>
        <v>GF</v>
      </c>
      <c r="C104" s="18">
        <f>'GF + UG Iteration 12'!C104</f>
        <v>4.8</v>
      </c>
      <c r="D104" s="19">
        <f>'GF + UG Iteration 12'!D104</f>
        <v>4.0521826998299986</v>
      </c>
      <c r="E104" s="30">
        <f>'GF + UG Iteration 12'!E104</f>
        <v>1988</v>
      </c>
      <c r="F104" s="18"/>
      <c r="G104" s="19"/>
      <c r="H104" s="20"/>
      <c r="I104" s="18">
        <f t="shared" si="5"/>
        <v>4.8</v>
      </c>
      <c r="J104" s="19">
        <f t="shared" si="6"/>
        <v>4.0521826998299986</v>
      </c>
      <c r="K104" s="20">
        <f t="shared" si="7"/>
        <v>1988</v>
      </c>
      <c r="M104" s="21">
        <f t="shared" si="8"/>
        <v>1.5686159179138452</v>
      </c>
      <c r="N104" s="21">
        <f t="shared" si="9"/>
        <v>1.3992556741730273</v>
      </c>
    </row>
    <row r="105" spans="1:17" x14ac:dyDescent="0.2">
      <c r="A105" s="25" t="str">
        <f>'GF + UG Iteration 12'!A105</f>
        <v>Pre-06</v>
      </c>
      <c r="B105" s="25" t="str">
        <f>'GF + UG Iteration 12'!B105</f>
        <v>GF</v>
      </c>
      <c r="C105" s="18">
        <f>'GF + UG Iteration 12'!C105</f>
        <v>5.0999999999999996</v>
      </c>
      <c r="D105" s="19">
        <f>'GF + UG Iteration 12'!D105</f>
        <v>9.6482174286466869</v>
      </c>
      <c r="E105" s="30">
        <f>'GF + UG Iteration 12'!E105</f>
        <v>1989</v>
      </c>
      <c r="F105" s="18"/>
      <c r="G105" s="19"/>
      <c r="H105" s="20"/>
      <c r="I105" s="18">
        <f t="shared" si="5"/>
        <v>5.0999999999999996</v>
      </c>
      <c r="J105" s="19">
        <f t="shared" si="6"/>
        <v>9.6482174286466869</v>
      </c>
      <c r="K105" s="20">
        <f t="shared" si="7"/>
        <v>1989</v>
      </c>
      <c r="M105" s="21">
        <f t="shared" si="8"/>
        <v>1.62924053973028</v>
      </c>
      <c r="N105" s="21">
        <f t="shared" si="9"/>
        <v>2.2667731758675744</v>
      </c>
    </row>
    <row r="106" spans="1:17" x14ac:dyDescent="0.2">
      <c r="A106" s="25" t="str">
        <f>'GF + UG Iteration 12'!A106</f>
        <v>Pre-07</v>
      </c>
      <c r="B106" s="25" t="str">
        <f>'GF + UG Iteration 12'!B106</f>
        <v>GF</v>
      </c>
      <c r="C106" s="18">
        <f>'GF + UG Iteration 12'!C106</f>
        <v>6.9</v>
      </c>
      <c r="D106" s="19">
        <f>'GF + UG Iteration 12'!D106</f>
        <v>5.029432718717521</v>
      </c>
      <c r="E106" s="30">
        <f>'GF + UG Iteration 12'!E106</f>
        <v>1997</v>
      </c>
      <c r="F106" s="18"/>
      <c r="G106" s="19"/>
      <c r="H106" s="20"/>
      <c r="I106" s="18">
        <f t="shared" si="5"/>
        <v>6.9</v>
      </c>
      <c r="J106" s="19">
        <f t="shared" si="6"/>
        <v>5.029432718717521</v>
      </c>
      <c r="K106" s="20">
        <f t="shared" si="7"/>
        <v>1997</v>
      </c>
      <c r="M106" s="21">
        <f t="shared" si="8"/>
        <v>1.9315214116032138</v>
      </c>
      <c r="N106" s="21">
        <f t="shared" si="9"/>
        <v>1.6153071981725313</v>
      </c>
    </row>
    <row r="107" spans="1:17" x14ac:dyDescent="0.2">
      <c r="A107" s="25" t="str">
        <f>'GF + UG Iteration 12'!A107</f>
        <v>Pre-08</v>
      </c>
      <c r="B107" s="25" t="str">
        <f>'GF + UG Iteration 12'!B107</f>
        <v>GF</v>
      </c>
      <c r="C107" s="18">
        <f>'GF + UG Iteration 12'!C107</f>
        <v>11.8</v>
      </c>
      <c r="D107" s="19">
        <f>'GF + UG Iteration 12'!D107</f>
        <v>6.372939235597177</v>
      </c>
      <c r="E107" s="30">
        <f>'GF + UG Iteration 12'!E107</f>
        <v>1987</v>
      </c>
      <c r="F107" s="18"/>
      <c r="G107" s="19"/>
      <c r="H107" s="20"/>
      <c r="I107" s="18">
        <f t="shared" si="5"/>
        <v>11.8</v>
      </c>
      <c r="J107" s="19">
        <f t="shared" si="6"/>
        <v>6.372939235597177</v>
      </c>
      <c r="K107" s="20">
        <f t="shared" si="7"/>
        <v>1987</v>
      </c>
      <c r="M107" s="21">
        <f t="shared" si="8"/>
        <v>2.4680995314716192</v>
      </c>
      <c r="N107" s="21">
        <f t="shared" si="9"/>
        <v>1.8520607816244041</v>
      </c>
    </row>
    <row r="108" spans="1:17" x14ac:dyDescent="0.2">
      <c r="A108" s="25" t="str">
        <f>'GF + UG Iteration 12'!A108</f>
        <v>Pre-09</v>
      </c>
      <c r="B108" s="25" t="str">
        <f>'GF + UG Iteration 12'!B108</f>
        <v>GF</v>
      </c>
      <c r="C108" s="18">
        <f>'GF + UG Iteration 12'!C108</f>
        <v>9.6999999999999993</v>
      </c>
      <c r="D108" s="19">
        <f>'GF + UG Iteration 12'!D108</f>
        <v>2.9443376052628771</v>
      </c>
      <c r="E108" s="30">
        <f>'GF + UG Iteration 12'!E108</f>
        <v>1997</v>
      </c>
      <c r="F108" s="18"/>
      <c r="G108" s="19"/>
      <c r="H108" s="20"/>
      <c r="I108" s="18">
        <f t="shared" si="5"/>
        <v>9.6999999999999993</v>
      </c>
      <c r="J108" s="19">
        <f t="shared" si="6"/>
        <v>2.9443376052628771</v>
      </c>
      <c r="K108" s="20">
        <f t="shared" si="7"/>
        <v>1997</v>
      </c>
      <c r="M108" s="21">
        <f t="shared" si="8"/>
        <v>2.2721258855093369</v>
      </c>
      <c r="N108" s="21">
        <f t="shared" si="9"/>
        <v>1.0798838699925799</v>
      </c>
    </row>
    <row r="109" spans="1:17" x14ac:dyDescent="0.2">
      <c r="A109" s="25" t="str">
        <f>'GF + UG Iteration 12'!A109</f>
        <v>Pre-10</v>
      </c>
      <c r="B109" s="25" t="str">
        <f>'GF + UG Iteration 12'!B109</f>
        <v>GF</v>
      </c>
      <c r="C109" s="18">
        <f>'GF + UG Iteration 12'!C109</f>
        <v>6.12</v>
      </c>
      <c r="D109" s="19">
        <f>'GF + UG Iteration 12'!D109</f>
        <v>13.481108575958453</v>
      </c>
      <c r="E109" s="30">
        <f>'GF + UG Iteration 12'!E109</f>
        <v>1990</v>
      </c>
      <c r="F109" s="18"/>
      <c r="G109" s="19"/>
      <c r="H109" s="20"/>
      <c r="I109" s="18">
        <f t="shared" si="5"/>
        <v>6.12</v>
      </c>
      <c r="J109" s="19">
        <f t="shared" si="6"/>
        <v>13.481108575958453</v>
      </c>
      <c r="K109" s="20">
        <f t="shared" si="7"/>
        <v>1990</v>
      </c>
      <c r="M109" s="21">
        <f t="shared" si="8"/>
        <v>1.8115620965242347</v>
      </c>
      <c r="N109" s="21">
        <f t="shared" si="9"/>
        <v>2.6012893406753403</v>
      </c>
    </row>
    <row r="110" spans="1:17" x14ac:dyDescent="0.2">
      <c r="A110" s="25" t="str">
        <f>'GF + UG Iteration 12'!A110</f>
        <v>Pre-11</v>
      </c>
      <c r="B110" s="25" t="str">
        <f>'GF + UG Iteration 12'!B110</f>
        <v>GF</v>
      </c>
      <c r="C110" s="18">
        <f>'GF + UG Iteration 12'!C110</f>
        <v>6.2671999999999999</v>
      </c>
      <c r="D110" s="19">
        <f>'GF + UG Iteration 12'!D110</f>
        <v>2.9102311039234974</v>
      </c>
      <c r="E110" s="30">
        <f>'GF + UG Iteration 12'!E110</f>
        <v>1987</v>
      </c>
      <c r="F110" s="18"/>
      <c r="G110" s="19"/>
      <c r="H110" s="20"/>
      <c r="I110" s="18">
        <f t="shared" si="5"/>
        <v>6.2671999999999999</v>
      </c>
      <c r="J110" s="19">
        <f t="shared" si="6"/>
        <v>2.9102311039234974</v>
      </c>
      <c r="K110" s="20">
        <f t="shared" si="7"/>
        <v>1987</v>
      </c>
      <c r="M110" s="21">
        <f t="shared" si="8"/>
        <v>1.8353296839294297</v>
      </c>
      <c r="N110" s="21">
        <f t="shared" si="9"/>
        <v>1.0682324951858668</v>
      </c>
    </row>
    <row r="111" spans="1:17" x14ac:dyDescent="0.2">
      <c r="A111" s="25" t="str">
        <f>'GF + UG Iteration 12'!A111</f>
        <v>Pre-12</v>
      </c>
      <c r="B111" s="25" t="str">
        <f>'GF + UG Iteration 12'!B111</f>
        <v>GF</v>
      </c>
      <c r="C111" s="18">
        <f>'GF + UG Iteration 12'!C111</f>
        <v>6.3659999999999997</v>
      </c>
      <c r="D111" s="19">
        <f>'GF + UG Iteration 12'!D111</f>
        <v>9.8906921245327926</v>
      </c>
      <c r="E111" s="30">
        <f>'GF + UG Iteration 12'!E111</f>
        <v>1993</v>
      </c>
      <c r="F111" s="18"/>
      <c r="G111" s="19"/>
      <c r="H111" s="20"/>
      <c r="I111" s="18">
        <f t="shared" si="5"/>
        <v>6.3659999999999997</v>
      </c>
      <c r="J111" s="19">
        <f t="shared" si="6"/>
        <v>9.8906921245327926</v>
      </c>
      <c r="K111" s="20">
        <f t="shared" si="7"/>
        <v>1993</v>
      </c>
      <c r="M111" s="21">
        <f t="shared" si="8"/>
        <v>1.850971328859901</v>
      </c>
      <c r="N111" s="21">
        <f t="shared" si="9"/>
        <v>2.2915941254440955</v>
      </c>
    </row>
    <row r="112" spans="1:17" x14ac:dyDescent="0.2">
      <c r="A112" s="25" t="str">
        <f>'GF + UG Iteration 12'!A112</f>
        <v>Pre-13</v>
      </c>
      <c r="B112" s="25" t="str">
        <f>'GF + UG Iteration 12'!B112</f>
        <v>GF</v>
      </c>
      <c r="C112" s="18">
        <f>'GF + UG Iteration 12'!C112</f>
        <v>8.5</v>
      </c>
      <c r="D112" s="19">
        <f>'GF + UG Iteration 12'!D112</f>
        <v>5.9446476688134462</v>
      </c>
      <c r="E112" s="30">
        <f>'GF + UG Iteration 12'!E112</f>
        <v>1990</v>
      </c>
      <c r="F112" s="18"/>
      <c r="G112" s="19"/>
      <c r="H112" s="20"/>
      <c r="I112" s="18">
        <f t="shared" si="5"/>
        <v>8.5</v>
      </c>
      <c r="J112" s="19">
        <f t="shared" si="6"/>
        <v>5.9446476688134462</v>
      </c>
      <c r="K112" s="20">
        <f t="shared" si="7"/>
        <v>1990</v>
      </c>
      <c r="M112" s="21">
        <f t="shared" si="8"/>
        <v>2.1400661634962708</v>
      </c>
      <c r="N112" s="21">
        <f t="shared" si="9"/>
        <v>1.7824912632583982</v>
      </c>
    </row>
    <row r="113" spans="1:14" x14ac:dyDescent="0.2">
      <c r="A113" s="25" t="str">
        <f>'GF + UG Iteration 12'!A113</f>
        <v>Pre-14</v>
      </c>
      <c r="B113" s="25" t="str">
        <f>'GF + UG Iteration 12'!B113</f>
        <v>GF</v>
      </c>
      <c r="C113" s="18">
        <f>'GF + UG Iteration 12'!C113</f>
        <v>46.55</v>
      </c>
      <c r="D113" s="19">
        <f>'GF + UG Iteration 12'!D113</f>
        <v>7.1936227504100643</v>
      </c>
      <c r="E113" s="30">
        <f>'GF + UG Iteration 12'!E113</f>
        <v>1991</v>
      </c>
      <c r="F113" s="18"/>
      <c r="G113" s="19"/>
      <c r="H113" s="20"/>
      <c r="I113" s="18">
        <f t="shared" si="5"/>
        <v>46.55</v>
      </c>
      <c r="J113" s="19">
        <f t="shared" si="6"/>
        <v>7.1936227504100643</v>
      </c>
      <c r="K113" s="20">
        <f t="shared" si="7"/>
        <v>1991</v>
      </c>
      <c r="M113" s="21">
        <f t="shared" si="8"/>
        <v>3.8405270037230759</v>
      </c>
      <c r="N113" s="21">
        <f t="shared" si="9"/>
        <v>1.9731949044224915</v>
      </c>
    </row>
    <row r="114" spans="1:14" x14ac:dyDescent="0.2">
      <c r="A114" s="25" t="str">
        <f>'GF + UG Iteration 12'!A114</f>
        <v>Pre-15</v>
      </c>
      <c r="B114" s="25" t="str">
        <f>'GF + UG Iteration 12'!B114</f>
        <v>GF</v>
      </c>
      <c r="C114" s="18">
        <f>'GF + UG Iteration 12'!C114</f>
        <v>56.8</v>
      </c>
      <c r="D114" s="19">
        <f>'GF + UG Iteration 12'!D114</f>
        <v>17.594466678549747</v>
      </c>
      <c r="E114" s="30">
        <f>'GF + UG Iteration 12'!E114</f>
        <v>1990</v>
      </c>
      <c r="F114" s="18"/>
      <c r="G114" s="19"/>
      <c r="H114" s="20"/>
      <c r="I114" s="18">
        <f t="shared" si="5"/>
        <v>56.8</v>
      </c>
      <c r="J114" s="19">
        <f t="shared" si="6"/>
        <v>17.594466678549747</v>
      </c>
      <c r="K114" s="20">
        <f t="shared" si="7"/>
        <v>1990</v>
      </c>
      <c r="M114" s="21">
        <f t="shared" si="8"/>
        <v>4.0395363257271057</v>
      </c>
      <c r="N114" s="21">
        <f t="shared" si="9"/>
        <v>2.867584459347964</v>
      </c>
    </row>
    <row r="115" spans="1:14" x14ac:dyDescent="0.2">
      <c r="A115" s="25" t="str">
        <f>'GF + UG Iteration 12'!A115</f>
        <v>Pre-16</v>
      </c>
      <c r="B115" s="25" t="str">
        <f>'GF + UG Iteration 12'!B115</f>
        <v>GF</v>
      </c>
      <c r="C115" s="18">
        <f>'GF + UG Iteration 12'!C115</f>
        <v>81.575999999999993</v>
      </c>
      <c r="D115" s="19">
        <f>'GF + UG Iteration 12'!D115</f>
        <v>14.026199251012313</v>
      </c>
      <c r="E115" s="30">
        <f>'GF + UG Iteration 12'!E115</f>
        <v>1988</v>
      </c>
      <c r="F115" s="18"/>
      <c r="G115" s="19"/>
      <c r="H115" s="20"/>
      <c r="I115" s="18">
        <f t="shared" si="5"/>
        <v>81.575999999999993</v>
      </c>
      <c r="J115" s="19">
        <f t="shared" si="6"/>
        <v>14.026199251012313</v>
      </c>
      <c r="K115" s="20">
        <f t="shared" si="7"/>
        <v>1988</v>
      </c>
      <c r="M115" s="21">
        <f t="shared" si="8"/>
        <v>4.4015351010619241</v>
      </c>
      <c r="N115" s="21">
        <f t="shared" si="9"/>
        <v>2.6409269558467208</v>
      </c>
    </row>
    <row r="116" spans="1:14" x14ac:dyDescent="0.2">
      <c r="A116" s="25" t="str">
        <f>'GF + UG Iteration 12'!A116</f>
        <v>Pre-17</v>
      </c>
      <c r="B116" s="25" t="str">
        <f>'GF + UG Iteration 12'!B116</f>
        <v>GF</v>
      </c>
      <c r="C116" s="18">
        <f>'GF + UG Iteration 12'!C116</f>
        <v>95.2</v>
      </c>
      <c r="D116" s="19">
        <f>'GF + UG Iteration 12'!D116</f>
        <v>14.219904176944949</v>
      </c>
      <c r="E116" s="30">
        <f>'GF + UG Iteration 12'!E116</f>
        <v>1999</v>
      </c>
      <c r="F116" s="18"/>
      <c r="G116" s="19"/>
      <c r="H116" s="20"/>
      <c r="I116" s="18">
        <f t="shared" si="5"/>
        <v>95.2</v>
      </c>
      <c r="J116" s="19">
        <f t="shared" si="6"/>
        <v>14.219904176944949</v>
      </c>
      <c r="K116" s="20">
        <f t="shared" si="7"/>
        <v>1999</v>
      </c>
      <c r="M116" s="21">
        <f t="shared" si="8"/>
        <v>4.5559799417973199</v>
      </c>
      <c r="N116" s="21">
        <f t="shared" si="9"/>
        <v>2.654642685740924</v>
      </c>
    </row>
    <row r="117" spans="1:14" x14ac:dyDescent="0.2">
      <c r="A117" s="25" t="str">
        <f>'GF + UG Iteration 12'!A117</f>
        <v>Pre-18</v>
      </c>
      <c r="B117" s="25" t="str">
        <f>'GF + UG Iteration 12'!B117</f>
        <v>GF</v>
      </c>
      <c r="C117" s="18">
        <f>'GF + UG Iteration 12'!C117</f>
        <v>122.77200000000001</v>
      </c>
      <c r="D117" s="19">
        <f>'GF + UG Iteration 12'!D117</f>
        <v>23.447549869052086</v>
      </c>
      <c r="E117" s="30">
        <f>'GF + UG Iteration 12'!E117</f>
        <v>1990</v>
      </c>
      <c r="F117" s="18"/>
      <c r="G117" s="19"/>
      <c r="H117" s="20"/>
      <c r="I117" s="18">
        <f t="shared" si="5"/>
        <v>122.77200000000001</v>
      </c>
      <c r="J117" s="19">
        <f t="shared" si="6"/>
        <v>23.447549869052086</v>
      </c>
      <c r="K117" s="20">
        <f t="shared" si="7"/>
        <v>1990</v>
      </c>
      <c r="M117" s="21">
        <f t="shared" si="8"/>
        <v>4.8103289766848034</v>
      </c>
      <c r="N117" s="21">
        <f t="shared" si="9"/>
        <v>3.1547660062374661</v>
      </c>
    </row>
    <row r="118" spans="1:14" x14ac:dyDescent="0.2">
      <c r="A118" s="33">
        <f>'GF + UG Iteration 12'!A118</f>
        <v>1184</v>
      </c>
      <c r="B118" s="34" t="str">
        <f>'GF + UG Iteration 12'!B118</f>
        <v>UG</v>
      </c>
      <c r="C118" s="35">
        <f>'GF + UG Iteration 12'!C118</f>
        <v>30</v>
      </c>
      <c r="D118" s="36">
        <f>'GF + UG Iteration 12'!P$16*(C118^'GF + UG Iteration 12'!P$15)</f>
        <v>17.908772346701351</v>
      </c>
      <c r="E118" s="37">
        <f>'GF + UG Iteration 12'!E118</f>
        <v>2013</v>
      </c>
      <c r="F118" s="35">
        <f>'GF + UG Iteration 12'!F118</f>
        <v>18.200000000000003</v>
      </c>
      <c r="G118" s="36">
        <f>'GF + UG Iteration 12'!G118</f>
        <v>18.869341885211266</v>
      </c>
      <c r="H118" s="38">
        <f>'GF + UG Iteration 12'!H118</f>
        <v>2012</v>
      </c>
      <c r="I118" s="35">
        <f>C118+F118</f>
        <v>48.2</v>
      </c>
      <c r="J118" s="36">
        <f>D118+G118</f>
        <v>36.778114231912618</v>
      </c>
      <c r="K118" s="38">
        <f>MAX(E118,H118)</f>
        <v>2013</v>
      </c>
      <c r="M118" s="21">
        <f t="shared" si="8"/>
        <v>3.8753590210565547</v>
      </c>
      <c r="N118" s="21">
        <f t="shared" si="9"/>
        <v>3.6049029462987368</v>
      </c>
    </row>
    <row r="119" spans="1:14" x14ac:dyDescent="0.2">
      <c r="A119" s="33">
        <f>'GF + UG Iteration 12'!A119</f>
        <v>1481</v>
      </c>
      <c r="B119" s="34" t="str">
        <f>'GF + UG Iteration 12'!B119</f>
        <v>UG</v>
      </c>
      <c r="C119" s="35">
        <f>'GF + UG Iteration 12'!C119</f>
        <v>48.2</v>
      </c>
      <c r="D119" s="36">
        <f>'GF + UG Iteration 12'!P$16*(C119^'GF + UG Iteration 12'!P$15)</f>
        <v>23.495188295124048</v>
      </c>
      <c r="E119" s="37">
        <f>'GF + UG Iteration 12'!E119</f>
        <v>2013</v>
      </c>
      <c r="F119" s="35">
        <f>'GF + UG Iteration 12'!F119</f>
        <v>0</v>
      </c>
      <c r="G119" s="36">
        <f>'GF + UG Iteration 12'!G119</f>
        <v>1.1114331301697908</v>
      </c>
      <c r="H119" s="38">
        <f>'GF + UG Iteration 12'!H119</f>
        <v>2014</v>
      </c>
      <c r="I119" s="35">
        <f t="shared" ref="I119:I183" si="10">C119+F119</f>
        <v>48.2</v>
      </c>
      <c r="J119" s="36">
        <f t="shared" ref="J119:J183" si="11">D119+G119</f>
        <v>24.606621425293838</v>
      </c>
      <c r="K119" s="38">
        <f t="shared" ref="K119:K183" si="12">MAX(E119,H119)</f>
        <v>2014</v>
      </c>
      <c r="M119" s="21">
        <f t="shared" si="8"/>
        <v>3.8753590210565547</v>
      </c>
      <c r="N119" s="21">
        <f t="shared" si="9"/>
        <v>3.2030155703501171</v>
      </c>
    </row>
    <row r="120" spans="1:14" x14ac:dyDescent="0.2">
      <c r="A120" s="33">
        <f>'GF + UG Iteration 12'!A120</f>
        <v>457</v>
      </c>
      <c r="B120" s="34" t="str">
        <f>'GF + UG Iteration 12'!B120</f>
        <v>UG</v>
      </c>
      <c r="C120" s="35">
        <f>'GF + UG Iteration 12'!C120</f>
        <v>10.77</v>
      </c>
      <c r="D120" s="36">
        <f>'GF + UG Iteration 12'!P$16*(C120^'GF + UG Iteration 12'!P$15)</f>
        <v>9.9612278589409211</v>
      </c>
      <c r="E120" s="37">
        <f>'GF + UG Iteration 12'!E120</f>
        <v>1990</v>
      </c>
      <c r="F120" s="35">
        <f>'GF + UG Iteration 12'!F120</f>
        <v>10</v>
      </c>
      <c r="G120" s="36">
        <f>'GF + UG Iteration 12'!G120</f>
        <v>3.289132084924363</v>
      </c>
      <c r="H120" s="38">
        <f>'GF + UG Iteration 12'!H120</f>
        <v>2006</v>
      </c>
      <c r="I120" s="35">
        <f t="shared" si="10"/>
        <v>20.77</v>
      </c>
      <c r="J120" s="36">
        <f t="shared" si="11"/>
        <v>13.250359943865284</v>
      </c>
      <c r="K120" s="38">
        <f t="shared" si="12"/>
        <v>2006</v>
      </c>
      <c r="M120" s="21">
        <f t="shared" si="8"/>
        <v>3.0335096378880211</v>
      </c>
      <c r="N120" s="21">
        <f t="shared" si="9"/>
        <v>2.584024717637992</v>
      </c>
    </row>
    <row r="121" spans="1:14" x14ac:dyDescent="0.2">
      <c r="A121" s="33">
        <f>'GF + UG Iteration 12'!A121</f>
        <v>407</v>
      </c>
      <c r="B121" s="34" t="str">
        <f>'GF + UG Iteration 12'!B121</f>
        <v>UG</v>
      </c>
      <c r="C121" s="35">
        <f>'GF + UG Iteration 12'!C121</f>
        <v>25.4</v>
      </c>
      <c r="D121" s="36">
        <f>'GF + UG Iteration 12'!P$16*(C121^'GF + UG Iteration 12'!P$15)</f>
        <v>16.280733517276843</v>
      </c>
      <c r="E121" s="37">
        <f>'GF + UG Iteration 12'!E121</f>
        <v>1982</v>
      </c>
      <c r="F121" s="35">
        <f>'GF + UG Iteration 12'!F121</f>
        <v>2</v>
      </c>
      <c r="G121" s="36">
        <f>'GF + UG Iteration 12'!G121</f>
        <v>0.60106525862386018</v>
      </c>
      <c r="H121" s="38">
        <f>'GF + UG Iteration 12'!H121</f>
        <v>2004</v>
      </c>
      <c r="I121" s="35">
        <f t="shared" si="10"/>
        <v>27.4</v>
      </c>
      <c r="J121" s="36">
        <f t="shared" si="11"/>
        <v>16.881798775900702</v>
      </c>
      <c r="K121" s="38">
        <f t="shared" si="12"/>
        <v>2004</v>
      </c>
      <c r="M121" s="21">
        <f t="shared" si="8"/>
        <v>3.3105430133940246</v>
      </c>
      <c r="N121" s="21">
        <f t="shared" si="9"/>
        <v>2.8262360460437845</v>
      </c>
    </row>
    <row r="122" spans="1:14" x14ac:dyDescent="0.2">
      <c r="A122" s="33">
        <f>'GF + UG Iteration 12'!A122</f>
        <v>706</v>
      </c>
      <c r="B122" s="34" t="str">
        <f>'GF + UG Iteration 12'!B122</f>
        <v>UG</v>
      </c>
      <c r="C122" s="35">
        <f>'GF + UG Iteration 12'!C122</f>
        <v>14.85</v>
      </c>
      <c r="D122" s="36">
        <f>'GF + UG Iteration 12'!P$16*(C122^'GF + UG Iteration 12'!P$15)</f>
        <v>11.972827826571633</v>
      </c>
      <c r="E122" s="37">
        <f>'GF + UG Iteration 12'!E122</f>
        <v>1984</v>
      </c>
      <c r="F122" s="35">
        <f>'GF + UG Iteration 12'!F122</f>
        <v>14.250000000000002</v>
      </c>
      <c r="G122" s="36">
        <f>'GF + UG Iteration 12'!G122</f>
        <v>5.8346214151737739</v>
      </c>
      <c r="H122" s="38">
        <f>'GF + UG Iteration 12'!H122</f>
        <v>2008</v>
      </c>
      <c r="I122" s="35">
        <f t="shared" si="10"/>
        <v>29.1</v>
      </c>
      <c r="J122" s="36">
        <f t="shared" si="11"/>
        <v>17.807449241745406</v>
      </c>
      <c r="K122" s="38">
        <f t="shared" si="12"/>
        <v>2008</v>
      </c>
      <c r="M122" s="21">
        <f t="shared" si="8"/>
        <v>3.3707381741774469</v>
      </c>
      <c r="N122" s="21">
        <f t="shared" si="9"/>
        <v>2.8796168664799784</v>
      </c>
    </row>
    <row r="123" spans="1:14" x14ac:dyDescent="0.2">
      <c r="A123" s="33">
        <f>'GF + UG Iteration 12'!A123</f>
        <v>1070</v>
      </c>
      <c r="B123" s="34" t="str">
        <f>'GF + UG Iteration 12'!B123</f>
        <v>UG</v>
      </c>
      <c r="C123" s="35">
        <f>'GF + UG Iteration 12'!C123</f>
        <v>34</v>
      </c>
      <c r="D123" s="36">
        <f>'GF + UG Iteration 12'!P$16*(C123^'GF + UG Iteration 12'!P$15)</f>
        <v>19.239377495949693</v>
      </c>
      <c r="E123" s="37">
        <f>'GF + UG Iteration 12'!E123</f>
        <v>1984</v>
      </c>
      <c r="F123" s="35">
        <f>'GF + UG Iteration 12'!F123</f>
        <v>4.8999999999999986</v>
      </c>
      <c r="G123" s="36">
        <f>'GF + UG Iteration 12'!G123</f>
        <v>0.83607952853202894</v>
      </c>
      <c r="H123" s="38">
        <f>'GF + UG Iteration 12'!H123</f>
        <v>2011</v>
      </c>
      <c r="I123" s="35">
        <f t="shared" si="10"/>
        <v>38.9</v>
      </c>
      <c r="J123" s="36">
        <f t="shared" si="11"/>
        <v>20.075457024481722</v>
      </c>
      <c r="K123" s="38">
        <f t="shared" si="12"/>
        <v>2011</v>
      </c>
      <c r="M123" s="21">
        <f t="shared" si="8"/>
        <v>3.6609942506244004</v>
      </c>
      <c r="N123" s="21">
        <f t="shared" si="9"/>
        <v>2.9994980254258277</v>
      </c>
    </row>
    <row r="124" spans="1:14" x14ac:dyDescent="0.2">
      <c r="A124" s="33">
        <f>'GF + UG Iteration 12'!A124</f>
        <v>1264</v>
      </c>
      <c r="B124" s="34" t="str">
        <f>'GF + UG Iteration 12'!B124</f>
        <v>UG</v>
      </c>
      <c r="C124" s="35">
        <f>'GF + UG Iteration 12'!C124</f>
        <v>38.9</v>
      </c>
      <c r="D124" s="36">
        <f>'GF + UG Iteration 12'!P$16*(C124^'GF + UG Iteration 12'!P$15)</f>
        <v>20.781234009136671</v>
      </c>
      <c r="E124" s="37">
        <f>'GF + UG Iteration 12'!E124</f>
        <v>1984</v>
      </c>
      <c r="F124" s="35">
        <f>'GF + UG Iteration 12'!F124</f>
        <v>7.2000000000000028</v>
      </c>
      <c r="G124" s="36">
        <f>'GF + UG Iteration 12'!G124</f>
        <v>8.0578720930203094</v>
      </c>
      <c r="H124" s="38">
        <f>'GF + UG Iteration 12'!H124</f>
        <v>2013</v>
      </c>
      <c r="I124" s="35">
        <f t="shared" si="10"/>
        <v>46.1</v>
      </c>
      <c r="J124" s="36">
        <f t="shared" si="11"/>
        <v>28.839106102156983</v>
      </c>
      <c r="K124" s="38">
        <f t="shared" si="12"/>
        <v>2013</v>
      </c>
      <c r="M124" s="21">
        <f t="shared" si="8"/>
        <v>3.8308129500026027</v>
      </c>
      <c r="N124" s="21">
        <f t="shared" si="9"/>
        <v>3.3617323168655515</v>
      </c>
    </row>
    <row r="125" spans="1:14" x14ac:dyDescent="0.2">
      <c r="A125" s="33">
        <f>'GF + UG Iteration 12'!A125</f>
        <v>1208</v>
      </c>
      <c r="B125" s="34" t="str">
        <f>'GF + UG Iteration 12'!B125</f>
        <v>UG</v>
      </c>
      <c r="C125" s="35">
        <f>'GF + UG Iteration 12'!C125</f>
        <v>14.1</v>
      </c>
      <c r="D125" s="36">
        <f>'GF + UG Iteration 12'!P$16*(C125^'GF + UG Iteration 12'!P$15)</f>
        <v>11.622753645483094</v>
      </c>
      <c r="E125" s="37">
        <f>'GF + UG Iteration 12'!E125</f>
        <v>1961</v>
      </c>
      <c r="F125" s="35">
        <f>'GF + UG Iteration 12'!F125</f>
        <v>11.500000000000002</v>
      </c>
      <c r="G125" s="36">
        <f>'GF + UG Iteration 12'!G125</f>
        <v>2.7992110812000917</v>
      </c>
      <c r="H125" s="38">
        <f>'GF + UG Iteration 12'!H125</f>
        <v>2012</v>
      </c>
      <c r="I125" s="35">
        <f t="shared" si="10"/>
        <v>25.6</v>
      </c>
      <c r="J125" s="36">
        <f t="shared" si="11"/>
        <v>14.421964726683186</v>
      </c>
      <c r="K125" s="38">
        <f t="shared" si="12"/>
        <v>2012</v>
      </c>
      <c r="M125" s="21">
        <f t="shared" si="8"/>
        <v>3.2425923514855168</v>
      </c>
      <c r="N125" s="21">
        <f t="shared" si="9"/>
        <v>2.6687523726923246</v>
      </c>
    </row>
    <row r="126" spans="1:14" x14ac:dyDescent="0.2">
      <c r="A126" s="33">
        <f>'GF + UG Iteration 12'!A126</f>
        <v>655</v>
      </c>
      <c r="B126" s="34" t="str">
        <f>'GF + UG Iteration 12'!B126</f>
        <v>UG</v>
      </c>
      <c r="C126" s="35">
        <f>'GF + UG Iteration 12'!C126</f>
        <v>12.052999999999999</v>
      </c>
      <c r="D126" s="36">
        <f>'GF + UG Iteration 12'!P$16*(C126^'GF + UG Iteration 12'!P$15)</f>
        <v>10.624322665237257</v>
      </c>
      <c r="E126" s="37">
        <f>'GF + UG Iteration 12'!E126</f>
        <v>1974</v>
      </c>
      <c r="F126" s="35">
        <f>'GF + UG Iteration 12'!F126</f>
        <v>2.3390000000000004</v>
      </c>
      <c r="G126" s="36">
        <f>'GF + UG Iteration 12'!G126</f>
        <v>0.59464786373478107</v>
      </c>
      <c r="H126" s="38">
        <f>'GF + UG Iteration 12'!H126</f>
        <v>2007</v>
      </c>
      <c r="I126" s="35">
        <f t="shared" si="10"/>
        <v>14.391999999999999</v>
      </c>
      <c r="J126" s="36">
        <f t="shared" si="11"/>
        <v>11.218970528972038</v>
      </c>
      <c r="K126" s="38">
        <f t="shared" si="12"/>
        <v>2007</v>
      </c>
      <c r="M126" s="21">
        <f t="shared" si="8"/>
        <v>2.666672496648232</v>
      </c>
      <c r="N126" s="21">
        <f t="shared" si="9"/>
        <v>2.4176061426739186</v>
      </c>
    </row>
    <row r="127" spans="1:14" x14ac:dyDescent="0.2">
      <c r="A127" s="33">
        <f>'GF + UG Iteration 12'!A127</f>
        <v>733</v>
      </c>
      <c r="B127" s="34" t="str">
        <f>'GF + UG Iteration 12'!B127</f>
        <v>UG</v>
      </c>
      <c r="C127" s="35">
        <f>'GF + UG Iteration 12'!C127</f>
        <v>24.3</v>
      </c>
      <c r="D127" s="36">
        <f>'GF + UG Iteration 12'!P$16*(C127^'GF + UG Iteration 12'!P$15)</f>
        <v>15.873194322119922</v>
      </c>
      <c r="E127" s="37">
        <f>'GF + UG Iteration 12'!E127</f>
        <v>2007</v>
      </c>
      <c r="F127" s="35">
        <f>'GF + UG Iteration 12'!F127</f>
        <v>17.099999999999998</v>
      </c>
      <c r="G127" s="36">
        <f>'GF + UG Iteration 12'!G127</f>
        <v>6.7726080218724345</v>
      </c>
      <c r="H127" s="38">
        <f>'GF + UG Iteration 12'!H127</f>
        <v>2009</v>
      </c>
      <c r="I127" s="35">
        <f t="shared" si="10"/>
        <v>41.4</v>
      </c>
      <c r="J127" s="36">
        <f t="shared" si="11"/>
        <v>22.645802343992358</v>
      </c>
      <c r="K127" s="38">
        <f t="shared" si="12"/>
        <v>2009</v>
      </c>
      <c r="M127" s="21">
        <f t="shared" si="8"/>
        <v>3.7232808808312687</v>
      </c>
      <c r="N127" s="21">
        <f t="shared" si="9"/>
        <v>3.119974507777822</v>
      </c>
    </row>
    <row r="128" spans="1:14" x14ac:dyDescent="0.2">
      <c r="A128" s="33">
        <f>'GF + UG Iteration 12'!A128</f>
        <v>1700</v>
      </c>
      <c r="B128" s="34" t="str">
        <f>'GF + UG Iteration 12'!B128</f>
        <v>UG</v>
      </c>
      <c r="C128" s="35">
        <f>'GF + UG Iteration 12'!C128</f>
        <v>13.4</v>
      </c>
      <c r="D128" s="36">
        <f>'GF + UG Iteration 12'!P$16*(C128^'GF + UG Iteration 12'!P$15)</f>
        <v>11.288763513334469</v>
      </c>
      <c r="E128" s="37">
        <f>'GF + UG Iteration 12'!E128</f>
        <v>0</v>
      </c>
      <c r="F128" s="35">
        <f>'GF + UG Iteration 12'!F128</f>
        <v>0</v>
      </c>
      <c r="G128" s="36">
        <f>'GF + UG Iteration 12'!G128</f>
        <v>4.0238803148956235</v>
      </c>
      <c r="H128" s="38">
        <f>'GF + UG Iteration 12'!H128</f>
        <v>2016</v>
      </c>
      <c r="I128" s="35">
        <f t="shared" ref="I128" si="13">C128+F128</f>
        <v>13.4</v>
      </c>
      <c r="J128" s="36">
        <f t="shared" ref="J128" si="14">D128+G128</f>
        <v>15.312643828230094</v>
      </c>
      <c r="K128" s="38">
        <f t="shared" ref="K128" si="15">MAX(E128,H128)</f>
        <v>2016</v>
      </c>
      <c r="M128" s="21">
        <f t="shared" ref="M128" si="16">LN(I128)</f>
        <v>2.5952547069568657</v>
      </c>
      <c r="N128" s="21">
        <f t="shared" ref="N128" si="17">LN(J128)</f>
        <v>2.7286788811248393</v>
      </c>
    </row>
    <row r="129" spans="1:14" x14ac:dyDescent="0.2">
      <c r="A129" s="33">
        <f>'GF + UG Iteration 12'!A129</f>
        <v>1569</v>
      </c>
      <c r="B129" s="34" t="str">
        <f>'GF + UG Iteration 12'!B129</f>
        <v>UG</v>
      </c>
      <c r="C129" s="35">
        <f>'GF + UG Iteration 12'!C129</f>
        <v>17.7</v>
      </c>
      <c r="D129" s="36">
        <f>'GF + UG Iteration 12'!P$16*(C129^'GF + UG Iteration 12'!P$15)</f>
        <v>13.239014751115727</v>
      </c>
      <c r="E129" s="37">
        <f>'GF + UG Iteration 12'!E129</f>
        <v>1997</v>
      </c>
      <c r="F129" s="35">
        <f>'GF + UG Iteration 12'!F129</f>
        <v>0</v>
      </c>
      <c r="G129" s="36">
        <f>'GF + UG Iteration 12'!G129</f>
        <v>3.7372730134616279</v>
      </c>
      <c r="H129" s="38">
        <f>'GF + UG Iteration 12'!H129</f>
        <v>2015</v>
      </c>
      <c r="I129" s="35">
        <f t="shared" si="10"/>
        <v>17.7</v>
      </c>
      <c r="J129" s="36">
        <f t="shared" si="11"/>
        <v>16.976287764577354</v>
      </c>
      <c r="K129" s="38">
        <f t="shared" si="12"/>
        <v>2015</v>
      </c>
      <c r="M129" s="21">
        <f t="shared" si="8"/>
        <v>2.8735646395797834</v>
      </c>
      <c r="N129" s="21">
        <f t="shared" si="9"/>
        <v>2.8318175329872255</v>
      </c>
    </row>
    <row r="130" spans="1:14" x14ac:dyDescent="0.2">
      <c r="A130" s="33">
        <f>'GF + UG Iteration 12'!A130</f>
        <v>401</v>
      </c>
      <c r="B130" s="34" t="str">
        <f>'GF + UG Iteration 12'!B130</f>
        <v>UG</v>
      </c>
      <c r="C130" s="35">
        <f>'GF + UG Iteration 12'!C130</f>
        <v>2</v>
      </c>
      <c r="D130" s="36">
        <f>'GF + UG Iteration 12'!P$16*(C130^'GF + UG Iteration 12'!P$15)</f>
        <v>3.798707911460228</v>
      </c>
      <c r="E130" s="37">
        <f>'GF + UG Iteration 12'!E130</f>
        <v>1986</v>
      </c>
      <c r="F130" s="35">
        <f>'GF + UG Iteration 12'!F130</f>
        <v>1.5</v>
      </c>
      <c r="G130" s="36">
        <f>'GF + UG Iteration 12'!G130</f>
        <v>0.36204281296556784</v>
      </c>
      <c r="H130" s="38">
        <f>'GF + UG Iteration 12'!H130</f>
        <v>2004</v>
      </c>
      <c r="I130" s="35">
        <f t="shared" si="10"/>
        <v>3.5</v>
      </c>
      <c r="J130" s="36">
        <f t="shared" si="11"/>
        <v>4.160750724425796</v>
      </c>
      <c r="K130" s="38">
        <f t="shared" si="12"/>
        <v>2004</v>
      </c>
      <c r="M130" s="21">
        <f t="shared" si="8"/>
        <v>1.2527629684953681</v>
      </c>
      <c r="N130" s="21">
        <f t="shared" si="9"/>
        <v>1.42569552059411</v>
      </c>
    </row>
    <row r="131" spans="1:14" x14ac:dyDescent="0.2">
      <c r="A131" s="33">
        <f>'GF + UG Iteration 12'!A131</f>
        <v>1412</v>
      </c>
      <c r="B131" s="34" t="str">
        <f>'GF + UG Iteration 12'!B131</f>
        <v>UG</v>
      </c>
      <c r="C131" s="35">
        <f>'GF + UG Iteration 12'!C131</f>
        <v>3.5</v>
      </c>
      <c r="D131" s="36">
        <f>'GF + UG Iteration 12'!P$16*(C131^'GF + UG Iteration 12'!P$15)</f>
        <v>5.2335876296064514</v>
      </c>
      <c r="E131" s="37">
        <f>'GF + UG Iteration 12'!E131</f>
        <v>1986</v>
      </c>
      <c r="F131" s="35">
        <f>'GF + UG Iteration 12'!F131</f>
        <v>11</v>
      </c>
      <c r="G131" s="36">
        <f>'GF + UG Iteration 12'!G131</f>
        <v>4.3574845496482366</v>
      </c>
      <c r="H131" s="38">
        <f>'GF + UG Iteration 12'!H131</f>
        <v>2015</v>
      </c>
      <c r="I131" s="35">
        <f t="shared" si="10"/>
        <v>14.5</v>
      </c>
      <c r="J131" s="36">
        <f t="shared" si="11"/>
        <v>9.591072179254688</v>
      </c>
      <c r="K131" s="38">
        <f t="shared" si="12"/>
        <v>2015</v>
      </c>
      <c r="M131" s="21">
        <f t="shared" si="8"/>
        <v>2.6741486494265287</v>
      </c>
      <c r="N131" s="21">
        <f t="shared" si="9"/>
        <v>2.2608326844452291</v>
      </c>
    </row>
    <row r="132" spans="1:14" x14ac:dyDescent="0.2">
      <c r="A132" s="33">
        <f>'GF + UG Iteration 12'!A132</f>
        <v>1318</v>
      </c>
      <c r="B132" s="34" t="str">
        <f>'GF + UG Iteration 12'!B132</f>
        <v>UG</v>
      </c>
      <c r="C132" s="35">
        <f>'GF + UG Iteration 12'!C132</f>
        <v>22.3</v>
      </c>
      <c r="D132" s="36">
        <f>'GF + UG Iteration 12'!P$16*(C132^'GF + UG Iteration 12'!P$15)</f>
        <v>15.111429293240429</v>
      </c>
      <c r="E132" s="37">
        <f>'GF + UG Iteration 12'!E132</f>
        <v>1997</v>
      </c>
      <c r="F132" s="35">
        <f>'GF + UG Iteration 12'!F132</f>
        <v>28.900000000000002</v>
      </c>
      <c r="G132" s="36">
        <f>'GF + UG Iteration 12'!G132</f>
        <v>1.6878206182928517</v>
      </c>
      <c r="H132" s="38">
        <f>'GF + UG Iteration 12'!H132</f>
        <v>2013</v>
      </c>
      <c r="I132" s="35">
        <f t="shared" si="10"/>
        <v>51.2</v>
      </c>
      <c r="J132" s="36">
        <f t="shared" si="11"/>
        <v>16.799249911533281</v>
      </c>
      <c r="K132" s="38">
        <f t="shared" si="12"/>
        <v>2013</v>
      </c>
      <c r="M132" s="21">
        <f t="shared" si="8"/>
        <v>3.9357395320454622</v>
      </c>
      <c r="N132" s="21">
        <f t="shared" si="9"/>
        <v>2.8213342372894372</v>
      </c>
    </row>
    <row r="133" spans="1:14" x14ac:dyDescent="0.2">
      <c r="A133" s="33">
        <f>'GF + UG Iteration 12'!A133</f>
        <v>1194</v>
      </c>
      <c r="B133" s="34" t="str">
        <f>'GF + UG Iteration 12'!B133</f>
        <v>UG</v>
      </c>
      <c r="C133" s="35">
        <f>'GF + UG Iteration 12'!C133</f>
        <v>5.8</v>
      </c>
      <c r="D133" s="36">
        <f>'GF + UG Iteration 12'!P$16*(C133^'GF + UG Iteration 12'!P$15)</f>
        <v>6.9888387173265842</v>
      </c>
      <c r="E133" s="37">
        <f>'GF + UG Iteration 12'!E133</f>
        <v>1980</v>
      </c>
      <c r="F133" s="35">
        <f>'GF + UG Iteration 12'!F133</f>
        <v>9.6000000000000014</v>
      </c>
      <c r="G133" s="36">
        <f>'GF + UG Iteration 12'!G133</f>
        <v>1.6086060831571487</v>
      </c>
      <c r="H133" s="38">
        <f>'GF + UG Iteration 12'!H133</f>
        <v>2011</v>
      </c>
      <c r="I133" s="35">
        <f t="shared" si="10"/>
        <v>15.400000000000002</v>
      </c>
      <c r="J133" s="36">
        <f t="shared" si="11"/>
        <v>8.5974448004837321</v>
      </c>
      <c r="K133" s="38">
        <f t="shared" si="12"/>
        <v>2011</v>
      </c>
      <c r="M133" s="21">
        <f t="shared" si="8"/>
        <v>2.7343675094195836</v>
      </c>
      <c r="N133" s="21">
        <f t="shared" si="9"/>
        <v>2.1514650428888702</v>
      </c>
    </row>
    <row r="134" spans="1:14" x14ac:dyDescent="0.2">
      <c r="A134" s="33">
        <f>'GF + UG Iteration 12'!A134</f>
        <v>801</v>
      </c>
      <c r="B134" s="34" t="str">
        <f>'GF + UG Iteration 12'!B134</f>
        <v>UG</v>
      </c>
      <c r="C134" s="35">
        <f>'GF + UG Iteration 12'!C134</f>
        <v>10</v>
      </c>
      <c r="D134" s="36">
        <f>'GF + UG Iteration 12'!P$16*(C134^'GF + UG Iteration 12'!P$15)</f>
        <v>9.5469832625749067</v>
      </c>
      <c r="E134" s="37">
        <f>'GF + UG Iteration 12'!E134</f>
        <v>2008</v>
      </c>
      <c r="F134" s="35">
        <f>'GF + UG Iteration 12'!F134</f>
        <v>0</v>
      </c>
      <c r="G134" s="36">
        <f>'GF + UG Iteration 12'!G134</f>
        <v>6.3106495854024782</v>
      </c>
      <c r="H134" s="38">
        <f>'GF + UG Iteration 12'!H134</f>
        <v>2009</v>
      </c>
      <c r="I134" s="35">
        <f t="shared" si="10"/>
        <v>10</v>
      </c>
      <c r="J134" s="36">
        <f t="shared" si="11"/>
        <v>15.857632847977385</v>
      </c>
      <c r="K134" s="38">
        <f t="shared" si="12"/>
        <v>2009</v>
      </c>
      <c r="M134" s="21">
        <f t="shared" si="8"/>
        <v>2.3025850929940459</v>
      </c>
      <c r="N134" s="21">
        <f t="shared" si="9"/>
        <v>2.7636509521025139</v>
      </c>
    </row>
    <row r="135" spans="1:14" x14ac:dyDescent="0.2">
      <c r="A135" s="33">
        <f>'GF + UG Iteration 12'!A135</f>
        <v>804</v>
      </c>
      <c r="B135" s="34" t="str">
        <f>'GF + UG Iteration 12'!B135</f>
        <v>UG</v>
      </c>
      <c r="C135" s="35">
        <f>'GF + UG Iteration 12'!C135</f>
        <v>14.429</v>
      </c>
      <c r="D135" s="36">
        <f>'GF + UG Iteration 12'!P$16*(C135^'GF + UG Iteration 12'!P$15)</f>
        <v>11.777275556689094</v>
      </c>
      <c r="E135" s="37">
        <f>'GF + UG Iteration 12'!E135</f>
        <v>1982</v>
      </c>
      <c r="F135" s="35">
        <f>'GF + UG Iteration 12'!F135</f>
        <v>9.8710000000000004</v>
      </c>
      <c r="G135" s="36">
        <f>'GF + UG Iteration 12'!G135</f>
        <v>9.1566982400815444</v>
      </c>
      <c r="H135" s="38">
        <f>'GF + UG Iteration 12'!H135</f>
        <v>2009</v>
      </c>
      <c r="I135" s="35">
        <f t="shared" si="10"/>
        <v>24.3</v>
      </c>
      <c r="J135" s="36">
        <f t="shared" si="11"/>
        <v>20.933973796770637</v>
      </c>
      <c r="K135" s="38">
        <f t="shared" si="12"/>
        <v>2009</v>
      </c>
      <c r="M135" s="21">
        <f t="shared" si="8"/>
        <v>3.1904763503465028</v>
      </c>
      <c r="N135" s="21">
        <f t="shared" si="9"/>
        <v>3.0413733797251465</v>
      </c>
    </row>
    <row r="136" spans="1:14" x14ac:dyDescent="0.2">
      <c r="A136" s="33">
        <f>'GF + UG Iteration 12'!A136</f>
        <v>365</v>
      </c>
      <c r="B136" s="34" t="str">
        <f>'GF + UG Iteration 12'!B136</f>
        <v>UG</v>
      </c>
      <c r="C136" s="35">
        <f>'GF + UG Iteration 12'!C136</f>
        <v>15.9</v>
      </c>
      <c r="D136" s="36">
        <f>'GF + UG Iteration 12'!P$16*(C136^'GF + UG Iteration 12'!P$15)</f>
        <v>12.450482000425239</v>
      </c>
      <c r="E136" s="37">
        <f>'GF + UG Iteration 12'!E136</f>
        <v>1982</v>
      </c>
      <c r="F136" s="35">
        <f>'GF + UG Iteration 12'!F136</f>
        <v>0.26900000000000013</v>
      </c>
      <c r="G136" s="36">
        <f>'GF + UG Iteration 12'!G136</f>
        <v>0.59607313292480213</v>
      </c>
      <c r="H136" s="38">
        <f>'GF + UG Iteration 12'!H136</f>
        <v>2003</v>
      </c>
      <c r="I136" s="35">
        <f t="shared" si="10"/>
        <v>16.169</v>
      </c>
      <c r="J136" s="36">
        <f t="shared" si="11"/>
        <v>13.046555133350042</v>
      </c>
      <c r="K136" s="38">
        <f t="shared" si="12"/>
        <v>2003</v>
      </c>
      <c r="M136" s="21">
        <f t="shared" ref="M136:M183" si="18">LN(I136)</f>
        <v>2.7830958287576775</v>
      </c>
      <c r="N136" s="21">
        <f t="shared" ref="N136:N183" si="19">LN(J136)</f>
        <v>2.5685241244653776</v>
      </c>
    </row>
    <row r="137" spans="1:14" x14ac:dyDescent="0.2">
      <c r="A137" s="33">
        <f>'GF + UG Iteration 12'!A137</f>
        <v>708</v>
      </c>
      <c r="B137" s="34" t="str">
        <f>'GF + UG Iteration 12'!B137</f>
        <v>UG</v>
      </c>
      <c r="C137" s="35">
        <f>'GF + UG Iteration 12'!C137</f>
        <v>16.2</v>
      </c>
      <c r="D137" s="36">
        <f>'GF + UG Iteration 12'!P$16*(C137^'GF + UG Iteration 12'!P$15)</f>
        <v>12.58445665155946</v>
      </c>
      <c r="E137" s="37">
        <f>'GF + UG Iteration 12'!E137</f>
        <v>1982</v>
      </c>
      <c r="F137" s="35">
        <f>'GF + UG Iteration 12'!F137</f>
        <v>11.5</v>
      </c>
      <c r="G137" s="36">
        <f>'GF + UG Iteration 12'!G137</f>
        <v>6.8374623210633541</v>
      </c>
      <c r="H137" s="38">
        <f>'GF + UG Iteration 12'!H137</f>
        <v>2007</v>
      </c>
      <c r="I137" s="35">
        <f t="shared" si="10"/>
        <v>27.7</v>
      </c>
      <c r="J137" s="36">
        <f t="shared" si="11"/>
        <v>19.421918972622812</v>
      </c>
      <c r="K137" s="38">
        <f t="shared" si="12"/>
        <v>2007</v>
      </c>
      <c r="M137" s="21">
        <f t="shared" si="18"/>
        <v>3.3214324131932926</v>
      </c>
      <c r="N137" s="21">
        <f t="shared" si="19"/>
        <v>2.9664022722255963</v>
      </c>
    </row>
    <row r="138" spans="1:14" x14ac:dyDescent="0.2">
      <c r="A138" s="33">
        <f>'GF + UG Iteration 12'!A138</f>
        <v>1568</v>
      </c>
      <c r="B138" s="34" t="str">
        <f>'GF + UG Iteration 12'!B138</f>
        <v>UG</v>
      </c>
      <c r="C138" s="35">
        <f>'GF + UG Iteration 12'!C138</f>
        <v>27.7</v>
      </c>
      <c r="D138" s="36">
        <f>'GF + UG Iteration 12'!P$16*(C138^'GF + UG Iteration 12'!P$15)</f>
        <v>17.109215612444569</v>
      </c>
      <c r="E138" s="37">
        <f>'GF + UG Iteration 12'!E138</f>
        <v>1997</v>
      </c>
      <c r="F138" s="35">
        <f>'GF + UG Iteration 12'!F138</f>
        <v>8.0999999999999979</v>
      </c>
      <c r="G138" s="36">
        <f>'GF + UG Iteration 12'!G138</f>
        <v>3.5848996641236104</v>
      </c>
      <c r="H138" s="38">
        <f>'GF + UG Iteration 12'!H138</f>
        <v>2015</v>
      </c>
      <c r="I138" s="35">
        <f t="shared" si="10"/>
        <v>35.799999999999997</v>
      </c>
      <c r="J138" s="36">
        <f t="shared" si="11"/>
        <v>20.69411527656818</v>
      </c>
      <c r="K138" s="38">
        <f t="shared" si="12"/>
        <v>2015</v>
      </c>
      <c r="M138" s="21">
        <f t="shared" si="18"/>
        <v>3.5779478934066544</v>
      </c>
      <c r="N138" s="21">
        <f t="shared" si="19"/>
        <v>3.0298493736982275</v>
      </c>
    </row>
    <row r="139" spans="1:14" x14ac:dyDescent="0.2">
      <c r="A139" s="33">
        <f>'GF + UG Iteration 12'!A139</f>
        <v>398</v>
      </c>
      <c r="B139" s="34" t="str">
        <f>'GF + UG Iteration 12'!B139</f>
        <v>UG</v>
      </c>
      <c r="C139" s="35">
        <f>'GF + UG Iteration 12'!C139</f>
        <v>27.329000000000001</v>
      </c>
      <c r="D139" s="36">
        <f>'GF + UG Iteration 12'!P$16*(C139^'GF + UG Iteration 12'!P$15)</f>
        <v>16.977625019514129</v>
      </c>
      <c r="E139" s="37">
        <f>'GF + UG Iteration 12'!E139</f>
        <v>1981</v>
      </c>
      <c r="F139" s="35">
        <f>'GF + UG Iteration 12'!F139</f>
        <v>2</v>
      </c>
      <c r="G139" s="36">
        <f>'GF + UG Iteration 12'!G139</f>
        <v>1.454685054931611</v>
      </c>
      <c r="H139" s="38">
        <f>'GF + UG Iteration 12'!H139</f>
        <v>2004</v>
      </c>
      <c r="I139" s="35">
        <f t="shared" si="10"/>
        <v>29.329000000000001</v>
      </c>
      <c r="J139" s="36">
        <f t="shared" si="11"/>
        <v>18.432310074445741</v>
      </c>
      <c r="K139" s="38">
        <f t="shared" si="12"/>
        <v>2004</v>
      </c>
      <c r="M139" s="21">
        <f t="shared" si="18"/>
        <v>3.3785767876246213</v>
      </c>
      <c r="N139" s="21">
        <f t="shared" si="19"/>
        <v>2.9141051069873112</v>
      </c>
    </row>
    <row r="140" spans="1:14" x14ac:dyDescent="0.2">
      <c r="A140" s="33">
        <f>'GF + UG Iteration 12'!A140</f>
        <v>1642</v>
      </c>
      <c r="B140" s="34" t="str">
        <f>'GF + UG Iteration 12'!B140</f>
        <v>UG</v>
      </c>
      <c r="C140" s="35">
        <f>'GF + UG Iteration 12'!C140</f>
        <v>16.12</v>
      </c>
      <c r="D140" s="36">
        <f>'GF + UG Iteration 12'!P$16*(C140^'GF + UG Iteration 12'!P$15)</f>
        <v>12.548834514059077</v>
      </c>
      <c r="E140" s="37" t="str">
        <f>'GF + UG Iteration 12'!E140</f>
        <v>unknown</v>
      </c>
      <c r="F140" s="35">
        <f>'GF + UG Iteration 12'!F140</f>
        <v>2.7799999999999976</v>
      </c>
      <c r="G140" s="36">
        <f>'GF + UG Iteration 12'!G140</f>
        <v>10.134123990225088</v>
      </c>
      <c r="H140" s="38">
        <f>'GF + UG Iteration 12'!H140</f>
        <v>2015</v>
      </c>
      <c r="I140" s="35">
        <f t="shared" si="10"/>
        <v>18.899999999999999</v>
      </c>
      <c r="J140" s="36">
        <f t="shared" si="11"/>
        <v>22.682958504284166</v>
      </c>
      <c r="K140" s="38">
        <f t="shared" si="12"/>
        <v>2015</v>
      </c>
      <c r="M140" s="21">
        <f t="shared" si="18"/>
        <v>2.9391619220655967</v>
      </c>
      <c r="N140" s="21">
        <f t="shared" si="19"/>
        <v>3.1216139158674499</v>
      </c>
    </row>
    <row r="141" spans="1:14" x14ac:dyDescent="0.2">
      <c r="A141" s="33">
        <f>'GF + UG Iteration 12'!A141</f>
        <v>522</v>
      </c>
      <c r="B141" s="34" t="str">
        <f>'GF + UG Iteration 12'!B141</f>
        <v>UG</v>
      </c>
      <c r="C141" s="35">
        <f>'GF + UG Iteration 12'!C141</f>
        <v>38.700000000000003</v>
      </c>
      <c r="D141" s="36">
        <f>'GF + UG Iteration 12'!P$16*(C141^'GF + UG Iteration 12'!P$15)</f>
        <v>20.719987522234057</v>
      </c>
      <c r="E141" s="37">
        <f>'GF + UG Iteration 12'!E141</f>
        <v>1981</v>
      </c>
      <c r="F141" s="35">
        <f>'GF + UG Iteration 12'!F141</f>
        <v>2.2999999999999972</v>
      </c>
      <c r="G141" s="36">
        <f>'GF + UG Iteration 12'!G141</f>
        <v>0.49326793696611254</v>
      </c>
      <c r="H141" s="38">
        <f>'GF + UG Iteration 12'!H141</f>
        <v>2006</v>
      </c>
      <c r="I141" s="35">
        <f t="shared" si="10"/>
        <v>41</v>
      </c>
      <c r="J141" s="36">
        <f t="shared" si="11"/>
        <v>21.21325545920017</v>
      </c>
      <c r="K141" s="38">
        <f t="shared" si="12"/>
        <v>2006</v>
      </c>
      <c r="M141" s="21">
        <f t="shared" si="18"/>
        <v>3.713572066704308</v>
      </c>
      <c r="N141" s="21">
        <f t="shared" si="19"/>
        <v>3.0546262437953748</v>
      </c>
    </row>
    <row r="142" spans="1:14" x14ac:dyDescent="0.2">
      <c r="A142" s="33">
        <f>'GF + UG Iteration 12'!A142</f>
        <v>170</v>
      </c>
      <c r="B142" s="34" t="str">
        <f>'GF + UG Iteration 12'!B142</f>
        <v>UG</v>
      </c>
      <c r="C142" s="35">
        <f>'GF + UG Iteration 12'!C142</f>
        <v>20.399999999999999</v>
      </c>
      <c r="D142" s="36">
        <f>'GF + UG Iteration 12'!P$16*(C142^'GF + UG Iteration 12'!P$15)</f>
        <v>14.360197427684568</v>
      </c>
      <c r="E142" s="37" t="str">
        <f>'GF + UG Iteration 12'!E142</f>
        <v>unknown</v>
      </c>
      <c r="F142" s="35">
        <f>'GF + UG Iteration 12'!F142</f>
        <v>5.6000000000000014</v>
      </c>
      <c r="G142" s="36">
        <f>'GF + UG Iteration 12'!G142</f>
        <v>4.433742547698083</v>
      </c>
      <c r="H142" s="38">
        <f>'GF + UG Iteration 12'!H142</f>
        <v>2001</v>
      </c>
      <c r="I142" s="35">
        <f t="shared" si="10"/>
        <v>26</v>
      </c>
      <c r="J142" s="36">
        <f t="shared" si="11"/>
        <v>18.793939975382649</v>
      </c>
      <c r="K142" s="38">
        <f t="shared" si="12"/>
        <v>2001</v>
      </c>
      <c r="M142" s="21">
        <f t="shared" si="18"/>
        <v>3.2580965380214821</v>
      </c>
      <c r="N142" s="21">
        <f t="shared" si="19"/>
        <v>2.933534476137674</v>
      </c>
    </row>
    <row r="143" spans="1:14" x14ac:dyDescent="0.2">
      <c r="A143" s="33">
        <f>'GF + UG Iteration 12'!A143</f>
        <v>1312</v>
      </c>
      <c r="B143" s="34" t="str">
        <f>'GF + UG Iteration 12'!B143</f>
        <v>UG</v>
      </c>
      <c r="C143" s="35">
        <f>'GF + UG Iteration 12'!C143</f>
        <v>23.63</v>
      </c>
      <c r="D143" s="36">
        <f>'GF + UG Iteration 12'!P$16*(C143^'GF + UG Iteration 12'!P$15)</f>
        <v>15.621096206393553</v>
      </c>
      <c r="E143" s="37" t="str">
        <f>'GF + UG Iteration 12'!E143</f>
        <v>unknown</v>
      </c>
      <c r="F143" s="35">
        <f>'GF + UG Iteration 12'!F143</f>
        <v>0</v>
      </c>
      <c r="G143" s="36">
        <f>'GF + UG Iteration 12'!G143</f>
        <v>6.0245111186360631</v>
      </c>
      <c r="H143" s="38">
        <f>'GF + UG Iteration 12'!H143</f>
        <v>2013</v>
      </c>
      <c r="I143" s="35">
        <f t="shared" si="10"/>
        <v>23.63</v>
      </c>
      <c r="J143" s="36">
        <f t="shared" si="11"/>
        <v>21.645607325029616</v>
      </c>
      <c r="K143" s="38">
        <f t="shared" si="12"/>
        <v>2013</v>
      </c>
      <c r="M143" s="21">
        <f t="shared" si="18"/>
        <v>3.1625170911988163</v>
      </c>
      <c r="N143" s="21">
        <f t="shared" si="19"/>
        <v>3.07480253894474</v>
      </c>
    </row>
    <row r="144" spans="1:14" x14ac:dyDescent="0.2">
      <c r="A144" s="33">
        <f>'GF + UG Iteration 12'!A144</f>
        <v>170</v>
      </c>
      <c r="B144" s="34" t="str">
        <f>'GF + UG Iteration 12'!B144</f>
        <v>UG</v>
      </c>
      <c r="C144" s="35">
        <f>'GF + UG Iteration 12'!C144</f>
        <v>21.6</v>
      </c>
      <c r="D144" s="36">
        <f>'GF + UG Iteration 12'!P$16*(C144^'GF + UG Iteration 12'!P$15)</f>
        <v>14.837966835124037</v>
      </c>
      <c r="E144" s="37" t="str">
        <f>'GF + UG Iteration 12'!E144</f>
        <v>unknown</v>
      </c>
      <c r="F144" s="35">
        <f>'GF + UG Iteration 12'!F144</f>
        <v>1</v>
      </c>
      <c r="G144" s="36">
        <f>'GF + UG Iteration 12'!G144</f>
        <v>4.8829870198591019</v>
      </c>
      <c r="H144" s="38">
        <f>'GF + UG Iteration 12'!H144</f>
        <v>2001</v>
      </c>
      <c r="I144" s="35">
        <f t="shared" si="10"/>
        <v>22.6</v>
      </c>
      <c r="J144" s="36">
        <f t="shared" si="11"/>
        <v>19.72095385498314</v>
      </c>
      <c r="K144" s="38">
        <f t="shared" si="12"/>
        <v>2001</v>
      </c>
      <c r="M144" s="21">
        <f t="shared" si="18"/>
        <v>3.1179499062782403</v>
      </c>
      <c r="N144" s="21">
        <f t="shared" si="19"/>
        <v>2.9816817179328532</v>
      </c>
    </row>
    <row r="145" spans="1:14" x14ac:dyDescent="0.2">
      <c r="A145" s="33">
        <f>'GF + UG Iteration 12'!A145</f>
        <v>1366</v>
      </c>
      <c r="B145" s="34" t="str">
        <f>'GF + UG Iteration 12'!B145</f>
        <v>UG</v>
      </c>
      <c r="C145" s="35">
        <f>'GF + UG Iteration 12'!C145</f>
        <v>25.5</v>
      </c>
      <c r="D145" s="36">
        <f>'GF + UG Iteration 12'!P$16*(C145^'GF + UG Iteration 12'!P$15)</f>
        <v>16.317404856818687</v>
      </c>
      <c r="E145" s="37">
        <f>'GF + UG Iteration 12'!E145</f>
        <v>0</v>
      </c>
      <c r="F145" s="35">
        <f>'GF + UG Iteration 12'!F145</f>
        <v>14</v>
      </c>
      <c r="G145" s="36">
        <f>'GF + UG Iteration 12'!G145</f>
        <v>5.5737060104438019</v>
      </c>
      <c r="H145" s="38">
        <f>'GF + UG Iteration 12'!H145</f>
        <v>2013</v>
      </c>
      <c r="I145" s="35">
        <f t="shared" si="10"/>
        <v>39.5</v>
      </c>
      <c r="J145" s="36">
        <f t="shared" si="11"/>
        <v>21.891110867262491</v>
      </c>
      <c r="K145" s="38">
        <f t="shared" si="12"/>
        <v>2013</v>
      </c>
      <c r="M145" s="21">
        <f t="shared" si="18"/>
        <v>3.6763006719070761</v>
      </c>
      <c r="N145" s="21">
        <f t="shared" si="19"/>
        <v>3.0860806579521523</v>
      </c>
    </row>
    <row r="146" spans="1:14" x14ac:dyDescent="0.2">
      <c r="A146" s="33">
        <f>'GF + UG Iteration 12'!A146</f>
        <v>170</v>
      </c>
      <c r="B146" s="34" t="str">
        <f>'GF + UG Iteration 12'!B146</f>
        <v>UG</v>
      </c>
      <c r="C146" s="35">
        <f>'GF + UG Iteration 12'!C146</f>
        <v>5.4</v>
      </c>
      <c r="D146" s="36">
        <f>'GF + UG Iteration 12'!P$16*(C146^'GF + UG Iteration 12'!P$15)</f>
        <v>6.7086450536720976</v>
      </c>
      <c r="E146" s="37" t="str">
        <f>'GF + UG Iteration 12'!E146</f>
        <v>unknown</v>
      </c>
      <c r="F146" s="35">
        <f>'GF + UG Iteration 12'!F146</f>
        <v>10.6</v>
      </c>
      <c r="G146" s="36">
        <f>'GF + UG Iteration 12'!G146</f>
        <v>5.2097107088088661</v>
      </c>
      <c r="H146" s="38">
        <f>'GF + UG Iteration 12'!H146</f>
        <v>2001</v>
      </c>
      <c r="I146" s="35">
        <f t="shared" si="10"/>
        <v>16</v>
      </c>
      <c r="J146" s="36">
        <f t="shared" si="11"/>
        <v>11.918355762480964</v>
      </c>
      <c r="K146" s="38">
        <f t="shared" si="12"/>
        <v>2001</v>
      </c>
      <c r="M146" s="21">
        <f t="shared" si="18"/>
        <v>2.7725887222397811</v>
      </c>
      <c r="N146" s="21">
        <f t="shared" si="19"/>
        <v>2.4780797127335101</v>
      </c>
    </row>
    <row r="147" spans="1:14" x14ac:dyDescent="0.2">
      <c r="A147" s="33">
        <f>'GF + UG Iteration 12'!A147</f>
        <v>1350</v>
      </c>
      <c r="B147" s="34" t="str">
        <f>'GF + UG Iteration 12'!B147</f>
        <v>UG</v>
      </c>
      <c r="C147" s="35">
        <f>'GF + UG Iteration 12'!C147</f>
        <v>16</v>
      </c>
      <c r="D147" s="36">
        <f>'GF + UG Iteration 12'!P$16*(C147^'GF + UG Iteration 12'!P$15)</f>
        <v>12.495259317640681</v>
      </c>
      <c r="E147" s="37">
        <f>'GF + UG Iteration 12'!E147</f>
        <v>0</v>
      </c>
      <c r="F147" s="35">
        <f>'GF + UG Iteration 12'!F147</f>
        <v>20</v>
      </c>
      <c r="G147" s="36">
        <f>'GF + UG Iteration 12'!G147</f>
        <v>6.5300342953877131</v>
      </c>
      <c r="H147" s="38">
        <f>'GF + UG Iteration 12'!H147</f>
        <v>2013</v>
      </c>
      <c r="I147" s="35">
        <f t="shared" si="10"/>
        <v>36</v>
      </c>
      <c r="J147" s="36">
        <f t="shared" si="11"/>
        <v>19.025293613028396</v>
      </c>
      <c r="K147" s="38">
        <f t="shared" si="12"/>
        <v>2013</v>
      </c>
      <c r="M147" s="21">
        <f t="shared" si="18"/>
        <v>3.5835189384561099</v>
      </c>
      <c r="N147" s="21">
        <f t="shared" si="19"/>
        <v>2.9457693366393527</v>
      </c>
    </row>
    <row r="148" spans="1:14" x14ac:dyDescent="0.2">
      <c r="A148" s="33">
        <f>'GF + UG Iteration 12'!A148</f>
        <v>658</v>
      </c>
      <c r="B148" s="34" t="str">
        <f>'GF + UG Iteration 12'!B148</f>
        <v>UG</v>
      </c>
      <c r="C148" s="35">
        <f>'GF + UG Iteration 12'!C148</f>
        <v>1.6</v>
      </c>
      <c r="D148" s="36">
        <f>'GF + UG Iteration 12'!P$16*(C148^'GF + UG Iteration 12'!P$15)</f>
        <v>3.3430680955299614</v>
      </c>
      <c r="E148" s="37">
        <f>'GF + UG Iteration 12'!E148</f>
        <v>1996</v>
      </c>
      <c r="F148" s="35">
        <f>'GF + UG Iteration 12'!F148</f>
        <v>13.200000000000001</v>
      </c>
      <c r="G148" s="36">
        <f>'GF + UG Iteration 12'!G148</f>
        <v>7.1146692323992218</v>
      </c>
      <c r="H148" s="38">
        <f>'GF + UG Iteration 12'!H148</f>
        <v>2008</v>
      </c>
      <c r="I148" s="35">
        <f t="shared" si="10"/>
        <v>14.8</v>
      </c>
      <c r="J148" s="36">
        <f t="shared" si="11"/>
        <v>10.457737327929184</v>
      </c>
      <c r="K148" s="38">
        <f t="shared" si="12"/>
        <v>2008</v>
      </c>
      <c r="M148" s="21">
        <f t="shared" si="18"/>
        <v>2.6946271807700692</v>
      </c>
      <c r="N148" s="21">
        <f t="shared" si="19"/>
        <v>2.347342118595388</v>
      </c>
    </row>
    <row r="149" spans="1:14" x14ac:dyDescent="0.2">
      <c r="A149" s="33">
        <f>'GF + UG Iteration 12'!A149</f>
        <v>897</v>
      </c>
      <c r="B149" s="34" t="str">
        <f>'GF + UG Iteration 12'!B149</f>
        <v>UG</v>
      </c>
      <c r="C149" s="35">
        <f>'GF + UG Iteration 12'!C149</f>
        <v>14.8</v>
      </c>
      <c r="D149" s="36">
        <f>'GF + UG Iteration 12'!P$16*(C149^'GF + UG Iteration 12'!P$15)</f>
        <v>11.949728221962252</v>
      </c>
      <c r="E149" s="37">
        <f>'GF + UG Iteration 12'!E149</f>
        <v>1996</v>
      </c>
      <c r="F149" s="35">
        <f>'GF + UG Iteration 12'!F149</f>
        <v>3</v>
      </c>
      <c r="G149" s="36">
        <f>'GF + UG Iteration 12'!G149</f>
        <v>6.2372112776035529</v>
      </c>
      <c r="H149" s="38">
        <f>'GF + UG Iteration 12'!H149</f>
        <v>2010</v>
      </c>
      <c r="I149" s="35">
        <f t="shared" si="10"/>
        <v>17.8</v>
      </c>
      <c r="J149" s="36">
        <f t="shared" si="11"/>
        <v>18.186939499565803</v>
      </c>
      <c r="K149" s="38">
        <f t="shared" si="12"/>
        <v>2010</v>
      </c>
      <c r="M149" s="21">
        <f t="shared" si="18"/>
        <v>2.8791984572980396</v>
      </c>
      <c r="N149" s="21">
        <f t="shared" si="19"/>
        <v>2.9007037265635409</v>
      </c>
    </row>
    <row r="150" spans="1:14" x14ac:dyDescent="0.2">
      <c r="A150" s="33">
        <f>'GF + UG Iteration 12'!A150</f>
        <v>483</v>
      </c>
      <c r="B150" s="34" t="str">
        <f>'GF + UG Iteration 12'!B150</f>
        <v>UG</v>
      </c>
      <c r="C150" s="35">
        <f>'GF + UG Iteration 12'!C150</f>
        <v>20.7</v>
      </c>
      <c r="D150" s="36">
        <f>'GF + UG Iteration 12'!P$16*(C150^'GF + UG Iteration 12'!P$15)</f>
        <v>14.480741370399441</v>
      </c>
      <c r="E150" s="37">
        <f>'GF + UG Iteration 12'!E150</f>
        <v>1986</v>
      </c>
      <c r="F150" s="35">
        <f>'GF + UG Iteration 12'!F150</f>
        <v>18.099999999999998</v>
      </c>
      <c r="G150" s="36">
        <f>'GF + UG Iteration 12'!G150</f>
        <v>3.6200694377675466</v>
      </c>
      <c r="H150" s="38">
        <f>'GF + UG Iteration 12'!H150</f>
        <v>2005</v>
      </c>
      <c r="I150" s="35">
        <f t="shared" si="10"/>
        <v>38.799999999999997</v>
      </c>
      <c r="J150" s="36">
        <f t="shared" si="11"/>
        <v>18.100810808166987</v>
      </c>
      <c r="K150" s="38">
        <f t="shared" si="12"/>
        <v>2005</v>
      </c>
      <c r="M150" s="21">
        <f t="shared" si="18"/>
        <v>3.6584202466292277</v>
      </c>
      <c r="N150" s="21">
        <f t="shared" si="19"/>
        <v>2.8959567332997929</v>
      </c>
    </row>
    <row r="151" spans="1:14" x14ac:dyDescent="0.2">
      <c r="A151" s="33">
        <f>'GF + UG Iteration 12'!A151</f>
        <v>1494</v>
      </c>
      <c r="B151" s="34" t="str">
        <f>'GF + UG Iteration 12'!B151</f>
        <v>UG</v>
      </c>
      <c r="C151" s="35">
        <f>'GF + UG Iteration 12'!C151</f>
        <v>13.3</v>
      </c>
      <c r="D151" s="36">
        <f>'GF + UG Iteration 12'!P$16*(C151^'GF + UG Iteration 12'!P$15)</f>
        <v>11.240447902319534</v>
      </c>
      <c r="E151" s="37">
        <f>'GF + UG Iteration 12'!E151</f>
        <v>0</v>
      </c>
      <c r="F151" s="35">
        <f>'GF + UG Iteration 12'!F151</f>
        <v>6</v>
      </c>
      <c r="G151" s="36">
        <f>'GF + UG Iteration 12'!G151</f>
        <v>6.4297485673579153</v>
      </c>
      <c r="H151" s="38">
        <f>'GF + UG Iteration 12'!H151</f>
        <v>2014</v>
      </c>
      <c r="I151" s="35">
        <f t="shared" si="10"/>
        <v>19.3</v>
      </c>
      <c r="J151" s="36">
        <f t="shared" si="11"/>
        <v>17.67019646967745</v>
      </c>
      <c r="K151" s="38">
        <f t="shared" si="12"/>
        <v>2014</v>
      </c>
      <c r="M151" s="21">
        <f t="shared" si="18"/>
        <v>2.9601050959108397</v>
      </c>
      <c r="N151" s="21">
        <f t="shared" si="19"/>
        <v>2.871879405097038</v>
      </c>
    </row>
    <row r="152" spans="1:14" x14ac:dyDescent="0.2">
      <c r="A152" s="33">
        <f>'GF + UG Iteration 12'!A152</f>
        <v>488</v>
      </c>
      <c r="B152" s="34" t="str">
        <f>'GF + UG Iteration 12'!B152</f>
        <v>UG</v>
      </c>
      <c r="C152" s="35">
        <f>'GF + UG Iteration 12'!C152</f>
        <v>41.3</v>
      </c>
      <c r="D152" s="36">
        <f>'GF + UG Iteration 12'!P$16*(C152^'GF + UG Iteration 12'!P$15)</f>
        <v>21.505977741530252</v>
      </c>
      <c r="E152" s="37">
        <f>'GF + UG Iteration 12'!E152</f>
        <v>1982</v>
      </c>
      <c r="F152" s="35">
        <f>'GF + UG Iteration 12'!F152</f>
        <v>24.200000000000003</v>
      </c>
      <c r="G152" s="36">
        <f>'GF + UG Iteration 12'!G152</f>
        <v>0.40462675342078769</v>
      </c>
      <c r="H152" s="38">
        <f>'GF + UG Iteration 12'!H152</f>
        <v>2006</v>
      </c>
      <c r="I152" s="35">
        <f t="shared" si="10"/>
        <v>65.5</v>
      </c>
      <c r="J152" s="36">
        <f t="shared" si="11"/>
        <v>21.910604494951041</v>
      </c>
      <c r="K152" s="38">
        <f t="shared" si="12"/>
        <v>2006</v>
      </c>
      <c r="M152" s="21">
        <f t="shared" si="18"/>
        <v>4.1820501426412067</v>
      </c>
      <c r="N152" s="21">
        <f t="shared" si="19"/>
        <v>3.0869707431378277</v>
      </c>
    </row>
    <row r="153" spans="1:14" x14ac:dyDescent="0.2">
      <c r="A153" s="33">
        <f>'GF + UG Iteration 12'!A153</f>
        <v>1692</v>
      </c>
      <c r="B153" s="34" t="str">
        <f>'GF + UG Iteration 12'!B153</f>
        <v>UG</v>
      </c>
      <c r="C153" s="35">
        <f>'GF + UG Iteration 12'!C153</f>
        <v>65.5</v>
      </c>
      <c r="D153" s="36">
        <f>'GF + UG Iteration 12'!P$16*(C153^'GF + UG Iteration 12'!P$15)</f>
        <v>28.00567024860689</v>
      </c>
      <c r="E153" s="37">
        <f>'GF + UG Iteration 12'!E153</f>
        <v>0</v>
      </c>
      <c r="F153" s="35">
        <f>'GF + UG Iteration 12'!F153</f>
        <v>0</v>
      </c>
      <c r="G153" s="36">
        <f>'GF + UG Iteration 12'!G153</f>
        <v>2.2188176481219593</v>
      </c>
      <c r="H153" s="38">
        <f>'GF + UG Iteration 12'!H153</f>
        <v>2016</v>
      </c>
      <c r="I153" s="35">
        <f t="shared" si="10"/>
        <v>65.5</v>
      </c>
      <c r="J153" s="36">
        <f t="shared" si="11"/>
        <v>30.224487896728849</v>
      </c>
      <c r="K153" s="38">
        <f t="shared" si="12"/>
        <v>2016</v>
      </c>
      <c r="M153" s="21">
        <f t="shared" si="18"/>
        <v>4.1820501426412067</v>
      </c>
      <c r="N153" s="21">
        <f t="shared" si="19"/>
        <v>3.4086524533210549</v>
      </c>
    </row>
    <row r="154" spans="1:14" x14ac:dyDescent="0.2">
      <c r="A154" s="33">
        <f>'GF + UG Iteration 12'!A154</f>
        <v>318</v>
      </c>
      <c r="B154" s="34" t="str">
        <f>'GF + UG Iteration 12'!B154</f>
        <v>UG</v>
      </c>
      <c r="C154" s="35">
        <f>'GF + UG Iteration 12'!C154</f>
        <v>22.87</v>
      </c>
      <c r="D154" s="36">
        <f>'GF + UG Iteration 12'!P$16*(C154^'GF + UG Iteration 12'!P$15)</f>
        <v>15.331406022543298</v>
      </c>
      <c r="E154" s="37">
        <f>'GF + UG Iteration 12'!E154</f>
        <v>1996</v>
      </c>
      <c r="F154" s="35">
        <f>'GF + UG Iteration 12'!F154</f>
        <v>1</v>
      </c>
      <c r="G154" s="36">
        <f>'GF + UG Iteration 12'!G154</f>
        <v>0.76702040063252341</v>
      </c>
      <c r="H154" s="38">
        <f>'GF + UG Iteration 12'!H154</f>
        <v>2001</v>
      </c>
      <c r="I154" s="35">
        <f t="shared" si="10"/>
        <v>23.87</v>
      </c>
      <c r="J154" s="36">
        <f t="shared" si="11"/>
        <v>16.098426423175823</v>
      </c>
      <c r="K154" s="38">
        <f t="shared" si="12"/>
        <v>2001</v>
      </c>
      <c r="M154" s="21">
        <f t="shared" si="18"/>
        <v>3.1726224403507386</v>
      </c>
      <c r="N154" s="21">
        <f t="shared" si="19"/>
        <v>2.7787215295228354</v>
      </c>
    </row>
    <row r="155" spans="1:14" x14ac:dyDescent="0.2">
      <c r="A155" s="33">
        <f>'GF + UG Iteration 12'!A155</f>
        <v>806</v>
      </c>
      <c r="B155" s="34" t="str">
        <f>'GF + UG Iteration 12'!B155</f>
        <v>UG</v>
      </c>
      <c r="C155" s="35">
        <f>'GF + UG Iteration 12'!C155</f>
        <v>23.867000000000001</v>
      </c>
      <c r="D155" s="36">
        <f>'GF + UG Iteration 12'!P$16*(C155^'GF + UG Iteration 12'!P$15)</f>
        <v>15.710616212428077</v>
      </c>
      <c r="E155" s="37">
        <f>'GF + UG Iteration 12'!E155</f>
        <v>1996</v>
      </c>
      <c r="F155" s="35">
        <f>'GF + UG Iteration 12'!F155</f>
        <v>5.4329999999999998</v>
      </c>
      <c r="G155" s="36">
        <f>'GF + UG Iteration 12'!G155</f>
        <v>0.68947713107767894</v>
      </c>
      <c r="H155" s="38">
        <f>'GF + UG Iteration 12'!H155</f>
        <v>2008</v>
      </c>
      <c r="I155" s="35">
        <f t="shared" si="10"/>
        <v>29.3</v>
      </c>
      <c r="J155" s="36">
        <f t="shared" si="11"/>
        <v>16.400093343505755</v>
      </c>
      <c r="K155" s="38">
        <f t="shared" si="12"/>
        <v>2008</v>
      </c>
      <c r="M155" s="21">
        <f t="shared" si="18"/>
        <v>3.3775875160230218</v>
      </c>
      <c r="N155" s="21">
        <f t="shared" si="19"/>
        <v>2.7972870264911354</v>
      </c>
    </row>
    <row r="156" spans="1:14" x14ac:dyDescent="0.2">
      <c r="A156" s="33">
        <f>'GF + UG Iteration 12'!A156</f>
        <v>1495</v>
      </c>
      <c r="B156" s="34" t="str">
        <f>'GF + UG Iteration 12'!B156</f>
        <v>UG</v>
      </c>
      <c r="C156" s="35">
        <f>'GF + UG Iteration 12'!C156</f>
        <v>29.3</v>
      </c>
      <c r="D156" s="36">
        <f>'GF + UG Iteration 12'!P$16*(C156^'GF + UG Iteration 12'!P$15)</f>
        <v>17.668292655842563</v>
      </c>
      <c r="E156" s="37">
        <f>'GF + UG Iteration 12'!E156</f>
        <v>1996</v>
      </c>
      <c r="F156" s="35">
        <f>'GF + UG Iteration 12'!F156</f>
        <v>0</v>
      </c>
      <c r="G156" s="36">
        <f>'GF + UG Iteration 12'!G156</f>
        <v>5.142810508174632</v>
      </c>
      <c r="H156" s="38">
        <f>'GF + UG Iteration 12'!H156</f>
        <v>2014</v>
      </c>
      <c r="I156" s="35">
        <f t="shared" si="10"/>
        <v>29.3</v>
      </c>
      <c r="J156" s="36">
        <f t="shared" si="11"/>
        <v>22.811103164017197</v>
      </c>
      <c r="K156" s="38">
        <f t="shared" si="12"/>
        <v>2014</v>
      </c>
      <c r="M156" s="21">
        <f t="shared" si="18"/>
        <v>3.3775875160230218</v>
      </c>
      <c r="N156" s="21">
        <f t="shared" si="19"/>
        <v>3.1272473983016362</v>
      </c>
    </row>
    <row r="157" spans="1:14" x14ac:dyDescent="0.2">
      <c r="A157" s="33">
        <f>'GF + UG Iteration 12'!A157</f>
        <v>1386</v>
      </c>
      <c r="B157" s="34" t="str">
        <f>'GF + UG Iteration 12'!B157</f>
        <v>UG</v>
      </c>
      <c r="C157" s="35">
        <f>'GF + UG Iteration 12'!C157</f>
        <v>32.700000000000003</v>
      </c>
      <c r="D157" s="36">
        <f>'GF + UG Iteration 12'!P$16*(C157^'GF + UG Iteration 12'!P$15)</f>
        <v>18.814653754962166</v>
      </c>
      <c r="E157" s="37">
        <f>'GF + UG Iteration 12'!E157</f>
        <v>0</v>
      </c>
      <c r="F157" s="35">
        <f>'GF + UG Iteration 12'!F157</f>
        <v>13.5</v>
      </c>
      <c r="G157" s="36">
        <f>'GF + UG Iteration 12'!G157</f>
        <v>0.85934464632152285</v>
      </c>
      <c r="H157" s="38">
        <f>'GF + UG Iteration 12'!H157</f>
        <v>2013</v>
      </c>
      <c r="I157" s="35">
        <f t="shared" si="10"/>
        <v>46.2</v>
      </c>
      <c r="J157" s="36">
        <f t="shared" si="11"/>
        <v>19.67399840128369</v>
      </c>
      <c r="K157" s="38">
        <f t="shared" si="12"/>
        <v>2013</v>
      </c>
      <c r="M157" s="21">
        <f t="shared" si="18"/>
        <v>3.8329797980876932</v>
      </c>
      <c r="N157" s="21">
        <f t="shared" si="19"/>
        <v>2.9792978858302037</v>
      </c>
    </row>
    <row r="158" spans="1:14" x14ac:dyDescent="0.2">
      <c r="A158" s="33">
        <f>'GF + UG Iteration 12'!A158</f>
        <v>928</v>
      </c>
      <c r="B158" s="34" t="str">
        <f>'GF + UG Iteration 12'!B158</f>
        <v>UG</v>
      </c>
      <c r="C158" s="35">
        <f>'GF + UG Iteration 12'!C158</f>
        <v>18.02</v>
      </c>
      <c r="D158" s="36">
        <f>'GF + UG Iteration 12'!P$16*(C158^'GF + UG Iteration 12'!P$15)</f>
        <v>13.375541247350172</v>
      </c>
      <c r="E158" s="37">
        <f>'GF + UG Iteration 12'!E158</f>
        <v>1992</v>
      </c>
      <c r="F158" s="35">
        <f>'GF + UG Iteration 12'!F158</f>
        <v>3.4800000000000004</v>
      </c>
      <c r="G158" s="36">
        <f>'GF + UG Iteration 12'!G158</f>
        <v>10.364367944955573</v>
      </c>
      <c r="H158" s="38">
        <f>'GF + UG Iteration 12'!H158</f>
        <v>2010</v>
      </c>
      <c r="I158" s="35">
        <f t="shared" si="10"/>
        <v>21.5</v>
      </c>
      <c r="J158" s="36">
        <f t="shared" si="11"/>
        <v>23.739909192305745</v>
      </c>
      <c r="K158" s="38">
        <f t="shared" si="12"/>
        <v>2010</v>
      </c>
      <c r="M158" s="21">
        <f t="shared" si="18"/>
        <v>3.068052935133617</v>
      </c>
      <c r="N158" s="21">
        <f t="shared" si="19"/>
        <v>3.1671575640817777</v>
      </c>
    </row>
    <row r="159" spans="1:14" x14ac:dyDescent="0.2">
      <c r="A159" s="33">
        <f>'GF + UG Iteration 12'!A159</f>
        <v>1450</v>
      </c>
      <c r="B159" s="34" t="str">
        <f>'GF + UG Iteration 12'!B159</f>
        <v>UG</v>
      </c>
      <c r="C159" s="35">
        <f>'GF + UG Iteration 12'!C159</f>
        <v>21.5</v>
      </c>
      <c r="D159" s="36">
        <f>'GF + UG Iteration 12'!P$16*(C159^'GF + UG Iteration 12'!P$15)</f>
        <v>14.798593479195025</v>
      </c>
      <c r="E159" s="37">
        <f>'GF + UG Iteration 12'!E159</f>
        <v>1992</v>
      </c>
      <c r="F159" s="35">
        <f>'GF + UG Iteration 12'!F159</f>
        <v>16.299999999999997</v>
      </c>
      <c r="G159" s="36">
        <f>'GF + UG Iteration 12'!G159</f>
        <v>5.1529943993409928</v>
      </c>
      <c r="H159" s="38">
        <f>'GF + UG Iteration 12'!H159</f>
        <v>2014</v>
      </c>
      <c r="I159" s="35">
        <f t="shared" si="10"/>
        <v>37.799999999999997</v>
      </c>
      <c r="J159" s="36">
        <f t="shared" si="11"/>
        <v>19.951587878536017</v>
      </c>
      <c r="K159" s="38">
        <f t="shared" si="12"/>
        <v>2014</v>
      </c>
      <c r="M159" s="21">
        <f t="shared" si="18"/>
        <v>3.6323091026255421</v>
      </c>
      <c r="N159" s="21">
        <f t="shared" si="19"/>
        <v>2.9933087330775985</v>
      </c>
    </row>
    <row r="160" spans="1:14" x14ac:dyDescent="0.2">
      <c r="A160" s="33">
        <f>'GF + UG Iteration 12'!A160</f>
        <v>170</v>
      </c>
      <c r="B160" s="34" t="str">
        <f>'GF + UG Iteration 12'!B160</f>
        <v>UG</v>
      </c>
      <c r="C160" s="35">
        <f>'GF + UG Iteration 12'!C160</f>
        <v>17.7</v>
      </c>
      <c r="D160" s="36">
        <f>'GF + UG Iteration 12'!P$16*(C160^'GF + UG Iteration 12'!P$15)</f>
        <v>13.239014751115727</v>
      </c>
      <c r="E160" s="37" t="str">
        <f>'GF + UG Iteration 12'!E160</f>
        <v>unknown</v>
      </c>
      <c r="F160" s="35">
        <f>'GF + UG Iteration 12'!F160</f>
        <v>8.8000000000000007</v>
      </c>
      <c r="G160" s="36">
        <f>'GF + UG Iteration 12'!G160</f>
        <v>1.1342290648673055</v>
      </c>
      <c r="H160" s="38">
        <f>'GF + UG Iteration 12'!H160</f>
        <v>2001</v>
      </c>
      <c r="I160" s="35">
        <f t="shared" si="10"/>
        <v>26.5</v>
      </c>
      <c r="J160" s="36">
        <f t="shared" si="11"/>
        <v>14.373243815983033</v>
      </c>
      <c r="K160" s="38">
        <f t="shared" si="12"/>
        <v>2001</v>
      </c>
      <c r="M160" s="21">
        <f t="shared" si="18"/>
        <v>3.2771447329921766</v>
      </c>
      <c r="N160" s="21">
        <f t="shared" si="19"/>
        <v>2.6653684098972152</v>
      </c>
    </row>
    <row r="161" spans="1:14" x14ac:dyDescent="0.2">
      <c r="A161" s="33">
        <f>'GF + UG Iteration 12'!A161</f>
        <v>649</v>
      </c>
      <c r="B161" s="34" t="str">
        <f>'GF + UG Iteration 12'!B161</f>
        <v>UG</v>
      </c>
      <c r="C161" s="35">
        <f>'GF + UG Iteration 12'!C161</f>
        <v>26.5</v>
      </c>
      <c r="D161" s="36">
        <f>'GF + UG Iteration 12'!P$16*(C161^'GF + UG Iteration 12'!P$15)</f>
        <v>16.680795958341591</v>
      </c>
      <c r="E161" s="37">
        <f>'GF + UG Iteration 12'!E161</f>
        <v>1997</v>
      </c>
      <c r="F161" s="35">
        <f>'GF + UG Iteration 12'!F161</f>
        <v>33.799999999999997</v>
      </c>
      <c r="G161" s="36">
        <f>'GF + UG Iteration 12'!G161</f>
        <v>5.0180795362586865</v>
      </c>
      <c r="H161" s="38">
        <f>'GF + UG Iteration 12'!H161</f>
        <v>2007</v>
      </c>
      <c r="I161" s="35">
        <f t="shared" si="10"/>
        <v>60.3</v>
      </c>
      <c r="J161" s="36">
        <f t="shared" si="11"/>
        <v>21.698875494600276</v>
      </c>
      <c r="K161" s="38">
        <f t="shared" si="12"/>
        <v>2007</v>
      </c>
      <c r="M161" s="21">
        <f t="shared" si="18"/>
        <v>4.0993321037331398</v>
      </c>
      <c r="N161" s="21">
        <f t="shared" si="19"/>
        <v>3.0772604386783513</v>
      </c>
    </row>
    <row r="162" spans="1:14" x14ac:dyDescent="0.2">
      <c r="A162" s="33">
        <f>'GF + UG Iteration 12'!A162</f>
        <v>1203</v>
      </c>
      <c r="B162" s="34" t="str">
        <f>'GF + UG Iteration 12'!B162</f>
        <v>UG</v>
      </c>
      <c r="C162" s="35">
        <f>'GF + UG Iteration 12'!C162</f>
        <v>20.5</v>
      </c>
      <c r="D162" s="36">
        <f>'GF + UG Iteration 12'!P$16*(C162^'GF + UG Iteration 12'!P$15)</f>
        <v>14.400462408948195</v>
      </c>
      <c r="E162" s="37">
        <f>'GF + UG Iteration 12'!E162</f>
        <v>1977</v>
      </c>
      <c r="F162" s="35">
        <f>'GF + UG Iteration 12'!F162</f>
        <v>4.1000000000000014</v>
      </c>
      <c r="G162" s="36">
        <f>'GF + UG Iteration 12'!G162</f>
        <v>12.443615523285567</v>
      </c>
      <c r="H162" s="38">
        <f>'GF + UG Iteration 12'!H162</f>
        <v>2012</v>
      </c>
      <c r="I162" s="35">
        <f t="shared" si="10"/>
        <v>24.6</v>
      </c>
      <c r="J162" s="36">
        <f t="shared" si="11"/>
        <v>26.844077932233763</v>
      </c>
      <c r="K162" s="38">
        <f t="shared" si="12"/>
        <v>2012</v>
      </c>
      <c r="M162" s="21">
        <f t="shared" si="18"/>
        <v>3.202746442938317</v>
      </c>
      <c r="N162" s="21">
        <f t="shared" si="19"/>
        <v>3.2900452354445786</v>
      </c>
    </row>
    <row r="163" spans="1:14" x14ac:dyDescent="0.2">
      <c r="A163" s="33">
        <f>'GF + UG Iteration 12'!A163</f>
        <v>170</v>
      </c>
      <c r="B163" s="34" t="str">
        <f>'GF + UG Iteration 12'!B163</f>
        <v>UG</v>
      </c>
      <c r="C163" s="35">
        <f>'GF + UG Iteration 12'!C163</f>
        <v>7.9</v>
      </c>
      <c r="D163" s="36">
        <f>'GF + UG Iteration 12'!P$16*(C163^'GF + UG Iteration 12'!P$15)</f>
        <v>8.3415628902850774</v>
      </c>
      <c r="E163" s="37">
        <f>'GF + UG Iteration 12'!E163</f>
        <v>1972</v>
      </c>
      <c r="F163" s="35">
        <f>'GF + UG Iteration 12'!F163</f>
        <v>6.1</v>
      </c>
      <c r="G163" s="36">
        <f>'GF + UG Iteration 12'!G163</f>
        <v>2.9004939377112939</v>
      </c>
      <c r="H163" s="38">
        <f>'GF + UG Iteration 12'!H163</f>
        <v>2001</v>
      </c>
      <c r="I163" s="35">
        <f t="shared" si="10"/>
        <v>14</v>
      </c>
      <c r="J163" s="36">
        <f t="shared" si="11"/>
        <v>11.242056827996372</v>
      </c>
      <c r="K163" s="38">
        <f t="shared" si="12"/>
        <v>2001</v>
      </c>
      <c r="M163" s="21">
        <f t="shared" si="18"/>
        <v>2.6390573296152584</v>
      </c>
      <c r="N163" s="21">
        <f t="shared" si="19"/>
        <v>2.419661819539209</v>
      </c>
    </row>
    <row r="164" spans="1:14" x14ac:dyDescent="0.2">
      <c r="A164" s="33">
        <f>'GF + UG Iteration 12'!A164</f>
        <v>363</v>
      </c>
      <c r="B164" s="34" t="str">
        <f>'GF + UG Iteration 12'!B164</f>
        <v>UG</v>
      </c>
      <c r="C164" s="35">
        <f>'GF + UG Iteration 12'!C164</f>
        <v>21.225999999999999</v>
      </c>
      <c r="D164" s="36">
        <f>'GF + UG Iteration 12'!P$16*(C164^'GF + UG Iteration 12'!P$15)</f>
        <v>14.69030748272867</v>
      </c>
      <c r="E164" s="37">
        <f>'GF + UG Iteration 12'!E164</f>
        <v>1975</v>
      </c>
      <c r="F164" s="35">
        <f>'GF + UG Iteration 12'!F164</f>
        <v>4.1999999999999993</v>
      </c>
      <c r="G164" s="36">
        <f>'GF + UG Iteration 12'!G164</f>
        <v>0.82194253395528394</v>
      </c>
      <c r="H164" s="38">
        <f>'GF + UG Iteration 12'!H164</f>
        <v>2004</v>
      </c>
      <c r="I164" s="35">
        <f t="shared" si="10"/>
        <v>25.425999999999998</v>
      </c>
      <c r="J164" s="36">
        <f t="shared" si="11"/>
        <v>15.512250016683954</v>
      </c>
      <c r="K164" s="38">
        <f t="shared" si="12"/>
        <v>2004</v>
      </c>
      <c r="M164" s="21">
        <f t="shared" si="18"/>
        <v>3.2357722725279308</v>
      </c>
      <c r="N164" s="21">
        <f t="shared" si="19"/>
        <v>2.7416300354409397</v>
      </c>
    </row>
    <row r="165" spans="1:14" x14ac:dyDescent="0.2">
      <c r="A165" s="33">
        <f>'GF + UG Iteration 12'!A165</f>
        <v>493</v>
      </c>
      <c r="B165" s="34" t="str">
        <f>'GF + UG Iteration 12'!B165</f>
        <v>UG</v>
      </c>
      <c r="C165" s="35">
        <f>'GF + UG Iteration 12'!C165</f>
        <v>25.4</v>
      </c>
      <c r="D165" s="36">
        <f>'GF + UG Iteration 12'!P$16*(C165^'GF + UG Iteration 12'!P$15)</f>
        <v>16.280733517276843</v>
      </c>
      <c r="E165" s="37">
        <f>'GF + UG Iteration 12'!E165</f>
        <v>1975</v>
      </c>
      <c r="F165" s="35">
        <f>'GF + UG Iteration 12'!F165</f>
        <v>3.3000000000000007</v>
      </c>
      <c r="G165" s="36">
        <f>'GF + UG Iteration 12'!G165</f>
        <v>3.4002692913337142</v>
      </c>
      <c r="H165" s="38">
        <f>'GF + UG Iteration 12'!H165</f>
        <v>2006</v>
      </c>
      <c r="I165" s="35">
        <f t="shared" si="10"/>
        <v>28.7</v>
      </c>
      <c r="J165" s="36">
        <f t="shared" si="11"/>
        <v>19.681002808610558</v>
      </c>
      <c r="K165" s="38">
        <f t="shared" si="12"/>
        <v>2006</v>
      </c>
      <c r="M165" s="21">
        <f t="shared" si="18"/>
        <v>3.3568971227655755</v>
      </c>
      <c r="N165" s="21">
        <f t="shared" si="19"/>
        <v>2.9796538460479898</v>
      </c>
    </row>
    <row r="166" spans="1:14" x14ac:dyDescent="0.2">
      <c r="A166" s="33">
        <f>'GF + UG Iteration 12'!A166</f>
        <v>685</v>
      </c>
      <c r="B166" s="34" t="str">
        <f>'GF + UG Iteration 12'!B166</f>
        <v>UG</v>
      </c>
      <c r="C166" s="35">
        <f>'GF + UG Iteration 12'!C166</f>
        <v>28.7</v>
      </c>
      <c r="D166" s="36">
        <f>'GF + UG Iteration 12'!P$16*(C166^'GF + UG Iteration 12'!P$15)</f>
        <v>17.460205804547282</v>
      </c>
      <c r="E166" s="37">
        <f>'GF + UG Iteration 12'!E166</f>
        <v>1975</v>
      </c>
      <c r="F166" s="35">
        <f>'GF + UG Iteration 12'!F166</f>
        <v>4.1999999999999993</v>
      </c>
      <c r="G166" s="36">
        <f>'GF + UG Iteration 12'!G166</f>
        <v>0.94606982488538283</v>
      </c>
      <c r="H166" s="38">
        <f>'GF + UG Iteration 12'!H166</f>
        <v>2007</v>
      </c>
      <c r="I166" s="35">
        <f t="shared" si="10"/>
        <v>32.9</v>
      </c>
      <c r="J166" s="36">
        <f t="shared" si="11"/>
        <v>18.406275629432667</v>
      </c>
      <c r="K166" s="38">
        <f t="shared" si="12"/>
        <v>2007</v>
      </c>
      <c r="M166" s="21">
        <f t="shared" si="18"/>
        <v>3.493472657771326</v>
      </c>
      <c r="N166" s="21">
        <f t="shared" si="19"/>
        <v>2.9126916732818677</v>
      </c>
    </row>
    <row r="167" spans="1:14" x14ac:dyDescent="0.2">
      <c r="A167" s="33">
        <f>'GF + UG Iteration 12'!A167</f>
        <v>1574</v>
      </c>
      <c r="B167" s="34" t="str">
        <f>'GF + UG Iteration 12'!B167</f>
        <v>UG</v>
      </c>
      <c r="C167" s="35">
        <f>'GF + UG Iteration 12'!C167</f>
        <v>28</v>
      </c>
      <c r="D167" s="36">
        <f>'GF + UG Iteration 12'!P$16*(C167^'GF + UG Iteration 12'!P$15)</f>
        <v>17.215073155859219</v>
      </c>
      <c r="E167" s="37">
        <f>'GF + UG Iteration 12'!E167</f>
        <v>2013</v>
      </c>
      <c r="F167" s="35">
        <f>'GF + UG Iteration 12'!F167</f>
        <v>0</v>
      </c>
      <c r="G167" s="36">
        <f>'GF + UG Iteration 12'!G167</f>
        <v>6.2662260340537754</v>
      </c>
      <c r="H167" s="38">
        <f>'GF + UG Iteration 12'!H167</f>
        <v>2015</v>
      </c>
      <c r="I167" s="35">
        <f t="shared" si="10"/>
        <v>28</v>
      </c>
      <c r="J167" s="36">
        <f t="shared" si="11"/>
        <v>23.481299189912995</v>
      </c>
      <c r="K167" s="38">
        <f t="shared" si="12"/>
        <v>2015</v>
      </c>
      <c r="M167" s="21">
        <f t="shared" si="18"/>
        <v>3.3322045101752038</v>
      </c>
      <c r="N167" s="21">
        <f t="shared" si="19"/>
        <v>3.156204325197165</v>
      </c>
    </row>
    <row r="168" spans="1:14" x14ac:dyDescent="0.2">
      <c r="A168" s="33">
        <f>'GF + UG Iteration 12'!A168</f>
        <v>435</v>
      </c>
      <c r="B168" s="34" t="str">
        <f>'GF + UG Iteration 12'!B168</f>
        <v>UG</v>
      </c>
      <c r="C168" s="35">
        <f>'GF + UG Iteration 12'!C168</f>
        <v>10.6</v>
      </c>
      <c r="D168" s="36">
        <f>'GF + UG Iteration 12'!P$16*(C168^'GF + UG Iteration 12'!P$15)</f>
        <v>9.870889743158342</v>
      </c>
      <c r="E168" s="37">
        <f>'GF + UG Iteration 12'!E168</f>
        <v>1990</v>
      </c>
      <c r="F168" s="35">
        <f>'GF + UG Iteration 12'!F168</f>
        <v>8.4</v>
      </c>
      <c r="G168" s="36">
        <f>'GF + UG Iteration 12'!G168</f>
        <v>3.0773639102073269</v>
      </c>
      <c r="H168" s="38">
        <f>'GF + UG Iteration 12'!H168</f>
        <v>2004</v>
      </c>
      <c r="I168" s="35">
        <f t="shared" si="10"/>
        <v>19</v>
      </c>
      <c r="J168" s="36">
        <f t="shared" si="11"/>
        <v>12.948253653365668</v>
      </c>
      <c r="K168" s="38">
        <f t="shared" si="12"/>
        <v>2004</v>
      </c>
      <c r="M168" s="21">
        <f t="shared" si="18"/>
        <v>2.9444389791664403</v>
      </c>
      <c r="N168" s="21">
        <f t="shared" si="19"/>
        <v>2.5609609260301043</v>
      </c>
    </row>
    <row r="169" spans="1:14" x14ac:dyDescent="0.2">
      <c r="A169" s="33">
        <f>'GF + UG Iteration 12'!A169</f>
        <v>652</v>
      </c>
      <c r="B169" s="34" t="str">
        <f>'GF + UG Iteration 12'!B169</f>
        <v>UG</v>
      </c>
      <c r="C169" s="35">
        <f>'GF + UG Iteration 12'!C169</f>
        <v>10.195</v>
      </c>
      <c r="D169" s="36">
        <f>'GF + UG Iteration 12'!P$16*(C169^'GF + UG Iteration 12'!P$15)</f>
        <v>9.6531418833780815</v>
      </c>
      <c r="E169" s="37">
        <f>'GF + UG Iteration 12'!E169</f>
        <v>1986</v>
      </c>
      <c r="F169" s="35">
        <f>'GF + UG Iteration 12'!F169</f>
        <v>3.4049999999999994</v>
      </c>
      <c r="G169" s="36">
        <f>'GF + UG Iteration 12'!G169</f>
        <v>4.380227937072533</v>
      </c>
      <c r="H169" s="38">
        <f>'GF + UG Iteration 12'!H169</f>
        <v>2007</v>
      </c>
      <c r="I169" s="35">
        <f t="shared" si="10"/>
        <v>13.6</v>
      </c>
      <c r="J169" s="36">
        <f t="shared" si="11"/>
        <v>14.033369820450615</v>
      </c>
      <c r="K169" s="38">
        <f t="shared" si="12"/>
        <v>2007</v>
      </c>
      <c r="M169" s="21">
        <f t="shared" si="18"/>
        <v>2.6100697927420065</v>
      </c>
      <c r="N169" s="21">
        <f t="shared" si="19"/>
        <v>2.6414380520489562</v>
      </c>
    </row>
    <row r="170" spans="1:14" x14ac:dyDescent="0.2">
      <c r="A170" s="33">
        <f>'GF + UG Iteration 12'!A170</f>
        <v>366</v>
      </c>
      <c r="B170" s="34" t="str">
        <f>'GF + UG Iteration 12'!B170</f>
        <v>UG</v>
      </c>
      <c r="C170" s="35">
        <f>'GF + UG Iteration 12'!C170</f>
        <v>11.1</v>
      </c>
      <c r="D170" s="36">
        <f>'GF + UG Iteration 12'!P$16*(C170^'GF + UG Iteration 12'!P$15)</f>
        <v>10.13486810411405</v>
      </c>
      <c r="E170" s="37">
        <f>'GF + UG Iteration 12'!E170</f>
        <v>1981</v>
      </c>
      <c r="F170" s="35">
        <f>'GF + UG Iteration 12'!F170</f>
        <v>4.8000000000000007</v>
      </c>
      <c r="G170" s="36">
        <f>'GF + UG Iteration 12'!G170</f>
        <v>0.60207988766843201</v>
      </c>
      <c r="H170" s="38">
        <f>'GF + UG Iteration 12'!H170</f>
        <v>2003</v>
      </c>
      <c r="I170" s="35">
        <f t="shared" si="10"/>
        <v>15.9</v>
      </c>
      <c r="J170" s="36">
        <f t="shared" si="11"/>
        <v>10.736947991782483</v>
      </c>
      <c r="K170" s="38">
        <f t="shared" si="12"/>
        <v>2003</v>
      </c>
      <c r="M170" s="21">
        <f t="shared" si="18"/>
        <v>2.7663191092261861</v>
      </c>
      <c r="N170" s="21">
        <f t="shared" si="19"/>
        <v>2.373690876608888</v>
      </c>
    </row>
    <row r="171" spans="1:14" x14ac:dyDescent="0.2">
      <c r="A171" s="33">
        <f>'GF + UG Iteration 12'!A171</f>
        <v>1640</v>
      </c>
      <c r="B171" s="34" t="str">
        <f>'GF + UG Iteration 12'!B171</f>
        <v>UG</v>
      </c>
      <c r="C171" s="35">
        <f>'GF + UG Iteration 12'!C171</f>
        <v>15.9</v>
      </c>
      <c r="D171" s="36">
        <f>'GF + UG Iteration 12'!P$16*(C171^'GF + UG Iteration 12'!P$15)</f>
        <v>12.450482000425239</v>
      </c>
      <c r="E171" s="37">
        <f>'GF + UG Iteration 12'!E171</f>
        <v>1981</v>
      </c>
      <c r="F171" s="35">
        <f>'GF + UG Iteration 12'!F171</f>
        <v>2.4999999999999982</v>
      </c>
      <c r="G171" s="36">
        <f>'GF + UG Iteration 12'!G171</f>
        <v>8.3244002844443177</v>
      </c>
      <c r="H171" s="38">
        <f>'GF + UG Iteration 12'!H171</f>
        <v>2015</v>
      </c>
      <c r="I171" s="35">
        <f t="shared" si="10"/>
        <v>18.399999999999999</v>
      </c>
      <c r="J171" s="36">
        <f t="shared" si="11"/>
        <v>20.774882284869555</v>
      </c>
      <c r="K171" s="38">
        <f t="shared" si="12"/>
        <v>2015</v>
      </c>
      <c r="M171" s="21">
        <f t="shared" si="18"/>
        <v>2.91235066461494</v>
      </c>
      <c r="N171" s="21">
        <f t="shared" si="19"/>
        <v>3.0337446745338612</v>
      </c>
    </row>
    <row r="172" spans="1:14" x14ac:dyDescent="0.2">
      <c r="A172" s="33">
        <f>'GF + UG Iteration 12'!A172</f>
        <v>367</v>
      </c>
      <c r="B172" s="34" t="str">
        <f>'GF + UG Iteration 12'!B172</f>
        <v>UG</v>
      </c>
      <c r="C172" s="35">
        <f>'GF + UG Iteration 12'!C172</f>
        <v>11.211</v>
      </c>
      <c r="D172" s="36">
        <f>'GF + UG Iteration 12'!P$16*(C172^'GF + UG Iteration 12'!P$15)</f>
        <v>10.192776935597442</v>
      </c>
      <c r="E172" s="37">
        <f>'GF + UG Iteration 12'!E172</f>
        <v>1988</v>
      </c>
      <c r="F172" s="35">
        <f>'GF + UG Iteration 12'!F172</f>
        <v>1</v>
      </c>
      <c r="G172" s="36">
        <f>'GF + UG Iteration 12'!G172</f>
        <v>0.55588557988620213</v>
      </c>
      <c r="H172" s="38">
        <f>'GF + UG Iteration 12'!H172</f>
        <v>2004</v>
      </c>
      <c r="I172" s="35">
        <f t="shared" si="10"/>
        <v>12.211</v>
      </c>
      <c r="J172" s="36">
        <f t="shared" si="11"/>
        <v>10.748662515483645</v>
      </c>
      <c r="K172" s="38">
        <f t="shared" si="12"/>
        <v>2004</v>
      </c>
      <c r="M172" s="21">
        <f t="shared" si="18"/>
        <v>2.5023371848508846</v>
      </c>
      <c r="N172" s="21">
        <f t="shared" si="19"/>
        <v>2.3747813296689024</v>
      </c>
    </row>
    <row r="173" spans="1:14" x14ac:dyDescent="0.2">
      <c r="A173" s="33">
        <f>'GF + UG Iteration 12'!A173</f>
        <v>650</v>
      </c>
      <c r="B173" s="34" t="str">
        <f>'GF + UG Iteration 12'!B173</f>
        <v>UG</v>
      </c>
      <c r="C173" s="35">
        <f>'GF + UG Iteration 12'!C173</f>
        <v>23</v>
      </c>
      <c r="D173" s="36">
        <f>'GF + UG Iteration 12'!P$16*(C173^'GF + UG Iteration 12'!P$15)</f>
        <v>15.381246719322945</v>
      </c>
      <c r="E173" s="37">
        <f>'GF + UG Iteration 12'!E173</f>
        <v>1981</v>
      </c>
      <c r="F173" s="35">
        <f>'GF + UG Iteration 12'!F173</f>
        <v>0</v>
      </c>
      <c r="G173" s="36">
        <f>'GF + UG Iteration 12'!G173</f>
        <v>5.9476879309059552</v>
      </c>
      <c r="H173" s="38">
        <f>'GF + UG Iteration 12'!H173</f>
        <v>2007</v>
      </c>
      <c r="I173" s="35">
        <f t="shared" si="10"/>
        <v>23</v>
      </c>
      <c r="J173" s="36">
        <f t="shared" si="11"/>
        <v>21.328934650228902</v>
      </c>
      <c r="K173" s="38">
        <f t="shared" si="12"/>
        <v>2007</v>
      </c>
      <c r="M173" s="21">
        <f t="shared" si="18"/>
        <v>3.1354942159291497</v>
      </c>
      <c r="N173" s="21">
        <f t="shared" si="19"/>
        <v>3.0600645851613182</v>
      </c>
    </row>
    <row r="174" spans="1:14" x14ac:dyDescent="0.2">
      <c r="A174" s="33">
        <f>'GF + UG Iteration 12'!A174</f>
        <v>902</v>
      </c>
      <c r="B174" s="34" t="str">
        <f>'GF + UG Iteration 12'!B174</f>
        <v>UG</v>
      </c>
      <c r="C174" s="35">
        <f>'GF + UG Iteration 12'!C174</f>
        <v>19.2</v>
      </c>
      <c r="D174" s="36">
        <f>'GF + UG Iteration 12'!P$16*(C174^'GF + UG Iteration 12'!P$15)</f>
        <v>13.870255433931899</v>
      </c>
      <c r="E174" s="37">
        <f>'GF + UG Iteration 12'!E174</f>
        <v>2002</v>
      </c>
      <c r="F174" s="35">
        <f>'GF + UG Iteration 12'!F174</f>
        <v>13.500000000000004</v>
      </c>
      <c r="G174" s="36">
        <f>'GF + UG Iteration 12'!G174</f>
        <v>0.54699963688402187</v>
      </c>
      <c r="H174" s="38">
        <f>'GF + UG Iteration 12'!H174</f>
        <v>2009</v>
      </c>
      <c r="I174" s="35">
        <f t="shared" si="10"/>
        <v>32.700000000000003</v>
      </c>
      <c r="J174" s="36">
        <f t="shared" si="11"/>
        <v>14.417255070815921</v>
      </c>
      <c r="K174" s="38">
        <f t="shared" si="12"/>
        <v>2009</v>
      </c>
      <c r="M174" s="21">
        <f t="shared" si="18"/>
        <v>3.487375077903208</v>
      </c>
      <c r="N174" s="21">
        <f t="shared" si="19"/>
        <v>2.6684257580375452</v>
      </c>
    </row>
    <row r="175" spans="1:14" x14ac:dyDescent="0.2">
      <c r="A175" s="33">
        <f>'GF + UG Iteration 12'!A175</f>
        <v>1202</v>
      </c>
      <c r="B175" s="34" t="str">
        <f>'GF + UG Iteration 12'!B175</f>
        <v>UG</v>
      </c>
      <c r="C175" s="35">
        <f>'GF + UG Iteration 12'!C175</f>
        <v>19.399999999999999</v>
      </c>
      <c r="D175" s="36">
        <f>'GF + UG Iteration 12'!P$16*(C175^'GF + UG Iteration 12'!P$15)</f>
        <v>13.95280248158851</v>
      </c>
      <c r="E175" s="37">
        <f>'GF + UG Iteration 12'!E175</f>
        <v>1989</v>
      </c>
      <c r="F175" s="35">
        <f>'GF + UG Iteration 12'!F175</f>
        <v>1.6000000000000014</v>
      </c>
      <c r="G175" s="36">
        <f>'GF + UG Iteration 12'!G175</f>
        <v>10.745042225505973</v>
      </c>
      <c r="H175" s="38">
        <f>'GF + UG Iteration 12'!H175</f>
        <v>2012</v>
      </c>
      <c r="I175" s="35">
        <f t="shared" si="10"/>
        <v>21</v>
      </c>
      <c r="J175" s="36">
        <f t="shared" si="11"/>
        <v>24.697844707094482</v>
      </c>
      <c r="K175" s="38">
        <f t="shared" si="12"/>
        <v>2012</v>
      </c>
      <c r="M175" s="21">
        <f t="shared" si="18"/>
        <v>3.044522437723423</v>
      </c>
      <c r="N175" s="21">
        <f t="shared" si="19"/>
        <v>3.2067159810045731</v>
      </c>
    </row>
    <row r="176" spans="1:14" x14ac:dyDescent="0.2">
      <c r="A176" s="33">
        <f>'GF + UG Iteration 12'!A176</f>
        <v>1338</v>
      </c>
      <c r="B176" s="34" t="str">
        <f>'GF + UG Iteration 12'!B176</f>
        <v>UG</v>
      </c>
      <c r="C176" s="35">
        <f>'GF + UG Iteration 12'!C176</f>
        <v>7.5</v>
      </c>
      <c r="D176" s="36">
        <f>'GF + UG Iteration 12'!P$16*(C176^'GF + UG Iteration 12'!P$15)</f>
        <v>8.097039059060096</v>
      </c>
      <c r="E176" s="37" t="str">
        <f>'GF + UG Iteration 12'!E176</f>
        <v>unknown</v>
      </c>
      <c r="F176" s="35">
        <f>'GF + UG Iteration 12'!F176</f>
        <v>2</v>
      </c>
      <c r="G176" s="36">
        <f>'GF + UG Iteration 12'!G176</f>
        <v>6.6635813355623759</v>
      </c>
      <c r="H176" s="38">
        <f>'GF + UG Iteration 12'!H176</f>
        <v>2013</v>
      </c>
      <c r="I176" s="35">
        <f t="shared" si="10"/>
        <v>9.5</v>
      </c>
      <c r="J176" s="36">
        <f t="shared" si="11"/>
        <v>14.760620394622471</v>
      </c>
      <c r="K176" s="38">
        <f t="shared" si="12"/>
        <v>2013</v>
      </c>
      <c r="M176" s="21">
        <f t="shared" si="18"/>
        <v>2.2512917986064953</v>
      </c>
      <c r="N176" s="21">
        <f t="shared" si="19"/>
        <v>2.6919628504449942</v>
      </c>
    </row>
    <row r="177" spans="1:14" x14ac:dyDescent="0.2">
      <c r="A177" s="33">
        <f>'GF + UG Iteration 12'!A177</f>
        <v>212</v>
      </c>
      <c r="B177" s="34" t="str">
        <f>'GF + UG Iteration 12'!B177</f>
        <v>UG</v>
      </c>
      <c r="C177" s="35">
        <f>'GF + UG Iteration 12'!C177</f>
        <v>36.549999999999997</v>
      </c>
      <c r="D177" s="36">
        <f>'GF + UG Iteration 12'!P$16*(C177^'GF + UG Iteration 12'!P$15)</f>
        <v>20.052822251503205</v>
      </c>
      <c r="E177" s="37">
        <f>'GF + UG Iteration 12'!E177</f>
        <v>1978</v>
      </c>
      <c r="F177" s="35">
        <f>'GF + UG Iteration 12'!F177</f>
        <v>28</v>
      </c>
      <c r="G177" s="36">
        <f>'GF + UG Iteration 12'!G177</f>
        <v>4.6264535731184777</v>
      </c>
      <c r="H177" s="38">
        <f>'GF + UG Iteration 12'!H177</f>
        <v>2003</v>
      </c>
      <c r="I177" s="35">
        <f t="shared" si="10"/>
        <v>64.55</v>
      </c>
      <c r="J177" s="36">
        <f t="shared" si="11"/>
        <v>24.679275824621683</v>
      </c>
      <c r="K177" s="38">
        <f t="shared" si="12"/>
        <v>2003</v>
      </c>
      <c r="M177" s="21">
        <f t="shared" si="18"/>
        <v>4.1674401172926512</v>
      </c>
      <c r="N177" s="21">
        <f t="shared" si="19"/>
        <v>3.2059638560062664</v>
      </c>
    </row>
    <row r="178" spans="1:14" x14ac:dyDescent="0.2">
      <c r="A178" s="33">
        <f>'GF + UG Iteration 12'!A178</f>
        <v>653</v>
      </c>
      <c r="B178" s="34" t="str">
        <f>'GF + UG Iteration 12'!B178</f>
        <v>UG</v>
      </c>
      <c r="C178" s="35">
        <f>'GF + UG Iteration 12'!C178</f>
        <v>64.55</v>
      </c>
      <c r="D178" s="36">
        <f>'GF + UG Iteration 12'!P$16*(C178^'GF + UG Iteration 12'!P$15)</f>
        <v>27.772360438621305</v>
      </c>
      <c r="E178" s="37">
        <f>'GF + UG Iteration 12'!E178</f>
        <v>1977</v>
      </c>
      <c r="F178" s="35">
        <f>'GF + UG Iteration 12'!F178</f>
        <v>1.3200000000000074</v>
      </c>
      <c r="G178" s="36">
        <f>'GF + UG Iteration 12'!G178</f>
        <v>0.56894692945086811</v>
      </c>
      <c r="H178" s="38">
        <f>'GF + UG Iteration 12'!H178</f>
        <v>2007</v>
      </c>
      <c r="I178" s="35">
        <f t="shared" si="10"/>
        <v>65.87</v>
      </c>
      <c r="J178" s="36">
        <f t="shared" si="11"/>
        <v>28.341307368072172</v>
      </c>
      <c r="K178" s="38">
        <f t="shared" si="12"/>
        <v>2007</v>
      </c>
      <c r="M178" s="21">
        <f t="shared" si="18"/>
        <v>4.1876831026526018</v>
      </c>
      <c r="N178" s="21">
        <f t="shared" si="19"/>
        <v>3.3443203647465727</v>
      </c>
    </row>
    <row r="179" spans="1:14" x14ac:dyDescent="0.2">
      <c r="A179" s="33">
        <f>'GF + UG Iteration 12'!A179</f>
        <v>1679</v>
      </c>
      <c r="B179" s="34" t="str">
        <f>'GF + UG Iteration 12'!B179</f>
        <v>UG</v>
      </c>
      <c r="C179" s="35">
        <f>'GF + UG Iteration 12'!C179</f>
        <v>65.87</v>
      </c>
      <c r="D179" s="36">
        <f>'GF + UG Iteration 12'!P$16*(C179^'GF + UG Iteration 12'!P$15)</f>
        <v>28.09614650099569</v>
      </c>
      <c r="E179" s="37">
        <f>'GF + UG Iteration 12'!E179</f>
        <v>1977</v>
      </c>
      <c r="F179" s="35">
        <f>'GF + UG Iteration 12'!F179</f>
        <v>0</v>
      </c>
      <c r="G179" s="36">
        <f>'GF + UG Iteration 12'!G179</f>
        <v>3.0359489017822221</v>
      </c>
      <c r="H179" s="38">
        <f>'GF + UG Iteration 12'!H179</f>
        <v>2016</v>
      </c>
      <c r="I179" s="35">
        <f t="shared" si="10"/>
        <v>65.87</v>
      </c>
      <c r="J179" s="36">
        <f t="shared" si="11"/>
        <v>31.132095402777914</v>
      </c>
      <c r="K179" s="38">
        <f t="shared" si="12"/>
        <v>2016</v>
      </c>
      <c r="M179" s="21">
        <f t="shared" si="18"/>
        <v>4.1876831026526018</v>
      </c>
      <c r="N179" s="21">
        <f t="shared" si="19"/>
        <v>3.4382392935527415</v>
      </c>
    </row>
    <row r="180" spans="1:14" x14ac:dyDescent="0.2">
      <c r="A180" s="33">
        <f>'GF + UG Iteration 12'!A180</f>
        <v>1382</v>
      </c>
      <c r="B180" s="34" t="str">
        <f>'GF + UG Iteration 12'!B180</f>
        <v>UG</v>
      </c>
      <c r="C180" s="35">
        <f>'GF + UG Iteration 12'!C180</f>
        <v>24.2</v>
      </c>
      <c r="D180" s="36">
        <f>'GF + UG Iteration 12'!P$16*(C180^'GF + UG Iteration 12'!P$15)</f>
        <v>15.835758105499604</v>
      </c>
      <c r="E180" s="37" t="str">
        <f>'GF + UG Iteration 12'!E180</f>
        <v>unknown</v>
      </c>
      <c r="F180" s="35">
        <f>'GF + UG Iteration 12'!F180</f>
        <v>11.900000000000002</v>
      </c>
      <c r="G180" s="36">
        <f>'GF + UG Iteration 12'!G180</f>
        <v>2.4484361075925429</v>
      </c>
      <c r="H180" s="38">
        <f>'GF + UG Iteration 12'!H180</f>
        <v>2013</v>
      </c>
      <c r="I180" s="35">
        <f t="shared" si="10"/>
        <v>36.1</v>
      </c>
      <c r="J180" s="36">
        <f t="shared" si="11"/>
        <v>18.284194213092146</v>
      </c>
      <c r="K180" s="38">
        <f t="shared" si="12"/>
        <v>2013</v>
      </c>
      <c r="M180" s="21">
        <f t="shared" si="18"/>
        <v>3.5862928653388351</v>
      </c>
      <c r="N180" s="21">
        <f t="shared" si="19"/>
        <v>2.9060369824373762</v>
      </c>
    </row>
    <row r="181" spans="1:14" x14ac:dyDescent="0.2">
      <c r="A181" s="33">
        <f>'GF + UG Iteration 12'!A181</f>
        <v>1638</v>
      </c>
      <c r="B181" s="34" t="str">
        <f>'GF + UG Iteration 12'!B181</f>
        <v>UG</v>
      </c>
      <c r="C181" s="35">
        <f>'GF + UG Iteration 12'!C181</f>
        <v>36.1</v>
      </c>
      <c r="D181" s="36">
        <f>'GF + UG Iteration 12'!P$16*(C181^'GF + UG Iteration 12'!P$15)</f>
        <v>19.911079814153066</v>
      </c>
      <c r="E181" s="37" t="str">
        <f>'GF + UG Iteration 12'!E181</f>
        <v>unknown</v>
      </c>
      <c r="F181" s="35">
        <f>'GF + UG Iteration 12'!F181</f>
        <v>0</v>
      </c>
      <c r="G181" s="36">
        <f>'GF + UG Iteration 12'!G181</f>
        <v>1.4307693737810239</v>
      </c>
      <c r="H181" s="38">
        <f>'GF + UG Iteration 12'!H181</f>
        <v>2015</v>
      </c>
      <c r="I181" s="35">
        <f t="shared" si="10"/>
        <v>36.1</v>
      </c>
      <c r="J181" s="36">
        <f t="shared" si="11"/>
        <v>21.341849187934091</v>
      </c>
      <c r="K181" s="38">
        <f t="shared" si="12"/>
        <v>2015</v>
      </c>
      <c r="M181" s="21">
        <f t="shared" si="18"/>
        <v>3.5862928653388351</v>
      </c>
      <c r="N181" s="21">
        <f t="shared" si="19"/>
        <v>3.0606698957245593</v>
      </c>
    </row>
    <row r="182" spans="1:14" x14ac:dyDescent="0.2">
      <c r="A182" s="33">
        <f>'GF + UG Iteration 12'!A182</f>
        <v>874</v>
      </c>
      <c r="B182" s="34" t="str">
        <f>'GF + UG Iteration 12'!B182</f>
        <v>UG</v>
      </c>
      <c r="C182" s="35">
        <f>'GF + UG Iteration 12'!C182</f>
        <v>6.4</v>
      </c>
      <c r="D182" s="36">
        <f>'GF + UG Iteration 12'!P$16*(C182^'GF + UG Iteration 12'!P$15)</f>
        <v>7.3940912259000822</v>
      </c>
      <c r="E182" s="37">
        <f>'GF + UG Iteration 12'!E182</f>
        <v>1997</v>
      </c>
      <c r="F182" s="35">
        <f>'GF + UG Iteration 12'!F182</f>
        <v>0.5</v>
      </c>
      <c r="G182" s="36">
        <f>'GF + UG Iteration 12'!G182</f>
        <v>3.6333602061432981</v>
      </c>
      <c r="H182" s="38">
        <f>'GF + UG Iteration 12'!H182</f>
        <v>2009</v>
      </c>
      <c r="I182" s="35">
        <f t="shared" si="10"/>
        <v>6.9</v>
      </c>
      <c r="J182" s="36">
        <f t="shared" si="11"/>
        <v>11.02745143204338</v>
      </c>
      <c r="K182" s="38">
        <f t="shared" si="12"/>
        <v>2009</v>
      </c>
      <c r="M182" s="21">
        <f t="shared" si="18"/>
        <v>1.9315214116032138</v>
      </c>
      <c r="N182" s="21">
        <f t="shared" si="19"/>
        <v>2.4003877487291208</v>
      </c>
    </row>
    <row r="183" spans="1:14" x14ac:dyDescent="0.2">
      <c r="A183" s="33">
        <f>'GF + UG Iteration 12'!A183</f>
        <v>491</v>
      </c>
      <c r="B183" s="34" t="str">
        <f>'GF + UG Iteration 12'!B183</f>
        <v>UG</v>
      </c>
      <c r="C183" s="35">
        <f>'GF + UG Iteration 12'!C183</f>
        <v>27.9</v>
      </c>
      <c r="D183" s="36">
        <f>'GF + UG Iteration 12'!P$16*(C183^'GF + UG Iteration 12'!P$15)</f>
        <v>17.179841413557675</v>
      </c>
      <c r="E183" s="37">
        <f>'GF + UG Iteration 12'!E183</f>
        <v>1984</v>
      </c>
      <c r="F183" s="35">
        <f>'GF + UG Iteration 12'!F183</f>
        <v>1</v>
      </c>
      <c r="G183" s="36">
        <f>'GF + UG Iteration 12'!G183</f>
        <v>0.19252271805052243</v>
      </c>
      <c r="H183" s="38">
        <f>'GF + UG Iteration 12'!H183</f>
        <v>2006</v>
      </c>
      <c r="I183" s="35">
        <f t="shared" si="10"/>
        <v>28.9</v>
      </c>
      <c r="J183" s="36">
        <f t="shared" si="11"/>
        <v>17.372364131608197</v>
      </c>
      <c r="K183" s="38">
        <f t="shared" si="12"/>
        <v>2006</v>
      </c>
      <c r="M183" s="21">
        <f t="shared" si="18"/>
        <v>3.3638415951183864</v>
      </c>
      <c r="N183" s="21">
        <f t="shared" si="19"/>
        <v>2.8548806752868972</v>
      </c>
    </row>
    <row r="184" spans="1:14" x14ac:dyDescent="0.2">
      <c r="A184" s="33">
        <f>'GF + UG Iteration 12'!A184</f>
        <v>1396</v>
      </c>
      <c r="B184" s="34" t="str">
        <f>'GF + UG Iteration 12'!B184</f>
        <v>UG</v>
      </c>
      <c r="C184" s="35">
        <f>'GF + UG Iteration 12'!C184</f>
        <v>20.6</v>
      </c>
      <c r="D184" s="36">
        <f>'GF + UG Iteration 12'!P$16*(C184^'GF + UG Iteration 12'!P$15)</f>
        <v>14.440643529692389</v>
      </c>
      <c r="E184" s="37">
        <f>'GF + UG Iteration 12'!E184</f>
        <v>2009</v>
      </c>
      <c r="F184" s="35">
        <f>'GF + UG Iteration 12'!F184</f>
        <v>5.3999999999999986</v>
      </c>
      <c r="G184" s="36">
        <f>'GF + UG Iteration 12'!G184</f>
        <v>0.37351117224616898</v>
      </c>
      <c r="H184" s="38">
        <f>'GF + UG Iteration 12'!H184</f>
        <v>2013</v>
      </c>
      <c r="I184" s="35">
        <f t="shared" ref="I184:I246" si="20">C184+F184</f>
        <v>26</v>
      </c>
      <c r="J184" s="36">
        <f t="shared" ref="J184:J246" si="21">D184+G184</f>
        <v>14.814154701938557</v>
      </c>
      <c r="K184" s="38">
        <f t="shared" ref="K184:K246" si="22">MAX(E184,H184)</f>
        <v>2013</v>
      </c>
      <c r="M184" s="21">
        <f>LN(I184)</f>
        <v>3.2580965380214821</v>
      </c>
      <c r="N184" s="21">
        <f>LN(J184)</f>
        <v>2.6955831224917852</v>
      </c>
    </row>
    <row r="185" spans="1:14" x14ac:dyDescent="0.2">
      <c r="A185" s="33">
        <f>'GF + UG Iteration 12'!A185</f>
        <v>1597</v>
      </c>
      <c r="B185" s="34" t="str">
        <f>'GF + UG Iteration 12'!B185</f>
        <v>UG</v>
      </c>
      <c r="C185" s="35">
        <f>'GF + UG Iteration 12'!C185</f>
        <v>26</v>
      </c>
      <c r="D185" s="36">
        <f>'GF + UG Iteration 12'!P$16*(C185^'GF + UG Iteration 12'!P$15)</f>
        <v>16.499847157987041</v>
      </c>
      <c r="E185" s="37">
        <f>'GF + UG Iteration 12'!E185</f>
        <v>2009</v>
      </c>
      <c r="F185" s="35">
        <f>'GF + UG Iteration 12'!F185</f>
        <v>27.299999999999997</v>
      </c>
      <c r="G185" s="36">
        <f>'GF + UG Iteration 12'!G185</f>
        <v>4.2355817632178319</v>
      </c>
      <c r="H185" s="38">
        <f>'GF + UG Iteration 12'!H185</f>
        <v>2015</v>
      </c>
      <c r="I185" s="35">
        <f t="shared" si="20"/>
        <v>53.3</v>
      </c>
      <c r="J185" s="36">
        <f t="shared" si="21"/>
        <v>20.735428921204871</v>
      </c>
      <c r="K185" s="38">
        <f t="shared" si="22"/>
        <v>2015</v>
      </c>
      <c r="M185" s="21">
        <f t="shared" ref="M185:M247" si="23">LN(I185)</f>
        <v>3.9759363311717988</v>
      </c>
      <c r="N185" s="21">
        <f t="shared" ref="N185:N247" si="24">LN(J185)</f>
        <v>3.0318437793394653</v>
      </c>
    </row>
    <row r="186" spans="1:14" x14ac:dyDescent="0.2">
      <c r="A186" s="33">
        <f>'GF + UG Iteration 12'!A186</f>
        <v>1292</v>
      </c>
      <c r="B186" s="34" t="str">
        <f>'GF + UG Iteration 12'!B186</f>
        <v>UG</v>
      </c>
      <c r="C186" s="35">
        <f>'GF + UG Iteration 12'!C186</f>
        <v>30.3</v>
      </c>
      <c r="D186" s="36">
        <f>'GF + UG Iteration 12'!P$16*(C186^'GF + UG Iteration 12'!P$15)</f>
        <v>18.01109988261457</v>
      </c>
      <c r="E186" s="37" t="str">
        <f>'GF + UG Iteration 12'!E186</f>
        <v>unknown</v>
      </c>
      <c r="F186" s="35">
        <f>'GF + UG Iteration 12'!F186</f>
        <v>2.4999999999999964</v>
      </c>
      <c r="G186" s="36">
        <f>'GF + UG Iteration 12'!G186</f>
        <v>4.47116983018676</v>
      </c>
      <c r="H186" s="38">
        <f>'GF + UG Iteration 12'!H186</f>
        <v>2013</v>
      </c>
      <c r="I186" s="35">
        <f t="shared" si="20"/>
        <v>32.799999999999997</v>
      </c>
      <c r="J186" s="36">
        <f t="shared" si="21"/>
        <v>22.48226971280133</v>
      </c>
      <c r="K186" s="38">
        <f t="shared" si="22"/>
        <v>2013</v>
      </c>
      <c r="M186" s="21">
        <f t="shared" si="23"/>
        <v>3.4904285153900978</v>
      </c>
      <c r="N186" s="21">
        <f t="shared" si="24"/>
        <v>3.1127269858007249</v>
      </c>
    </row>
    <row r="187" spans="1:14" x14ac:dyDescent="0.2">
      <c r="A187" s="33">
        <f>'GF + UG Iteration 12'!A187</f>
        <v>364</v>
      </c>
      <c r="B187" s="34" t="str">
        <f>'GF + UG Iteration 12'!B187</f>
        <v>UG</v>
      </c>
      <c r="C187" s="35">
        <f>'GF + UG Iteration 12'!C187</f>
        <v>44.904000000000003</v>
      </c>
      <c r="D187" s="36">
        <f>'GF + UG Iteration 12'!P$16*(C187^'GF + UG Iteration 12'!P$15)</f>
        <v>22.561325015809704</v>
      </c>
      <c r="E187" s="37">
        <f>'GF + UG Iteration 12'!E187</f>
        <v>1975</v>
      </c>
      <c r="F187" s="35">
        <f>'GF + UG Iteration 12'!F187</f>
        <v>2</v>
      </c>
      <c r="G187" s="36">
        <f>'GF + UG Iteration 12'!G187</f>
        <v>1.3174901179839253</v>
      </c>
      <c r="H187" s="38">
        <f>'GF + UG Iteration 12'!H187</f>
        <v>2004</v>
      </c>
      <c r="I187" s="35">
        <f t="shared" si="20"/>
        <v>46.904000000000003</v>
      </c>
      <c r="J187" s="36">
        <f t="shared" si="21"/>
        <v>23.87881513379363</v>
      </c>
      <c r="K187" s="38">
        <f t="shared" si="22"/>
        <v>2004</v>
      </c>
      <c r="M187" s="21">
        <f t="shared" si="23"/>
        <v>3.8481029596619138</v>
      </c>
      <c r="N187" s="21">
        <f t="shared" si="24"/>
        <v>3.1729916697805822</v>
      </c>
    </row>
    <row r="188" spans="1:14" x14ac:dyDescent="0.2">
      <c r="A188" s="33">
        <f>'GF + UG Iteration 12'!A188</f>
        <v>1306</v>
      </c>
      <c r="B188" s="34" t="str">
        <f>'GF + UG Iteration 12'!B188</f>
        <v>UG</v>
      </c>
      <c r="C188" s="35">
        <f>'GF + UG Iteration 12'!C188</f>
        <v>23.1</v>
      </c>
      <c r="D188" s="36">
        <f>'GF + UG Iteration 12'!P$16*(C188^'GF + UG Iteration 12'!P$15)</f>
        <v>15.419503834118885</v>
      </c>
      <c r="E188" s="37">
        <f>'GF + UG Iteration 12'!E188</f>
        <v>1985</v>
      </c>
      <c r="F188" s="35">
        <f>'GF + UG Iteration 12'!F188</f>
        <v>2.0999999999999979</v>
      </c>
      <c r="G188" s="36">
        <f>'GF + UG Iteration 12'!G188</f>
        <v>5.9848606370399509</v>
      </c>
      <c r="H188" s="38">
        <f>'GF + UG Iteration 12'!H188</f>
        <v>2013</v>
      </c>
      <c r="I188" s="35">
        <f t="shared" si="20"/>
        <v>25.2</v>
      </c>
      <c r="J188" s="36">
        <f t="shared" si="21"/>
        <v>21.404364471158836</v>
      </c>
      <c r="K188" s="38">
        <f t="shared" si="22"/>
        <v>2013</v>
      </c>
      <c r="M188" s="21">
        <f t="shared" si="23"/>
        <v>3.2268439945173775</v>
      </c>
      <c r="N188" s="21">
        <f t="shared" si="24"/>
        <v>3.0635948484838056</v>
      </c>
    </row>
    <row r="189" spans="1:14" x14ac:dyDescent="0.2">
      <c r="A189" s="33">
        <f>'GF + UG Iteration 12'!A189</f>
        <v>858</v>
      </c>
      <c r="B189" s="34" t="str">
        <f>'GF + UG Iteration 12'!B189</f>
        <v>UG</v>
      </c>
      <c r="C189" s="35">
        <f>'GF + UG Iteration 12'!C189</f>
        <v>28.4</v>
      </c>
      <c r="D189" s="36">
        <f>'GF + UG Iteration 12'!P$16*(C189^'GF + UG Iteration 12'!P$15)</f>
        <v>17.355465462564904</v>
      </c>
      <c r="E189" s="37">
        <f>'GF + UG Iteration 12'!E189</f>
        <v>2009</v>
      </c>
      <c r="F189" s="35">
        <f>'GF + UG Iteration 12'!F189</f>
        <v>13.300000000000004</v>
      </c>
      <c r="G189" s="36">
        <f>'GF + UG Iteration 12'!G189</f>
        <v>5.4358775042665943</v>
      </c>
      <c r="H189" s="38">
        <f>'GF + UG Iteration 12'!H189</f>
        <v>2010</v>
      </c>
      <c r="I189" s="35">
        <f t="shared" si="20"/>
        <v>41.7</v>
      </c>
      <c r="J189" s="36">
        <f t="shared" si="21"/>
        <v>22.7913429668315</v>
      </c>
      <c r="K189" s="38">
        <f t="shared" si="22"/>
        <v>2010</v>
      </c>
      <c r="M189" s="21">
        <f t="shared" si="23"/>
        <v>3.730501128804756</v>
      </c>
      <c r="N189" s="21">
        <f t="shared" si="24"/>
        <v>3.1263807694209955</v>
      </c>
    </row>
    <row r="190" spans="1:14" x14ac:dyDescent="0.2">
      <c r="A190" s="33">
        <f>'GF + UG Iteration 12'!A190</f>
        <v>1454</v>
      </c>
      <c r="B190" s="34" t="str">
        <f>'GF + UG Iteration 12'!B190</f>
        <v>UG</v>
      </c>
      <c r="C190" s="35">
        <f>'GF + UG Iteration 12'!C190</f>
        <v>41.7</v>
      </c>
      <c r="D190" s="36">
        <f>'GF + UG Iteration 12'!P$16*(C190^'GF + UG Iteration 12'!P$15)</f>
        <v>21.624999081415794</v>
      </c>
      <c r="E190" s="37">
        <f>'GF + UG Iteration 12'!E190</f>
        <v>2009</v>
      </c>
      <c r="F190" s="35">
        <f>'GF + UG Iteration 12'!F190</f>
        <v>5.6999999999999957</v>
      </c>
      <c r="G190" s="36">
        <f>'GF + UG Iteration 12'!G190</f>
        <v>0.45762240995573644</v>
      </c>
      <c r="H190" s="38">
        <f>'GF + UG Iteration 12'!H190</f>
        <v>2013</v>
      </c>
      <c r="I190" s="35">
        <f t="shared" si="20"/>
        <v>47.4</v>
      </c>
      <c r="J190" s="36">
        <f t="shared" si="21"/>
        <v>22.08262149137153</v>
      </c>
      <c r="K190" s="38">
        <f t="shared" si="22"/>
        <v>2013</v>
      </c>
      <c r="M190" s="21">
        <f t="shared" si="23"/>
        <v>3.858622228701031</v>
      </c>
      <c r="N190" s="21">
        <f t="shared" si="24"/>
        <v>3.0947909413256967</v>
      </c>
    </row>
    <row r="191" spans="1:14" x14ac:dyDescent="0.2">
      <c r="A191" s="33">
        <f>'GF + UG Iteration 12'!A191</f>
        <v>637</v>
      </c>
      <c r="B191" s="34" t="str">
        <f>'GF + UG Iteration 12'!B191</f>
        <v>UG</v>
      </c>
      <c r="C191" s="35">
        <f>'GF + UG Iteration 12'!C191</f>
        <v>15.499999999999998</v>
      </c>
      <c r="D191" s="36">
        <f>'GF + UG Iteration 12'!P$16*(C191^'GF + UG Iteration 12'!P$15)</f>
        <v>12.270156477819494</v>
      </c>
      <c r="E191" s="37">
        <f>'GF + UG Iteration 12'!E191</f>
        <v>1989</v>
      </c>
      <c r="F191" s="35">
        <f>'GF + UG Iteration 12'!F191</f>
        <v>8.4</v>
      </c>
      <c r="G191" s="36">
        <f>'GF + UG Iteration 12'!G191</f>
        <v>5.068859840469166</v>
      </c>
      <c r="H191" s="38">
        <f>'GF + UG Iteration 12'!H191</f>
        <v>2007</v>
      </c>
      <c r="I191" s="35">
        <f t="shared" si="20"/>
        <v>23.9</v>
      </c>
      <c r="J191" s="36">
        <f t="shared" si="21"/>
        <v>17.33901631828866</v>
      </c>
      <c r="K191" s="38">
        <f t="shared" si="22"/>
        <v>2007</v>
      </c>
      <c r="M191" s="21">
        <f t="shared" si="23"/>
        <v>3.1738784589374651</v>
      </c>
      <c r="N191" s="21">
        <f t="shared" si="24"/>
        <v>2.8529592406941457</v>
      </c>
    </row>
    <row r="192" spans="1:14" x14ac:dyDescent="0.2">
      <c r="A192" s="33">
        <f>'GF + UG Iteration 12'!A192</f>
        <v>1254</v>
      </c>
      <c r="B192" s="34" t="str">
        <f>'GF + UG Iteration 12'!B192</f>
        <v>UG</v>
      </c>
      <c r="C192" s="35">
        <f>'GF + UG Iteration 12'!C192</f>
        <v>23.9</v>
      </c>
      <c r="D192" s="36">
        <f>'GF + UG Iteration 12'!P$16*(C192^'GF + UG Iteration 12'!P$15)</f>
        <v>15.723050830507601</v>
      </c>
      <c r="E192" s="37">
        <f>'GF + UG Iteration 12'!E192</f>
        <v>1989</v>
      </c>
      <c r="F192" s="35">
        <f>'GF + UG Iteration 12'!F192</f>
        <v>15.399999999999999</v>
      </c>
      <c r="G192" s="36">
        <f>'GF + UG Iteration 12'!G192</f>
        <v>6.528436764593768</v>
      </c>
      <c r="H192" s="38">
        <f>'GF + UG Iteration 12'!H192</f>
        <v>2012</v>
      </c>
      <c r="I192" s="35">
        <f t="shared" si="20"/>
        <v>39.299999999999997</v>
      </c>
      <c r="J192" s="36">
        <f t="shared" si="21"/>
        <v>22.25148759510137</v>
      </c>
      <c r="K192" s="38">
        <f t="shared" si="22"/>
        <v>2012</v>
      </c>
      <c r="M192" s="21">
        <f t="shared" si="23"/>
        <v>3.6712245188752153</v>
      </c>
      <c r="N192" s="21">
        <f t="shared" si="24"/>
        <v>3.1024088645841421</v>
      </c>
    </row>
    <row r="193" spans="1:14" x14ac:dyDescent="0.2">
      <c r="A193" s="33">
        <f>'GF + UG Iteration 12'!A193</f>
        <v>734</v>
      </c>
      <c r="B193" s="34" t="str">
        <f>'GF + UG Iteration 12'!B193</f>
        <v>UG</v>
      </c>
      <c r="C193" s="35">
        <f>'GF + UG Iteration 12'!C193</f>
        <v>20</v>
      </c>
      <c r="D193" s="36">
        <f>'GF + UG Iteration 12'!P$16*(C193^'GF + UG Iteration 12'!P$15)</f>
        <v>14.198287043310806</v>
      </c>
      <c r="E193" s="37">
        <f>'GF + UG Iteration 12'!E193</f>
        <v>1974</v>
      </c>
      <c r="F193" s="35">
        <f>'GF + UG Iteration 12'!F193</f>
        <v>4.3999999999999986</v>
      </c>
      <c r="G193" s="36">
        <f>'GF + UG Iteration 12'!G193</f>
        <v>11.261124599264825</v>
      </c>
      <c r="H193" s="38">
        <f>'GF + UG Iteration 12'!H193</f>
        <v>2011</v>
      </c>
      <c r="I193" s="35">
        <f t="shared" ref="I193" si="25">C193+F193</f>
        <v>24.4</v>
      </c>
      <c r="J193" s="36">
        <f t="shared" ref="J193" si="26">D193+G193</f>
        <v>25.459411642575631</v>
      </c>
      <c r="K193" s="38">
        <f t="shared" ref="K193" si="27">MAX(E193,H193)</f>
        <v>2011</v>
      </c>
      <c r="M193" s="21">
        <f t="shared" ref="M193" si="28">LN(I193)</f>
        <v>3.1945831322991562</v>
      </c>
      <c r="N193" s="21">
        <f t="shared" ref="N193" si="29">LN(J193)</f>
        <v>3.2370854837725176</v>
      </c>
    </row>
    <row r="194" spans="1:14" x14ac:dyDescent="0.2">
      <c r="A194" s="33">
        <f>'GF + UG Iteration 12'!A194</f>
        <v>1594</v>
      </c>
      <c r="B194" s="34" t="str">
        <f>'GF + UG Iteration 12'!B194</f>
        <v>UG</v>
      </c>
      <c r="C194" s="35">
        <f>'GF + UG Iteration 12'!C194</f>
        <v>24.4</v>
      </c>
      <c r="D194" s="36">
        <f>'GF + UG Iteration 12'!P$16*(C194^'GF + UG Iteration 12'!P$15)</f>
        <v>15.910564751789382</v>
      </c>
      <c r="E194" s="37">
        <f>'GF + UG Iteration 12'!E194</f>
        <v>1974</v>
      </c>
      <c r="F194" s="35">
        <f>'GF + UG Iteration 12'!F194</f>
        <v>0</v>
      </c>
      <c r="G194" s="36">
        <f>'GF + UG Iteration 12'!G194</f>
        <v>17.2334453477478</v>
      </c>
      <c r="H194" s="38">
        <f>'GF + UG Iteration 12'!H194</f>
        <v>2017</v>
      </c>
      <c r="I194" s="35">
        <f t="shared" si="20"/>
        <v>24.4</v>
      </c>
      <c r="J194" s="36">
        <f t="shared" si="21"/>
        <v>33.144010099537184</v>
      </c>
      <c r="K194" s="38">
        <f t="shared" si="22"/>
        <v>2017</v>
      </c>
      <c r="M194" s="21">
        <f t="shared" si="23"/>
        <v>3.1945831322991562</v>
      </c>
      <c r="N194" s="21">
        <f t="shared" si="24"/>
        <v>3.500862009491962</v>
      </c>
    </row>
    <row r="195" spans="1:14" x14ac:dyDescent="0.2">
      <c r="A195" s="33">
        <f>'GF + UG Iteration 12'!A195</f>
        <v>1674</v>
      </c>
      <c r="B195" s="34" t="str">
        <f>'GF + UG Iteration 12'!B195</f>
        <v>UG</v>
      </c>
      <c r="C195" s="35">
        <f>'GF + UG Iteration 12'!C195</f>
        <v>17.399999999999999</v>
      </c>
      <c r="D195" s="36">
        <f>'GF + UG Iteration 12'!P$16*(C195^'GF + UG Iteration 12'!P$15)</f>
        <v>13.110059807799106</v>
      </c>
      <c r="E195" s="37">
        <f>'GF + UG Iteration 12'!E195</f>
        <v>0</v>
      </c>
      <c r="F195" s="35">
        <f>'GF + UG Iteration 12'!F195</f>
        <v>3.7000000000000028</v>
      </c>
      <c r="G195" s="36">
        <f>'GF + UG Iteration 12'!G195</f>
        <v>10.327278566796926</v>
      </c>
      <c r="H195" s="38">
        <f>'GF + UG Iteration 12'!H195</f>
        <v>2016</v>
      </c>
      <c r="I195" s="35">
        <f t="shared" si="20"/>
        <v>21.1</v>
      </c>
      <c r="J195" s="36">
        <f t="shared" si="21"/>
        <v>23.437338374596031</v>
      </c>
      <c r="K195" s="38">
        <f t="shared" si="22"/>
        <v>2016</v>
      </c>
      <c r="M195" s="21">
        <f t="shared" si="23"/>
        <v>3.0492730404820207</v>
      </c>
      <c r="N195" s="21">
        <f t="shared" si="24"/>
        <v>3.1543304076896161</v>
      </c>
    </row>
    <row r="196" spans="1:14" x14ac:dyDescent="0.2">
      <c r="A196" s="33">
        <f>'GF + UG Iteration 12'!A196</f>
        <v>711</v>
      </c>
      <c r="B196" s="34" t="str">
        <f>'GF + UG Iteration 12'!B196</f>
        <v>UG</v>
      </c>
      <c r="C196" s="35">
        <f>'GF + UG Iteration 12'!C196</f>
        <v>11.5</v>
      </c>
      <c r="D196" s="36">
        <f>'GF + UG Iteration 12'!P$16*(C196^'GF + UG Iteration 12'!P$15)</f>
        <v>10.342409935717821</v>
      </c>
      <c r="E196" s="37">
        <f>'GF + UG Iteration 12'!E196</f>
        <v>1976</v>
      </c>
      <c r="F196" s="35">
        <f>'GF + UG Iteration 12'!F196</f>
        <v>13.7</v>
      </c>
      <c r="G196" s="36">
        <f>'GF + UG Iteration 12'!G196</f>
        <v>9.2617881543087019</v>
      </c>
      <c r="H196" s="38">
        <f>'GF + UG Iteration 12'!H196</f>
        <v>2009</v>
      </c>
      <c r="I196" s="35">
        <f t="shared" si="20"/>
        <v>25.2</v>
      </c>
      <c r="J196" s="36">
        <f t="shared" si="21"/>
        <v>19.604198090026522</v>
      </c>
      <c r="K196" s="38">
        <f t="shared" si="22"/>
        <v>2009</v>
      </c>
      <c r="M196" s="21">
        <f t="shared" si="23"/>
        <v>3.2268439945173775</v>
      </c>
      <c r="N196" s="21">
        <f t="shared" si="24"/>
        <v>2.975743731568099</v>
      </c>
    </row>
    <row r="197" spans="1:14" x14ac:dyDescent="0.2">
      <c r="A197" s="33">
        <f>'GF + UG Iteration 12'!A197</f>
        <v>408</v>
      </c>
      <c r="B197" s="34" t="str">
        <f>'GF + UG Iteration 12'!B197</f>
        <v>UG</v>
      </c>
      <c r="C197" s="35">
        <f>'GF + UG Iteration 12'!C197</f>
        <v>37.700000000000003</v>
      </c>
      <c r="D197" s="36">
        <f>'GF + UG Iteration 12'!P$16*(C197^'GF + UG Iteration 12'!P$15)</f>
        <v>20.411703329196641</v>
      </c>
      <c r="E197" s="37">
        <f>'GF + UG Iteration 12'!E197</f>
        <v>1976</v>
      </c>
      <c r="F197" s="35">
        <f>'GF + UG Iteration 12'!F197</f>
        <v>2.0419999999999945</v>
      </c>
      <c r="G197" s="36">
        <f>'GF + UG Iteration 12'!G197</f>
        <v>0.58015876995711901</v>
      </c>
      <c r="H197" s="38">
        <f>'GF + UG Iteration 12'!H197</f>
        <v>2004</v>
      </c>
      <c r="I197" s="35">
        <f t="shared" si="20"/>
        <v>39.741999999999997</v>
      </c>
      <c r="J197" s="36">
        <f t="shared" si="21"/>
        <v>20.99186209915376</v>
      </c>
      <c r="K197" s="38">
        <f t="shared" si="22"/>
        <v>2004</v>
      </c>
      <c r="M197" s="21">
        <f t="shared" si="23"/>
        <v>3.6824085629836243</v>
      </c>
      <c r="N197" s="21">
        <f t="shared" si="24"/>
        <v>3.0441348435305815</v>
      </c>
    </row>
    <row r="198" spans="1:14" x14ac:dyDescent="0.2">
      <c r="A198" s="33">
        <f>'GF + UG Iteration 12'!A198</f>
        <v>698</v>
      </c>
      <c r="B198" s="34" t="str">
        <f>'GF + UG Iteration 12'!B198</f>
        <v>UG</v>
      </c>
      <c r="C198" s="35">
        <f>'GF + UG Iteration 12'!C198</f>
        <v>39.700000000000003</v>
      </c>
      <c r="D198" s="36">
        <f>'GF + UG Iteration 12'!P$16*(C198^'GF + UG Iteration 12'!P$15)</f>
        <v>21.024885323847091</v>
      </c>
      <c r="E198" s="37">
        <f>'GF + UG Iteration 12'!E198</f>
        <v>1976</v>
      </c>
      <c r="F198" s="35">
        <f>'GF + UG Iteration 12'!F198</f>
        <v>20.9</v>
      </c>
      <c r="G198" s="36">
        <f>'GF + UG Iteration 12'!G198</f>
        <v>1.4406821685518079</v>
      </c>
      <c r="H198" s="38">
        <f>'GF + UG Iteration 12'!H198</f>
        <v>2007</v>
      </c>
      <c r="I198" s="35">
        <f t="shared" si="20"/>
        <v>60.6</v>
      </c>
      <c r="J198" s="36">
        <f t="shared" si="21"/>
        <v>22.465567492398897</v>
      </c>
      <c r="K198" s="38">
        <f t="shared" si="22"/>
        <v>2007</v>
      </c>
      <c r="M198" s="21">
        <f t="shared" si="23"/>
        <v>4.1042948930752692</v>
      </c>
      <c r="N198" s="21">
        <f t="shared" si="24"/>
        <v>3.1119838033826288</v>
      </c>
    </row>
    <row r="199" spans="1:14" x14ac:dyDescent="0.2">
      <c r="A199" s="33">
        <f>'GF + UG Iteration 12'!A199</f>
        <v>696</v>
      </c>
      <c r="B199" s="34" t="str">
        <f>'GF + UG Iteration 12'!B199</f>
        <v>UG</v>
      </c>
      <c r="C199" s="35">
        <f>'GF + UG Iteration 12'!C199</f>
        <v>9.1370000000000005</v>
      </c>
      <c r="D199" s="36">
        <f>'GF + UG Iteration 12'!P$16*(C199^'GF + UG Iteration 12'!P$15)</f>
        <v>9.0661377795106226</v>
      </c>
      <c r="E199" s="37">
        <f>'GF + UG Iteration 12'!E199</f>
        <v>1981</v>
      </c>
      <c r="F199" s="35">
        <f>'GF + UG Iteration 12'!F199</f>
        <v>8.0629999999999988</v>
      </c>
      <c r="G199" s="36">
        <f>'GF + UG Iteration 12'!G199</f>
        <v>0.26810351472539734</v>
      </c>
      <c r="H199" s="38">
        <f>'GF + UG Iteration 12'!H199</f>
        <v>2007</v>
      </c>
      <c r="I199" s="35">
        <f t="shared" si="20"/>
        <v>17.2</v>
      </c>
      <c r="J199" s="36">
        <f t="shared" si="21"/>
        <v>9.3342412942360191</v>
      </c>
      <c r="K199" s="38">
        <f t="shared" si="22"/>
        <v>2007</v>
      </c>
      <c r="M199" s="21">
        <f t="shared" si="23"/>
        <v>2.8449093838194073</v>
      </c>
      <c r="N199" s="21">
        <f t="shared" si="24"/>
        <v>2.2336894983008411</v>
      </c>
    </row>
    <row r="200" spans="1:14" x14ac:dyDescent="0.2">
      <c r="A200" s="33">
        <f>'GF + UG Iteration 12'!A200</f>
        <v>1636</v>
      </c>
      <c r="B200" s="34" t="str">
        <f>'GF + UG Iteration 12'!B200</f>
        <v>UG</v>
      </c>
      <c r="C200" s="35">
        <f>'GF + UG Iteration 12'!C200</f>
        <v>17.2</v>
      </c>
      <c r="D200" s="36">
        <f>'GF + UG Iteration 12'!P$16*(C200^'GF + UG Iteration 12'!P$15)</f>
        <v>13.023561398274829</v>
      </c>
      <c r="E200" s="37">
        <f>'GF + UG Iteration 12'!E200</f>
        <v>1981</v>
      </c>
      <c r="F200" s="35">
        <f>'GF + UG Iteration 12'!F200</f>
        <v>0</v>
      </c>
      <c r="G200" s="36">
        <f>'GF + UG Iteration 12'!G200</f>
        <v>6.6058972937468434</v>
      </c>
      <c r="H200" s="38">
        <f>'GF + UG Iteration 12'!H200</f>
        <v>2015</v>
      </c>
      <c r="I200" s="35">
        <f t="shared" si="20"/>
        <v>17.2</v>
      </c>
      <c r="J200" s="36">
        <f t="shared" si="21"/>
        <v>19.629458692021672</v>
      </c>
      <c r="K200" s="38">
        <f t="shared" si="22"/>
        <v>2015</v>
      </c>
      <c r="M200" s="21">
        <f t="shared" si="23"/>
        <v>2.8449093838194073</v>
      </c>
      <c r="N200" s="21">
        <f t="shared" si="24"/>
        <v>2.9770314323616303</v>
      </c>
    </row>
    <row r="201" spans="1:14" x14ac:dyDescent="0.2">
      <c r="A201" s="33">
        <f>'GF + UG Iteration 12'!A201</f>
        <v>1185</v>
      </c>
      <c r="B201" s="34" t="str">
        <f>'GF + UG Iteration 12'!B201</f>
        <v>UG</v>
      </c>
      <c r="C201" s="35">
        <f>'GF + UG Iteration 12'!C201</f>
        <v>32.4</v>
      </c>
      <c r="D201" s="36">
        <f>'GF + UG Iteration 12'!P$16*(C201^'GF + UG Iteration 12'!P$15)</f>
        <v>18.715621773778228</v>
      </c>
      <c r="E201" s="37">
        <f>'GF + UG Iteration 12'!E201</f>
        <v>1988</v>
      </c>
      <c r="F201" s="35">
        <f>'GF + UG Iteration 12'!F201</f>
        <v>2.5</v>
      </c>
      <c r="G201" s="36">
        <f>'GF + UG Iteration 12'!G201</f>
        <v>2.8087836612562955</v>
      </c>
      <c r="H201" s="38">
        <f>'GF + UG Iteration 12'!H201</f>
        <v>2011</v>
      </c>
      <c r="I201" s="35">
        <f t="shared" si="20"/>
        <v>34.9</v>
      </c>
      <c r="J201" s="36">
        <f t="shared" si="21"/>
        <v>21.524405435034524</v>
      </c>
      <c r="K201" s="38">
        <f t="shared" si="22"/>
        <v>2011</v>
      </c>
      <c r="M201" s="21">
        <f t="shared" si="23"/>
        <v>3.5524868292083815</v>
      </c>
      <c r="N201" s="21">
        <f t="shared" si="24"/>
        <v>3.0691874278665385</v>
      </c>
    </row>
    <row r="202" spans="1:14" x14ac:dyDescent="0.2">
      <c r="A202" s="33">
        <f>'GF + UG Iteration 12'!A202</f>
        <v>568</v>
      </c>
      <c r="B202" s="34" t="str">
        <f>'GF + UG Iteration 12'!B202</f>
        <v>UG</v>
      </c>
      <c r="C202" s="35">
        <f>'GF + UG Iteration 12'!C202</f>
        <v>38.04</v>
      </c>
      <c r="D202" s="36">
        <f>'GF + UG Iteration 12'!P$16*(C202^'GF + UG Iteration 12'!P$15)</f>
        <v>20.516907744281987</v>
      </c>
      <c r="E202" s="37">
        <f>'GF + UG Iteration 12'!E202</f>
        <v>1978</v>
      </c>
      <c r="F202" s="35">
        <f>'GF + UG Iteration 12'!F202</f>
        <v>1</v>
      </c>
      <c r="G202" s="36">
        <f>'GF + UG Iteration 12'!G202</f>
        <v>2.8818936071529556E-2</v>
      </c>
      <c r="H202" s="38">
        <f>'GF + UG Iteration 12'!H202</f>
        <v>2006</v>
      </c>
      <c r="I202" s="35">
        <f t="shared" si="20"/>
        <v>39.04</v>
      </c>
      <c r="J202" s="36">
        <f t="shared" si="21"/>
        <v>20.545726680353518</v>
      </c>
      <c r="K202" s="38">
        <f t="shared" si="22"/>
        <v>2006</v>
      </c>
      <c r="M202" s="21">
        <f t="shared" si="23"/>
        <v>3.6645867615448919</v>
      </c>
      <c r="N202" s="21">
        <f t="shared" si="24"/>
        <v>3.0226529718901265</v>
      </c>
    </row>
    <row r="203" spans="1:14" x14ac:dyDescent="0.2">
      <c r="A203" s="33">
        <f>'GF + UG Iteration 12'!A203</f>
        <v>853</v>
      </c>
      <c r="B203" s="34" t="str">
        <f>'GF + UG Iteration 12'!B203</f>
        <v>UG</v>
      </c>
      <c r="C203" s="35">
        <f>'GF + UG Iteration 12'!C203</f>
        <v>20</v>
      </c>
      <c r="D203" s="36">
        <f>'GF + UG Iteration 12'!P$16*(C203^'GF + UG Iteration 12'!P$15)</f>
        <v>14.198287043310806</v>
      </c>
      <c r="E203" s="37">
        <f>'GF + UG Iteration 12'!E203</f>
        <v>1991</v>
      </c>
      <c r="F203" s="35">
        <f>'GF + UG Iteration 12'!F203</f>
        <v>21.700000000000003</v>
      </c>
      <c r="G203" s="36">
        <f>'GF + UG Iteration 12'!G203</f>
        <v>4.2556245512411124</v>
      </c>
      <c r="H203" s="38">
        <f>'GF + UG Iteration 12'!H203</f>
        <v>2009</v>
      </c>
      <c r="I203" s="35">
        <f t="shared" si="20"/>
        <v>41.7</v>
      </c>
      <c r="J203" s="36">
        <f t="shared" si="21"/>
        <v>18.453911594551919</v>
      </c>
      <c r="K203" s="38">
        <f t="shared" si="22"/>
        <v>2009</v>
      </c>
      <c r="M203" s="21">
        <f t="shared" si="23"/>
        <v>3.730501128804756</v>
      </c>
      <c r="N203" s="21">
        <f t="shared" si="24"/>
        <v>2.9152763585602961</v>
      </c>
    </row>
    <row r="204" spans="1:14" x14ac:dyDescent="0.2">
      <c r="A204" s="33">
        <f>'GF + UG Iteration 12'!A204</f>
        <v>1201</v>
      </c>
      <c r="B204" s="34" t="str">
        <f>'GF + UG Iteration 12'!B204</f>
        <v>UG</v>
      </c>
      <c r="C204" s="35">
        <f>'GF + UG Iteration 12'!C204</f>
        <v>13.3</v>
      </c>
      <c r="D204" s="36">
        <f>'GF + UG Iteration 12'!P$16*(C204^'GF + UG Iteration 12'!P$15)</f>
        <v>11.240447902319534</v>
      </c>
      <c r="E204" s="37" t="str">
        <f>'GF + UG Iteration 12'!E204</f>
        <v>unknown</v>
      </c>
      <c r="F204" s="35">
        <f>'GF + UG Iteration 12'!F204</f>
        <v>10.599999999999998</v>
      </c>
      <c r="G204" s="36">
        <f>'GF + UG Iteration 12'!G204</f>
        <v>7.6364894321569698</v>
      </c>
      <c r="H204" s="38">
        <f>'GF + UG Iteration 12'!H204</f>
        <v>2012</v>
      </c>
      <c r="I204" s="35">
        <f t="shared" si="20"/>
        <v>23.9</v>
      </c>
      <c r="J204" s="36">
        <f t="shared" si="21"/>
        <v>18.876937334476505</v>
      </c>
      <c r="K204" s="38">
        <f t="shared" si="22"/>
        <v>2012</v>
      </c>
      <c r="M204" s="21">
        <f t="shared" si="23"/>
        <v>3.1738784589374651</v>
      </c>
      <c r="N204" s="21">
        <f t="shared" si="24"/>
        <v>2.9379409301051056</v>
      </c>
    </row>
    <row r="205" spans="1:14" x14ac:dyDescent="0.2">
      <c r="A205" s="33">
        <f>'GF + UG Iteration 12'!A205</f>
        <v>654</v>
      </c>
      <c r="B205" s="34" t="str">
        <f>'GF + UG Iteration 12'!B205</f>
        <v>UG</v>
      </c>
      <c r="C205" s="35">
        <f>'GF + UG Iteration 12'!C205</f>
        <v>7.29</v>
      </c>
      <c r="D205" s="36">
        <f>'GF + UG Iteration 12'!P$16*(C205^'GF + UG Iteration 12'!P$15)</f>
        <v>7.9664335316732622</v>
      </c>
      <c r="E205" s="37">
        <f>'GF + UG Iteration 12'!E205</f>
        <v>1976</v>
      </c>
      <c r="F205" s="35">
        <f>'GF + UG Iteration 12'!F205</f>
        <v>4.4099999999999993</v>
      </c>
      <c r="G205" s="36">
        <f>'GF + UG Iteration 12'!G205</f>
        <v>0.73672544554632269</v>
      </c>
      <c r="H205" s="38">
        <f>'GF + UG Iteration 12'!H205</f>
        <v>2007</v>
      </c>
      <c r="I205" s="35">
        <f t="shared" si="20"/>
        <v>11.7</v>
      </c>
      <c r="J205" s="36">
        <f t="shared" si="21"/>
        <v>8.7031589772195854</v>
      </c>
      <c r="K205" s="38">
        <f t="shared" si="22"/>
        <v>2007</v>
      </c>
      <c r="M205" s="21">
        <f t="shared" si="23"/>
        <v>2.4595888418037104</v>
      </c>
      <c r="N205" s="21">
        <f t="shared" si="24"/>
        <v>2.1636860605852219</v>
      </c>
    </row>
    <row r="206" spans="1:14" x14ac:dyDescent="0.2">
      <c r="A206" s="33">
        <f>'GF + UG Iteration 12'!A206</f>
        <v>1394</v>
      </c>
      <c r="B206" s="34" t="str">
        <f>'GF + UG Iteration 12'!B206</f>
        <v>UG</v>
      </c>
      <c r="C206" s="35">
        <f>'GF + UG Iteration 12'!C206</f>
        <v>11.7</v>
      </c>
      <c r="D206" s="36">
        <f>'GF + UG Iteration 12'!P$16*(C206^'GF + UG Iteration 12'!P$15)</f>
        <v>10.445022721786174</v>
      </c>
      <c r="E206" s="37">
        <f>'GF + UG Iteration 12'!E206</f>
        <v>1976</v>
      </c>
      <c r="F206" s="35">
        <f>'GF + UG Iteration 12'!F206</f>
        <v>10</v>
      </c>
      <c r="G206" s="36">
        <f>'GF + UG Iteration 12'!G206</f>
        <v>5.0057806862702598</v>
      </c>
      <c r="H206" s="38">
        <f>'GF + UG Iteration 12'!H206</f>
        <v>2014</v>
      </c>
      <c r="I206" s="35">
        <f t="shared" si="20"/>
        <v>21.7</v>
      </c>
      <c r="J206" s="36">
        <f t="shared" si="21"/>
        <v>15.450803408056434</v>
      </c>
      <c r="K206" s="38">
        <f t="shared" si="22"/>
        <v>2014</v>
      </c>
      <c r="M206" s="21">
        <f t="shared" si="23"/>
        <v>3.0773122605464138</v>
      </c>
      <c r="N206" s="21">
        <f t="shared" si="24"/>
        <v>2.7376610025132262</v>
      </c>
    </row>
    <row r="207" spans="1:14" x14ac:dyDescent="0.2">
      <c r="A207" s="33">
        <f>'GF + UG Iteration 12'!A207</f>
        <v>1294</v>
      </c>
      <c r="B207" s="34" t="str">
        <f>'GF + UG Iteration 12'!B207</f>
        <v>UG</v>
      </c>
      <c r="C207" s="35">
        <f>'GF + UG Iteration 12'!C207</f>
        <v>8.5</v>
      </c>
      <c r="D207" s="36">
        <f>'GF + UG Iteration 12'!P$16*(C207^'GF + UG Iteration 12'!P$15)</f>
        <v>8.6986415395134724</v>
      </c>
      <c r="E207" s="37">
        <f>'GF + UG Iteration 12'!E207</f>
        <v>0</v>
      </c>
      <c r="F207" s="35">
        <f>'GF + UG Iteration 12'!F207</f>
        <v>1.5999999999999996</v>
      </c>
      <c r="G207" s="36">
        <f>'GF + UG Iteration 12'!G207</f>
        <v>4.5619922667121129</v>
      </c>
      <c r="H207" s="38">
        <f>'GF + UG Iteration 12'!H207</f>
        <v>2014</v>
      </c>
      <c r="I207" s="35">
        <f t="shared" si="20"/>
        <v>10.1</v>
      </c>
      <c r="J207" s="36">
        <f t="shared" si="21"/>
        <v>13.260633806225584</v>
      </c>
      <c r="K207" s="38">
        <f t="shared" si="22"/>
        <v>2014</v>
      </c>
      <c r="M207" s="21">
        <f t="shared" si="23"/>
        <v>2.3125354238472138</v>
      </c>
      <c r="N207" s="21">
        <f t="shared" si="24"/>
        <v>2.5847997819732984</v>
      </c>
    </row>
    <row r="208" spans="1:14" x14ac:dyDescent="0.2">
      <c r="A208" s="33">
        <f>'GF + UG Iteration 12'!A208</f>
        <v>1670</v>
      </c>
      <c r="B208" s="34" t="str">
        <f>'GF + UG Iteration 12'!B208</f>
        <v>UG</v>
      </c>
      <c r="C208" s="35">
        <f>'GF + UG Iteration 12'!C208</f>
        <v>31.45</v>
      </c>
      <c r="D208" s="36">
        <f>'GF + UG Iteration 12'!P$16*(C208^'GF + UG Iteration 12'!P$15)</f>
        <v>18.399404637545818</v>
      </c>
      <c r="E208" s="37">
        <f>'GF + UG Iteration 12'!E208</f>
        <v>0</v>
      </c>
      <c r="F208" s="35">
        <f>'GF + UG Iteration 12'!F208</f>
        <v>24.250000000000004</v>
      </c>
      <c r="G208" s="36">
        <f>'GF + UG Iteration 12'!G208</f>
        <v>2.7943521582603679</v>
      </c>
      <c r="H208" s="38">
        <f>'GF + UG Iteration 12'!H208</f>
        <v>2016</v>
      </c>
      <c r="I208" s="35">
        <f t="shared" si="20"/>
        <v>55.7</v>
      </c>
      <c r="J208" s="36">
        <f t="shared" si="21"/>
        <v>21.193756795806184</v>
      </c>
      <c r="K208" s="38">
        <f t="shared" si="22"/>
        <v>2016</v>
      </c>
      <c r="M208" s="21">
        <f t="shared" si="23"/>
        <v>4.0199801469332384</v>
      </c>
      <c r="N208" s="21">
        <f t="shared" si="24"/>
        <v>3.0537066475431875</v>
      </c>
    </row>
    <row r="209" spans="1:14" x14ac:dyDescent="0.2">
      <c r="A209" s="33">
        <f>'GF + UG Iteration 12'!A209</f>
        <v>579</v>
      </c>
      <c r="B209" s="34" t="str">
        <f>'GF + UG Iteration 12'!B209</f>
        <v>UG</v>
      </c>
      <c r="C209" s="35">
        <f>'GF + UG Iteration 12'!C209</f>
        <v>17.100000000000001</v>
      </c>
      <c r="D209" s="36">
        <f>'GF + UG Iteration 12'!P$16*(C209^'GF + UG Iteration 12'!P$15)</f>
        <v>12.980151032644478</v>
      </c>
      <c r="E209" s="37" t="str">
        <f>'GF + UG Iteration 12'!E209</f>
        <v>unknown</v>
      </c>
      <c r="F209" s="35">
        <f>'GF + UG Iteration 12'!F209</f>
        <v>11</v>
      </c>
      <c r="G209" s="36">
        <f>'GF + UG Iteration 12'!G209</f>
        <v>3.6516230200538073</v>
      </c>
      <c r="H209" s="38">
        <f>'GF + UG Iteration 12'!H209</f>
        <v>2008</v>
      </c>
      <c r="I209" s="35">
        <f t="shared" si="20"/>
        <v>28.1</v>
      </c>
      <c r="J209" s="36">
        <f t="shared" si="21"/>
        <v>16.631774052698287</v>
      </c>
      <c r="K209" s="38">
        <f t="shared" si="22"/>
        <v>2008</v>
      </c>
      <c r="M209" s="21">
        <f t="shared" si="23"/>
        <v>3.3357695763396999</v>
      </c>
      <c r="N209" s="21">
        <f t="shared" si="24"/>
        <v>2.8113149653683331</v>
      </c>
    </row>
    <row r="210" spans="1:14" x14ac:dyDescent="0.2">
      <c r="A210" s="33">
        <f>'GF + UG Iteration 12'!A210</f>
        <v>1670</v>
      </c>
      <c r="B210" s="34" t="str">
        <f>'GF + UG Iteration 12'!B210</f>
        <v>UG</v>
      </c>
      <c r="C210" s="35">
        <f>'GF + UG Iteration 12'!C210</f>
        <v>18.79</v>
      </c>
      <c r="D210" s="36">
        <f>'GF + UG Iteration 12'!P$16*(C210^'GF + UG Iteration 12'!P$15)</f>
        <v>13.699876411635632</v>
      </c>
      <c r="E210" s="37">
        <f>'GF + UG Iteration 12'!E210</f>
        <v>0</v>
      </c>
      <c r="F210" s="35">
        <f>'GF + UG Iteration 12'!F210</f>
        <v>30.509999999999998</v>
      </c>
      <c r="G210" s="36">
        <f>'GF + UG Iteration 12'!G210</f>
        <v>18.363697996227653</v>
      </c>
      <c r="H210" s="38">
        <f>'GF + UG Iteration 12'!H210</f>
        <v>2016</v>
      </c>
      <c r="I210" s="35">
        <f t="shared" si="20"/>
        <v>49.3</v>
      </c>
      <c r="J210" s="36">
        <f t="shared" si="21"/>
        <v>32.063574407863285</v>
      </c>
      <c r="K210" s="38">
        <f t="shared" si="22"/>
        <v>2016</v>
      </c>
      <c r="M210" s="21">
        <f t="shared" si="23"/>
        <v>3.8979240810486444</v>
      </c>
      <c r="N210" s="21">
        <f t="shared" si="24"/>
        <v>3.4677206321664533</v>
      </c>
    </row>
    <row r="211" spans="1:14" x14ac:dyDescent="0.2">
      <c r="A211" s="33">
        <f>'GF + UG Iteration 12'!A211</f>
        <v>1083</v>
      </c>
      <c r="B211" s="34" t="str">
        <f>'GF + UG Iteration 12'!B211</f>
        <v>UG</v>
      </c>
      <c r="C211" s="35">
        <f>'GF + UG Iteration 12'!C211</f>
        <v>7.53</v>
      </c>
      <c r="D211" s="36">
        <f>'GF + UG Iteration 12'!P$16*(C211^'GF + UG Iteration 12'!P$15)</f>
        <v>8.115568696403221</v>
      </c>
      <c r="E211" s="37">
        <f>'GF + UG Iteration 12'!E211</f>
        <v>1981</v>
      </c>
      <c r="F211" s="35">
        <f>'GF + UG Iteration 12'!F211</f>
        <v>5.87</v>
      </c>
      <c r="G211" s="36">
        <f>'GF + UG Iteration 12'!G211</f>
        <v>7.4125108979310461</v>
      </c>
      <c r="H211" s="38">
        <f>'GF + UG Iteration 12'!H211</f>
        <v>2011</v>
      </c>
      <c r="I211" s="35">
        <f t="shared" si="20"/>
        <v>13.4</v>
      </c>
      <c r="J211" s="36">
        <f t="shared" si="21"/>
        <v>15.528079594334267</v>
      </c>
      <c r="K211" s="38">
        <f t="shared" si="22"/>
        <v>2011</v>
      </c>
      <c r="M211" s="21">
        <f t="shared" si="23"/>
        <v>2.5952547069568657</v>
      </c>
      <c r="N211" s="21">
        <f t="shared" si="24"/>
        <v>2.7426499717122961</v>
      </c>
    </row>
    <row r="212" spans="1:14" x14ac:dyDescent="0.2">
      <c r="A212" s="33">
        <f>'GF + UG Iteration 12'!A212</f>
        <v>552</v>
      </c>
      <c r="B212" s="34" t="str">
        <f>'GF + UG Iteration 12'!B212</f>
        <v>UG</v>
      </c>
      <c r="C212" s="35">
        <f>'GF + UG Iteration 12'!C212</f>
        <v>20.229999999999997</v>
      </c>
      <c r="D212" s="36">
        <f>'GF + UG Iteration 12'!P$16*(C212^'GF + UG Iteration 12'!P$15)</f>
        <v>14.291552833538395</v>
      </c>
      <c r="E212" s="37">
        <f>'GF + UG Iteration 12'!E212</f>
        <v>1991</v>
      </c>
      <c r="F212" s="35">
        <f>'GF + UG Iteration 12'!F212</f>
        <v>10.470000000000002</v>
      </c>
      <c r="G212" s="36">
        <f>'GF + UG Iteration 12'!G212</f>
        <v>1.1457716756011658</v>
      </c>
      <c r="H212" s="38">
        <f>'GF + UG Iteration 12'!H212</f>
        <v>2006</v>
      </c>
      <c r="I212" s="35">
        <f t="shared" si="20"/>
        <v>30.7</v>
      </c>
      <c r="J212" s="36">
        <f t="shared" si="21"/>
        <v>15.437324509139561</v>
      </c>
      <c r="K212" s="38">
        <f t="shared" si="22"/>
        <v>2006</v>
      </c>
      <c r="M212" s="21">
        <f t="shared" si="23"/>
        <v>3.4242626545931514</v>
      </c>
      <c r="N212" s="21">
        <f t="shared" si="24"/>
        <v>2.7367882464945654</v>
      </c>
    </row>
    <row r="213" spans="1:14" x14ac:dyDescent="0.2">
      <c r="A213" s="33">
        <f>'GF + UG Iteration 12'!A213</f>
        <v>1311</v>
      </c>
      <c r="B213" s="34" t="str">
        <f>'GF + UG Iteration 12'!B213</f>
        <v>UG</v>
      </c>
      <c r="C213" s="35">
        <f>'GF + UG Iteration 12'!C213</f>
        <v>30.7</v>
      </c>
      <c r="D213" s="36">
        <f>'GF + UG Iteration 12'!P$16*(C213^'GF + UG Iteration 12'!P$15)</f>
        <v>18.146865471168535</v>
      </c>
      <c r="E213" s="37">
        <f>'GF + UG Iteration 12'!E213</f>
        <v>1991</v>
      </c>
      <c r="F213" s="35">
        <f>'GF + UG Iteration 12'!F213</f>
        <v>19.3</v>
      </c>
      <c r="G213" s="36">
        <f>'GF + UG Iteration 12'!G213</f>
        <v>5.9841430822776953</v>
      </c>
      <c r="H213" s="38">
        <f>'GF + UG Iteration 12'!H213</f>
        <v>2013</v>
      </c>
      <c r="I213" s="35">
        <f t="shared" si="20"/>
        <v>50</v>
      </c>
      <c r="J213" s="36">
        <f t="shared" si="21"/>
        <v>24.131008553446229</v>
      </c>
      <c r="K213" s="38">
        <f t="shared" si="22"/>
        <v>2013</v>
      </c>
      <c r="M213" s="21">
        <f t="shared" si="23"/>
        <v>3.912023005428146</v>
      </c>
      <c r="N213" s="21">
        <f t="shared" si="24"/>
        <v>3.1834976754251598</v>
      </c>
    </row>
    <row r="214" spans="1:14" x14ac:dyDescent="0.2">
      <c r="A214" s="33">
        <f>'GF + UG Iteration 12'!A214</f>
        <v>1078</v>
      </c>
      <c r="B214" s="34" t="str">
        <f>'GF + UG Iteration 12'!B214</f>
        <v>UG</v>
      </c>
      <c r="C214" s="35">
        <f>'GF + UG Iteration 12'!C214</f>
        <v>17.66</v>
      </c>
      <c r="D214" s="36">
        <f>'GF + UG Iteration 12'!P$16*(C214^'GF + UG Iteration 12'!P$15)</f>
        <v>13.221875032591534</v>
      </c>
      <c r="E214" s="37">
        <f>'GF + UG Iteration 12'!E214</f>
        <v>1957</v>
      </c>
      <c r="F214" s="35">
        <f>'GF + UG Iteration 12'!F214</f>
        <v>7.34</v>
      </c>
      <c r="G214" s="36">
        <f>'GF + UG Iteration 12'!G214</f>
        <v>1.0936387702296273</v>
      </c>
      <c r="H214" s="38">
        <f>'GF + UG Iteration 12'!H214</f>
        <v>2011</v>
      </c>
      <c r="I214" s="35">
        <f t="shared" si="20"/>
        <v>25</v>
      </c>
      <c r="J214" s="36">
        <f t="shared" si="21"/>
        <v>14.315513802821162</v>
      </c>
      <c r="K214" s="38">
        <f t="shared" si="22"/>
        <v>2011</v>
      </c>
      <c r="M214" s="21">
        <f t="shared" si="23"/>
        <v>3.2188758248682006</v>
      </c>
      <c r="N214" s="21">
        <f t="shared" si="24"/>
        <v>2.661343830523569</v>
      </c>
    </row>
    <row r="215" spans="1:14" x14ac:dyDescent="0.2">
      <c r="A215" s="33">
        <f>'GF + UG Iteration 12'!A215</f>
        <v>495</v>
      </c>
      <c r="B215" s="34" t="str">
        <f>'GF + UG Iteration 12'!B215</f>
        <v>UG</v>
      </c>
      <c r="C215" s="35">
        <f>'GF + UG Iteration 12'!C215</f>
        <v>12.974</v>
      </c>
      <c r="D215" s="36">
        <f>'GF + UG Iteration 12'!P$16*(C215^'GF + UG Iteration 12'!P$15)</f>
        <v>11.081850279990396</v>
      </c>
      <c r="E215" s="37">
        <f>'GF + UG Iteration 12'!E215</f>
        <v>1982</v>
      </c>
      <c r="F215" s="35">
        <f>'GF + UG Iteration 12'!F215</f>
        <v>0</v>
      </c>
      <c r="G215" s="36">
        <f>'GF + UG Iteration 12'!G215</f>
        <v>3.5907902166068872</v>
      </c>
      <c r="H215" s="38">
        <f>'GF + UG Iteration 12'!H215</f>
        <v>2006</v>
      </c>
      <c r="I215" s="35">
        <f t="shared" si="20"/>
        <v>12.974</v>
      </c>
      <c r="J215" s="36">
        <f t="shared" si="21"/>
        <v>14.672640496597284</v>
      </c>
      <c r="K215" s="38">
        <f t="shared" si="22"/>
        <v>2006</v>
      </c>
      <c r="M215" s="21">
        <f t="shared" si="23"/>
        <v>2.5629473547908637</v>
      </c>
      <c r="N215" s="21">
        <f t="shared" si="24"/>
        <v>2.6859845689095194</v>
      </c>
    </row>
    <row r="216" spans="1:14" x14ac:dyDescent="0.2">
      <c r="A216" s="33">
        <f>'GF + UG Iteration 12'!A216</f>
        <v>383</v>
      </c>
      <c r="B216" s="34" t="str">
        <f>'GF + UG Iteration 12'!B216</f>
        <v>UG</v>
      </c>
      <c r="C216" s="35">
        <f>'GF + UG Iteration 12'!C216</f>
        <v>0.51</v>
      </c>
      <c r="D216" s="36">
        <f>'GF + UG Iteration 12'!P$16*(C216^'GF + UG Iteration 12'!P$15)</f>
        <v>1.7370838336335208</v>
      </c>
      <c r="E216" s="37">
        <f>'GF + UG Iteration 12'!E216</f>
        <v>1984</v>
      </c>
      <c r="F216" s="35">
        <f>'GF + UG Iteration 12'!F216</f>
        <v>8</v>
      </c>
      <c r="G216" s="36">
        <f>'GF + UG Iteration 12'!G216</f>
        <v>3.9501723720469593</v>
      </c>
      <c r="H216" s="38">
        <f>'GF + UG Iteration 12'!H216</f>
        <v>2005</v>
      </c>
      <c r="I216" s="35">
        <f t="shared" si="20"/>
        <v>8.51</v>
      </c>
      <c r="J216" s="36">
        <f t="shared" si="21"/>
        <v>5.6872562056804803</v>
      </c>
      <c r="K216" s="38">
        <f t="shared" si="22"/>
        <v>2005</v>
      </c>
      <c r="M216" s="21">
        <f t="shared" si="23"/>
        <v>2.1412419425852827</v>
      </c>
      <c r="N216" s="21">
        <f t="shared" si="24"/>
        <v>1.7382279184230411</v>
      </c>
    </row>
    <row r="217" spans="1:14" x14ac:dyDescent="0.2">
      <c r="A217" s="33">
        <f>'GF + UG Iteration 12'!A217</f>
        <v>1020</v>
      </c>
      <c r="B217" s="34" t="str">
        <f>'GF + UG Iteration 12'!B217</f>
        <v>UG</v>
      </c>
      <c r="C217" s="35">
        <f>'GF + UG Iteration 12'!C217</f>
        <v>13</v>
      </c>
      <c r="D217" s="36">
        <f>'GF + UG Iteration 12'!P$16*(C217^'GF + UG Iteration 12'!P$15)</f>
        <v>11.094561208111376</v>
      </c>
      <c r="E217" s="37">
        <f>'GF + UG Iteration 12'!E217</f>
        <v>1977</v>
      </c>
      <c r="F217" s="35">
        <f>'GF + UG Iteration 12'!F217</f>
        <v>9</v>
      </c>
      <c r="G217" s="36">
        <f>'GF + UG Iteration 12'!G217</f>
        <v>7.3449786888029998</v>
      </c>
      <c r="H217" s="38">
        <f>'GF + UG Iteration 12'!H217</f>
        <v>2010</v>
      </c>
      <c r="I217" s="35">
        <f t="shared" si="20"/>
        <v>22</v>
      </c>
      <c r="J217" s="36">
        <f t="shared" si="21"/>
        <v>18.439539896914376</v>
      </c>
      <c r="K217" s="38">
        <f t="shared" si="22"/>
        <v>2010</v>
      </c>
      <c r="M217" s="21">
        <f t="shared" si="23"/>
        <v>3.0910424533583161</v>
      </c>
      <c r="N217" s="21">
        <f t="shared" si="24"/>
        <v>2.9144972664567654</v>
      </c>
    </row>
    <row r="218" spans="1:14" x14ac:dyDescent="0.2">
      <c r="A218" s="33">
        <f>'GF + UG Iteration 12'!A218</f>
        <v>1364</v>
      </c>
      <c r="B218" s="34" t="str">
        <f>'GF + UG Iteration 12'!B218</f>
        <v>UG</v>
      </c>
      <c r="C218" s="35">
        <f>'GF + UG Iteration 12'!C218</f>
        <v>8.5</v>
      </c>
      <c r="D218" s="36">
        <f>'GF + UG Iteration 12'!P$16*(C218^'GF + UG Iteration 12'!P$15)</f>
        <v>8.6986415395134724</v>
      </c>
      <c r="E218" s="37">
        <f>'GF + UG Iteration 12'!E218</f>
        <v>0</v>
      </c>
      <c r="F218" s="35">
        <f>'GF + UG Iteration 12'!F218</f>
        <v>34</v>
      </c>
      <c r="G218" s="36">
        <f>'GF + UG Iteration 12'!G218</f>
        <v>8.7951197470845859</v>
      </c>
      <c r="H218" s="38">
        <f>'GF + UG Iteration 12'!H218</f>
        <v>2013</v>
      </c>
      <c r="I218" s="35">
        <f t="shared" si="20"/>
        <v>42.5</v>
      </c>
      <c r="J218" s="36">
        <f t="shared" si="21"/>
        <v>17.493761286598058</v>
      </c>
      <c r="K218" s="38">
        <f t="shared" si="22"/>
        <v>2013</v>
      </c>
      <c r="M218" s="21">
        <f t="shared" si="23"/>
        <v>3.7495040759303713</v>
      </c>
      <c r="N218" s="21">
        <f t="shared" si="24"/>
        <v>2.8618443194603</v>
      </c>
    </row>
    <row r="219" spans="1:14" x14ac:dyDescent="0.2">
      <c r="A219" s="33">
        <f>'GF + UG Iteration 12'!A219</f>
        <v>503</v>
      </c>
      <c r="B219" s="34" t="str">
        <f>'GF + UG Iteration 12'!B219</f>
        <v>UG</v>
      </c>
      <c r="C219" s="35">
        <f>'GF + UG Iteration 12'!C219</f>
        <v>31</v>
      </c>
      <c r="D219" s="36">
        <f>'GF + UG Iteration 12'!P$16*(C219^'GF + UG Iteration 12'!P$15)</f>
        <v>18.248194109793936</v>
      </c>
      <c r="E219" s="37">
        <f>'GF + UG Iteration 12'!E219</f>
        <v>1972</v>
      </c>
      <c r="F219" s="35">
        <f>'GF + UG Iteration 12'!F219</f>
        <v>16</v>
      </c>
      <c r="G219" s="36">
        <f>'GF + UG Iteration 12'!G219</f>
        <v>3.8033222269089473</v>
      </c>
      <c r="H219" s="38">
        <f>'GF + UG Iteration 12'!H219</f>
        <v>2007</v>
      </c>
      <c r="I219" s="35">
        <f t="shared" si="20"/>
        <v>47</v>
      </c>
      <c r="J219" s="36">
        <f t="shared" si="21"/>
        <v>22.051516336702882</v>
      </c>
      <c r="K219" s="38">
        <f t="shared" si="22"/>
        <v>2007</v>
      </c>
      <c r="M219" s="21">
        <f t="shared" si="23"/>
        <v>3.8501476017100584</v>
      </c>
      <c r="N219" s="21">
        <f t="shared" si="24"/>
        <v>3.0933813676328765</v>
      </c>
    </row>
    <row r="220" spans="1:14" x14ac:dyDescent="0.2">
      <c r="A220" s="33">
        <f>'GF + UG Iteration 12'!A220</f>
        <v>925</v>
      </c>
      <c r="B220" s="34" t="str">
        <f>'GF + UG Iteration 12'!B220</f>
        <v>UG</v>
      </c>
      <c r="C220" s="35">
        <f>'GF + UG Iteration 12'!C220</f>
        <v>47</v>
      </c>
      <c r="D220" s="36">
        <f>'GF + UG Iteration 12'!P$16*(C220^'GF + UG Iteration 12'!P$15)</f>
        <v>23.158446805509303</v>
      </c>
      <c r="E220" s="37">
        <f>'GF + UG Iteration 12'!E220</f>
        <v>1972</v>
      </c>
      <c r="F220" s="35">
        <f>'GF + UG Iteration 12'!F220</f>
        <v>9</v>
      </c>
      <c r="G220" s="36">
        <f>'GF + UG Iteration 12'!G220</f>
        <v>3.3164697860941139</v>
      </c>
      <c r="H220" s="38">
        <f>'GF + UG Iteration 12'!H220</f>
        <v>2011</v>
      </c>
      <c r="I220" s="35">
        <f t="shared" si="20"/>
        <v>56</v>
      </c>
      <c r="J220" s="36">
        <f t="shared" si="21"/>
        <v>26.474916591603417</v>
      </c>
      <c r="K220" s="38">
        <f t="shared" si="22"/>
        <v>2011</v>
      </c>
      <c r="M220" s="21">
        <f t="shared" si="23"/>
        <v>4.0253516907351496</v>
      </c>
      <c r="N220" s="21">
        <f t="shared" si="24"/>
        <v>3.2761977410237129</v>
      </c>
    </row>
    <row r="221" spans="1:14" x14ac:dyDescent="0.2">
      <c r="A221" s="33">
        <f>'GF + UG Iteration 12'!A221</f>
        <v>821</v>
      </c>
      <c r="B221" s="34" t="str">
        <f>'GF + UG Iteration 12'!B221</f>
        <v>UG</v>
      </c>
      <c r="C221" s="35">
        <f>'GF + UG Iteration 12'!C221</f>
        <v>25</v>
      </c>
      <c r="D221" s="36">
        <f>'GF + UG Iteration 12'!P$16*(C221^'GF + UG Iteration 12'!P$15)</f>
        <v>16.13342707338958</v>
      </c>
      <c r="E221" s="37">
        <f>'GF + UG Iteration 12'!E221</f>
        <v>2006</v>
      </c>
      <c r="F221" s="35">
        <f>'GF + UG Iteration 12'!F221</f>
        <v>32</v>
      </c>
      <c r="G221" s="36">
        <f>'GF + UG Iteration 12'!G221</f>
        <v>9.4177371403666275</v>
      </c>
      <c r="H221" s="38">
        <f>'GF + UG Iteration 12'!H221</f>
        <v>2011</v>
      </c>
      <c r="I221" s="35">
        <f t="shared" si="20"/>
        <v>57</v>
      </c>
      <c r="J221" s="36">
        <f t="shared" si="21"/>
        <v>25.551164213756209</v>
      </c>
      <c r="K221" s="38">
        <f t="shared" si="22"/>
        <v>2011</v>
      </c>
      <c r="M221" s="21">
        <f t="shared" si="23"/>
        <v>4.0430512678345503</v>
      </c>
      <c r="N221" s="21">
        <f t="shared" si="24"/>
        <v>3.2406828817077438</v>
      </c>
    </row>
    <row r="222" spans="1:14" x14ac:dyDescent="0.2">
      <c r="A222" s="33">
        <f>'GF + UG Iteration 12'!A222</f>
        <v>486</v>
      </c>
      <c r="B222" s="34" t="str">
        <f>'GF + UG Iteration 12'!B222</f>
        <v>UG</v>
      </c>
      <c r="C222" s="35">
        <f>'GF + UG Iteration 12'!C222</f>
        <v>10.81</v>
      </c>
      <c r="D222" s="36">
        <f>'GF + UG Iteration 12'!P$16*(C222^'GF + UG Iteration 12'!P$15)</f>
        <v>9.9823951032586589</v>
      </c>
      <c r="E222" s="37">
        <f>'GF + UG Iteration 12'!E222</f>
        <v>1993</v>
      </c>
      <c r="F222" s="35">
        <f>'GF + UG Iteration 12'!F222</f>
        <v>3.1399999999999988</v>
      </c>
      <c r="G222" s="36">
        <f>'GF + UG Iteration 12'!G222</f>
        <v>0.34692120274319505</v>
      </c>
      <c r="H222" s="38">
        <f>'GF + UG Iteration 12'!H222</f>
        <v>2005</v>
      </c>
      <c r="I222" s="35">
        <f t="shared" si="20"/>
        <v>13.95</v>
      </c>
      <c r="J222" s="36">
        <f t="shared" si="21"/>
        <v>10.329316306001854</v>
      </c>
      <c r="K222" s="38">
        <f t="shared" si="22"/>
        <v>2005</v>
      </c>
      <c r="M222" s="21">
        <f t="shared" si="23"/>
        <v>2.6354795082673745</v>
      </c>
      <c r="N222" s="21">
        <f t="shared" si="24"/>
        <v>2.3349860956558079</v>
      </c>
    </row>
    <row r="223" spans="1:14" x14ac:dyDescent="0.2">
      <c r="A223" s="33">
        <f>'GF + UG Iteration 12'!A223</f>
        <v>779</v>
      </c>
      <c r="B223" s="34" t="str">
        <f>'GF + UG Iteration 12'!B223</f>
        <v>UG</v>
      </c>
      <c r="C223" s="35">
        <f>'GF + UG Iteration 12'!C223</f>
        <v>13.95</v>
      </c>
      <c r="D223" s="36">
        <f>'GF + UG Iteration 12'!P$16*(C223^'GF + UG Iteration 12'!P$15)</f>
        <v>11.551791982272855</v>
      </c>
      <c r="E223" s="37">
        <f>'GF + UG Iteration 12'!E223</f>
        <v>1993</v>
      </c>
      <c r="F223" s="35">
        <f>'GF + UG Iteration 12'!F223</f>
        <v>4.0500000000000007</v>
      </c>
      <c r="G223" s="36">
        <f>'GF + UG Iteration 12'!G223</f>
        <v>0.91575874480529229</v>
      </c>
      <c r="H223" s="38">
        <f>'GF + UG Iteration 12'!H223</f>
        <v>2008</v>
      </c>
      <c r="I223" s="35">
        <f t="shared" si="20"/>
        <v>18</v>
      </c>
      <c r="J223" s="36">
        <f t="shared" si="21"/>
        <v>12.467550727078146</v>
      </c>
      <c r="K223" s="38">
        <f t="shared" si="22"/>
        <v>2008</v>
      </c>
      <c r="M223" s="21">
        <f t="shared" si="23"/>
        <v>2.8903717578961645</v>
      </c>
      <c r="N223" s="21">
        <f t="shared" si="24"/>
        <v>2.5231293271748521</v>
      </c>
    </row>
    <row r="224" spans="1:14" x14ac:dyDescent="0.2">
      <c r="A224" s="33">
        <f>'GF + UG Iteration 12'!A224</f>
        <v>1416</v>
      </c>
      <c r="B224" s="34" t="str">
        <f>'GF + UG Iteration 12'!B224</f>
        <v>UG</v>
      </c>
      <c r="C224" s="35">
        <f>'GF + UG Iteration 12'!C224</f>
        <v>18</v>
      </c>
      <c r="D224" s="36">
        <f>'GF + UG Iteration 12'!P$16*(C224^'GF + UG Iteration 12'!P$15)</f>
        <v>13.367038857688087</v>
      </c>
      <c r="E224" s="37">
        <f>'GF + UG Iteration 12'!E224</f>
        <v>1993</v>
      </c>
      <c r="F224" s="35">
        <f>'GF + UG Iteration 12'!F224</f>
        <v>6</v>
      </c>
      <c r="G224" s="36">
        <f>'GF + UG Iteration 12'!G224</f>
        <v>1.4181567457767223</v>
      </c>
      <c r="H224" s="38">
        <f>'GF + UG Iteration 12'!H224</f>
        <v>2014</v>
      </c>
      <c r="I224" s="35">
        <f t="shared" si="20"/>
        <v>24</v>
      </c>
      <c r="J224" s="36">
        <f t="shared" si="21"/>
        <v>14.785195603464809</v>
      </c>
      <c r="K224" s="38">
        <f t="shared" si="22"/>
        <v>2014</v>
      </c>
      <c r="M224" s="21">
        <f t="shared" si="23"/>
        <v>3.1780538303479458</v>
      </c>
      <c r="N224" s="21">
        <f t="shared" si="24"/>
        <v>2.6936263830758924</v>
      </c>
    </row>
    <row r="225" spans="1:14" x14ac:dyDescent="0.2">
      <c r="A225" s="33">
        <f>'GF + UG Iteration 12'!A225</f>
        <v>554</v>
      </c>
      <c r="B225" s="34" t="str">
        <f>'GF + UG Iteration 12'!B225</f>
        <v>UG</v>
      </c>
      <c r="C225" s="35">
        <f>'GF + UG Iteration 12'!C225</f>
        <v>23</v>
      </c>
      <c r="D225" s="36">
        <f>'GF + UG Iteration 12'!P$16*(C225^'GF + UG Iteration 12'!P$15)</f>
        <v>15.381246719322945</v>
      </c>
      <c r="E225" s="37">
        <f>'GF + UG Iteration 12'!E225</f>
        <v>1968</v>
      </c>
      <c r="F225" s="35">
        <f>'GF + UG Iteration 12'!F225</f>
        <v>8.2600000000000016</v>
      </c>
      <c r="G225" s="36">
        <f>'GF + UG Iteration 12'!G225</f>
        <v>1.061095708813089</v>
      </c>
      <c r="H225" s="38">
        <f>'GF + UG Iteration 12'!H225</f>
        <v>2006</v>
      </c>
      <c r="I225" s="35">
        <f t="shared" si="20"/>
        <v>31.26</v>
      </c>
      <c r="J225" s="36">
        <f t="shared" si="21"/>
        <v>16.442342428136033</v>
      </c>
      <c r="K225" s="38">
        <f t="shared" si="22"/>
        <v>2006</v>
      </c>
      <c r="M225" s="21">
        <f t="shared" si="23"/>
        <v>3.4423393249933305</v>
      </c>
      <c r="N225" s="21">
        <f t="shared" si="24"/>
        <v>2.7998598629414917</v>
      </c>
    </row>
    <row r="226" spans="1:14" x14ac:dyDescent="0.2">
      <c r="A226" s="33">
        <f>'GF + UG Iteration 12'!A226</f>
        <v>1581</v>
      </c>
      <c r="B226" s="34" t="str">
        <f>'GF + UG Iteration 12'!B226</f>
        <v>UG</v>
      </c>
      <c r="C226" s="35">
        <f>'GF + UG Iteration 12'!C226</f>
        <v>7.44</v>
      </c>
      <c r="D226" s="36">
        <f>'GF + UG Iteration 12'!P$16*(C226^'GF + UG Iteration 12'!P$15)</f>
        <v>8.059884486081403</v>
      </c>
      <c r="E226" s="37" t="str">
        <f>'GF + UG Iteration 12'!E226</f>
        <v>unknown</v>
      </c>
      <c r="F226" s="35">
        <f>'GF + UG Iteration 12'!F226</f>
        <v>9.36</v>
      </c>
      <c r="G226" s="36">
        <f>'GF + UG Iteration 12'!G226</f>
        <v>5.3848313505476417</v>
      </c>
      <c r="H226" s="38">
        <f>'GF + UG Iteration 12'!H226</f>
        <v>2015</v>
      </c>
      <c r="I226" s="35">
        <f t="shared" si="20"/>
        <v>16.8</v>
      </c>
      <c r="J226" s="36">
        <f t="shared" si="21"/>
        <v>13.444715836629044</v>
      </c>
      <c r="K226" s="38">
        <f t="shared" si="22"/>
        <v>2015</v>
      </c>
      <c r="M226" s="21">
        <f t="shared" si="23"/>
        <v>2.8213788864092133</v>
      </c>
      <c r="N226" s="21">
        <f t="shared" si="24"/>
        <v>2.5985861542523319</v>
      </c>
    </row>
    <row r="227" spans="1:14" x14ac:dyDescent="0.2">
      <c r="A227" s="33">
        <f>'GF + UG Iteration 12'!A227</f>
        <v>880</v>
      </c>
      <c r="B227" s="34" t="str">
        <f>'GF + UG Iteration 12'!B227</f>
        <v>UG</v>
      </c>
      <c r="C227" s="35">
        <f>'GF + UG Iteration 12'!C227</f>
        <v>8.9499999999999993</v>
      </c>
      <c r="D227" s="36">
        <f>'GF + UG Iteration 12'!P$16*(C227^'GF + UG Iteration 12'!P$15)</f>
        <v>8.9594227399772794</v>
      </c>
      <c r="E227" s="37">
        <f>'GF + UG Iteration 12'!E227</f>
        <v>1966</v>
      </c>
      <c r="F227" s="35">
        <f>'GF + UG Iteration 12'!F227</f>
        <v>2.0500000000000007</v>
      </c>
      <c r="G227" s="36">
        <f>'GF + UG Iteration 12'!G227</f>
        <v>4.5763928166345611</v>
      </c>
      <c r="H227" s="38">
        <f>'GF + UG Iteration 12'!H227</f>
        <v>2010</v>
      </c>
      <c r="I227" s="35">
        <f t="shared" si="20"/>
        <v>11</v>
      </c>
      <c r="J227" s="36">
        <f t="shared" si="21"/>
        <v>13.535815556611841</v>
      </c>
      <c r="K227" s="38">
        <f t="shared" si="22"/>
        <v>2010</v>
      </c>
      <c r="M227" s="21">
        <f t="shared" si="23"/>
        <v>2.3978952727983707</v>
      </c>
      <c r="N227" s="21">
        <f t="shared" si="24"/>
        <v>2.6053391766341987</v>
      </c>
    </row>
    <row r="228" spans="1:14" x14ac:dyDescent="0.2">
      <c r="A228" s="33">
        <f>'GF + UG Iteration 12'!A228</f>
        <v>1047</v>
      </c>
      <c r="B228" s="34" t="str">
        <f>'GF + UG Iteration 12'!B228</f>
        <v>UG</v>
      </c>
      <c r="C228" s="35">
        <f>'GF + UG Iteration 12'!C228</f>
        <v>10</v>
      </c>
      <c r="D228" s="36">
        <f>'GF + UG Iteration 12'!P$16*(C228^'GF + UG Iteration 12'!P$15)</f>
        <v>9.5469832625749067</v>
      </c>
      <c r="E228" s="37">
        <f>'GF + UG Iteration 12'!E228</f>
        <v>1965</v>
      </c>
      <c r="F228" s="35">
        <f>'GF + UG Iteration 12'!F228</f>
        <v>5</v>
      </c>
      <c r="G228" s="36">
        <f>'GF + UG Iteration 12'!G228</f>
        <v>6.2586429220605622</v>
      </c>
      <c r="H228" s="38">
        <f>'GF + UG Iteration 12'!H228</f>
        <v>2012</v>
      </c>
      <c r="I228" s="35">
        <f t="shared" si="20"/>
        <v>15</v>
      </c>
      <c r="J228" s="36">
        <f t="shared" si="21"/>
        <v>15.805626184635468</v>
      </c>
      <c r="K228" s="38">
        <f t="shared" si="22"/>
        <v>2012</v>
      </c>
      <c r="M228" s="21">
        <f t="shared" si="23"/>
        <v>2.7080502011022101</v>
      </c>
      <c r="N228" s="21">
        <f t="shared" si="24"/>
        <v>2.7603659642839218</v>
      </c>
    </row>
    <row r="229" spans="1:14" x14ac:dyDescent="0.2">
      <c r="A229" s="33">
        <f>'GF + UG Iteration 12'!A229</f>
        <v>1045</v>
      </c>
      <c r="B229" s="34" t="str">
        <f>'GF + UG Iteration 12'!B229</f>
        <v>UG</v>
      </c>
      <c r="C229" s="35">
        <f>'GF + UG Iteration 12'!C229</f>
        <v>24.065999999999999</v>
      </c>
      <c r="D229" s="36">
        <f>'GF + UG Iteration 12'!P$16*(C229^'GF + UG Iteration 12'!P$15)</f>
        <v>15.785489755957107</v>
      </c>
      <c r="E229" s="37">
        <f>'GF + UG Iteration 12'!E229</f>
        <v>1971</v>
      </c>
      <c r="F229" s="35">
        <f>'GF + UG Iteration 12'!F229</f>
        <v>7.9340000000000011</v>
      </c>
      <c r="G229" s="36">
        <f>'GF + UG Iteration 12'!G229</f>
        <v>3.8009199870921253</v>
      </c>
      <c r="H229" s="38">
        <f>'GF + UG Iteration 12'!H229</f>
        <v>2011</v>
      </c>
      <c r="I229" s="35">
        <f t="shared" si="20"/>
        <v>32</v>
      </c>
      <c r="J229" s="36">
        <f t="shared" si="21"/>
        <v>19.586409743049231</v>
      </c>
      <c r="K229" s="38">
        <f t="shared" si="22"/>
        <v>2011</v>
      </c>
      <c r="M229" s="21">
        <f t="shared" si="23"/>
        <v>3.4657359027997265</v>
      </c>
      <c r="N229" s="21">
        <f t="shared" si="24"/>
        <v>2.9748359452803927</v>
      </c>
    </row>
    <row r="230" spans="1:14" x14ac:dyDescent="0.2">
      <c r="A230" s="33">
        <f>'GF + UG Iteration 12'!A230</f>
        <v>1616</v>
      </c>
      <c r="B230" s="34" t="str">
        <f>'GF + UG Iteration 12'!B230</f>
        <v>UG</v>
      </c>
      <c r="C230" s="35">
        <f>'GF + UG Iteration 12'!C230</f>
        <v>21.68</v>
      </c>
      <c r="D230" s="36">
        <f>'GF + UG Iteration 12'!P$16*(C230^'GF + UG Iteration 12'!P$15)</f>
        <v>14.869409456550564</v>
      </c>
      <c r="E230" s="37" t="str">
        <f>'GF + UG Iteration 12'!E230</f>
        <v>unknown</v>
      </c>
      <c r="F230" s="35">
        <f>'GF + UG Iteration 12'!F230</f>
        <v>25.75</v>
      </c>
      <c r="G230" s="36">
        <f>'GF + UG Iteration 12'!G230</f>
        <v>0.84818580502502572</v>
      </c>
      <c r="H230" s="38">
        <f>'GF + UG Iteration 12'!H230</f>
        <v>2015</v>
      </c>
      <c r="I230" s="35">
        <f t="shared" si="20"/>
        <v>47.43</v>
      </c>
      <c r="J230" s="36">
        <f t="shared" si="21"/>
        <v>15.717595261575589</v>
      </c>
      <c r="K230" s="38">
        <f t="shared" si="22"/>
        <v>2015</v>
      </c>
      <c r="M230" s="21">
        <f t="shared" si="23"/>
        <v>3.8592549398894902</v>
      </c>
      <c r="N230" s="21">
        <f t="shared" si="24"/>
        <v>2.7547808021172555</v>
      </c>
    </row>
    <row r="231" spans="1:14" x14ac:dyDescent="0.2">
      <c r="A231" s="33">
        <f>'GF + UG Iteration 12'!A231</f>
        <v>362</v>
      </c>
      <c r="B231" s="34" t="str">
        <f>'GF + UG Iteration 12'!B231</f>
        <v>UG</v>
      </c>
      <c r="C231" s="35">
        <f>'GF + UG Iteration 12'!C231</f>
        <v>51.8</v>
      </c>
      <c r="D231" s="36">
        <f>'GF + UG Iteration 12'!P$16*(C231^'GF + UG Iteration 12'!P$15)</f>
        <v>24.484510042807095</v>
      </c>
      <c r="E231" s="37">
        <f>'GF + UG Iteration 12'!E231</f>
        <v>1971</v>
      </c>
      <c r="F231" s="35">
        <f>'GF + UG Iteration 12'!F231</f>
        <v>1</v>
      </c>
      <c r="G231" s="36">
        <f>'GF + UG Iteration 12'!G231</f>
        <v>0.78848028183233532</v>
      </c>
      <c r="H231" s="38">
        <f>'GF + UG Iteration 12'!H231</f>
        <v>2004</v>
      </c>
      <c r="I231" s="35">
        <f t="shared" si="20"/>
        <v>52.8</v>
      </c>
      <c r="J231" s="36">
        <f t="shared" si="21"/>
        <v>25.27299032463943</v>
      </c>
      <c r="K231" s="38">
        <f t="shared" si="22"/>
        <v>2004</v>
      </c>
      <c r="M231" s="21">
        <f t="shared" si="23"/>
        <v>3.9665111907122159</v>
      </c>
      <c r="N231" s="21">
        <f t="shared" si="24"/>
        <v>3.2297362493669963</v>
      </c>
    </row>
    <row r="232" spans="1:14" x14ac:dyDescent="0.2">
      <c r="A232" s="33">
        <f>'GF + UG Iteration 12'!A232</f>
        <v>924</v>
      </c>
      <c r="B232" s="34" t="str">
        <f>'GF + UG Iteration 12'!B232</f>
        <v>UG</v>
      </c>
      <c r="C232" s="35">
        <f>'GF + UG Iteration 12'!C232</f>
        <v>45.94</v>
      </c>
      <c r="D232" s="36">
        <f>'GF + UG Iteration 12'!P$16*(C232^'GF + UG Iteration 12'!P$15)</f>
        <v>22.857922510854156</v>
      </c>
      <c r="E232" s="37">
        <f>'GF + UG Iteration 12'!E232</f>
        <v>1982</v>
      </c>
      <c r="F232" s="35">
        <f>'GF + UG Iteration 12'!F232</f>
        <v>6.0600000000000023</v>
      </c>
      <c r="G232" s="36">
        <f>'GF + UG Iteration 12'!G232</f>
        <v>1.4264307906682692</v>
      </c>
      <c r="H232" s="38">
        <f>'GF + UG Iteration 12'!H232</f>
        <v>2010</v>
      </c>
      <c r="I232" s="35">
        <f t="shared" si="20"/>
        <v>52</v>
      </c>
      <c r="J232" s="36">
        <f t="shared" si="21"/>
        <v>24.284353301522426</v>
      </c>
      <c r="K232" s="38">
        <f t="shared" si="22"/>
        <v>2010</v>
      </c>
      <c r="M232" s="21">
        <f t="shared" si="23"/>
        <v>3.9512437185814275</v>
      </c>
      <c r="N232" s="21">
        <f t="shared" si="24"/>
        <v>3.1898322458990722</v>
      </c>
    </row>
    <row r="233" spans="1:14" x14ac:dyDescent="0.2">
      <c r="A233" s="33">
        <f>'GF + UG Iteration 12'!A233</f>
        <v>1241</v>
      </c>
      <c r="B233" s="34" t="str">
        <f>'GF + UG Iteration 12'!B233</f>
        <v>UG</v>
      </c>
      <c r="C233" s="35">
        <f>'GF + UG Iteration 12'!C233</f>
        <v>20.29</v>
      </c>
      <c r="D233" s="36">
        <f>'GF + UG Iteration 12'!P$16*(C233^'GF + UG Iteration 12'!P$15)</f>
        <v>14.315808388127435</v>
      </c>
      <c r="E233" s="37" t="str">
        <f>'GF + UG Iteration 12'!E233</f>
        <v>unknown</v>
      </c>
      <c r="F233" s="35">
        <f>'GF + UG Iteration 12'!F233</f>
        <v>6</v>
      </c>
      <c r="G233" s="36">
        <f>'GF + UG Iteration 12'!G233</f>
        <v>2.625007735639064</v>
      </c>
      <c r="H233" s="38">
        <f>'GF + UG Iteration 12'!H233</f>
        <v>2012</v>
      </c>
      <c r="I233" s="35">
        <f t="shared" si="20"/>
        <v>26.29</v>
      </c>
      <c r="J233" s="36">
        <f t="shared" si="21"/>
        <v>16.940816123766499</v>
      </c>
      <c r="K233" s="38">
        <f t="shared" si="22"/>
        <v>2012</v>
      </c>
      <c r="M233" s="21">
        <f t="shared" si="23"/>
        <v>3.2691886387417899</v>
      </c>
      <c r="N233" s="21">
        <f t="shared" si="24"/>
        <v>2.8297258653813939</v>
      </c>
    </row>
    <row r="234" spans="1:14" x14ac:dyDescent="0.2">
      <c r="A234" s="33">
        <f>'GF + UG Iteration 12'!A234</f>
        <v>438</v>
      </c>
      <c r="B234" s="34" t="str">
        <f>'GF + UG Iteration 12'!B234</f>
        <v>UG</v>
      </c>
      <c r="C234" s="35">
        <f>'GF + UG Iteration 12'!C234</f>
        <v>8.2460000000000004</v>
      </c>
      <c r="D234" s="36">
        <f>'GF + UG Iteration 12'!P$16*(C234^'GF + UG Iteration 12'!P$15)</f>
        <v>8.5488380128315526</v>
      </c>
      <c r="E234" s="37">
        <f>'GF + UG Iteration 12'!E234</f>
        <v>1978</v>
      </c>
      <c r="F234" s="35">
        <f>'GF + UG Iteration 12'!F234</f>
        <v>1</v>
      </c>
      <c r="G234" s="36">
        <f>'GF + UG Iteration 12'!G234</f>
        <v>0.18095315250984781</v>
      </c>
      <c r="H234" s="38">
        <f>'GF + UG Iteration 12'!H234</f>
        <v>2004</v>
      </c>
      <c r="I234" s="35">
        <f t="shared" si="20"/>
        <v>9.2460000000000004</v>
      </c>
      <c r="J234" s="36">
        <f t="shared" si="21"/>
        <v>8.7297911653413998</v>
      </c>
      <c r="K234" s="38">
        <f t="shared" si="22"/>
        <v>2004</v>
      </c>
      <c r="M234" s="21">
        <f t="shared" si="23"/>
        <v>2.2241910255660335</v>
      </c>
      <c r="N234" s="21">
        <f t="shared" si="24"/>
        <v>2.1667414480695566</v>
      </c>
    </row>
    <row r="235" spans="1:14" x14ac:dyDescent="0.2">
      <c r="A235" s="33">
        <f>'GF + UG Iteration 12'!A235</f>
        <v>748</v>
      </c>
      <c r="B235" s="34" t="str">
        <f>'GF + UG Iteration 12'!B235</f>
        <v>UG</v>
      </c>
      <c r="C235" s="35">
        <f>'GF + UG Iteration 12'!C235</f>
        <v>25.541</v>
      </c>
      <c r="D235" s="36">
        <f>'GF + UG Iteration 12'!P$16*(C235^'GF + UG Iteration 12'!P$15)</f>
        <v>16.332422335154156</v>
      </c>
      <c r="E235" s="37">
        <f>'GF + UG Iteration 12'!E235</f>
        <v>1995</v>
      </c>
      <c r="F235" s="35">
        <f>'GF + UG Iteration 12'!F235</f>
        <v>1</v>
      </c>
      <c r="G235" s="36">
        <f>'GF + UG Iteration 12'!G235</f>
        <v>0.38858476644316492</v>
      </c>
      <c r="H235" s="38">
        <f>'GF + UG Iteration 12'!H235</f>
        <v>2008</v>
      </c>
      <c r="I235" s="35">
        <f t="shared" si="20"/>
        <v>26.541</v>
      </c>
      <c r="J235" s="36">
        <f t="shared" si="21"/>
        <v>16.721007101597323</v>
      </c>
      <c r="K235" s="38">
        <f t="shared" si="22"/>
        <v>2008</v>
      </c>
      <c r="M235" s="21">
        <f t="shared" si="23"/>
        <v>3.2786907071693587</v>
      </c>
      <c r="N235" s="21">
        <f t="shared" si="24"/>
        <v>2.8166658391917223</v>
      </c>
    </row>
    <row r="236" spans="1:14" x14ac:dyDescent="0.2">
      <c r="A236" s="33">
        <f>'GF + UG Iteration 12'!A236</f>
        <v>1319</v>
      </c>
      <c r="B236" s="34" t="str">
        <f>'GF + UG Iteration 12'!B236</f>
        <v>UG</v>
      </c>
      <c r="C236" s="35">
        <f>'GF + UG Iteration 12'!C236</f>
        <v>15.71</v>
      </c>
      <c r="D236" s="36">
        <f>'GF + UG Iteration 12'!P$16*(C236^'GF + UG Iteration 12'!P$15)</f>
        <v>12.365072146246586</v>
      </c>
      <c r="E236" s="37">
        <f>'GF + UG Iteration 12'!E236</f>
        <v>0</v>
      </c>
      <c r="F236" s="35">
        <f>'GF + UG Iteration 12'!F236</f>
        <v>4.2899999999999991</v>
      </c>
      <c r="G236" s="36">
        <f>'GF + UG Iteration 12'!G236</f>
        <v>3.2376779482440865</v>
      </c>
      <c r="H236" s="38">
        <f>'GF + UG Iteration 12'!H236</f>
        <v>2014</v>
      </c>
      <c r="I236" s="35">
        <f t="shared" si="20"/>
        <v>20</v>
      </c>
      <c r="J236" s="36">
        <f t="shared" si="21"/>
        <v>15.602750094490673</v>
      </c>
      <c r="K236" s="38">
        <f t="shared" si="22"/>
        <v>2014</v>
      </c>
      <c r="M236" s="21">
        <f t="shared" si="23"/>
        <v>2.9957322735539909</v>
      </c>
      <c r="N236" s="21">
        <f t="shared" si="24"/>
        <v>2.7474471868269452</v>
      </c>
    </row>
    <row r="237" spans="1:14" x14ac:dyDescent="0.2">
      <c r="A237" s="33">
        <f>'GF + UG Iteration 12'!A237</f>
        <v>892</v>
      </c>
      <c r="B237" s="34" t="str">
        <f>'GF + UG Iteration 12'!B237</f>
        <v>UG</v>
      </c>
      <c r="C237" s="35">
        <f>'GF + UG Iteration 12'!C237</f>
        <v>13.05</v>
      </c>
      <c r="D237" s="36">
        <f>'GF + UG Iteration 12'!P$16*(C237^'GF + UG Iteration 12'!P$15)</f>
        <v>11.118974801861437</v>
      </c>
      <c r="E237" s="37">
        <f>'GF + UG Iteration 12'!E237</f>
        <v>1972</v>
      </c>
      <c r="F237" s="35">
        <f>'GF + UG Iteration 12'!F237</f>
        <v>0</v>
      </c>
      <c r="G237" s="36">
        <f>'GF + UG Iteration 12'!G237</f>
        <v>3.2490818561124843</v>
      </c>
      <c r="H237" s="38">
        <f>'GF + UG Iteration 12'!H237</f>
        <v>2011</v>
      </c>
      <c r="I237" s="35">
        <f t="shared" si="20"/>
        <v>13.05</v>
      </c>
      <c r="J237" s="36">
        <f t="shared" si="21"/>
        <v>14.368056657973922</v>
      </c>
      <c r="K237" s="38">
        <f t="shared" si="22"/>
        <v>2011</v>
      </c>
      <c r="M237" s="21">
        <f t="shared" si="23"/>
        <v>2.5687881337687024</v>
      </c>
      <c r="N237" s="21">
        <f t="shared" si="24"/>
        <v>2.6650074548965788</v>
      </c>
    </row>
    <row r="238" spans="1:14" x14ac:dyDescent="0.2">
      <c r="A238" s="33">
        <f>'GF + UG Iteration 12'!A238</f>
        <v>504</v>
      </c>
      <c r="B238" s="34" t="str">
        <f>'GF + UG Iteration 12'!B238</f>
        <v>UG</v>
      </c>
      <c r="C238" s="35">
        <f>'GF + UG Iteration 12'!C238</f>
        <v>10.496</v>
      </c>
      <c r="D238" s="36">
        <f>'GF + UG Iteration 12'!P$16*(C238^'GF + UG Iteration 12'!P$15)</f>
        <v>9.8153186362837967</v>
      </c>
      <c r="E238" s="37">
        <f>'GF + UG Iteration 12'!E238</f>
        <v>2007</v>
      </c>
      <c r="F238" s="35">
        <f>'GF + UG Iteration 12'!F238</f>
        <v>0</v>
      </c>
      <c r="G238" s="36">
        <f>'GF + UG Iteration 12'!G238</f>
        <v>2.1923137026225539</v>
      </c>
      <c r="H238" s="38">
        <f>'GF + UG Iteration 12'!H238</f>
        <v>2006</v>
      </c>
      <c r="I238" s="35">
        <f t="shared" si="20"/>
        <v>10.496</v>
      </c>
      <c r="J238" s="36">
        <f t="shared" si="21"/>
        <v>12.007632338906351</v>
      </c>
      <c r="K238" s="38">
        <f t="shared" si="22"/>
        <v>2007</v>
      </c>
      <c r="M238" s="21">
        <f t="shared" si="23"/>
        <v>2.3509942322017334</v>
      </c>
      <c r="N238" s="21">
        <f t="shared" si="24"/>
        <v>2.4855424758499574</v>
      </c>
    </row>
    <row r="239" spans="1:14" x14ac:dyDescent="0.2">
      <c r="A239" s="33">
        <f>'GF + UG Iteration 12'!A239</f>
        <v>618</v>
      </c>
      <c r="B239" s="34" t="str">
        <f>'GF + UG Iteration 12'!B239</f>
        <v>UG</v>
      </c>
      <c r="C239" s="35">
        <f>'GF + UG Iteration 12'!C239</f>
        <v>11</v>
      </c>
      <c r="D239" s="36">
        <f>'GF + UG Iteration 12'!P$16*(C239^'GF + UG Iteration 12'!P$15)</f>
        <v>10.082485701770086</v>
      </c>
      <c r="E239" s="37">
        <f>'GF + UG Iteration 12'!E239</f>
        <v>1995</v>
      </c>
      <c r="F239" s="35">
        <f>'GF + UG Iteration 12'!F239</f>
        <v>11.5</v>
      </c>
      <c r="G239" s="36">
        <f>'GF + UG Iteration 12'!G239</f>
        <v>2.3464649770982668</v>
      </c>
      <c r="H239" s="38">
        <f>'GF + UG Iteration 12'!H239</f>
        <v>2006</v>
      </c>
      <c r="I239" s="35">
        <f t="shared" si="20"/>
        <v>22.5</v>
      </c>
      <c r="J239" s="36">
        <f t="shared" si="21"/>
        <v>12.428950678868352</v>
      </c>
      <c r="K239" s="38">
        <f t="shared" si="22"/>
        <v>2006</v>
      </c>
      <c r="M239" s="21">
        <f t="shared" si="23"/>
        <v>3.1135153092103742</v>
      </c>
      <c r="N239" s="21">
        <f t="shared" si="24"/>
        <v>2.5200284835254223</v>
      </c>
    </row>
    <row r="240" spans="1:14" x14ac:dyDescent="0.2">
      <c r="A240" s="33">
        <f>'GF + UG Iteration 12'!A240</f>
        <v>712</v>
      </c>
      <c r="B240" s="34" t="str">
        <f>'GF + UG Iteration 12'!B240</f>
        <v>UG</v>
      </c>
      <c r="C240" s="35">
        <f>'GF + UG Iteration 12'!C240</f>
        <v>7.5</v>
      </c>
      <c r="D240" s="36">
        <f>'GF + UG Iteration 12'!P$16*(C240^'GF + UG Iteration 12'!P$15)</f>
        <v>8.097039059060096</v>
      </c>
      <c r="E240" s="37">
        <f>'GF + UG Iteration 12'!E240</f>
        <v>1980</v>
      </c>
      <c r="F240" s="35">
        <f>'GF + UG Iteration 12'!F240</f>
        <v>1</v>
      </c>
      <c r="G240" s="36">
        <f>'GF + UG Iteration 12'!G240</f>
        <v>7.8904141673966368</v>
      </c>
      <c r="H240" s="38">
        <f>'GF + UG Iteration 12'!H240</f>
        <v>2011</v>
      </c>
      <c r="I240" s="35">
        <f t="shared" si="20"/>
        <v>8.5</v>
      </c>
      <c r="J240" s="36">
        <f t="shared" si="21"/>
        <v>15.987453226456733</v>
      </c>
      <c r="K240" s="38">
        <f t="shared" si="22"/>
        <v>2011</v>
      </c>
      <c r="M240" s="21">
        <f t="shared" si="23"/>
        <v>2.1400661634962708</v>
      </c>
      <c r="N240" s="21">
        <f t="shared" si="24"/>
        <v>2.7718042412685771</v>
      </c>
    </row>
    <row r="241" spans="1:14" x14ac:dyDescent="0.2">
      <c r="A241" s="33">
        <f>'GF + UG Iteration 12'!A241</f>
        <v>726</v>
      </c>
      <c r="B241" s="34" t="str">
        <f>'GF + UG Iteration 12'!B241</f>
        <v>UG</v>
      </c>
      <c r="C241" s="35">
        <f>'GF + UG Iteration 12'!C241</f>
        <v>25.635400000000001</v>
      </c>
      <c r="D241" s="36">
        <f>'GF + UG Iteration 12'!P$16*(C241^'GF + UG Iteration 12'!P$15)</f>
        <v>16.366960044085502</v>
      </c>
      <c r="E241" s="37">
        <f>'GF + UG Iteration 12'!E241</f>
        <v>1982</v>
      </c>
      <c r="F241" s="35">
        <f>'GF + UG Iteration 12'!F241</f>
        <v>5.3645999999999994</v>
      </c>
      <c r="G241" s="36">
        <f>'GF + UG Iteration 12'!G241</f>
        <v>1.031633192087684</v>
      </c>
      <c r="H241" s="38">
        <f>'GF + UG Iteration 12'!H241</f>
        <v>2008</v>
      </c>
      <c r="I241" s="35">
        <f t="shared" si="20"/>
        <v>31</v>
      </c>
      <c r="J241" s="36">
        <f t="shared" si="21"/>
        <v>17.398593236173188</v>
      </c>
      <c r="K241" s="38">
        <f t="shared" si="22"/>
        <v>2008</v>
      </c>
      <c r="M241" s="21">
        <f t="shared" si="23"/>
        <v>3.4339872044851463</v>
      </c>
      <c r="N241" s="21">
        <f t="shared" si="24"/>
        <v>2.8563893544562737</v>
      </c>
    </row>
    <row r="242" spans="1:14" x14ac:dyDescent="0.2">
      <c r="A242" s="33">
        <f>'GF + UG Iteration 12'!A242</f>
        <v>530</v>
      </c>
      <c r="B242" s="34" t="str">
        <f>'GF + UG Iteration 12'!B242</f>
        <v>UG</v>
      </c>
      <c r="C242" s="35">
        <f>'GF + UG Iteration 12'!C242</f>
        <v>25</v>
      </c>
      <c r="D242" s="36">
        <f>'GF + UG Iteration 12'!P$16*(C242^'GF + UG Iteration 12'!P$15)</f>
        <v>16.13342707338958</v>
      </c>
      <c r="E242" s="37">
        <f>'GF + UG Iteration 12'!E242</f>
        <v>1982</v>
      </c>
      <c r="F242" s="35">
        <f>'GF + UG Iteration 12'!F242</f>
        <v>20</v>
      </c>
      <c r="G242" s="36">
        <f>'GF + UG Iteration 12'!G242</f>
        <v>4.5022608459814819</v>
      </c>
      <c r="H242" s="38">
        <f>'GF + UG Iteration 12'!H242</f>
        <v>2006</v>
      </c>
      <c r="I242" s="35">
        <f t="shared" si="20"/>
        <v>45</v>
      </c>
      <c r="J242" s="36">
        <f t="shared" si="21"/>
        <v>20.635687919371062</v>
      </c>
      <c r="K242" s="38">
        <f t="shared" si="22"/>
        <v>2006</v>
      </c>
      <c r="M242" s="21">
        <f t="shared" si="23"/>
        <v>3.8066624897703196</v>
      </c>
      <c r="N242" s="21">
        <f t="shared" si="24"/>
        <v>3.027022000151701</v>
      </c>
    </row>
    <row r="243" spans="1:14" x14ac:dyDescent="0.2">
      <c r="A243" s="33">
        <f>'GF + UG Iteration 12'!A243</f>
        <v>755</v>
      </c>
      <c r="B243" s="34" t="str">
        <f>'GF + UG Iteration 12'!B243</f>
        <v>UG</v>
      </c>
      <c r="C243" s="35">
        <f>'GF + UG Iteration 12'!C243</f>
        <v>8.6980000000000004</v>
      </c>
      <c r="D243" s="36">
        <f>'GF + UG Iteration 12'!P$16*(C243^'GF + UG Iteration 12'!P$15)</f>
        <v>8.8140946213670546</v>
      </c>
      <c r="E243" s="37">
        <f>'GF + UG Iteration 12'!E243</f>
        <v>1983</v>
      </c>
      <c r="F243" s="35">
        <f>'GF + UG Iteration 12'!F243</f>
        <v>3.3019999999999996</v>
      </c>
      <c r="G243" s="36">
        <f>'GF + UG Iteration 12'!G243</f>
        <v>0.74649134624932623</v>
      </c>
      <c r="H243" s="38">
        <f>'GF + UG Iteration 12'!H243</f>
        <v>2008</v>
      </c>
      <c r="I243" s="35">
        <f t="shared" si="20"/>
        <v>12</v>
      </c>
      <c r="J243" s="36">
        <f t="shared" si="21"/>
        <v>9.5605859676163814</v>
      </c>
      <c r="K243" s="38">
        <f t="shared" si="22"/>
        <v>2008</v>
      </c>
      <c r="M243" s="21">
        <f t="shared" si="23"/>
        <v>2.4849066497880004</v>
      </c>
      <c r="N243" s="21">
        <f t="shared" si="24"/>
        <v>2.2576490188686509</v>
      </c>
    </row>
    <row r="244" spans="1:14" x14ac:dyDescent="0.2">
      <c r="A244" s="33">
        <f>'GF + UG Iteration 12'!A244</f>
        <v>1081</v>
      </c>
      <c r="B244" s="34" t="str">
        <f>'GF + UG Iteration 12'!B244</f>
        <v>UG</v>
      </c>
      <c r="C244" s="35">
        <f>'GF + UG Iteration 12'!C244</f>
        <v>12</v>
      </c>
      <c r="D244" s="36">
        <f>'GF + UG Iteration 12'!P$16*(C244^'GF + UG Iteration 12'!P$15)</f>
        <v>10.597546886316998</v>
      </c>
      <c r="E244" s="37">
        <f>'GF + UG Iteration 12'!E244</f>
        <v>1983</v>
      </c>
      <c r="F244" s="35">
        <f>'GF + UG Iteration 12'!F244</f>
        <v>4</v>
      </c>
      <c r="G244" s="36">
        <f>'GF + UG Iteration 12'!G244</f>
        <v>0.74615854172219498</v>
      </c>
      <c r="H244" s="38">
        <f>'GF + UG Iteration 12'!H244</f>
        <v>2010</v>
      </c>
      <c r="I244" s="35">
        <f t="shared" si="20"/>
        <v>16</v>
      </c>
      <c r="J244" s="36">
        <f t="shared" si="21"/>
        <v>11.343705428039193</v>
      </c>
      <c r="K244" s="38">
        <f t="shared" si="22"/>
        <v>2010</v>
      </c>
      <c r="M244" s="21">
        <f t="shared" si="23"/>
        <v>2.7725887222397811</v>
      </c>
      <c r="N244" s="21">
        <f t="shared" si="24"/>
        <v>2.4286630022487388</v>
      </c>
    </row>
    <row r="245" spans="1:14" x14ac:dyDescent="0.2">
      <c r="A245" s="33">
        <f>'GF + UG Iteration 12'!A245</f>
        <v>307</v>
      </c>
      <c r="B245" s="34" t="str">
        <f>'GF + UG Iteration 12'!B245</f>
        <v>UG</v>
      </c>
      <c r="C245" s="35">
        <f>'GF + UG Iteration 12'!C245</f>
        <v>9.07</v>
      </c>
      <c r="D245" s="36">
        <f>'GF + UG Iteration 12'!P$16*(C245^'GF + UG Iteration 12'!P$15)</f>
        <v>9.0280112501691789</v>
      </c>
      <c r="E245" s="37">
        <f>'GF + UG Iteration 12'!E245</f>
        <v>1985</v>
      </c>
      <c r="F245" s="35">
        <f>'GF + UG Iteration 12'!F245</f>
        <v>1.0019999999999989</v>
      </c>
      <c r="G245" s="36">
        <f>'GF + UG Iteration 12'!G245</f>
        <v>2.5230801807757093</v>
      </c>
      <c r="H245" s="38">
        <f>'GF + UG Iteration 12'!H245</f>
        <v>2003</v>
      </c>
      <c r="I245" s="35">
        <f t="shared" si="20"/>
        <v>10.071999999999999</v>
      </c>
      <c r="J245" s="36">
        <f t="shared" si="21"/>
        <v>11.551091430944888</v>
      </c>
      <c r="K245" s="38">
        <f t="shared" si="22"/>
        <v>2003</v>
      </c>
      <c r="M245" s="21">
        <f t="shared" si="23"/>
        <v>2.3097592967420462</v>
      </c>
      <c r="N245" s="21">
        <f t="shared" si="24"/>
        <v>2.4467799286890237</v>
      </c>
    </row>
    <row r="246" spans="1:14" x14ac:dyDescent="0.2">
      <c r="A246" s="33">
        <f>'GF + UG Iteration 12'!A246</f>
        <v>1466</v>
      </c>
      <c r="B246" s="34" t="str">
        <f>'GF + UG Iteration 12'!B246</f>
        <v>UG</v>
      </c>
      <c r="C246" s="35">
        <f>'GF + UG Iteration 12'!C246</f>
        <v>10.07</v>
      </c>
      <c r="D246" s="36">
        <f>'GF + UG Iteration 12'!P$16*(C246^'GF + UG Iteration 12'!P$15)</f>
        <v>9.5851924316868988</v>
      </c>
      <c r="E246" s="37">
        <f>'GF + UG Iteration 12'!E246</f>
        <v>1985</v>
      </c>
      <c r="F246" s="35">
        <f>'GF + UG Iteration 12'!F246</f>
        <v>4.93</v>
      </c>
      <c r="G246" s="36">
        <f>'GF + UG Iteration 12'!G246</f>
        <v>4.634839878669343</v>
      </c>
      <c r="H246" s="38">
        <f>'GF + UG Iteration 12'!H246</f>
        <v>2015</v>
      </c>
      <c r="I246" s="35">
        <f t="shared" si="20"/>
        <v>15</v>
      </c>
      <c r="J246" s="36">
        <f t="shared" si="21"/>
        <v>14.220032310356242</v>
      </c>
      <c r="K246" s="38">
        <f t="shared" si="22"/>
        <v>2015</v>
      </c>
      <c r="M246" s="21">
        <f t="shared" si="23"/>
        <v>2.7080502011022101</v>
      </c>
      <c r="N246" s="21">
        <f t="shared" si="24"/>
        <v>2.6546516965494642</v>
      </c>
    </row>
    <row r="247" spans="1:14" x14ac:dyDescent="0.2">
      <c r="A247" s="33">
        <f>'GF + UG Iteration 12'!A247</f>
        <v>1091</v>
      </c>
      <c r="B247" s="34" t="str">
        <f>'GF + UG Iteration 12'!B247</f>
        <v>UG</v>
      </c>
      <c r="C247" s="35">
        <f>'GF + UG Iteration 12'!C247</f>
        <v>16.059999999999999</v>
      </c>
      <c r="D247" s="36">
        <f>'GF + UG Iteration 12'!P$16*(C247^'GF + UG Iteration 12'!P$15)</f>
        <v>12.522068302614526</v>
      </c>
      <c r="E247" s="37">
        <f>'GF + UG Iteration 12'!E247</f>
        <v>1982</v>
      </c>
      <c r="F247" s="35">
        <f>'GF + UG Iteration 12'!F247</f>
        <v>24.34</v>
      </c>
      <c r="G247" s="36">
        <f>'GF + UG Iteration 12'!G247</f>
        <v>7.6638380518522098</v>
      </c>
      <c r="H247" s="38">
        <f>'GF + UG Iteration 12'!H247</f>
        <v>2011</v>
      </c>
      <c r="I247" s="35">
        <f t="shared" ref="I247:I292" si="30">C247+F247</f>
        <v>40.4</v>
      </c>
      <c r="J247" s="36">
        <f t="shared" ref="J247:J292" si="31">D247+G247</f>
        <v>20.185906354466738</v>
      </c>
      <c r="K247" s="38">
        <f t="shared" ref="K247:K292" si="32">MAX(E247,H247)</f>
        <v>2011</v>
      </c>
      <c r="M247" s="21">
        <f t="shared" si="23"/>
        <v>3.6988297849671046</v>
      </c>
      <c r="N247" s="21">
        <f t="shared" si="24"/>
        <v>3.0049846556731783</v>
      </c>
    </row>
    <row r="248" spans="1:14" x14ac:dyDescent="0.2">
      <c r="A248" s="33">
        <f>'GF + UG Iteration 12'!A248</f>
        <v>666</v>
      </c>
      <c r="B248" s="34" t="str">
        <f>'GF + UG Iteration 12'!B248</f>
        <v>UG</v>
      </c>
      <c r="C248" s="35">
        <f>'GF + UG Iteration 12'!C248</f>
        <v>25.92</v>
      </c>
      <c r="D248" s="36">
        <f>'GF + UG Iteration 12'!P$16*(C248^'GF + UG Iteration 12'!P$15)</f>
        <v>16.470757820353917</v>
      </c>
      <c r="E248" s="37">
        <f>'GF + UG Iteration 12'!E248</f>
        <v>1987</v>
      </c>
      <c r="F248" s="35">
        <f>'GF + UG Iteration 12'!F248</f>
        <v>14.079999999999998</v>
      </c>
      <c r="G248" s="36">
        <f>'GF + UG Iteration 12'!G248</f>
        <v>3.6887760601263184</v>
      </c>
      <c r="H248" s="38">
        <f>'GF + UG Iteration 12'!H248</f>
        <v>2008</v>
      </c>
      <c r="I248" s="35">
        <f t="shared" si="30"/>
        <v>40</v>
      </c>
      <c r="J248" s="36">
        <f t="shared" si="31"/>
        <v>20.159533880480236</v>
      </c>
      <c r="K248" s="38">
        <f t="shared" si="32"/>
        <v>2008</v>
      </c>
      <c r="M248" s="21">
        <f t="shared" ref="M248:M292" si="33">LN(I248)</f>
        <v>3.6888794541139363</v>
      </c>
      <c r="N248" s="21">
        <f t="shared" ref="N248:N292" si="34">LN(J248)</f>
        <v>3.0036773219279485</v>
      </c>
    </row>
    <row r="249" spans="1:14" x14ac:dyDescent="0.2">
      <c r="A249" s="33">
        <f>'GF + UG Iteration 12'!A249</f>
        <v>556</v>
      </c>
      <c r="B249" s="34" t="str">
        <f>'GF + UG Iteration 12'!B249</f>
        <v>UG</v>
      </c>
      <c r="C249" s="35">
        <f>'GF + UG Iteration 12'!C249</f>
        <v>8.6560000000000006</v>
      </c>
      <c r="D249" s="36">
        <f>'GF + UG Iteration 12'!P$16*(C249^'GF + UG Iteration 12'!P$15)</f>
        <v>8.789699222498875</v>
      </c>
      <c r="E249" s="37">
        <f>'GF + UG Iteration 12'!E249</f>
        <v>1985</v>
      </c>
      <c r="F249" s="35">
        <f>'GF + UG Iteration 12'!F249</f>
        <v>4.3439999999999994</v>
      </c>
      <c r="G249" s="36">
        <f>'GF + UG Iteration 12'!G249</f>
        <v>3.2483692675760008</v>
      </c>
      <c r="H249" s="38">
        <f>'GF + UG Iteration 12'!H249</f>
        <v>2007</v>
      </c>
      <c r="I249" s="35">
        <f t="shared" si="30"/>
        <v>13</v>
      </c>
      <c r="J249" s="36">
        <f t="shared" si="31"/>
        <v>12.038068490074876</v>
      </c>
      <c r="K249" s="38">
        <f t="shared" si="32"/>
        <v>2007</v>
      </c>
      <c r="M249" s="21">
        <f t="shared" si="33"/>
        <v>2.5649493574615367</v>
      </c>
      <c r="N249" s="21">
        <f t="shared" si="34"/>
        <v>2.4880740025989168</v>
      </c>
    </row>
    <row r="250" spans="1:14" x14ac:dyDescent="0.2">
      <c r="A250" s="33">
        <f>'GF + UG Iteration 12'!A250</f>
        <v>452</v>
      </c>
      <c r="B250" s="34" t="str">
        <f>'GF + UG Iteration 12'!B250</f>
        <v>UG</v>
      </c>
      <c r="C250" s="35">
        <f>'GF + UG Iteration 12'!C250</f>
        <v>10.781000000000001</v>
      </c>
      <c r="D250" s="36">
        <f>'GF + UG Iteration 12'!P$16*(C250^'GF + UG Iteration 12'!P$15)</f>
        <v>9.9670521957786971</v>
      </c>
      <c r="E250" s="37">
        <f>'GF + UG Iteration 12'!E250</f>
        <v>1986</v>
      </c>
      <c r="F250" s="35">
        <f>'GF + UG Iteration 12'!F250</f>
        <v>3.6189999999999998</v>
      </c>
      <c r="G250" s="36">
        <f>'GF + UG Iteration 12'!G250</f>
        <v>3.4437072461958511</v>
      </c>
      <c r="H250" s="38">
        <f>'GF + UG Iteration 12'!H250</f>
        <v>2005</v>
      </c>
      <c r="I250" s="35">
        <f t="shared" si="30"/>
        <v>14.4</v>
      </c>
      <c r="J250" s="36">
        <f t="shared" si="31"/>
        <v>13.410759441974548</v>
      </c>
      <c r="K250" s="38">
        <f t="shared" si="32"/>
        <v>2005</v>
      </c>
      <c r="M250" s="21">
        <f t="shared" si="33"/>
        <v>2.6672282065819548</v>
      </c>
      <c r="N250" s="21">
        <f t="shared" si="34"/>
        <v>2.5960573282011792</v>
      </c>
    </row>
    <row r="251" spans="1:14" x14ac:dyDescent="0.2">
      <c r="A251" s="33">
        <f>'GF + UG Iteration 12'!A251</f>
        <v>613</v>
      </c>
      <c r="B251" s="34" t="str">
        <f>'GF + UG Iteration 12'!B251</f>
        <v>UG</v>
      </c>
      <c r="C251" s="35">
        <f>'GF + UG Iteration 12'!C251</f>
        <v>6.2</v>
      </c>
      <c r="D251" s="36">
        <f>'GF + UG Iteration 12'!P$16*(C251^'GF + UG Iteration 12'!P$15)</f>
        <v>7.2608862326673922</v>
      </c>
      <c r="E251" s="37">
        <f>'GF + UG Iteration 12'!E251</f>
        <v>1999</v>
      </c>
      <c r="F251" s="35">
        <f>'GF + UG Iteration 12'!F251</f>
        <v>2.2000000000000002</v>
      </c>
      <c r="G251" s="36">
        <f>'GF + UG Iteration 12'!G251</f>
        <v>0.43131820582676678</v>
      </c>
      <c r="H251" s="38">
        <f>'GF + UG Iteration 12'!H251</f>
        <v>2006</v>
      </c>
      <c r="I251" s="35">
        <f t="shared" si="30"/>
        <v>8.4</v>
      </c>
      <c r="J251" s="36">
        <f t="shared" si="31"/>
        <v>7.6922044384941586</v>
      </c>
      <c r="K251" s="38">
        <f t="shared" si="32"/>
        <v>2006</v>
      </c>
      <c r="M251" s="21">
        <f t="shared" si="33"/>
        <v>2.1282317058492679</v>
      </c>
      <c r="N251" s="21">
        <f t="shared" si="34"/>
        <v>2.040207405440706</v>
      </c>
    </row>
    <row r="252" spans="1:14" x14ac:dyDescent="0.2">
      <c r="A252" s="33">
        <f>'GF + UG Iteration 12'!A252</f>
        <v>778</v>
      </c>
      <c r="B252" s="34" t="str">
        <f>'GF + UG Iteration 12'!B252</f>
        <v>UG</v>
      </c>
      <c r="C252" s="35">
        <f>'GF + UG Iteration 12'!C252</f>
        <v>0.1</v>
      </c>
      <c r="D252" s="36">
        <f>'GF + UG Iteration 12'!P$16*(C252^'GF + UG Iteration 12'!P$15)</f>
        <v>0.68338597214347607</v>
      </c>
      <c r="E252" s="37">
        <f>'GF + UG Iteration 12'!E252</f>
        <v>1988</v>
      </c>
      <c r="F252" s="35">
        <f>'GF + UG Iteration 12'!F252</f>
        <v>1.9</v>
      </c>
      <c r="G252" s="36">
        <f>'GF + UG Iteration 12'!G252</f>
        <v>0.48701021540648831</v>
      </c>
      <c r="H252" s="38">
        <f>'GF + UG Iteration 12'!H252</f>
        <v>2008</v>
      </c>
      <c r="I252" s="35">
        <f t="shared" si="30"/>
        <v>2</v>
      </c>
      <c r="J252" s="36">
        <f t="shared" si="31"/>
        <v>1.1703961875499644</v>
      </c>
      <c r="K252" s="38">
        <f t="shared" si="32"/>
        <v>2008</v>
      </c>
      <c r="M252" s="21">
        <f t="shared" si="33"/>
        <v>0.69314718055994529</v>
      </c>
      <c r="N252" s="21">
        <f t="shared" si="34"/>
        <v>0.15734231332780613</v>
      </c>
    </row>
    <row r="253" spans="1:14" x14ac:dyDescent="0.2">
      <c r="A253" s="33">
        <f>'GF + UG Iteration 12'!A253</f>
        <v>1571</v>
      </c>
      <c r="B253" s="34" t="str">
        <f>'GF + UG Iteration 12'!B253</f>
        <v>UG</v>
      </c>
      <c r="C253" s="35">
        <f>'GF + UG Iteration 12'!C253</f>
        <v>2</v>
      </c>
      <c r="D253" s="36">
        <f>'GF + UG Iteration 12'!P$16*(C253^'GF + UG Iteration 12'!P$15)</f>
        <v>3.798707911460228</v>
      </c>
      <c r="E253" s="37">
        <f>'GF + UG Iteration 12'!E253</f>
        <v>1988</v>
      </c>
      <c r="F253" s="35">
        <f>'GF + UG Iteration 12'!F253</f>
        <v>11</v>
      </c>
      <c r="G253" s="36">
        <f>'GF + UG Iteration 12'!G253</f>
        <v>1.5920457896917759</v>
      </c>
      <c r="H253" s="38">
        <f>'GF + UG Iteration 12'!H253</f>
        <v>2016</v>
      </c>
      <c r="I253" s="35">
        <f t="shared" si="30"/>
        <v>13</v>
      </c>
      <c r="J253" s="36">
        <f t="shared" si="31"/>
        <v>5.3907537011520041</v>
      </c>
      <c r="K253" s="38">
        <f t="shared" si="32"/>
        <v>2016</v>
      </c>
      <c r="M253" s="21">
        <f t="shared" si="33"/>
        <v>2.5649493574615367</v>
      </c>
      <c r="N253" s="21">
        <f t="shared" si="34"/>
        <v>1.6846852083829986</v>
      </c>
    </row>
    <row r="254" spans="1:14" x14ac:dyDescent="0.2">
      <c r="A254" s="33">
        <f>'GF + UG Iteration 12'!A254</f>
        <v>525</v>
      </c>
      <c r="B254" s="34" t="str">
        <f>'GF + UG Iteration 12'!B254</f>
        <v>UG</v>
      </c>
      <c r="C254" s="35">
        <f>'GF + UG Iteration 12'!C254</f>
        <v>11.55</v>
      </c>
      <c r="D254" s="36">
        <f>'GF + UG Iteration 12'!P$16*(C254^'GF + UG Iteration 12'!P$15)</f>
        <v>10.36813416805072</v>
      </c>
      <c r="E254" s="37">
        <f>'GF + UG Iteration 12'!E254</f>
        <v>1995</v>
      </c>
      <c r="F254" s="35">
        <f>'GF + UG Iteration 12'!F254</f>
        <v>14</v>
      </c>
      <c r="G254" s="36">
        <f>'GF + UG Iteration 12'!G254</f>
        <v>2.107818995325883</v>
      </c>
      <c r="H254" s="38">
        <f>'GF + UG Iteration 12'!H254</f>
        <v>2006</v>
      </c>
      <c r="I254" s="35">
        <f t="shared" si="30"/>
        <v>25.55</v>
      </c>
      <c r="J254" s="36">
        <f t="shared" si="31"/>
        <v>12.475953163376602</v>
      </c>
      <c r="K254" s="38">
        <f t="shared" si="32"/>
        <v>2006</v>
      </c>
      <c r="M254" s="21">
        <f t="shared" si="33"/>
        <v>3.2406373166497136</v>
      </c>
      <c r="N254" s="21">
        <f t="shared" si="34"/>
        <v>2.5238030446006934</v>
      </c>
    </row>
    <row r="255" spans="1:14" x14ac:dyDescent="0.2">
      <c r="A255" s="33">
        <f>'GF + UG Iteration 12'!A255</f>
        <v>1324</v>
      </c>
      <c r="B255" s="34" t="str">
        <f>'GF + UG Iteration 12'!B255</f>
        <v>UG</v>
      </c>
      <c r="C255" s="35">
        <f>'GF + UG Iteration 12'!C255</f>
        <v>15.8</v>
      </c>
      <c r="D255" s="36">
        <f>'GF + UG Iteration 12'!P$16*(C255^'GF + UG Iteration 12'!P$15)</f>
        <v>12.405584156659938</v>
      </c>
      <c r="E255" s="37">
        <f>'GF + UG Iteration 12'!E255</f>
        <v>2012</v>
      </c>
      <c r="F255" s="35">
        <f>'GF + UG Iteration 12'!F255</f>
        <v>12.3</v>
      </c>
      <c r="G255" s="36">
        <f>'GF + UG Iteration 12'!G255</f>
        <v>2.2692987542218521</v>
      </c>
      <c r="H255" s="38">
        <f>'GF + UG Iteration 12'!H255</f>
        <v>2014</v>
      </c>
      <c r="I255" s="35">
        <f t="shared" si="30"/>
        <v>28.1</v>
      </c>
      <c r="J255" s="36">
        <f t="shared" si="31"/>
        <v>14.67488291088179</v>
      </c>
      <c r="K255" s="38">
        <f t="shared" si="32"/>
        <v>2014</v>
      </c>
      <c r="M255" s="21">
        <f t="shared" si="33"/>
        <v>3.3357695763396999</v>
      </c>
      <c r="N255" s="21">
        <f t="shared" si="34"/>
        <v>2.6861373868667782</v>
      </c>
    </row>
    <row r="256" spans="1:14" x14ac:dyDescent="0.2">
      <c r="A256" s="33">
        <f>'GF + UG Iteration 12'!A256</f>
        <v>511</v>
      </c>
      <c r="B256" s="34" t="str">
        <f>'GF + UG Iteration 12'!B256</f>
        <v>UG</v>
      </c>
      <c r="C256" s="35">
        <f>'GF + UG Iteration 12'!C256</f>
        <v>13.95</v>
      </c>
      <c r="D256" s="36">
        <f>'GF + UG Iteration 12'!P$16*(C256^'GF + UG Iteration 12'!P$15)</f>
        <v>11.551791982272855</v>
      </c>
      <c r="E256" s="37">
        <f>'GF + UG Iteration 12'!E256</f>
        <v>2004</v>
      </c>
      <c r="F256" s="35">
        <f>'GF + UG Iteration 12'!F256</f>
        <v>4.0500000000000007</v>
      </c>
      <c r="G256" s="36">
        <f>'GF + UG Iteration 12'!G256</f>
        <v>0.42903557118440139</v>
      </c>
      <c r="H256" s="38">
        <f>'GF + UG Iteration 12'!H256</f>
        <v>2004</v>
      </c>
      <c r="I256" s="35">
        <f t="shared" si="30"/>
        <v>18</v>
      </c>
      <c r="J256" s="36">
        <f t="shared" si="31"/>
        <v>11.980827553457257</v>
      </c>
      <c r="K256" s="38">
        <f t="shared" si="32"/>
        <v>2004</v>
      </c>
      <c r="M256" s="21">
        <f t="shared" si="33"/>
        <v>2.8903717578961645</v>
      </c>
      <c r="N256" s="21">
        <f t="shared" si="34"/>
        <v>2.4833076682195019</v>
      </c>
    </row>
    <row r="257" spans="1:14" x14ac:dyDescent="0.2">
      <c r="A257" s="33">
        <f>'GF + UG Iteration 12'!A257</f>
        <v>1094</v>
      </c>
      <c r="B257" s="34" t="str">
        <f>'GF + UG Iteration 12'!B257</f>
        <v>UG</v>
      </c>
      <c r="C257" s="35">
        <f>'GF + UG Iteration 12'!C257</f>
        <v>18</v>
      </c>
      <c r="D257" s="36">
        <f>'GF + UG Iteration 12'!P$16*(C257^'GF + UG Iteration 12'!P$15)</f>
        <v>13.367038857688087</v>
      </c>
      <c r="E257" s="37">
        <f>'GF + UG Iteration 12'!E257</f>
        <v>2004</v>
      </c>
      <c r="F257" s="35">
        <f>'GF + UG Iteration 12'!F257</f>
        <v>6</v>
      </c>
      <c r="G257" s="36">
        <f>'GF + UG Iteration 12'!G257</f>
        <v>1.0646458657975095</v>
      </c>
      <c r="H257" s="38">
        <f>'GF + UG Iteration 12'!H257</f>
        <v>2011</v>
      </c>
      <c r="I257" s="35">
        <f t="shared" si="30"/>
        <v>24</v>
      </c>
      <c r="J257" s="36">
        <f t="shared" si="31"/>
        <v>14.431684723485596</v>
      </c>
      <c r="K257" s="38">
        <f t="shared" si="32"/>
        <v>2011</v>
      </c>
      <c r="M257" s="21">
        <f t="shared" si="33"/>
        <v>3.1780538303479458</v>
      </c>
      <c r="N257" s="21">
        <f t="shared" si="34"/>
        <v>2.6694261174251621</v>
      </c>
    </row>
    <row r="258" spans="1:14" x14ac:dyDescent="0.2">
      <c r="A258" s="33">
        <f>'GF + UG Iteration 12'!A258</f>
        <v>775</v>
      </c>
      <c r="B258" s="34" t="str">
        <f>'GF + UG Iteration 12'!B258</f>
        <v>UG</v>
      </c>
      <c r="C258" s="35">
        <f>'GF + UG Iteration 12'!C258</f>
        <v>8</v>
      </c>
      <c r="D258" s="36">
        <f>'GF + UG Iteration 12'!P$16*(C258^'GF + UG Iteration 12'!P$15)</f>
        <v>8.4018608162489823</v>
      </c>
      <c r="E258" s="37">
        <f>'GF + UG Iteration 12'!E258</f>
        <v>2002</v>
      </c>
      <c r="F258" s="35">
        <f>'GF + UG Iteration 12'!F258</f>
        <v>7</v>
      </c>
      <c r="G258" s="36">
        <f>'GF + UG Iteration 12'!G258</f>
        <v>1.4058744428987999</v>
      </c>
      <c r="H258" s="38">
        <f>'GF + UG Iteration 12'!H258</f>
        <v>2008</v>
      </c>
      <c r="I258" s="35">
        <f t="shared" si="30"/>
        <v>15</v>
      </c>
      <c r="J258" s="36">
        <f t="shared" si="31"/>
        <v>9.8077352591477815</v>
      </c>
      <c r="K258" s="38">
        <f t="shared" si="32"/>
        <v>2008</v>
      </c>
      <c r="M258" s="21">
        <f t="shared" si="33"/>
        <v>2.7080502011022101</v>
      </c>
      <c r="N258" s="21">
        <f t="shared" si="34"/>
        <v>2.2831713864914422</v>
      </c>
    </row>
    <row r="259" spans="1:14" x14ac:dyDescent="0.2">
      <c r="A259" s="33">
        <f>'GF + UG Iteration 12'!A259</f>
        <v>1646</v>
      </c>
      <c r="B259" s="34" t="str">
        <f>'GF + UG Iteration 12'!B259</f>
        <v>UG</v>
      </c>
      <c r="C259" s="35">
        <f>'GF + UG Iteration 12'!C259</f>
        <v>2.88</v>
      </c>
      <c r="D259" s="36">
        <f>'GF + UG Iteration 12'!P$16*(C259^'GF + UG Iteration 12'!P$15)</f>
        <v>4.6807373499881715</v>
      </c>
      <c r="E259" s="37" t="str">
        <f>'GF + UG Iteration 12'!E259</f>
        <v>unknown</v>
      </c>
      <c r="F259" s="35">
        <f>'GF + UG Iteration 12'!F259</f>
        <v>3.5200000000000005</v>
      </c>
      <c r="G259" s="36">
        <f>'GF + UG Iteration 12'!G259</f>
        <v>6.6895680450065891</v>
      </c>
      <c r="H259" s="38">
        <f>'GF + UG Iteration 12'!H259</f>
        <v>2016</v>
      </c>
      <c r="I259" s="35">
        <f t="shared" si="30"/>
        <v>6.4</v>
      </c>
      <c r="J259" s="36">
        <f t="shared" si="31"/>
        <v>11.370305394994761</v>
      </c>
      <c r="K259" s="38">
        <f t="shared" si="32"/>
        <v>2016</v>
      </c>
      <c r="M259" s="21">
        <f t="shared" si="33"/>
        <v>1.8562979903656263</v>
      </c>
      <c r="N259" s="21">
        <f t="shared" si="34"/>
        <v>2.4310051671198258</v>
      </c>
    </row>
    <row r="260" spans="1:14" x14ac:dyDescent="0.2">
      <c r="A260" s="33">
        <f>'GF + UG Iteration 12'!A260</f>
        <v>467</v>
      </c>
      <c r="B260" s="34" t="str">
        <f>'GF + UG Iteration 12'!B260</f>
        <v>UG</v>
      </c>
      <c r="C260" s="35">
        <f>'GF + UG Iteration 12'!C260</f>
        <v>5.7</v>
      </c>
      <c r="D260" s="36">
        <f>'GF + UG Iteration 12'!P$16*(C260^'GF + UG Iteration 12'!P$15)</f>
        <v>6.9195856787568433</v>
      </c>
      <c r="E260" s="37">
        <f>'GF + UG Iteration 12'!E260</f>
        <v>1996</v>
      </c>
      <c r="F260" s="35">
        <f>'GF + UG Iteration 12'!F260</f>
        <v>7.8999999999999995</v>
      </c>
      <c r="G260" s="36">
        <f>'GF + UG Iteration 12'!G260</f>
        <v>3.4855022233326953</v>
      </c>
      <c r="H260" s="38">
        <f>'GF + UG Iteration 12'!H260</f>
        <v>2005</v>
      </c>
      <c r="I260" s="35">
        <f t="shared" si="30"/>
        <v>13.6</v>
      </c>
      <c r="J260" s="36">
        <f t="shared" si="31"/>
        <v>10.405087902089539</v>
      </c>
      <c r="K260" s="38">
        <f t="shared" si="32"/>
        <v>2005</v>
      </c>
      <c r="M260" s="21">
        <f t="shared" si="33"/>
        <v>2.6100697927420065</v>
      </c>
      <c r="N260" s="21">
        <f t="shared" si="34"/>
        <v>2.3422949078723385</v>
      </c>
    </row>
    <row r="261" spans="1:14" x14ac:dyDescent="0.2">
      <c r="A261" s="33">
        <f>'GF + UG Iteration 12'!A261</f>
        <v>437</v>
      </c>
      <c r="B261" s="34" t="str">
        <f>'GF + UG Iteration 12'!B261</f>
        <v>UG</v>
      </c>
      <c r="C261" s="35">
        <f>'GF + UG Iteration 12'!C261</f>
        <v>23</v>
      </c>
      <c r="D261" s="36">
        <f>'GF + UG Iteration 12'!P$16*(C261^'GF + UG Iteration 12'!P$15)</f>
        <v>15.381246719322945</v>
      </c>
      <c r="E261" s="37">
        <f>'GF + UG Iteration 12'!E261</f>
        <v>2001</v>
      </c>
      <c r="F261" s="35">
        <f>'GF + UG Iteration 12'!F261</f>
        <v>17</v>
      </c>
      <c r="G261" s="36">
        <f>'GF + UG Iteration 12'!G261</f>
        <v>3.6313804067567292</v>
      </c>
      <c r="H261" s="38">
        <f>'GF + UG Iteration 12'!H261</f>
        <v>2008</v>
      </c>
      <c r="I261" s="35">
        <f t="shared" si="30"/>
        <v>40</v>
      </c>
      <c r="J261" s="36">
        <f t="shared" si="31"/>
        <v>19.012627126079675</v>
      </c>
      <c r="K261" s="38">
        <f t="shared" si="32"/>
        <v>2008</v>
      </c>
      <c r="M261" s="21">
        <f t="shared" si="33"/>
        <v>3.6888794541139363</v>
      </c>
      <c r="N261" s="21">
        <f t="shared" si="34"/>
        <v>2.9451033440103771</v>
      </c>
    </row>
    <row r="262" spans="1:14" x14ac:dyDescent="0.2">
      <c r="A262" s="33">
        <f>'GF + UG Iteration 12'!A262</f>
        <v>1233</v>
      </c>
      <c r="B262" s="34" t="str">
        <f>'GF + UG Iteration 12'!B262</f>
        <v>UG</v>
      </c>
      <c r="C262" s="35">
        <f>'GF + UG Iteration 12'!C262</f>
        <v>40</v>
      </c>
      <c r="D262" s="36">
        <f>'GF + UG Iteration 12'!P$16*(C262^'GF + UG Iteration 12'!P$15)</f>
        <v>21.115712620394451</v>
      </c>
      <c r="E262" s="37">
        <f>'GF + UG Iteration 12'!E262</f>
        <v>2001</v>
      </c>
      <c r="F262" s="35">
        <f>'GF + UG Iteration 12'!F262</f>
        <v>10</v>
      </c>
      <c r="G262" s="36">
        <f>'GF + UG Iteration 12'!G262</f>
        <v>3.8904117673360803</v>
      </c>
      <c r="H262" s="38">
        <f>'GF + UG Iteration 12'!H262</f>
        <v>2011</v>
      </c>
      <c r="I262" s="35">
        <f t="shared" si="30"/>
        <v>50</v>
      </c>
      <c r="J262" s="36">
        <f t="shared" si="31"/>
        <v>25.00612438773053</v>
      </c>
      <c r="K262" s="38">
        <f t="shared" si="32"/>
        <v>2011</v>
      </c>
      <c r="M262" s="21">
        <f t="shared" si="33"/>
        <v>3.912023005428146</v>
      </c>
      <c r="N262" s="21">
        <f t="shared" si="34"/>
        <v>3.2191207703758216</v>
      </c>
    </row>
    <row r="263" spans="1:14" x14ac:dyDescent="0.2">
      <c r="A263" s="33">
        <f>'GF + UG Iteration 12'!A263</f>
        <v>361</v>
      </c>
      <c r="B263" s="34" t="str">
        <f>'GF + UG Iteration 12'!B263</f>
        <v>UG</v>
      </c>
      <c r="C263" s="35">
        <f>'GF + UG Iteration 12'!C263</f>
        <v>12.22</v>
      </c>
      <c r="D263" s="36">
        <f>'GF + UG Iteration 12'!P$16*(C263^'GF + UG Iteration 12'!P$15)</f>
        <v>10.708364314024623</v>
      </c>
      <c r="E263" s="37">
        <f>'GF + UG Iteration 12'!E263</f>
        <v>1986</v>
      </c>
      <c r="F263" s="35">
        <f>'GF + UG Iteration 12'!F263</f>
        <v>12.999999999999998</v>
      </c>
      <c r="G263" s="36">
        <f>'GF + UG Iteration 12'!G263</f>
        <v>1.1719780512644304</v>
      </c>
      <c r="H263" s="38">
        <f>'GF + UG Iteration 12'!H263</f>
        <v>2002</v>
      </c>
      <c r="I263" s="35">
        <f t="shared" si="30"/>
        <v>25.22</v>
      </c>
      <c r="J263" s="36">
        <f t="shared" si="31"/>
        <v>11.880342365289053</v>
      </c>
      <c r="K263" s="38">
        <f t="shared" si="32"/>
        <v>2002</v>
      </c>
      <c r="M263" s="21">
        <f t="shared" si="33"/>
        <v>3.2276373305367736</v>
      </c>
      <c r="N263" s="21">
        <f t="shared" si="34"/>
        <v>2.4748851321462748</v>
      </c>
    </row>
    <row r="264" spans="1:14" x14ac:dyDescent="0.2">
      <c r="A264" s="33">
        <f>'GF + UG Iteration 12'!A264</f>
        <v>645</v>
      </c>
      <c r="B264" s="34" t="str">
        <f>'GF + UG Iteration 12'!B264</f>
        <v>UG</v>
      </c>
      <c r="C264" s="35">
        <f>'GF + UG Iteration 12'!C264</f>
        <v>25.22</v>
      </c>
      <c r="D264" s="36">
        <f>'GF + UG Iteration 12'!P$16*(C264^'GF + UG Iteration 12'!P$15)</f>
        <v>16.214569241312468</v>
      </c>
      <c r="E264" s="37">
        <f>'GF + UG Iteration 12'!E264</f>
        <v>1986</v>
      </c>
      <c r="F264" s="35">
        <f>'GF + UG Iteration 12'!F264</f>
        <v>1</v>
      </c>
      <c r="G264" s="36">
        <f>'GF + UG Iteration 12'!G264</f>
        <v>0.22667756309168191</v>
      </c>
      <c r="H264" s="38">
        <f>'GF + UG Iteration 12'!H264</f>
        <v>2006</v>
      </c>
      <c r="I264" s="35">
        <f t="shared" si="30"/>
        <v>26.22</v>
      </c>
      <c r="J264" s="36">
        <f t="shared" si="31"/>
        <v>16.441246804404148</v>
      </c>
      <c r="K264" s="38">
        <f t="shared" si="32"/>
        <v>2006</v>
      </c>
      <c r="M264" s="21">
        <f t="shared" si="33"/>
        <v>3.2665224783355535</v>
      </c>
      <c r="N264" s="21">
        <f t="shared" si="34"/>
        <v>2.799793226436301</v>
      </c>
    </row>
    <row r="265" spans="1:14" x14ac:dyDescent="0.2">
      <c r="A265" s="33">
        <f>'GF + UG Iteration 12'!A265</f>
        <v>720</v>
      </c>
      <c r="B265" s="34" t="str">
        <f>'GF + UG Iteration 12'!B265</f>
        <v>UG</v>
      </c>
      <c r="C265" s="35">
        <f>'GF + UG Iteration 12'!C265</f>
        <v>5.29</v>
      </c>
      <c r="D265" s="36">
        <f>'GF + UG Iteration 12'!P$16*(C265^'GF + UG Iteration 12'!P$15)</f>
        <v>6.6300509365963052</v>
      </c>
      <c r="E265" s="37">
        <f>'GF + UG Iteration 12'!E265</f>
        <v>1974</v>
      </c>
      <c r="F265" s="35">
        <f>'GF + UG Iteration 12'!F265</f>
        <v>3.9099999999999993</v>
      </c>
      <c r="G265" s="36">
        <f>'GF + UG Iteration 12'!G265</f>
        <v>3.214674226156069</v>
      </c>
      <c r="H265" s="38">
        <f>'GF + UG Iteration 12'!H265</f>
        <v>2009</v>
      </c>
      <c r="I265" s="35">
        <f t="shared" si="30"/>
        <v>9.1999999999999993</v>
      </c>
      <c r="J265" s="36">
        <f t="shared" si="31"/>
        <v>9.8447251627523737</v>
      </c>
      <c r="K265" s="38">
        <f t="shared" si="32"/>
        <v>2009</v>
      </c>
      <c r="M265" s="21">
        <f t="shared" si="33"/>
        <v>2.2192034840549946</v>
      </c>
      <c r="N265" s="21">
        <f t="shared" si="34"/>
        <v>2.2869357952719995</v>
      </c>
    </row>
    <row r="266" spans="1:14" x14ac:dyDescent="0.2">
      <c r="A266" s="33">
        <f>'GF + UG Iteration 12'!A266</f>
        <v>1554</v>
      </c>
      <c r="B266" s="34" t="str">
        <f>'GF + UG Iteration 12'!B266</f>
        <v>UG</v>
      </c>
      <c r="C266" s="35">
        <f>'GF + UG Iteration 12'!C266</f>
        <v>18</v>
      </c>
      <c r="D266" s="36">
        <f>'GF + UG Iteration 12'!P$16*(C266^'GF + UG Iteration 12'!P$15)</f>
        <v>13.367038857688087</v>
      </c>
      <c r="E266" s="37">
        <f>'GF + UG Iteration 12'!E266</f>
        <v>2013</v>
      </c>
      <c r="F266" s="35">
        <f>'GF + UG Iteration 12'!F266</f>
        <v>13</v>
      </c>
      <c r="G266" s="36">
        <f>'GF + UG Iteration 12'!G266</f>
        <v>4.0040929633677633</v>
      </c>
      <c r="H266" s="38">
        <f>'GF + UG Iteration 12'!H266</f>
        <v>2015</v>
      </c>
      <c r="I266" s="35">
        <f t="shared" si="30"/>
        <v>31</v>
      </c>
      <c r="J266" s="36">
        <f t="shared" si="31"/>
        <v>17.371131821055851</v>
      </c>
      <c r="K266" s="38">
        <f t="shared" si="32"/>
        <v>2015</v>
      </c>
      <c r="M266" s="21">
        <f t="shared" si="33"/>
        <v>3.4339872044851463</v>
      </c>
      <c r="N266" s="21">
        <f t="shared" si="34"/>
        <v>2.8548097376613608</v>
      </c>
    </row>
    <row r="267" spans="1:14" x14ac:dyDescent="0.2">
      <c r="A267" s="33">
        <f>'GF + UG Iteration 12'!A267</f>
        <v>1570</v>
      </c>
      <c r="B267" s="34" t="str">
        <f>'GF + UG Iteration 12'!B267</f>
        <v>UG</v>
      </c>
      <c r="C267" s="35">
        <f>'GF + UG Iteration 12'!C267</f>
        <v>12</v>
      </c>
      <c r="D267" s="36">
        <f>'GF + UG Iteration 12'!P$16*(C267^'GF + UG Iteration 12'!P$15)</f>
        <v>10.597546886316998</v>
      </c>
      <c r="E267" s="37">
        <f>'GF + UG Iteration 12'!E267</f>
        <v>0</v>
      </c>
      <c r="F267" s="35">
        <f>'GF + UG Iteration 12'!F267</f>
        <v>7</v>
      </c>
      <c r="G267" s="36">
        <f>'GF + UG Iteration 12'!G267</f>
        <v>5.7128729653456798</v>
      </c>
      <c r="H267" s="38">
        <f>'GF + UG Iteration 12'!H267</f>
        <v>2016</v>
      </c>
      <c r="I267" s="35">
        <f t="shared" si="30"/>
        <v>19</v>
      </c>
      <c r="J267" s="36">
        <f t="shared" si="31"/>
        <v>16.310419851662679</v>
      </c>
      <c r="K267" s="38">
        <f t="shared" si="32"/>
        <v>2016</v>
      </c>
      <c r="M267" s="21">
        <f t="shared" si="33"/>
        <v>2.9444389791664403</v>
      </c>
      <c r="N267" s="21">
        <f t="shared" si="34"/>
        <v>2.7918041582796955</v>
      </c>
    </row>
    <row r="268" spans="1:14" x14ac:dyDescent="0.2">
      <c r="A268" s="33">
        <f>'GF + UG Iteration 12'!A268</f>
        <v>1280</v>
      </c>
      <c r="B268" s="34" t="str">
        <f>'GF + UG Iteration 12'!B268</f>
        <v>UG</v>
      </c>
      <c r="C268" s="35">
        <f>'GF + UG Iteration 12'!C268</f>
        <v>10</v>
      </c>
      <c r="D268" s="36">
        <f>'GF + UG Iteration 12'!P$16*(C268^'GF + UG Iteration 12'!P$15)</f>
        <v>9.5469832625749067</v>
      </c>
      <c r="E268" s="37">
        <f>'GF + UG Iteration 12'!E268</f>
        <v>0</v>
      </c>
      <c r="F268" s="35">
        <f>'GF + UG Iteration 12'!F268</f>
        <v>10</v>
      </c>
      <c r="G268" s="36">
        <f>'GF + UG Iteration 12'!G268</f>
        <v>3.9567117678399111</v>
      </c>
      <c r="H268" s="38">
        <f>'GF + UG Iteration 12'!H268</f>
        <v>2013</v>
      </c>
      <c r="I268" s="35">
        <f t="shared" si="30"/>
        <v>20</v>
      </c>
      <c r="J268" s="36">
        <f t="shared" si="31"/>
        <v>13.503695030414818</v>
      </c>
      <c r="K268" s="38">
        <f t="shared" si="32"/>
        <v>2013</v>
      </c>
      <c r="M268" s="21">
        <f t="shared" si="33"/>
        <v>2.9957322735539909</v>
      </c>
      <c r="N268" s="21">
        <f t="shared" si="34"/>
        <v>2.6029633539503951</v>
      </c>
    </row>
    <row r="269" spans="1:14" x14ac:dyDescent="0.2">
      <c r="A269" s="33">
        <f>'GF + UG Iteration 12'!A269</f>
        <v>659</v>
      </c>
      <c r="B269" s="34" t="str">
        <f>'GF + UG Iteration 12'!B269</f>
        <v>UG</v>
      </c>
      <c r="C269" s="35">
        <f>'GF + UG Iteration 12'!C269</f>
        <v>51</v>
      </c>
      <c r="D269" s="36">
        <f>'GF + UG Iteration 12'!P$16*(C269^'GF + UG Iteration 12'!P$15)</f>
        <v>24.267267637016857</v>
      </c>
      <c r="E269" s="37">
        <f>'GF + UG Iteration 12'!E269</f>
        <v>1974</v>
      </c>
      <c r="F269" s="35">
        <f>'GF + UG Iteration 12'!F269</f>
        <v>7</v>
      </c>
      <c r="G269" s="36">
        <f>'GF + UG Iteration 12'!G269</f>
        <v>0.19038861907506671</v>
      </c>
      <c r="H269" s="38">
        <f>'GF + UG Iteration 12'!H269</f>
        <v>2006</v>
      </c>
      <c r="I269" s="35">
        <f t="shared" si="30"/>
        <v>58</v>
      </c>
      <c r="J269" s="36">
        <f t="shared" si="31"/>
        <v>24.457656256091923</v>
      </c>
      <c r="K269" s="38">
        <f t="shared" si="32"/>
        <v>2006</v>
      </c>
      <c r="M269" s="21">
        <f t="shared" si="33"/>
        <v>4.0604430105464191</v>
      </c>
      <c r="N269" s="21">
        <f t="shared" si="34"/>
        <v>3.1969433062114634</v>
      </c>
    </row>
    <row r="270" spans="1:14" x14ac:dyDescent="0.2">
      <c r="A270" s="33">
        <f>'GF + UG Iteration 12'!A270</f>
        <v>1240</v>
      </c>
      <c r="B270" s="34" t="str">
        <f>'GF + UG Iteration 12'!B270</f>
        <v>UG</v>
      </c>
      <c r="C270" s="35">
        <f>'GF + UG Iteration 12'!C270</f>
        <v>9</v>
      </c>
      <c r="D270" s="36">
        <f>'GF + UG Iteration 12'!P$16*(C270^'GF + UG Iteration 12'!P$15)</f>
        <v>8.9880487593508231</v>
      </c>
      <c r="E270" s="37">
        <f>'GF + UG Iteration 12'!E270</f>
        <v>0</v>
      </c>
      <c r="F270" s="35">
        <f>'GF + UG Iteration 12'!F270</f>
        <v>12</v>
      </c>
      <c r="G270" s="36">
        <f>'GF + UG Iteration 12'!G270</f>
        <v>2.4762389627807444</v>
      </c>
      <c r="H270" s="38">
        <f>'GF + UG Iteration 12'!H270</f>
        <v>2013</v>
      </c>
      <c r="I270" s="35">
        <f t="shared" si="30"/>
        <v>21</v>
      </c>
      <c r="J270" s="36">
        <f t="shared" si="31"/>
        <v>11.464287722131568</v>
      </c>
      <c r="K270" s="38">
        <f t="shared" si="32"/>
        <v>2013</v>
      </c>
      <c r="M270" s="21">
        <f t="shared" si="33"/>
        <v>3.044522437723423</v>
      </c>
      <c r="N270" s="21">
        <f t="shared" si="34"/>
        <v>2.4392367880939987</v>
      </c>
    </row>
    <row r="271" spans="1:14" x14ac:dyDescent="0.2">
      <c r="A271" s="33">
        <f>'GF + UG Iteration 12'!A271</f>
        <v>317</v>
      </c>
      <c r="B271" s="34" t="str">
        <f>'GF + UG Iteration 12'!B271</f>
        <v>UG</v>
      </c>
      <c r="C271" s="35">
        <f>'GF + UG Iteration 12'!C271</f>
        <v>26.67</v>
      </c>
      <c r="D271" s="36">
        <f>'GF + UG Iteration 12'!P$16*(C271^'GF + UG Iteration 12'!P$15)</f>
        <v>16.741985503810028</v>
      </c>
      <c r="E271" s="37">
        <f>'GF + UG Iteration 12'!E271</f>
        <v>1978</v>
      </c>
      <c r="F271" s="35">
        <f>'GF + UG Iteration 12'!F271</f>
        <v>8.4600000000000009</v>
      </c>
      <c r="G271" s="36">
        <f>'GF + UG Iteration 12'!G271</f>
        <v>3.7336154837609361</v>
      </c>
      <c r="H271" s="38">
        <f>'GF + UG Iteration 12'!H271</f>
        <v>2002</v>
      </c>
      <c r="I271" s="35">
        <f t="shared" si="30"/>
        <v>35.130000000000003</v>
      </c>
      <c r="J271" s="36">
        <f t="shared" si="31"/>
        <v>20.475600987570964</v>
      </c>
      <c r="K271" s="38">
        <f t="shared" si="32"/>
        <v>2002</v>
      </c>
      <c r="M271" s="21">
        <f t="shared" si="33"/>
        <v>3.5590554662777358</v>
      </c>
      <c r="N271" s="21">
        <f t="shared" si="34"/>
        <v>3.0192339815706819</v>
      </c>
    </row>
    <row r="272" spans="1:14" x14ac:dyDescent="0.2">
      <c r="A272" s="33">
        <f>'GF + UG Iteration 12'!A272</f>
        <v>1510</v>
      </c>
      <c r="B272" s="34" t="str">
        <f>'GF + UG Iteration 12'!B272</f>
        <v>UG</v>
      </c>
      <c r="C272" s="35">
        <f>'GF + UG Iteration 12'!C272</f>
        <v>35.130000000000003</v>
      </c>
      <c r="D272" s="36">
        <f>'GF + UG Iteration 12'!P$16*(C272^'GF + UG Iteration 12'!P$15)</f>
        <v>19.602952943803938</v>
      </c>
      <c r="E272" s="37">
        <f>'GF + UG Iteration 12'!E272</f>
        <v>1978</v>
      </c>
      <c r="F272" s="35">
        <f>'GF + UG Iteration 12'!F272</f>
        <v>0</v>
      </c>
      <c r="G272" s="36">
        <f>'GF + UG Iteration 12'!G272</f>
        <v>1.0378442790997116</v>
      </c>
      <c r="H272" s="38">
        <f>'GF + UG Iteration 12'!H272</f>
        <v>2014</v>
      </c>
      <c r="I272" s="35">
        <f t="shared" si="30"/>
        <v>35.130000000000003</v>
      </c>
      <c r="J272" s="36">
        <f t="shared" si="31"/>
        <v>20.64079722290365</v>
      </c>
      <c r="K272" s="38">
        <f t="shared" si="32"/>
        <v>2014</v>
      </c>
      <c r="M272" s="21">
        <f t="shared" si="33"/>
        <v>3.5590554662777358</v>
      </c>
      <c r="N272" s="21">
        <f t="shared" si="34"/>
        <v>3.0272695650081114</v>
      </c>
    </row>
    <row r="273" spans="1:14" x14ac:dyDescent="0.2">
      <c r="A273" s="33">
        <f>'GF + UG Iteration 12'!A273</f>
        <v>1678</v>
      </c>
      <c r="B273" s="34" t="str">
        <f>'GF + UG Iteration 12'!B273</f>
        <v>UG</v>
      </c>
      <c r="C273" s="35">
        <f>'GF + UG Iteration 12'!C273</f>
        <v>71.19</v>
      </c>
      <c r="D273" s="36">
        <f>'GF + UG Iteration 12'!P$16*(C273^'GF + UG Iteration 12'!P$15)</f>
        <v>29.373880230582987</v>
      </c>
      <c r="E273" s="37">
        <f>'GF + UG Iteration 12'!E273</f>
        <v>0</v>
      </c>
      <c r="F273" s="35">
        <f>'GF + UG Iteration 12'!F273</f>
        <v>3.8100000000000023</v>
      </c>
      <c r="G273" s="36">
        <f>'GF + UG Iteration 12'!G273</f>
        <v>0.1876880715541229</v>
      </c>
      <c r="H273" s="38">
        <f>'GF + UG Iteration 12'!H273</f>
        <v>2015</v>
      </c>
      <c r="I273" s="35">
        <f t="shared" si="30"/>
        <v>75</v>
      </c>
      <c r="J273" s="36">
        <f t="shared" si="31"/>
        <v>29.561568302137111</v>
      </c>
      <c r="K273" s="38">
        <f t="shared" si="32"/>
        <v>2015</v>
      </c>
      <c r="M273" s="21">
        <f t="shared" si="33"/>
        <v>4.3174881135363101</v>
      </c>
      <c r="N273" s="21">
        <f t="shared" si="34"/>
        <v>3.3864751495487271</v>
      </c>
    </row>
    <row r="274" spans="1:14" x14ac:dyDescent="0.2">
      <c r="A274" s="33">
        <f>'GF + UG Iteration 12'!A274</f>
        <v>409</v>
      </c>
      <c r="B274" s="34" t="str">
        <f>'GF + UG Iteration 12'!B274</f>
        <v>UG</v>
      </c>
      <c r="C274" s="35">
        <f>'GF + UG Iteration 12'!C274</f>
        <v>50.9</v>
      </c>
      <c r="D274" s="36">
        <f>'GF + UG Iteration 12'!P$16*(C274^'GF + UG Iteration 12'!P$15)</f>
        <v>24.240010251569554</v>
      </c>
      <c r="E274" s="37" t="str">
        <f>'GF + UG Iteration 12'!E274</f>
        <v>unknown</v>
      </c>
      <c r="F274" s="35">
        <f>'GF + UG Iteration 12'!F274</f>
        <v>0</v>
      </c>
      <c r="G274" s="36">
        <f>'GF + UG Iteration 12'!G274</f>
        <v>6.9500275644125207</v>
      </c>
      <c r="H274" s="38">
        <f>'GF + UG Iteration 12'!H274</f>
        <v>2004</v>
      </c>
      <c r="I274" s="35">
        <f t="shared" si="30"/>
        <v>50.9</v>
      </c>
      <c r="J274" s="36">
        <f t="shared" si="31"/>
        <v>31.190037815982073</v>
      </c>
      <c r="K274" s="38">
        <f t="shared" si="32"/>
        <v>2004</v>
      </c>
      <c r="M274" s="21">
        <f t="shared" si="33"/>
        <v>3.929862923556477</v>
      </c>
      <c r="N274" s="21">
        <f t="shared" si="34"/>
        <v>3.4400987430582868</v>
      </c>
    </row>
    <row r="275" spans="1:14" x14ac:dyDescent="0.2">
      <c r="A275" s="33">
        <f>'GF + UG Iteration 12'!A275</f>
        <v>620</v>
      </c>
      <c r="B275" s="34" t="str">
        <f>'GF + UG Iteration 12'!B275</f>
        <v>UG</v>
      </c>
      <c r="C275" s="35">
        <f>'GF + UG Iteration 12'!C275</f>
        <v>66.040000000000006</v>
      </c>
      <c r="D275" s="36">
        <f>'GF + UG Iteration 12'!P$16*(C275^'GF + UG Iteration 12'!P$15)</f>
        <v>28.137643825986238</v>
      </c>
      <c r="E275" s="37" t="str">
        <f>'GF + UG Iteration 12'!E275</f>
        <v>unknown</v>
      </c>
      <c r="F275" s="35">
        <f>'GF + UG Iteration 12'!F275</f>
        <v>1</v>
      </c>
      <c r="G275" s="36">
        <f>'GF + UG Iteration 12'!G275</f>
        <v>5.2327101351069411E-2</v>
      </c>
      <c r="H275" s="38">
        <f>'GF + UG Iteration 12'!H275</f>
        <v>2006</v>
      </c>
      <c r="I275" s="35">
        <f t="shared" si="30"/>
        <v>67.040000000000006</v>
      </c>
      <c r="J275" s="36">
        <f t="shared" si="31"/>
        <v>28.189970927337306</v>
      </c>
      <c r="K275" s="38">
        <f t="shared" si="32"/>
        <v>2006</v>
      </c>
      <c r="M275" s="21">
        <f t="shared" si="33"/>
        <v>4.2052894561738281</v>
      </c>
      <c r="N275" s="21">
        <f t="shared" si="34"/>
        <v>3.3389662738142905</v>
      </c>
    </row>
    <row r="276" spans="1:14" x14ac:dyDescent="0.2">
      <c r="A276" s="33">
        <f>'GF + UG Iteration 12'!A276</f>
        <v>1085</v>
      </c>
      <c r="B276" s="34" t="str">
        <f>'GF + UG Iteration 12'!B276</f>
        <v>UG</v>
      </c>
      <c r="C276" s="35">
        <f>'GF + UG Iteration 12'!C276</f>
        <v>67.040000000000006</v>
      </c>
      <c r="D276" s="36">
        <f>'GF + UG Iteration 12'!P$16*(C276^'GF + UG Iteration 12'!P$15)</f>
        <v>28.380827542406273</v>
      </c>
      <c r="E276" s="37" t="str">
        <f>'GF + UG Iteration 12'!E276</f>
        <v>unknown</v>
      </c>
      <c r="F276" s="35">
        <f>'GF + UG Iteration 12'!F276</f>
        <v>2</v>
      </c>
      <c r="G276" s="36">
        <f>'GF + UG Iteration 12'!G276</f>
        <v>7.9312358901564406E-2</v>
      </c>
      <c r="H276" s="38">
        <f>'GF + UG Iteration 12'!H276</f>
        <v>2010</v>
      </c>
      <c r="I276" s="35">
        <f t="shared" si="30"/>
        <v>69.040000000000006</v>
      </c>
      <c r="J276" s="36">
        <f t="shared" si="31"/>
        <v>28.460139901307837</v>
      </c>
      <c r="K276" s="38">
        <f t="shared" si="32"/>
        <v>2010</v>
      </c>
      <c r="M276" s="21">
        <f t="shared" si="33"/>
        <v>4.234686046775173</v>
      </c>
      <c r="N276" s="21">
        <f t="shared" si="34"/>
        <v>3.3485045083666951</v>
      </c>
    </row>
    <row r="277" spans="1:14" x14ac:dyDescent="0.2">
      <c r="A277" s="33">
        <f>'GF + UG Iteration 12'!A277</f>
        <v>589</v>
      </c>
      <c r="B277" s="34" t="str">
        <f>'GF + UG Iteration 12'!B277</f>
        <v>UG</v>
      </c>
      <c r="C277" s="35">
        <f>'GF + UG Iteration 12'!C277</f>
        <v>36.963000000000001</v>
      </c>
      <c r="D277" s="36">
        <f>'GF + UG Iteration 12'!P$16*(C277^'GF + UG Iteration 12'!P$15)</f>
        <v>20.182255306352694</v>
      </c>
      <c r="E277" s="37">
        <f>'GF + UG Iteration 12'!E277</f>
        <v>1974</v>
      </c>
      <c r="F277" s="35">
        <f>'GF + UG Iteration 12'!F277</f>
        <v>0</v>
      </c>
      <c r="G277" s="36">
        <f>'GF + UG Iteration 12'!G277</f>
        <v>3.2007376892660457E-2</v>
      </c>
      <c r="H277" s="38">
        <f>'GF + UG Iteration 12'!H277</f>
        <v>2005</v>
      </c>
      <c r="I277" s="35">
        <f t="shared" si="30"/>
        <v>36.963000000000001</v>
      </c>
      <c r="J277" s="36">
        <f t="shared" si="31"/>
        <v>20.214262683245355</v>
      </c>
      <c r="K277" s="38">
        <f t="shared" si="32"/>
        <v>2005</v>
      </c>
      <c r="M277" s="21">
        <f t="shared" si="33"/>
        <v>3.609917412310641</v>
      </c>
      <c r="N277" s="21">
        <f t="shared" si="34"/>
        <v>3.0063884286825773</v>
      </c>
    </row>
    <row r="278" spans="1:14" x14ac:dyDescent="0.2">
      <c r="A278" s="33">
        <f>'GF + UG Iteration 12'!A278</f>
        <v>836</v>
      </c>
      <c r="B278" s="34" t="str">
        <f>'GF + UG Iteration 12'!B278</f>
        <v>UG</v>
      </c>
      <c r="C278" s="35">
        <f>'GF + UG Iteration 12'!C278</f>
        <v>33.963000000000001</v>
      </c>
      <c r="D278" s="36">
        <f>'GF + UG Iteration 12'!P$16*(C278^'GF + UG Iteration 12'!P$15)</f>
        <v>19.22738619663674</v>
      </c>
      <c r="E278" s="37">
        <f>'GF + UG Iteration 12'!E278</f>
        <v>1974</v>
      </c>
      <c r="F278" s="35">
        <f>'GF + UG Iteration 12'!F278</f>
        <v>10.036999999999999</v>
      </c>
      <c r="G278" s="36">
        <f>'GF + UG Iteration 12'!G278</f>
        <v>0.20824846319974696</v>
      </c>
      <c r="H278" s="38">
        <f>'GF + UG Iteration 12'!H278</f>
        <v>2008</v>
      </c>
      <c r="I278" s="35">
        <f t="shared" si="30"/>
        <v>44</v>
      </c>
      <c r="J278" s="36">
        <f t="shared" si="31"/>
        <v>19.435634659836488</v>
      </c>
      <c r="K278" s="38">
        <f t="shared" si="32"/>
        <v>2008</v>
      </c>
      <c r="M278" s="21">
        <f t="shared" si="33"/>
        <v>3.784189633918261</v>
      </c>
      <c r="N278" s="21">
        <f t="shared" si="34"/>
        <v>2.9671082192809881</v>
      </c>
    </row>
    <row r="279" spans="1:14" x14ac:dyDescent="0.2">
      <c r="A279" s="33">
        <f>'GF + UG Iteration 12'!A279</f>
        <v>1417</v>
      </c>
      <c r="B279" s="34" t="str">
        <f>'GF + UG Iteration 12'!B279</f>
        <v>UG</v>
      </c>
      <c r="C279" s="35">
        <f>'GF + UG Iteration 12'!C279</f>
        <v>53.176000000000002</v>
      </c>
      <c r="D279" s="36">
        <f>'GF + UG Iteration 12'!P$16*(C279^'GF + UG Iteration 12'!P$15)</f>
        <v>24.854840939390407</v>
      </c>
      <c r="E279" s="37">
        <f>'GF + UG Iteration 12'!E279</f>
        <v>0</v>
      </c>
      <c r="F279" s="35">
        <f>'GF + UG Iteration 12'!F279</f>
        <v>2.8239999999999981</v>
      </c>
      <c r="G279" s="36">
        <f>'GF + UG Iteration 12'!G279</f>
        <v>0.36631755287404399</v>
      </c>
      <c r="H279" s="38">
        <f>'GF + UG Iteration 12'!H279</f>
        <v>2013</v>
      </c>
      <c r="I279" s="35">
        <f t="shared" si="30"/>
        <v>56</v>
      </c>
      <c r="J279" s="36">
        <f t="shared" si="31"/>
        <v>25.221158492264451</v>
      </c>
      <c r="K279" s="38">
        <f t="shared" si="32"/>
        <v>2013</v>
      </c>
      <c r="M279" s="21">
        <f t="shared" si="33"/>
        <v>4.0253516907351496</v>
      </c>
      <c r="N279" s="21">
        <f t="shared" si="34"/>
        <v>3.2276832649403153</v>
      </c>
    </row>
    <row r="280" spans="1:14" x14ac:dyDescent="0.2">
      <c r="A280" s="33">
        <f>'GF + UG Iteration 12'!A280</f>
        <v>1575</v>
      </c>
      <c r="B280" s="34" t="str">
        <f>'GF + UG Iteration 12'!B280</f>
        <v>UG</v>
      </c>
      <c r="C280" s="35">
        <f>'GF + UG Iteration 12'!C280</f>
        <v>107.8</v>
      </c>
      <c r="D280" s="36">
        <f>'GF + UG Iteration 12'!P$16*(C280^'GF + UG Iteration 12'!P$15)</f>
        <v>37.251495786938946</v>
      </c>
      <c r="E280" s="37">
        <f>'GF + UG Iteration 12'!E280</f>
        <v>0</v>
      </c>
      <c r="F280" s="35">
        <f>'GF + UG Iteration 12'!F280</f>
        <v>2.2000000000000028</v>
      </c>
      <c r="G280" s="36">
        <f>'GF + UG Iteration 12'!G280</f>
        <v>8.4606138058298655E-2</v>
      </c>
      <c r="H280" s="38">
        <f>'GF + UG Iteration 12'!H280</f>
        <v>2014</v>
      </c>
      <c r="I280" s="35">
        <f t="shared" si="30"/>
        <v>110</v>
      </c>
      <c r="J280" s="36">
        <f t="shared" si="31"/>
        <v>37.336101924997244</v>
      </c>
      <c r="K280" s="38">
        <f t="shared" si="32"/>
        <v>2014</v>
      </c>
      <c r="M280" s="21">
        <f t="shared" si="33"/>
        <v>4.7004803657924166</v>
      </c>
      <c r="N280" s="21">
        <f t="shared" si="34"/>
        <v>3.6199607385826473</v>
      </c>
    </row>
    <row r="281" spans="1:14" x14ac:dyDescent="0.2">
      <c r="A281" s="33">
        <f>'GF + UG Iteration 12'!A281</f>
        <v>1480</v>
      </c>
      <c r="B281" s="34" t="str">
        <f>'GF + UG Iteration 12'!B281</f>
        <v>UG</v>
      </c>
      <c r="C281" s="35">
        <f>'GF + UG Iteration 12'!C281</f>
        <v>92</v>
      </c>
      <c r="D281" s="36">
        <f>'GF + UG Iteration 12'!P$16*(C281^'GF + UG Iteration 12'!P$15)</f>
        <v>34.019750169857389</v>
      </c>
      <c r="E281" s="37">
        <f>'GF + UG Iteration 12'!E281</f>
        <v>0</v>
      </c>
      <c r="F281" s="35">
        <f>'GF + UG Iteration 12'!F281</f>
        <v>9</v>
      </c>
      <c r="G281" s="36">
        <f>'GF + UG Iteration 12'!G281</f>
        <v>1.4186292000498641</v>
      </c>
      <c r="H281" s="38">
        <f>'GF + UG Iteration 12'!H281</f>
        <v>2015</v>
      </c>
      <c r="I281" s="35">
        <f t="shared" si="30"/>
        <v>101</v>
      </c>
      <c r="J281" s="36">
        <f t="shared" si="31"/>
        <v>35.438379369907253</v>
      </c>
      <c r="K281" s="38">
        <f t="shared" si="32"/>
        <v>2015</v>
      </c>
      <c r="M281" s="21">
        <f t="shared" si="33"/>
        <v>4.6151205168412597</v>
      </c>
      <c r="N281" s="21">
        <f t="shared" si="34"/>
        <v>3.5677953958511961</v>
      </c>
    </row>
    <row r="282" spans="1:14" x14ac:dyDescent="0.2">
      <c r="A282" s="33">
        <f>'GF + UG Iteration 12'!A282</f>
        <v>1644</v>
      </c>
      <c r="B282" s="34" t="str">
        <f>'GF + UG Iteration 12'!B282</f>
        <v>UG</v>
      </c>
      <c r="C282" s="35">
        <f>'GF + UG Iteration 12'!C282</f>
        <v>25</v>
      </c>
      <c r="D282" s="36">
        <f>'GF + UG Iteration 12'!P$16*(C282^'GF + UG Iteration 12'!P$15)</f>
        <v>16.13342707338958</v>
      </c>
      <c r="E282" s="37">
        <f>'GF + UG Iteration 12'!E282</f>
        <v>0</v>
      </c>
      <c r="F282" s="35">
        <f>'GF + UG Iteration 12'!F282</f>
        <v>14</v>
      </c>
      <c r="G282" s="36">
        <f>'GF + UG Iteration 12'!G282</f>
        <v>6.4881768587089867</v>
      </c>
      <c r="H282" s="38">
        <f>'GF + UG Iteration 12'!H282</f>
        <v>2016</v>
      </c>
      <c r="I282" s="35">
        <f t="shared" si="30"/>
        <v>39</v>
      </c>
      <c r="J282" s="36">
        <f t="shared" si="31"/>
        <v>22.621603932098566</v>
      </c>
      <c r="K282" s="38">
        <f t="shared" si="32"/>
        <v>2016</v>
      </c>
      <c r="M282" s="21">
        <f t="shared" si="33"/>
        <v>3.6635616461296463</v>
      </c>
      <c r="N282" s="21">
        <f t="shared" si="34"/>
        <v>3.1189053758708076</v>
      </c>
    </row>
    <row r="283" spans="1:14" x14ac:dyDescent="0.2">
      <c r="A283" s="33">
        <f>'GF + UG Iteration 12'!A283</f>
        <v>1276</v>
      </c>
      <c r="B283" s="34" t="str">
        <f>'GF + UG Iteration 12'!B283</f>
        <v>UG</v>
      </c>
      <c r="C283" s="35">
        <f>'GF + UG Iteration 12'!C283</f>
        <v>34</v>
      </c>
      <c r="D283" s="36">
        <f>'GF + UG Iteration 12'!P$16*(C283^'GF + UG Iteration 12'!P$15)</f>
        <v>19.239377495949693</v>
      </c>
      <c r="E283" s="37" t="str">
        <f>'GF + UG Iteration 12'!E283</f>
        <v>unknown</v>
      </c>
      <c r="F283" s="35">
        <f>'GF + UG Iteration 12'!F283</f>
        <v>4</v>
      </c>
      <c r="G283" s="36">
        <f>'GF + UG Iteration 12'!G283</f>
        <v>0.69755192087391271</v>
      </c>
      <c r="H283" s="38">
        <f>'GF + UG Iteration 12'!H283</f>
        <v>2012</v>
      </c>
      <c r="I283" s="35">
        <f t="shared" si="30"/>
        <v>38</v>
      </c>
      <c r="J283" s="36">
        <f t="shared" si="31"/>
        <v>19.936929416823606</v>
      </c>
      <c r="K283" s="38">
        <f t="shared" si="32"/>
        <v>2012</v>
      </c>
      <c r="M283" s="21">
        <f t="shared" si="33"/>
        <v>3.6375861597263857</v>
      </c>
      <c r="N283" s="21">
        <f t="shared" si="34"/>
        <v>2.9925737615436243</v>
      </c>
    </row>
    <row r="284" spans="1:14" x14ac:dyDescent="0.2">
      <c r="A284" s="33">
        <f>'GF + UG Iteration 12'!A284</f>
        <v>823</v>
      </c>
      <c r="B284" s="34" t="str">
        <f>'GF + UG Iteration 12'!B284</f>
        <v>UG</v>
      </c>
      <c r="C284" s="35">
        <f>'GF + UG Iteration 12'!C284</f>
        <v>10</v>
      </c>
      <c r="D284" s="36">
        <f>'GF + UG Iteration 12'!P$16*(C284^'GF + UG Iteration 12'!P$15)</f>
        <v>9.5469832625749067</v>
      </c>
      <c r="E284" s="37" t="str">
        <f>'GF + UG Iteration 12'!E284</f>
        <v>unknown</v>
      </c>
      <c r="F284" s="35">
        <f>'GF + UG Iteration 12'!F284</f>
        <v>25</v>
      </c>
      <c r="G284" s="36">
        <f>'GF + UG Iteration 12'!G284</f>
        <v>8.3156614233786232</v>
      </c>
      <c r="H284" s="38">
        <f>'GF + UG Iteration 12'!H284</f>
        <v>2009</v>
      </c>
      <c r="I284" s="35">
        <f t="shared" si="30"/>
        <v>35</v>
      </c>
      <c r="J284" s="36">
        <f t="shared" si="31"/>
        <v>17.86264468595353</v>
      </c>
      <c r="K284" s="38">
        <f t="shared" si="32"/>
        <v>2009</v>
      </c>
      <c r="M284" s="21">
        <f t="shared" si="33"/>
        <v>3.5553480614894135</v>
      </c>
      <c r="N284" s="21">
        <f t="shared" si="34"/>
        <v>2.8827116432065836</v>
      </c>
    </row>
    <row r="285" spans="1:14" x14ac:dyDescent="0.2">
      <c r="A285" s="33">
        <f>'GF + UG Iteration 12'!A285</f>
        <v>1601</v>
      </c>
      <c r="B285" s="34" t="str">
        <f>'GF + UG Iteration 12'!B285</f>
        <v>UG</v>
      </c>
      <c r="C285" s="35">
        <f>'GF + UG Iteration 12'!C285</f>
        <v>77</v>
      </c>
      <c r="D285" s="36">
        <f>'GF + UG Iteration 12'!P$16*(C285^'GF + UG Iteration 12'!P$15)</f>
        <v>30.723507544063299</v>
      </c>
      <c r="E285" s="37">
        <f>'GF + UG Iteration 12'!E285</f>
        <v>0</v>
      </c>
      <c r="F285" s="35">
        <f>'GF + UG Iteration 12'!F285</f>
        <v>0</v>
      </c>
      <c r="G285" s="36">
        <f>'GF + UG Iteration 12'!G285</f>
        <v>4.0094648670350015</v>
      </c>
      <c r="H285" s="38">
        <f>'GF + UG Iteration 12'!H285</f>
        <v>2015</v>
      </c>
      <c r="I285" s="35">
        <f t="shared" si="30"/>
        <v>77</v>
      </c>
      <c r="J285" s="36">
        <f t="shared" si="31"/>
        <v>34.732972411098302</v>
      </c>
      <c r="K285" s="38">
        <f t="shared" si="32"/>
        <v>2015</v>
      </c>
      <c r="M285" s="21">
        <f t="shared" si="33"/>
        <v>4.3438054218536841</v>
      </c>
      <c r="N285" s="21">
        <f t="shared" si="34"/>
        <v>3.5476894493619939</v>
      </c>
    </row>
    <row r="286" spans="1:14" x14ac:dyDescent="0.2">
      <c r="A286" s="33">
        <f>'GF + UG Iteration 12'!A286</f>
        <v>1046</v>
      </c>
      <c r="B286" s="34" t="str">
        <f>'GF + UG Iteration 12'!B286</f>
        <v>UG</v>
      </c>
      <c r="C286" s="35">
        <f>'GF + UG Iteration 12'!C286</f>
        <v>33</v>
      </c>
      <c r="D286" s="36">
        <f>'GF + UG Iteration 12'!P$16*(C286^'GF + UG Iteration 12'!P$15)</f>
        <v>18.913298175529835</v>
      </c>
      <c r="E286" s="37" t="str">
        <f>'GF + UG Iteration 12'!E286</f>
        <v>unknown</v>
      </c>
      <c r="F286" s="35">
        <f>'GF + UG Iteration 12'!F286</f>
        <v>17</v>
      </c>
      <c r="G286" s="36">
        <f>'GF + UG Iteration 12'!G286</f>
        <v>13.838101419471103</v>
      </c>
      <c r="H286" s="38">
        <f>'GF + UG Iteration 12'!H286</f>
        <v>2011</v>
      </c>
      <c r="I286" s="35">
        <f t="shared" si="30"/>
        <v>50</v>
      </c>
      <c r="J286" s="36">
        <f t="shared" si="31"/>
        <v>32.75139959500094</v>
      </c>
      <c r="K286" s="38">
        <f t="shared" si="32"/>
        <v>2011</v>
      </c>
      <c r="M286" s="21">
        <f t="shared" si="33"/>
        <v>3.912023005428146</v>
      </c>
      <c r="N286" s="21">
        <f t="shared" si="34"/>
        <v>3.4889456968933352</v>
      </c>
    </row>
    <row r="287" spans="1:14" x14ac:dyDescent="0.2">
      <c r="A287" s="33">
        <f>'GF + UG Iteration 12'!A287</f>
        <v>873</v>
      </c>
      <c r="B287" s="34" t="str">
        <f>'GF + UG Iteration 12'!B287</f>
        <v>UG</v>
      </c>
      <c r="C287" s="35">
        <f>'GF + UG Iteration 12'!C287</f>
        <v>38</v>
      </c>
      <c r="D287" s="36">
        <f>'GF + UG Iteration 12'!P$16*(C287^'GF + UG Iteration 12'!P$15)</f>
        <v>20.504551673162556</v>
      </c>
      <c r="E287" s="37" t="str">
        <f>'GF + UG Iteration 12'!E287</f>
        <v>unknown</v>
      </c>
      <c r="F287" s="35">
        <f>'GF + UG Iteration 12'!F287</f>
        <v>10</v>
      </c>
      <c r="G287" s="36">
        <f>'GF + UG Iteration 12'!G287</f>
        <v>10.835025062169574</v>
      </c>
      <c r="H287" s="38">
        <f>'GF + UG Iteration 12'!H287</f>
        <v>2011</v>
      </c>
      <c r="I287" s="35">
        <f t="shared" si="30"/>
        <v>48</v>
      </c>
      <c r="J287" s="36">
        <f t="shared" si="31"/>
        <v>31.33957673533213</v>
      </c>
      <c r="K287" s="38">
        <f t="shared" si="32"/>
        <v>2011</v>
      </c>
      <c r="M287" s="21">
        <f t="shared" si="33"/>
        <v>3.8712010109078911</v>
      </c>
      <c r="N287" s="21">
        <f t="shared" si="34"/>
        <v>3.4448817312633531</v>
      </c>
    </row>
    <row r="288" spans="1:14" x14ac:dyDescent="0.2">
      <c r="A288" s="33">
        <f>'GF + UG Iteration 12'!A288</f>
        <v>630</v>
      </c>
      <c r="B288" s="34" t="str">
        <f>'GF + UG Iteration 12'!B288</f>
        <v>UG</v>
      </c>
      <c r="C288" s="35">
        <f>'GF + UG Iteration 12'!C288</f>
        <v>36.4</v>
      </c>
      <c r="D288" s="36">
        <f>'GF + UG Iteration 12'!P$16*(C288^'GF + UG Iteration 12'!P$15)</f>
        <v>20.005658078244334</v>
      </c>
      <c r="E288" s="37" t="str">
        <f>'GF + UG Iteration 12'!E288</f>
        <v>unknown</v>
      </c>
      <c r="F288" s="35">
        <f>'GF + UG Iteration 12'!F288</f>
        <v>3.6000000000000014</v>
      </c>
      <c r="G288" s="36">
        <f>'GF + UG Iteration 12'!G288</f>
        <v>0.76181860016629799</v>
      </c>
      <c r="H288" s="38">
        <f>'GF + UG Iteration 12'!H288</f>
        <v>2007</v>
      </c>
      <c r="I288" s="35">
        <f t="shared" si="30"/>
        <v>40</v>
      </c>
      <c r="J288" s="36">
        <f t="shared" si="31"/>
        <v>20.767476678410631</v>
      </c>
      <c r="K288" s="38">
        <f t="shared" si="32"/>
        <v>2007</v>
      </c>
      <c r="M288" s="21">
        <f t="shared" si="33"/>
        <v>3.6888794541139363</v>
      </c>
      <c r="N288" s="21">
        <f t="shared" si="34"/>
        <v>3.0333881417455371</v>
      </c>
    </row>
    <row r="289" spans="1:20" x14ac:dyDescent="0.2">
      <c r="A289" s="33">
        <f>'GF + UG Iteration 12'!A289</f>
        <v>1107</v>
      </c>
      <c r="B289" s="34" t="str">
        <f>'GF + UG Iteration 12'!B289</f>
        <v>UG</v>
      </c>
      <c r="C289" s="35">
        <f>'GF + UG Iteration 12'!C289</f>
        <v>16</v>
      </c>
      <c r="D289" s="36">
        <f>'GF + UG Iteration 12'!P$16*(C289^'GF + UG Iteration 12'!P$15)</f>
        <v>12.495259317640681</v>
      </c>
      <c r="E289" s="37">
        <f>'GF + UG Iteration 12'!E289</f>
        <v>2010</v>
      </c>
      <c r="F289" s="35">
        <f>'GF + UG Iteration 12'!F289</f>
        <v>24</v>
      </c>
      <c r="G289" s="36">
        <f>'GF + UG Iteration 12'!G289</f>
        <v>7.7000094501504579</v>
      </c>
      <c r="H289" s="38">
        <f>'GF + UG Iteration 12'!H289</f>
        <v>2014</v>
      </c>
      <c r="I289" s="35">
        <f t="shared" si="30"/>
        <v>40</v>
      </c>
      <c r="J289" s="36">
        <f t="shared" si="31"/>
        <v>20.195268767791138</v>
      </c>
      <c r="K289" s="38">
        <f t="shared" si="32"/>
        <v>2014</v>
      </c>
      <c r="M289" s="21">
        <f t="shared" si="33"/>
        <v>3.6888794541139363</v>
      </c>
      <c r="N289" s="21">
        <f t="shared" si="34"/>
        <v>3.0054483575572277</v>
      </c>
    </row>
    <row r="290" spans="1:20" x14ac:dyDescent="0.2">
      <c r="A290" s="33">
        <f>'GF + UG Iteration 12'!A290</f>
        <v>682</v>
      </c>
      <c r="B290" s="34" t="str">
        <f>'GF + UG Iteration 12'!B290</f>
        <v>UG</v>
      </c>
      <c r="C290" s="35">
        <f>'GF + UG Iteration 12'!C290</f>
        <v>12</v>
      </c>
      <c r="D290" s="36">
        <f>'GF + UG Iteration 12'!P$16*(C290^'GF + UG Iteration 12'!P$15)</f>
        <v>10.597546886316998</v>
      </c>
      <c r="E290" s="37">
        <f>'GF + UG Iteration 12'!E290</f>
        <v>2005</v>
      </c>
      <c r="F290" s="35">
        <f>'GF + UG Iteration 12'!F290</f>
        <v>18</v>
      </c>
      <c r="G290" s="36">
        <f>'GF + UG Iteration 12'!G290</f>
        <v>4.2252233548626927</v>
      </c>
      <c r="H290" s="38">
        <f>'GF + UG Iteration 12'!H290</f>
        <v>2009</v>
      </c>
      <c r="I290" s="35">
        <f t="shared" ref="I290:I291" si="35">C290+F290</f>
        <v>30</v>
      </c>
      <c r="J290" s="36">
        <f t="shared" ref="J290:J291" si="36">D290+G290</f>
        <v>14.82277024117969</v>
      </c>
      <c r="K290" s="38">
        <f t="shared" ref="K290:K291" si="37">MAX(E290,H290)</f>
        <v>2009</v>
      </c>
      <c r="M290" s="21">
        <f t="shared" ref="M290:M291" si="38">LN(I290)</f>
        <v>3.4011973816621555</v>
      </c>
      <c r="N290" s="21">
        <f t="shared" ref="N290:N291" si="39">LN(J290)</f>
        <v>2.6961645282550597</v>
      </c>
    </row>
    <row r="291" spans="1:20" x14ac:dyDescent="0.2">
      <c r="A291" s="33">
        <f>'GF + UG Iteration 12'!A291</f>
        <v>677</v>
      </c>
      <c r="B291" s="34" t="str">
        <f>'GF + UG Iteration 12'!B291</f>
        <v>UG</v>
      </c>
      <c r="C291" s="35">
        <f>'GF + UG Iteration 12'!C291</f>
        <v>117</v>
      </c>
      <c r="D291" s="36">
        <f>'GF + UG Iteration 12'!P$16*(C291^'GF + UG Iteration 12'!P$15)</f>
        <v>39.039966808297287</v>
      </c>
      <c r="E291" s="37" t="str">
        <f>'GF + UG Iteration 12'!E291</f>
        <v>unknown</v>
      </c>
      <c r="F291" s="35">
        <f>'GF + UG Iteration 12'!F291</f>
        <v>0</v>
      </c>
      <c r="G291" s="36">
        <f>'GF + UG Iteration 12'!G291</f>
        <v>5.9672660834890454</v>
      </c>
      <c r="H291" s="38">
        <f>'GF + UG Iteration 12'!H291</f>
        <v>2009</v>
      </c>
      <c r="I291" s="35">
        <f t="shared" si="35"/>
        <v>117</v>
      </c>
      <c r="J291" s="36">
        <f t="shared" si="36"/>
        <v>45.00723289178633</v>
      </c>
      <c r="K291" s="38">
        <f t="shared" si="37"/>
        <v>2009</v>
      </c>
      <c r="M291" s="21">
        <f t="shared" si="38"/>
        <v>4.7621739347977563</v>
      </c>
      <c r="N291" s="21">
        <f t="shared" si="39"/>
        <v>3.806823207783073</v>
      </c>
    </row>
    <row r="292" spans="1:20" x14ac:dyDescent="0.2">
      <c r="A292" s="33">
        <f>'GF + UG Iteration 12'!A292</f>
        <v>643</v>
      </c>
      <c r="B292" s="34" t="str">
        <f>'GF + UG Iteration 12'!B292</f>
        <v>UG</v>
      </c>
      <c r="C292" s="35">
        <f>'GF + UG Iteration 12'!C292</f>
        <v>53.37</v>
      </c>
      <c r="D292" s="36">
        <f>'GF + UG Iteration 12'!P$16*(C292^'GF + UG Iteration 12'!P$15)</f>
        <v>24.906722173568266</v>
      </c>
      <c r="E292" s="37" t="str">
        <f>'GF + UG Iteration 12'!E292</f>
        <v>unknown</v>
      </c>
      <c r="F292" s="35">
        <f>'GF + UG Iteration 12'!F292</f>
        <v>0.5</v>
      </c>
      <c r="G292" s="36">
        <f>'GF + UG Iteration 12'!G292</f>
        <v>4.4086715648995529</v>
      </c>
      <c r="H292" s="38">
        <f>'GF + UG Iteration 12'!H292</f>
        <v>2009</v>
      </c>
      <c r="I292" s="35">
        <f t="shared" si="30"/>
        <v>53.87</v>
      </c>
      <c r="J292" s="36">
        <f t="shared" si="31"/>
        <v>29.315393738467819</v>
      </c>
      <c r="K292" s="38">
        <f t="shared" si="32"/>
        <v>2009</v>
      </c>
      <c r="M292" s="21">
        <f t="shared" si="33"/>
        <v>3.9865737366924425</v>
      </c>
      <c r="N292" s="21">
        <f t="shared" si="34"/>
        <v>3.3781127616228517</v>
      </c>
    </row>
    <row r="294" spans="1:20" s="9" customFormat="1" x14ac:dyDescent="0.2">
      <c r="A294" s="26" t="s">
        <v>29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48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8" activePane="bottomLeft" state="frozen"/>
      <selection activeCell="A4" sqref="A4"/>
      <selection pane="bottomLeft" activeCell="A8" sqref="A8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54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G - Point of Delivery Cost Function Workbook</v>
      </c>
    </row>
    <row r="4" spans="1:20" s="1" customFormat="1" x14ac:dyDescent="0.2">
      <c r="A4" s="1" t="s">
        <v>982</v>
      </c>
      <c r="B4" s="42"/>
    </row>
    <row r="5" spans="1:20" s="1" customFormat="1" x14ac:dyDescent="0.2">
      <c r="A5" s="43" t="str">
        <f>TableDate</f>
        <v>August 17, 2018</v>
      </c>
      <c r="B5" s="44"/>
    </row>
    <row r="6" spans="1:20" x14ac:dyDescent="0.2">
      <c r="E6" s="28"/>
    </row>
    <row r="7" spans="1:20" ht="25.5" x14ac:dyDescent="0.2">
      <c r="A7" s="10" t="s">
        <v>0</v>
      </c>
      <c r="B7" s="11" t="s">
        <v>7</v>
      </c>
      <c r="C7" s="12" t="s">
        <v>8</v>
      </c>
      <c r="D7" s="13" t="s">
        <v>30</v>
      </c>
      <c r="E7" s="14" t="s">
        <v>10</v>
      </c>
      <c r="F7" s="12" t="s">
        <v>11</v>
      </c>
      <c r="G7" s="13" t="s">
        <v>12</v>
      </c>
      <c r="H7" s="14" t="s">
        <v>13</v>
      </c>
      <c r="I7" s="12" t="s">
        <v>2</v>
      </c>
      <c r="J7" s="13" t="s">
        <v>14</v>
      </c>
      <c r="K7" s="14" t="s">
        <v>15</v>
      </c>
      <c r="M7" s="11" t="s">
        <v>16</v>
      </c>
      <c r="N7" s="11" t="s">
        <v>17</v>
      </c>
      <c r="P7" s="41" t="s">
        <v>53</v>
      </c>
      <c r="Q7" s="15"/>
      <c r="T7" s="3"/>
    </row>
    <row r="8" spans="1:20" x14ac:dyDescent="0.2">
      <c r="A8" s="25">
        <f>'GF + UG Iteration 13'!A8</f>
        <v>476</v>
      </c>
      <c r="B8" s="25" t="str">
        <f>'GF + UG Iteration 13'!B8</f>
        <v>GF</v>
      </c>
      <c r="C8" s="18">
        <f>'GF + UG Iteration 13'!C8</f>
        <v>14</v>
      </c>
      <c r="D8" s="19">
        <f>'GF + UG Iteration 13'!D8</f>
        <v>16.861812370959647</v>
      </c>
      <c r="E8" s="30">
        <f>'GF + UG Iteration 13'!E8</f>
        <v>2003</v>
      </c>
      <c r="F8" s="18"/>
      <c r="G8" s="19"/>
      <c r="H8" s="20"/>
      <c r="I8" s="18">
        <f>C8+F8</f>
        <v>14</v>
      </c>
      <c r="J8" s="19">
        <f>D8+G8</f>
        <v>16.861812370959647</v>
      </c>
      <c r="K8" s="20">
        <f>MAX(E8,H8)</f>
        <v>2003</v>
      </c>
      <c r="M8" s="21">
        <f>LN(I8)</f>
        <v>2.6390573296152584</v>
      </c>
      <c r="N8" s="21">
        <f>LN(J8)</f>
        <v>2.8250514421084625</v>
      </c>
      <c r="O8" s="3" t="s">
        <v>19</v>
      </c>
      <c r="P8" s="22">
        <f t="array" ref="P8:Q12">LINEST(N8:N292,M8:M292,TRUE,TRUE)</f>
        <v>0.57260166240584975</v>
      </c>
      <c r="Q8" s="22">
        <v>0.93775715487196853</v>
      </c>
      <c r="R8" s="5" t="s">
        <v>20</v>
      </c>
    </row>
    <row r="9" spans="1:20" x14ac:dyDescent="0.2">
      <c r="A9" s="25">
        <f>'GF + UG Iteration 13'!A9</f>
        <v>478</v>
      </c>
      <c r="B9" s="25" t="str">
        <f>'GF + UG Iteration 13'!B9</f>
        <v>GF</v>
      </c>
      <c r="C9" s="18">
        <f>'GF + UG Iteration 13'!C9</f>
        <v>8.5</v>
      </c>
      <c r="D9" s="19">
        <f>'GF + UG Iteration 13'!D9</f>
        <v>6.0182252638842719</v>
      </c>
      <c r="E9" s="30">
        <f>'GF + UG Iteration 13'!E9</f>
        <v>2003</v>
      </c>
      <c r="F9" s="18"/>
      <c r="G9" s="19"/>
      <c r="H9" s="20"/>
      <c r="I9" s="18">
        <f t="shared" ref="I9:I71" si="0">C9+F9</f>
        <v>8.5</v>
      </c>
      <c r="J9" s="19">
        <f t="shared" ref="J9:J71" si="1">D9+G9</f>
        <v>6.0182252638842719</v>
      </c>
      <c r="K9" s="20">
        <f t="shared" ref="K9:K71" si="2">MAX(E9,H9)</f>
        <v>2003</v>
      </c>
      <c r="M9" s="21">
        <f t="shared" ref="M9:M71" si="3">LN(I9)</f>
        <v>2.1400661634962708</v>
      </c>
      <c r="N9" s="21">
        <f t="shared" ref="N9:N71" si="4">LN(J9)</f>
        <v>1.7947924091929603</v>
      </c>
      <c r="O9" s="3" t="s">
        <v>21</v>
      </c>
      <c r="P9" s="22">
        <v>3.2094367321789677E-2</v>
      </c>
      <c r="Q9" s="22">
        <v>0.10233992082566955</v>
      </c>
      <c r="R9" s="5" t="s">
        <v>22</v>
      </c>
    </row>
    <row r="10" spans="1:20" x14ac:dyDescent="0.2">
      <c r="A10" s="25">
        <f>'GF + UG Iteration 13'!A10</f>
        <v>473</v>
      </c>
      <c r="B10" s="25" t="str">
        <f>'GF + UG Iteration 13'!B10</f>
        <v>GF</v>
      </c>
      <c r="C10" s="18">
        <f>'GF + UG Iteration 13'!C10</f>
        <v>30</v>
      </c>
      <c r="D10" s="19">
        <f>'GF + UG Iteration 13'!D10</f>
        <v>14.998991377977235</v>
      </c>
      <c r="E10" s="30">
        <f>'GF + UG Iteration 13'!E10</f>
        <v>2003</v>
      </c>
      <c r="F10" s="18"/>
      <c r="G10" s="19"/>
      <c r="H10" s="20"/>
      <c r="I10" s="18">
        <f t="shared" si="0"/>
        <v>30</v>
      </c>
      <c r="J10" s="19">
        <f t="shared" si="1"/>
        <v>14.998991377977235</v>
      </c>
      <c r="K10" s="20">
        <f t="shared" si="2"/>
        <v>2003</v>
      </c>
      <c r="M10" s="21">
        <f t="shared" si="3"/>
        <v>3.4011973816621555</v>
      </c>
      <c r="N10" s="21">
        <f t="shared" si="4"/>
        <v>2.707982957373217</v>
      </c>
      <c r="O10" s="3" t="s">
        <v>1</v>
      </c>
      <c r="P10" s="22">
        <v>0.52935934009597951</v>
      </c>
      <c r="Q10" s="22">
        <v>0.39316157472103358</v>
      </c>
      <c r="R10" s="5" t="s">
        <v>23</v>
      </c>
    </row>
    <row r="11" spans="1:20" x14ac:dyDescent="0.2">
      <c r="A11" s="25">
        <f>'GF + UG Iteration 13'!A11</f>
        <v>1042</v>
      </c>
      <c r="B11" s="25" t="str">
        <f>'GF + UG Iteration 13'!B11</f>
        <v>GF</v>
      </c>
      <c r="C11" s="18">
        <f>'GF + UG Iteration 13'!C11</f>
        <v>13</v>
      </c>
      <c r="D11" s="19">
        <f>'GF + UG Iteration 13'!D11</f>
        <v>11.164764224012115</v>
      </c>
      <c r="E11" s="30">
        <f>'GF + UG Iteration 13'!E11</f>
        <v>2011</v>
      </c>
      <c r="F11" s="18"/>
      <c r="G11" s="19"/>
      <c r="H11" s="20"/>
      <c r="I11" s="18">
        <f t="shared" si="0"/>
        <v>13</v>
      </c>
      <c r="J11" s="19">
        <f t="shared" si="1"/>
        <v>11.164764224012115</v>
      </c>
      <c r="K11" s="20">
        <f t="shared" si="2"/>
        <v>2011</v>
      </c>
      <c r="M11" s="21">
        <f t="shared" si="3"/>
        <v>2.5649493574615367</v>
      </c>
      <c r="N11" s="21">
        <f t="shared" si="4"/>
        <v>2.4127627676497201</v>
      </c>
      <c r="O11" s="3" t="s">
        <v>24</v>
      </c>
      <c r="P11" s="22">
        <v>318.30801290673281</v>
      </c>
      <c r="Q11" s="22">
        <v>283</v>
      </c>
      <c r="R11" s="5" t="s">
        <v>25</v>
      </c>
    </row>
    <row r="12" spans="1:20" x14ac:dyDescent="0.2">
      <c r="A12" s="25">
        <f>'GF + UG Iteration 13'!A12</f>
        <v>443</v>
      </c>
      <c r="B12" s="25" t="str">
        <f>'GF + UG Iteration 13'!B12</f>
        <v>GF</v>
      </c>
      <c r="C12" s="18">
        <f>'GF + UG Iteration 13'!C12</f>
        <v>24.3</v>
      </c>
      <c r="D12" s="19">
        <f>'GF + UG Iteration 13'!D12</f>
        <v>11.705577131494863</v>
      </c>
      <c r="E12" s="30">
        <f>'GF + UG Iteration 13'!E12</f>
        <v>2006</v>
      </c>
      <c r="F12" s="18"/>
      <c r="G12" s="19"/>
      <c r="H12" s="20"/>
      <c r="I12" s="18">
        <f t="shared" si="0"/>
        <v>24.3</v>
      </c>
      <c r="J12" s="19">
        <f t="shared" si="1"/>
        <v>11.705577131494863</v>
      </c>
      <c r="K12" s="20">
        <f t="shared" si="2"/>
        <v>2006</v>
      </c>
      <c r="M12" s="21">
        <f t="shared" si="3"/>
        <v>3.1904763503465028</v>
      </c>
      <c r="N12" s="21">
        <f t="shared" si="4"/>
        <v>2.4600654061344325</v>
      </c>
      <c r="O12" s="3" t="s">
        <v>26</v>
      </c>
      <c r="P12" s="22">
        <v>49.20278699061835</v>
      </c>
      <c r="Q12" s="22">
        <v>43.745014745905777</v>
      </c>
      <c r="R12" s="5" t="s">
        <v>27</v>
      </c>
    </row>
    <row r="13" spans="1:20" x14ac:dyDescent="0.2">
      <c r="A13" s="25">
        <f>'GF + UG Iteration 13'!A13</f>
        <v>1195</v>
      </c>
      <c r="B13" s="25" t="str">
        <f>'GF + UG Iteration 13'!B13</f>
        <v>GF</v>
      </c>
      <c r="C13" s="18">
        <f>'GF + UG Iteration 13'!C13</f>
        <v>18</v>
      </c>
      <c r="D13" s="19">
        <f>'GF + UG Iteration 13'!D13</f>
        <v>31.659927445331629</v>
      </c>
      <c r="E13" s="30">
        <f>'GF + UG Iteration 13'!E13</f>
        <v>2011</v>
      </c>
      <c r="F13" s="18"/>
      <c r="G13" s="19"/>
      <c r="H13" s="20"/>
      <c r="I13" s="18">
        <f t="shared" si="0"/>
        <v>18</v>
      </c>
      <c r="J13" s="19">
        <f t="shared" si="1"/>
        <v>31.659927445331629</v>
      </c>
      <c r="K13" s="20">
        <f t="shared" si="2"/>
        <v>2011</v>
      </c>
      <c r="M13" s="21">
        <f t="shared" si="3"/>
        <v>2.8903717578961645</v>
      </c>
      <c r="N13" s="21">
        <f t="shared" si="4"/>
        <v>3.4550517627677269</v>
      </c>
    </row>
    <row r="14" spans="1:20" x14ac:dyDescent="0.2">
      <c r="A14" s="25">
        <f>'GF + UG Iteration 13'!A14</f>
        <v>420</v>
      </c>
      <c r="B14" s="25" t="str">
        <f>'GF + UG Iteration 13'!B14</f>
        <v>GF</v>
      </c>
      <c r="C14" s="18">
        <f>'GF + UG Iteration 13'!C14</f>
        <v>6</v>
      </c>
      <c r="D14" s="19">
        <f>'GF + UG Iteration 13'!D14</f>
        <v>9.6396451057157435</v>
      </c>
      <c r="E14" s="30">
        <f>'GF + UG Iteration 13'!E14</f>
        <v>2007</v>
      </c>
      <c r="F14" s="18"/>
      <c r="G14" s="19"/>
      <c r="H14" s="20"/>
      <c r="I14" s="18">
        <f t="shared" si="0"/>
        <v>6</v>
      </c>
      <c r="J14" s="19">
        <f t="shared" si="1"/>
        <v>9.6396451057157435</v>
      </c>
      <c r="K14" s="20">
        <f t="shared" si="2"/>
        <v>2007</v>
      </c>
      <c r="M14" s="21">
        <f t="shared" si="3"/>
        <v>1.791759469228055</v>
      </c>
      <c r="N14" s="21">
        <f t="shared" si="4"/>
        <v>2.2658842931849965</v>
      </c>
      <c r="P14" s="15" t="s">
        <v>6</v>
      </c>
      <c r="Q14" s="15"/>
    </row>
    <row r="15" spans="1:20" x14ac:dyDescent="0.2">
      <c r="A15" s="25">
        <f>'GF + UG Iteration 13'!A15</f>
        <v>440</v>
      </c>
      <c r="B15" s="25" t="str">
        <f>'GF + UG Iteration 13'!B15</f>
        <v>GF</v>
      </c>
      <c r="C15" s="18">
        <f>'GF + UG Iteration 13'!C15</f>
        <v>10</v>
      </c>
      <c r="D15" s="19">
        <f>'GF + UG Iteration 13'!D15</f>
        <v>16.009559216092757</v>
      </c>
      <c r="E15" s="30">
        <f>'GF + UG Iteration 13'!E15</f>
        <v>2006</v>
      </c>
      <c r="F15" s="18"/>
      <c r="G15" s="19"/>
      <c r="H15" s="20"/>
      <c r="I15" s="18">
        <f t="shared" si="0"/>
        <v>10</v>
      </c>
      <c r="J15" s="19">
        <f t="shared" si="1"/>
        <v>16.009559216092757</v>
      </c>
      <c r="K15" s="20">
        <f t="shared" si="2"/>
        <v>2006</v>
      </c>
      <c r="M15" s="21">
        <f t="shared" si="3"/>
        <v>2.3025850929940459</v>
      </c>
      <c r="N15" s="21">
        <f t="shared" si="4"/>
        <v>2.7731859948427808</v>
      </c>
      <c r="O15" s="3" t="s">
        <v>19</v>
      </c>
      <c r="P15" s="23">
        <f>P8</f>
        <v>0.57260166240584975</v>
      </c>
      <c r="Q15" s="31">
        <f>(P15-'GF + UG Iteration 13'!P15)/'GF + UG Iteration 13'!P15</f>
        <v>3.3321532830952448E-7</v>
      </c>
      <c r="R15" s="32" t="s">
        <v>31</v>
      </c>
    </row>
    <row r="16" spans="1:20" x14ac:dyDescent="0.2">
      <c r="A16" s="25">
        <f>'GF + UG Iteration 13'!A16</f>
        <v>1102</v>
      </c>
      <c r="B16" s="25" t="str">
        <f>'GF + UG Iteration 13'!B16</f>
        <v>GF</v>
      </c>
      <c r="C16" s="18">
        <f>'GF + UG Iteration 13'!C16</f>
        <v>20</v>
      </c>
      <c r="D16" s="19">
        <f>'GF + UG Iteration 13'!D16</f>
        <v>16.293644713264708</v>
      </c>
      <c r="E16" s="30">
        <f>'GF + UG Iteration 13'!E16</f>
        <v>2011</v>
      </c>
      <c r="F16" s="18"/>
      <c r="G16" s="19"/>
      <c r="H16" s="20"/>
      <c r="I16" s="18">
        <f t="shared" si="0"/>
        <v>20</v>
      </c>
      <c r="J16" s="19">
        <f t="shared" si="1"/>
        <v>16.293644713264708</v>
      </c>
      <c r="K16" s="20">
        <f t="shared" si="2"/>
        <v>2011</v>
      </c>
      <c r="M16" s="21">
        <f t="shared" si="3"/>
        <v>2.9957322735539909</v>
      </c>
      <c r="N16" s="21">
        <f t="shared" si="4"/>
        <v>2.7907751368922047</v>
      </c>
      <c r="O16" s="3" t="s">
        <v>28</v>
      </c>
      <c r="P16" s="23">
        <f>EXP(Q8)</f>
        <v>2.5542462104729968</v>
      </c>
      <c r="Q16" s="31">
        <f>(P16-'GF + UG Iteration 13'!P16)/'GF + UG Iteration 13'!P16</f>
        <v>-1.5374528795121891E-6</v>
      </c>
      <c r="R16" s="32" t="s">
        <v>32</v>
      </c>
    </row>
    <row r="17" spans="1:18" x14ac:dyDescent="0.2">
      <c r="A17" s="25">
        <f>'GF + UG Iteration 13'!A17</f>
        <v>324</v>
      </c>
      <c r="B17" s="25" t="str">
        <f>'GF + UG Iteration 13'!B17</f>
        <v>GF</v>
      </c>
      <c r="C17" s="18">
        <f>'GF + UG Iteration 13'!C17</f>
        <v>17.2</v>
      </c>
      <c r="D17" s="19">
        <f>'GF + UG Iteration 13'!D17</f>
        <v>8.9094125785416409</v>
      </c>
      <c r="E17" s="30">
        <f>'GF + UG Iteration 13'!E17</f>
        <v>2003</v>
      </c>
      <c r="F17" s="18"/>
      <c r="G17" s="19"/>
      <c r="H17" s="20"/>
      <c r="I17" s="18">
        <f t="shared" si="0"/>
        <v>17.2</v>
      </c>
      <c r="J17" s="19">
        <f t="shared" si="1"/>
        <v>8.9094125785416409</v>
      </c>
      <c r="K17" s="20">
        <f t="shared" si="2"/>
        <v>2003</v>
      </c>
      <c r="M17" s="21">
        <f t="shared" si="3"/>
        <v>2.8449093838194073</v>
      </c>
      <c r="N17" s="21">
        <f t="shared" si="4"/>
        <v>2.1871083109750784</v>
      </c>
      <c r="O17" s="3"/>
      <c r="P17" s="24"/>
      <c r="R17" s="32" t="s">
        <v>33</v>
      </c>
    </row>
    <row r="18" spans="1:18" x14ac:dyDescent="0.2">
      <c r="A18" s="25">
        <f>'GF + UG Iteration 13'!A18</f>
        <v>1103</v>
      </c>
      <c r="B18" s="25" t="str">
        <f>'GF + UG Iteration 13'!B18</f>
        <v>GF</v>
      </c>
      <c r="C18" s="18">
        <f>'GF + UG Iteration 13'!C18</f>
        <v>20</v>
      </c>
      <c r="D18" s="19">
        <f>'GF + UG Iteration 13'!D18</f>
        <v>17.299482978955592</v>
      </c>
      <c r="E18" s="30">
        <f>'GF + UG Iteration 13'!E18</f>
        <v>2011</v>
      </c>
      <c r="F18" s="18"/>
      <c r="G18" s="19"/>
      <c r="H18" s="20"/>
      <c r="I18" s="18">
        <f t="shared" si="0"/>
        <v>20</v>
      </c>
      <c r="J18" s="19">
        <f t="shared" si="1"/>
        <v>17.299482978955592</v>
      </c>
      <c r="K18" s="20">
        <f t="shared" si="2"/>
        <v>2011</v>
      </c>
      <c r="M18" s="21">
        <f t="shared" si="3"/>
        <v>2.9957322735539909</v>
      </c>
      <c r="N18" s="21">
        <f t="shared" si="4"/>
        <v>2.8506766154476462</v>
      </c>
      <c r="P18"/>
      <c r="Q18"/>
      <c r="R18" s="32" t="s">
        <v>34</v>
      </c>
    </row>
    <row r="19" spans="1:18" x14ac:dyDescent="0.2">
      <c r="A19" s="25">
        <f>'GF + UG Iteration 13'!A19</f>
        <v>386</v>
      </c>
      <c r="B19" s="25" t="str">
        <f>'GF + UG Iteration 13'!B19</f>
        <v>GF</v>
      </c>
      <c r="C19" s="18">
        <f>'GF + UG Iteration 13'!C19</f>
        <v>9</v>
      </c>
      <c r="D19" s="19">
        <f>'GF + UG Iteration 13'!D19</f>
        <v>9.9511250787738224</v>
      </c>
      <c r="E19" s="30">
        <f>'GF + UG Iteration 13'!E19</f>
        <v>2003</v>
      </c>
      <c r="F19" s="18"/>
      <c r="G19" s="19"/>
      <c r="H19" s="20"/>
      <c r="I19" s="18">
        <f t="shared" si="0"/>
        <v>9</v>
      </c>
      <c r="J19" s="19">
        <f t="shared" si="1"/>
        <v>9.9511250787738224</v>
      </c>
      <c r="K19" s="20">
        <f t="shared" si="2"/>
        <v>2003</v>
      </c>
      <c r="M19" s="21">
        <f t="shared" si="3"/>
        <v>2.1972245773362196</v>
      </c>
      <c r="N19" s="21">
        <f t="shared" si="4"/>
        <v>2.2976856180218044</v>
      </c>
      <c r="P19"/>
      <c r="Q19"/>
    </row>
    <row r="20" spans="1:18" x14ac:dyDescent="0.2">
      <c r="A20" s="25">
        <f>'GF + UG Iteration 13'!A20</f>
        <v>80</v>
      </c>
      <c r="B20" s="25" t="str">
        <f>'GF + UG Iteration 13'!B20</f>
        <v>GF</v>
      </c>
      <c r="C20" s="18">
        <f>'GF + UG Iteration 13'!C20</f>
        <v>8</v>
      </c>
      <c r="D20" s="19">
        <f>'GF + UG Iteration 13'!D20</f>
        <v>6.0754029342110369</v>
      </c>
      <c r="E20" s="30">
        <f>'GF + UG Iteration 13'!E20</f>
        <v>2001</v>
      </c>
      <c r="F20" s="18"/>
      <c r="G20" s="19"/>
      <c r="H20" s="20"/>
      <c r="I20" s="18">
        <f t="shared" si="0"/>
        <v>8</v>
      </c>
      <c r="J20" s="19">
        <f t="shared" si="1"/>
        <v>6.0754029342110369</v>
      </c>
      <c r="K20" s="20">
        <f t="shared" si="2"/>
        <v>2001</v>
      </c>
      <c r="M20" s="21">
        <f t="shared" si="3"/>
        <v>2.0794415416798357</v>
      </c>
      <c r="N20" s="21">
        <f t="shared" si="4"/>
        <v>1.8042483136462</v>
      </c>
      <c r="P20"/>
      <c r="Q20"/>
    </row>
    <row r="21" spans="1:18" x14ac:dyDescent="0.2">
      <c r="A21" s="25">
        <f>'GF + UG Iteration 13'!A21</f>
        <v>1052</v>
      </c>
      <c r="B21" s="25" t="str">
        <f>'GF + UG Iteration 13'!B21</f>
        <v>GF</v>
      </c>
      <c r="C21" s="18">
        <f>'GF + UG Iteration 13'!C21</f>
        <v>13.6</v>
      </c>
      <c r="D21" s="19">
        <f>'GF + UG Iteration 13'!D21</f>
        <v>10.90270245998838</v>
      </c>
      <c r="E21" s="30">
        <f>'GF + UG Iteration 13'!E21</f>
        <v>2011</v>
      </c>
      <c r="F21" s="18"/>
      <c r="G21" s="19"/>
      <c r="H21" s="20"/>
      <c r="I21" s="18">
        <f t="shared" si="0"/>
        <v>13.6</v>
      </c>
      <c r="J21" s="19">
        <f t="shared" si="1"/>
        <v>10.90270245998838</v>
      </c>
      <c r="K21" s="20">
        <f t="shared" si="2"/>
        <v>2011</v>
      </c>
      <c r="M21" s="21">
        <f t="shared" si="3"/>
        <v>2.6100697927420065</v>
      </c>
      <c r="N21" s="21">
        <f t="shared" si="4"/>
        <v>2.3890106906140374</v>
      </c>
      <c r="P21"/>
      <c r="Q21"/>
    </row>
    <row r="22" spans="1:18" x14ac:dyDescent="0.2">
      <c r="A22" s="25">
        <f>'GF + UG Iteration 13'!A22</f>
        <v>347</v>
      </c>
      <c r="B22" s="25" t="str">
        <f>'GF + UG Iteration 13'!B22</f>
        <v>GF</v>
      </c>
      <c r="C22" s="18">
        <f>'GF + UG Iteration 13'!C22</f>
        <v>10.548</v>
      </c>
      <c r="D22" s="19">
        <f>'GF + UG Iteration 13'!D22</f>
        <v>9.3004925979781259</v>
      </c>
      <c r="E22" s="30">
        <f>'GF + UG Iteration 13'!E22</f>
        <v>2003</v>
      </c>
      <c r="F22" s="18"/>
      <c r="G22" s="19"/>
      <c r="H22" s="20"/>
      <c r="I22" s="18">
        <f t="shared" si="0"/>
        <v>10.548</v>
      </c>
      <c r="J22" s="19">
        <f t="shared" si="1"/>
        <v>9.3004925979781259</v>
      </c>
      <c r="K22" s="20">
        <f t="shared" si="2"/>
        <v>2003</v>
      </c>
      <c r="M22" s="21">
        <f t="shared" si="3"/>
        <v>2.3559362684910403</v>
      </c>
      <c r="N22" s="21">
        <f t="shared" si="4"/>
        <v>2.23006736628101</v>
      </c>
    </row>
    <row r="23" spans="1:18" x14ac:dyDescent="0.2">
      <c r="A23" s="25">
        <f>'GF + UG Iteration 13'!A23</f>
        <v>1358</v>
      </c>
      <c r="B23" s="25" t="str">
        <f>'GF + UG Iteration 13'!B23</f>
        <v>GF</v>
      </c>
      <c r="C23" s="18">
        <f>'GF + UG Iteration 13'!C23</f>
        <v>27</v>
      </c>
      <c r="D23" s="19">
        <f>'GF + UG Iteration 13'!D23</f>
        <v>13.07265503282744</v>
      </c>
      <c r="E23" s="30">
        <f>'GF + UG Iteration 13'!E23</f>
        <v>2011</v>
      </c>
      <c r="F23" s="18"/>
      <c r="G23" s="19"/>
      <c r="H23" s="20"/>
      <c r="I23" s="18">
        <f t="shared" si="0"/>
        <v>27</v>
      </c>
      <c r="J23" s="19">
        <f t="shared" si="1"/>
        <v>13.07265503282744</v>
      </c>
      <c r="K23" s="20">
        <f t="shared" si="2"/>
        <v>2011</v>
      </c>
      <c r="M23" s="21">
        <f t="shared" si="3"/>
        <v>3.2958368660043291</v>
      </c>
      <c r="N23" s="21">
        <f t="shared" si="4"/>
        <v>2.5705226464726247</v>
      </c>
    </row>
    <row r="24" spans="1:18" x14ac:dyDescent="0.2">
      <c r="A24" s="25">
        <f>'GF + UG Iteration 13'!A24</f>
        <v>584</v>
      </c>
      <c r="B24" s="25" t="str">
        <f>'GF + UG Iteration 13'!B24</f>
        <v>GF</v>
      </c>
      <c r="C24" s="18">
        <f>'GF + UG Iteration 13'!C24</f>
        <v>28</v>
      </c>
      <c r="D24" s="19">
        <f>'GF + UG Iteration 13'!D24</f>
        <v>34.903749706800433</v>
      </c>
      <c r="E24" s="30">
        <f>'GF + UG Iteration 13'!E24</f>
        <v>2011</v>
      </c>
      <c r="F24" s="18"/>
      <c r="G24" s="19"/>
      <c r="H24" s="20"/>
      <c r="I24" s="18">
        <f t="shared" si="0"/>
        <v>28</v>
      </c>
      <c r="J24" s="19">
        <f t="shared" si="1"/>
        <v>34.903749706800433</v>
      </c>
      <c r="K24" s="20">
        <f t="shared" si="2"/>
        <v>2011</v>
      </c>
      <c r="M24" s="21">
        <f t="shared" si="3"/>
        <v>3.3322045101752038</v>
      </c>
      <c r="N24" s="21">
        <f t="shared" si="4"/>
        <v>3.5525942648925612</v>
      </c>
    </row>
    <row r="25" spans="1:18" x14ac:dyDescent="0.2">
      <c r="A25" s="25">
        <f>'GF + UG Iteration 13'!A25</f>
        <v>422</v>
      </c>
      <c r="B25" s="25" t="str">
        <f>'GF + UG Iteration 13'!B25</f>
        <v>GF</v>
      </c>
      <c r="C25" s="18">
        <f>'GF + UG Iteration 13'!C25</f>
        <v>24</v>
      </c>
      <c r="D25" s="19">
        <f>'GF + UG Iteration 13'!D25</f>
        <v>13.650794587226329</v>
      </c>
      <c r="E25" s="30">
        <f>'GF + UG Iteration 13'!E25</f>
        <v>2003</v>
      </c>
      <c r="F25" s="18"/>
      <c r="G25" s="19"/>
      <c r="H25" s="20"/>
      <c r="I25" s="18">
        <f t="shared" si="0"/>
        <v>24</v>
      </c>
      <c r="J25" s="19">
        <f t="shared" si="1"/>
        <v>13.650794587226329</v>
      </c>
      <c r="K25" s="20">
        <f t="shared" si="2"/>
        <v>2003</v>
      </c>
      <c r="M25" s="21">
        <f t="shared" si="3"/>
        <v>3.1780538303479458</v>
      </c>
      <c r="N25" s="21">
        <f t="shared" si="4"/>
        <v>2.6137977314551564</v>
      </c>
    </row>
    <row r="26" spans="1:18" x14ac:dyDescent="0.2">
      <c r="A26" s="25">
        <f>'GF + UG Iteration 13'!A26</f>
        <v>944</v>
      </c>
      <c r="B26" s="25" t="str">
        <f>'GF + UG Iteration 13'!B26</f>
        <v>GF</v>
      </c>
      <c r="C26" s="18">
        <f>'GF + UG Iteration 13'!C26</f>
        <v>43</v>
      </c>
      <c r="D26" s="19">
        <f>'GF + UG Iteration 13'!D26</f>
        <v>26.816090615909914</v>
      </c>
      <c r="E26" s="30">
        <f>'GF + UG Iteration 13'!E26</f>
        <v>2010</v>
      </c>
      <c r="F26" s="18"/>
      <c r="G26" s="19"/>
      <c r="H26" s="20"/>
      <c r="I26" s="18">
        <f t="shared" si="0"/>
        <v>43</v>
      </c>
      <c r="J26" s="19">
        <f t="shared" si="1"/>
        <v>26.816090615909914</v>
      </c>
      <c r="K26" s="20">
        <f t="shared" si="2"/>
        <v>2010</v>
      </c>
      <c r="M26" s="21">
        <f t="shared" si="3"/>
        <v>3.7612001156935624</v>
      </c>
      <c r="N26" s="21">
        <f t="shared" si="4"/>
        <v>3.2890021034672148</v>
      </c>
    </row>
    <row r="27" spans="1:18" x14ac:dyDescent="0.2">
      <c r="A27" s="25">
        <f>'GF + UG Iteration 13'!A27</f>
        <v>387</v>
      </c>
      <c r="B27" s="25" t="str">
        <f>'GF + UG Iteration 13'!B27</f>
        <v>GF</v>
      </c>
      <c r="C27" s="18">
        <f>'GF + UG Iteration 13'!C27</f>
        <v>7.5</v>
      </c>
      <c r="D27" s="19">
        <f>'GF + UG Iteration 13'!D27</f>
        <v>9.5130592102135658</v>
      </c>
      <c r="E27" s="30">
        <f>'GF + UG Iteration 13'!E27</f>
        <v>2003</v>
      </c>
      <c r="F27" s="18"/>
      <c r="G27" s="19"/>
      <c r="H27" s="20"/>
      <c r="I27" s="18">
        <f t="shared" si="0"/>
        <v>7.5</v>
      </c>
      <c r="J27" s="19">
        <f t="shared" si="1"/>
        <v>9.5130592102135658</v>
      </c>
      <c r="K27" s="20">
        <f t="shared" si="2"/>
        <v>2003</v>
      </c>
      <c r="M27" s="21">
        <f t="shared" si="3"/>
        <v>2.0149030205422647</v>
      </c>
      <c r="N27" s="21">
        <f t="shared" si="4"/>
        <v>2.2526655083417699</v>
      </c>
    </row>
    <row r="28" spans="1:18" x14ac:dyDescent="0.2">
      <c r="A28" s="25">
        <f>'GF + UG Iteration 13'!A28</f>
        <v>587</v>
      </c>
      <c r="B28" s="25" t="str">
        <f>'GF + UG Iteration 13'!B28</f>
        <v>GF</v>
      </c>
      <c r="C28" s="18">
        <f>'GF + UG Iteration 13'!C28</f>
        <v>17.8</v>
      </c>
      <c r="D28" s="19">
        <f>'GF + UG Iteration 13'!D28</f>
        <v>13.152201549137706</v>
      </c>
      <c r="E28" s="30">
        <f>'GF + UG Iteration 13'!E28</f>
        <v>2006</v>
      </c>
      <c r="F28" s="18"/>
      <c r="G28" s="19"/>
      <c r="H28" s="20"/>
      <c r="I28" s="18">
        <f t="shared" si="0"/>
        <v>17.8</v>
      </c>
      <c r="J28" s="19">
        <f t="shared" si="1"/>
        <v>13.152201549137706</v>
      </c>
      <c r="K28" s="20">
        <f t="shared" si="2"/>
        <v>2006</v>
      </c>
      <c r="M28" s="21">
        <f t="shared" si="3"/>
        <v>2.8791984572980396</v>
      </c>
      <c r="N28" s="21">
        <f t="shared" si="4"/>
        <v>2.57658916279629</v>
      </c>
    </row>
    <row r="29" spans="1:18" x14ac:dyDescent="0.2">
      <c r="A29" s="25">
        <f>'GF + UG Iteration 13'!A29</f>
        <v>585</v>
      </c>
      <c r="B29" s="25" t="str">
        <f>'GF + UG Iteration 13'!B29</f>
        <v>GF</v>
      </c>
      <c r="C29" s="18">
        <f>'GF + UG Iteration 13'!C29</f>
        <v>20.6</v>
      </c>
      <c r="D29" s="19">
        <f>'GF + UG Iteration 13'!D29</f>
        <v>11.291169205189183</v>
      </c>
      <c r="E29" s="30">
        <f>'GF + UG Iteration 13'!E29</f>
        <v>2007</v>
      </c>
      <c r="F29" s="18"/>
      <c r="G29" s="19"/>
      <c r="H29" s="20"/>
      <c r="I29" s="18">
        <f t="shared" si="0"/>
        <v>20.6</v>
      </c>
      <c r="J29" s="19">
        <f t="shared" si="1"/>
        <v>11.291169205189183</v>
      </c>
      <c r="K29" s="20">
        <f t="shared" si="2"/>
        <v>2007</v>
      </c>
      <c r="M29" s="21">
        <f t="shared" si="3"/>
        <v>3.0252910757955354</v>
      </c>
      <c r="N29" s="21">
        <f t="shared" si="4"/>
        <v>2.4240209339322751</v>
      </c>
    </row>
    <row r="30" spans="1:18" x14ac:dyDescent="0.2">
      <c r="A30" s="25">
        <f>'GF + UG Iteration 13'!A30</f>
        <v>831</v>
      </c>
      <c r="B30" s="25" t="str">
        <f>'GF + UG Iteration 13'!B30</f>
        <v>GF</v>
      </c>
      <c r="C30" s="18">
        <f>'GF + UG Iteration 13'!C30</f>
        <v>19.600000000000001</v>
      </c>
      <c r="D30" s="19">
        <f>'GF + UG Iteration 13'!D30</f>
        <v>20.965601428070691</v>
      </c>
      <c r="E30" s="30">
        <f>'GF + UG Iteration 13'!E30</f>
        <v>2011</v>
      </c>
      <c r="F30" s="18"/>
      <c r="G30" s="19"/>
      <c r="H30" s="20"/>
      <c r="I30" s="18">
        <f t="shared" si="0"/>
        <v>19.600000000000001</v>
      </c>
      <c r="J30" s="19">
        <f t="shared" si="1"/>
        <v>20.965601428070691</v>
      </c>
      <c r="K30" s="20">
        <f t="shared" si="2"/>
        <v>2011</v>
      </c>
      <c r="M30" s="21">
        <f t="shared" si="3"/>
        <v>2.9755295662364718</v>
      </c>
      <c r="N30" s="21">
        <f t="shared" si="4"/>
        <v>3.042883067455266</v>
      </c>
    </row>
    <row r="31" spans="1:18" x14ac:dyDescent="0.2">
      <c r="A31" s="25">
        <f>'GF + UG Iteration 13'!A31</f>
        <v>340</v>
      </c>
      <c r="B31" s="25" t="str">
        <f>'GF + UG Iteration 13'!B31</f>
        <v>GF</v>
      </c>
      <c r="C31" s="18">
        <f>'GF + UG Iteration 13'!C31</f>
        <v>22</v>
      </c>
      <c r="D31" s="19">
        <f>'GF + UG Iteration 13'!D31</f>
        <v>13.309615571039751</v>
      </c>
      <c r="E31" s="30">
        <f>'GF + UG Iteration 13'!E31</f>
        <v>2003</v>
      </c>
      <c r="F31" s="18"/>
      <c r="G31" s="19"/>
      <c r="H31" s="20"/>
      <c r="I31" s="18">
        <f t="shared" si="0"/>
        <v>22</v>
      </c>
      <c r="J31" s="19">
        <f t="shared" si="1"/>
        <v>13.309615571039751</v>
      </c>
      <c r="K31" s="20">
        <f t="shared" si="2"/>
        <v>2003</v>
      </c>
      <c r="M31" s="21">
        <f t="shared" si="3"/>
        <v>3.0910424533583161</v>
      </c>
      <c r="N31" s="21">
        <f t="shared" si="4"/>
        <v>2.5884867492731334</v>
      </c>
    </row>
    <row r="32" spans="1:18" x14ac:dyDescent="0.2">
      <c r="A32" s="25">
        <f>'GF + UG Iteration 13'!A32</f>
        <v>334</v>
      </c>
      <c r="B32" s="25" t="str">
        <f>'GF + UG Iteration 13'!B32</f>
        <v>GF</v>
      </c>
      <c r="C32" s="18">
        <f>'GF + UG Iteration 13'!C32</f>
        <v>18.8</v>
      </c>
      <c r="D32" s="19">
        <f>'GF + UG Iteration 13'!D32</f>
        <v>7.9463711126733889</v>
      </c>
      <c r="E32" s="30">
        <f>'GF + UG Iteration 13'!E32</f>
        <v>2003</v>
      </c>
      <c r="F32" s="18"/>
      <c r="G32" s="19"/>
      <c r="H32" s="20"/>
      <c r="I32" s="18">
        <f t="shared" si="0"/>
        <v>18.8</v>
      </c>
      <c r="J32" s="19">
        <f t="shared" si="1"/>
        <v>7.9463711126733889</v>
      </c>
      <c r="K32" s="20">
        <f t="shared" si="2"/>
        <v>2003</v>
      </c>
      <c r="M32" s="21">
        <f t="shared" si="3"/>
        <v>2.9338568698359038</v>
      </c>
      <c r="N32" s="21">
        <f t="shared" si="4"/>
        <v>2.072715360640252</v>
      </c>
    </row>
    <row r="33" spans="1:14" x14ac:dyDescent="0.2">
      <c r="A33" s="25">
        <f>'GF + UG Iteration 13'!A33</f>
        <v>343</v>
      </c>
      <c r="B33" s="25" t="str">
        <f>'GF + UG Iteration 13'!B33</f>
        <v>GF</v>
      </c>
      <c r="C33" s="18">
        <f>'GF + UG Iteration 13'!C33</f>
        <v>15.6</v>
      </c>
      <c r="D33" s="19">
        <f>'GF + UG Iteration 13'!D33</f>
        <v>13.99971574022935</v>
      </c>
      <c r="E33" s="30">
        <f>'GF + UG Iteration 13'!E33</f>
        <v>2003</v>
      </c>
      <c r="F33" s="18"/>
      <c r="G33" s="19"/>
      <c r="H33" s="20"/>
      <c r="I33" s="18">
        <f t="shared" si="0"/>
        <v>15.6</v>
      </c>
      <c r="J33" s="19">
        <f t="shared" si="1"/>
        <v>13.99971574022935</v>
      </c>
      <c r="K33" s="20">
        <f t="shared" si="2"/>
        <v>2003</v>
      </c>
      <c r="M33" s="21">
        <f t="shared" si="3"/>
        <v>2.7472709142554912</v>
      </c>
      <c r="N33" s="21">
        <f t="shared" si="4"/>
        <v>2.6390370251397921</v>
      </c>
    </row>
    <row r="34" spans="1:14" x14ac:dyDescent="0.2">
      <c r="A34" s="25">
        <f>'GF + UG Iteration 13'!A34</f>
        <v>358</v>
      </c>
      <c r="B34" s="25" t="str">
        <f>'GF + UG Iteration 13'!B34</f>
        <v>GF</v>
      </c>
      <c r="C34" s="18">
        <f>'GF + UG Iteration 13'!C34</f>
        <v>19.8</v>
      </c>
      <c r="D34" s="19">
        <f>'GF + UG Iteration 13'!D34</f>
        <v>7.2248521864398549</v>
      </c>
      <c r="E34" s="30">
        <f>'GF + UG Iteration 13'!E34</f>
        <v>2003</v>
      </c>
      <c r="F34" s="18"/>
      <c r="G34" s="19"/>
      <c r="H34" s="20"/>
      <c r="I34" s="18">
        <f t="shared" si="0"/>
        <v>19.8</v>
      </c>
      <c r="J34" s="19">
        <f t="shared" si="1"/>
        <v>7.2248521864398549</v>
      </c>
      <c r="K34" s="20">
        <f t="shared" si="2"/>
        <v>2003</v>
      </c>
      <c r="M34" s="21">
        <f t="shared" si="3"/>
        <v>2.9856819377004897</v>
      </c>
      <c r="N34" s="21">
        <f t="shared" si="4"/>
        <v>1.9775267751649739</v>
      </c>
    </row>
    <row r="35" spans="1:14" x14ac:dyDescent="0.2">
      <c r="A35" s="25">
        <f>'GF + UG Iteration 13'!A35</f>
        <v>702</v>
      </c>
      <c r="B35" s="25" t="str">
        <f>'GF + UG Iteration 13'!B35</f>
        <v>GF</v>
      </c>
      <c r="C35" s="18">
        <f>'GF + UG Iteration 13'!C35</f>
        <v>28.4</v>
      </c>
      <c r="D35" s="19">
        <f>'GF + UG Iteration 13'!D35</f>
        <v>5.2101531080390755</v>
      </c>
      <c r="E35" s="30">
        <f>'GF + UG Iteration 13'!E35</f>
        <v>2007</v>
      </c>
      <c r="F35" s="18"/>
      <c r="G35" s="19"/>
      <c r="H35" s="20"/>
      <c r="I35" s="18">
        <f t="shared" si="0"/>
        <v>28.4</v>
      </c>
      <c r="J35" s="19">
        <f t="shared" si="1"/>
        <v>5.2101531080390755</v>
      </c>
      <c r="K35" s="20">
        <f t="shared" si="2"/>
        <v>2007</v>
      </c>
      <c r="M35" s="21">
        <f t="shared" si="3"/>
        <v>3.3463891451671604</v>
      </c>
      <c r="N35" s="21">
        <f t="shared" si="4"/>
        <v>1.6506092426730299</v>
      </c>
    </row>
    <row r="36" spans="1:14" x14ac:dyDescent="0.2">
      <c r="A36" s="25">
        <f>'GF + UG Iteration 13'!A36</f>
        <v>526</v>
      </c>
      <c r="B36" s="25" t="str">
        <f>'GF + UG Iteration 13'!B36</f>
        <v>GF</v>
      </c>
      <c r="C36" s="18">
        <f>'GF + UG Iteration 13'!C36</f>
        <v>19</v>
      </c>
      <c r="D36" s="19">
        <f>'GF + UG Iteration 13'!D36</f>
        <v>13.758834109767626</v>
      </c>
      <c r="E36" s="30">
        <f>'GF + UG Iteration 13'!E36</f>
        <v>2007</v>
      </c>
      <c r="F36" s="18"/>
      <c r="G36" s="19"/>
      <c r="H36" s="20"/>
      <c r="I36" s="18">
        <f t="shared" si="0"/>
        <v>19</v>
      </c>
      <c r="J36" s="19">
        <f t="shared" si="1"/>
        <v>13.758834109767626</v>
      </c>
      <c r="K36" s="20">
        <f t="shared" si="2"/>
        <v>2007</v>
      </c>
      <c r="M36" s="21">
        <f t="shared" si="3"/>
        <v>2.9444389791664403</v>
      </c>
      <c r="N36" s="21">
        <f t="shared" si="4"/>
        <v>2.6216810985205803</v>
      </c>
    </row>
    <row r="37" spans="1:14" x14ac:dyDescent="0.2">
      <c r="A37" s="25">
        <f>'GF + UG Iteration 13'!A37</f>
        <v>288</v>
      </c>
      <c r="B37" s="25" t="str">
        <f>'GF + UG Iteration 13'!B37</f>
        <v>GF</v>
      </c>
      <c r="C37" s="18">
        <f>'GF + UG Iteration 13'!C37</f>
        <v>12</v>
      </c>
      <c r="D37" s="19">
        <f>'GF + UG Iteration 13'!D37</f>
        <v>4.4533584840568787</v>
      </c>
      <c r="E37" s="30">
        <f>'GF + UG Iteration 13'!E37</f>
        <v>2001</v>
      </c>
      <c r="F37" s="18"/>
      <c r="G37" s="19"/>
      <c r="H37" s="20"/>
      <c r="I37" s="18">
        <f t="shared" si="0"/>
        <v>12</v>
      </c>
      <c r="J37" s="19">
        <f t="shared" si="1"/>
        <v>4.4533584840568787</v>
      </c>
      <c r="K37" s="20">
        <f t="shared" si="2"/>
        <v>2001</v>
      </c>
      <c r="M37" s="21">
        <f t="shared" si="3"/>
        <v>2.4849066497880004</v>
      </c>
      <c r="N37" s="21">
        <f t="shared" si="4"/>
        <v>1.4936585270420049</v>
      </c>
    </row>
    <row r="38" spans="1:14" x14ac:dyDescent="0.2">
      <c r="A38" s="25">
        <f>'GF + UG Iteration 13'!A38</f>
        <v>851</v>
      </c>
      <c r="B38" s="25" t="str">
        <f>'GF + UG Iteration 13'!B38</f>
        <v>GF</v>
      </c>
      <c r="C38" s="18">
        <f>'GF + UG Iteration 13'!C38</f>
        <v>25</v>
      </c>
      <c r="D38" s="19">
        <f>'GF + UG Iteration 13'!D38</f>
        <v>12.931754132918639</v>
      </c>
      <c r="E38" s="30">
        <f>'GF + UG Iteration 13'!E38</f>
        <v>2007</v>
      </c>
      <c r="F38" s="18"/>
      <c r="G38" s="19"/>
      <c r="H38" s="20"/>
      <c r="I38" s="18">
        <f t="shared" si="0"/>
        <v>25</v>
      </c>
      <c r="J38" s="19">
        <f t="shared" si="1"/>
        <v>12.931754132918639</v>
      </c>
      <c r="K38" s="20">
        <f t="shared" si="2"/>
        <v>2007</v>
      </c>
      <c r="M38" s="21">
        <f t="shared" si="3"/>
        <v>3.2188758248682006</v>
      </c>
      <c r="N38" s="21">
        <f t="shared" si="4"/>
        <v>2.5596858473810773</v>
      </c>
    </row>
    <row r="39" spans="1:14" x14ac:dyDescent="0.2">
      <c r="A39" s="25">
        <f>'GF + UG Iteration 13'!A39</f>
        <v>648</v>
      </c>
      <c r="B39" s="25" t="str">
        <f>'GF + UG Iteration 13'!B39</f>
        <v>GF</v>
      </c>
      <c r="C39" s="18">
        <f>'GF + UG Iteration 13'!C39</f>
        <v>15</v>
      </c>
      <c r="D39" s="19">
        <f>'GF + UG Iteration 13'!D39</f>
        <v>14.973718181093032</v>
      </c>
      <c r="E39" s="30">
        <f>'GF + UG Iteration 13'!E39</f>
        <v>2007</v>
      </c>
      <c r="F39" s="18"/>
      <c r="G39" s="19"/>
      <c r="H39" s="20"/>
      <c r="I39" s="18">
        <f t="shared" si="0"/>
        <v>15</v>
      </c>
      <c r="J39" s="19">
        <f t="shared" si="1"/>
        <v>14.973718181093032</v>
      </c>
      <c r="K39" s="20">
        <f t="shared" si="2"/>
        <v>2007</v>
      </c>
      <c r="M39" s="21">
        <f t="shared" si="3"/>
        <v>2.7080502011022101</v>
      </c>
      <c r="N39" s="21">
        <f t="shared" si="4"/>
        <v>2.7062965430819679</v>
      </c>
    </row>
    <row r="40" spans="1:14" x14ac:dyDescent="0.2">
      <c r="A40" s="25">
        <f>'GF + UG Iteration 13'!A40</f>
        <v>855</v>
      </c>
      <c r="B40" s="25" t="str">
        <f>'GF + UG Iteration 13'!B40</f>
        <v>GF</v>
      </c>
      <c r="C40" s="18">
        <f>'GF + UG Iteration 13'!C40</f>
        <v>23</v>
      </c>
      <c r="D40" s="19">
        <f>'GF + UG Iteration 13'!D40</f>
        <v>28.66706963950903</v>
      </c>
      <c r="E40" s="30">
        <f>'GF + UG Iteration 13'!E40</f>
        <v>2011</v>
      </c>
      <c r="F40" s="18"/>
      <c r="G40" s="19"/>
      <c r="H40" s="20"/>
      <c r="I40" s="18">
        <f t="shared" si="0"/>
        <v>23</v>
      </c>
      <c r="J40" s="19">
        <f t="shared" si="1"/>
        <v>28.66706963950903</v>
      </c>
      <c r="K40" s="20">
        <f t="shared" si="2"/>
        <v>2011</v>
      </c>
      <c r="M40" s="21">
        <f t="shared" si="3"/>
        <v>3.1354942159291497</v>
      </c>
      <c r="N40" s="21">
        <f t="shared" si="4"/>
        <v>3.355749064678772</v>
      </c>
    </row>
    <row r="41" spans="1:14" x14ac:dyDescent="0.2">
      <c r="A41" s="25">
        <f>'GF + UG Iteration 13'!A41</f>
        <v>700</v>
      </c>
      <c r="B41" s="25" t="str">
        <f>'GF + UG Iteration 13'!B41</f>
        <v>GF</v>
      </c>
      <c r="C41" s="18">
        <f>'GF + UG Iteration 13'!C41</f>
        <v>9.8000000000000007</v>
      </c>
      <c r="D41" s="19">
        <f>'GF + UG Iteration 13'!D41</f>
        <v>7.0657947644327148</v>
      </c>
      <c r="E41" s="30">
        <f>'GF + UG Iteration 13'!E41</f>
        <v>2007</v>
      </c>
      <c r="F41" s="18"/>
      <c r="G41" s="19"/>
      <c r="H41" s="20"/>
      <c r="I41" s="18">
        <f t="shared" si="0"/>
        <v>9.8000000000000007</v>
      </c>
      <c r="J41" s="19">
        <f t="shared" si="1"/>
        <v>7.0657947644327148</v>
      </c>
      <c r="K41" s="20">
        <f t="shared" si="2"/>
        <v>2007</v>
      </c>
      <c r="M41" s="21">
        <f t="shared" si="3"/>
        <v>2.2823823856765264</v>
      </c>
      <c r="N41" s="21">
        <f t="shared" si="4"/>
        <v>1.9552655030060266</v>
      </c>
    </row>
    <row r="42" spans="1:14" x14ac:dyDescent="0.2">
      <c r="A42" s="25">
        <f>'GF + UG Iteration 13'!A42</f>
        <v>683</v>
      </c>
      <c r="B42" s="25" t="str">
        <f>'GF + UG Iteration 13'!B42</f>
        <v>GF</v>
      </c>
      <c r="C42" s="18">
        <f>'GF + UG Iteration 13'!C42</f>
        <v>30</v>
      </c>
      <c r="D42" s="19">
        <f>'GF + UG Iteration 13'!D42</f>
        <v>16.03232257186292</v>
      </c>
      <c r="E42" s="30">
        <f>'GF + UG Iteration 13'!E42</f>
        <v>2011</v>
      </c>
      <c r="F42" s="18"/>
      <c r="G42" s="19"/>
      <c r="H42" s="20"/>
      <c r="I42" s="18">
        <f t="shared" si="0"/>
        <v>30</v>
      </c>
      <c r="J42" s="19">
        <f t="shared" si="1"/>
        <v>16.03232257186292</v>
      </c>
      <c r="K42" s="20">
        <f t="shared" si="2"/>
        <v>2011</v>
      </c>
      <c r="M42" s="21">
        <f t="shared" si="3"/>
        <v>3.4011973816621555</v>
      </c>
      <c r="N42" s="21">
        <f t="shared" si="4"/>
        <v>2.7746068452004713</v>
      </c>
    </row>
    <row r="43" spans="1:14" x14ac:dyDescent="0.2">
      <c r="A43" s="25">
        <f>'GF + UG Iteration 13'!A43</f>
        <v>559</v>
      </c>
      <c r="B43" s="25" t="str">
        <f>'GF + UG Iteration 13'!B43</f>
        <v>GF</v>
      </c>
      <c r="C43" s="18">
        <f>'GF + UG Iteration 13'!C43</f>
        <v>115</v>
      </c>
      <c r="D43" s="19">
        <f>'GF + UG Iteration 13'!D43</f>
        <v>56.859498956472109</v>
      </c>
      <c r="E43" s="30">
        <f>'GF + UG Iteration 13'!E43</f>
        <v>2011</v>
      </c>
      <c r="F43" s="18"/>
      <c r="G43" s="19"/>
      <c r="H43" s="20"/>
      <c r="I43" s="18">
        <f t="shared" si="0"/>
        <v>115</v>
      </c>
      <c r="J43" s="19">
        <f t="shared" si="1"/>
        <v>56.859498956472109</v>
      </c>
      <c r="K43" s="20">
        <f t="shared" si="2"/>
        <v>2011</v>
      </c>
      <c r="M43" s="21">
        <f t="shared" si="3"/>
        <v>4.7449321283632502</v>
      </c>
      <c r="N43" s="21">
        <f t="shared" si="4"/>
        <v>4.0405832943034818</v>
      </c>
    </row>
    <row r="44" spans="1:14" x14ac:dyDescent="0.2">
      <c r="A44" s="25">
        <f>'GF + UG Iteration 13'!A44</f>
        <v>1074</v>
      </c>
      <c r="B44" s="25" t="str">
        <f>'GF + UG Iteration 13'!B44</f>
        <v>GF</v>
      </c>
      <c r="C44" s="18">
        <f>'GF + UG Iteration 13'!C44</f>
        <v>67</v>
      </c>
      <c r="D44" s="19">
        <f>'GF + UG Iteration 13'!D44</f>
        <v>43.13883453102715</v>
      </c>
      <c r="E44" s="30">
        <f>'GF + UG Iteration 13'!E44</f>
        <v>2011</v>
      </c>
      <c r="F44" s="18"/>
      <c r="G44" s="19"/>
      <c r="H44" s="20"/>
      <c r="I44" s="18">
        <f t="shared" si="0"/>
        <v>67</v>
      </c>
      <c r="J44" s="19">
        <f t="shared" si="1"/>
        <v>43.13883453102715</v>
      </c>
      <c r="K44" s="20">
        <f t="shared" si="2"/>
        <v>2011</v>
      </c>
      <c r="M44" s="21">
        <f t="shared" si="3"/>
        <v>4.2046926193909657</v>
      </c>
      <c r="N44" s="21">
        <f t="shared" si="4"/>
        <v>3.7644236246254454</v>
      </c>
    </row>
    <row r="45" spans="1:14" x14ac:dyDescent="0.2">
      <c r="A45" s="25">
        <f>'GF + UG Iteration 13'!A45</f>
        <v>34</v>
      </c>
      <c r="B45" s="25" t="str">
        <f>'GF + UG Iteration 13'!B45</f>
        <v>GF</v>
      </c>
      <c r="C45" s="18">
        <f>'GF + UG Iteration 13'!C45</f>
        <v>16</v>
      </c>
      <c r="D45" s="19">
        <f>'GF + UG Iteration 13'!D45</f>
        <v>7.5134124542159286</v>
      </c>
      <c r="E45" s="30">
        <f>'GF + UG Iteration 13'!E45</f>
        <v>2000</v>
      </c>
      <c r="F45" s="18"/>
      <c r="G45" s="19"/>
      <c r="H45" s="20"/>
      <c r="I45" s="18">
        <f t="shared" si="0"/>
        <v>16</v>
      </c>
      <c r="J45" s="19">
        <f t="shared" si="1"/>
        <v>7.5134124542159286</v>
      </c>
      <c r="K45" s="20">
        <f t="shared" si="2"/>
        <v>2000</v>
      </c>
      <c r="M45" s="21">
        <f t="shared" si="3"/>
        <v>2.7725887222397811</v>
      </c>
      <c r="N45" s="21">
        <f t="shared" si="4"/>
        <v>2.0166897506177883</v>
      </c>
    </row>
    <row r="46" spans="1:14" x14ac:dyDescent="0.2">
      <c r="A46" s="25">
        <f>'GF + UG Iteration 13'!A46</f>
        <v>433</v>
      </c>
      <c r="B46" s="25" t="str">
        <f>'GF + UG Iteration 13'!B46</f>
        <v>GF</v>
      </c>
      <c r="C46" s="18">
        <f>'GF + UG Iteration 13'!C46</f>
        <v>25</v>
      </c>
      <c r="D46" s="19">
        <f>'GF + UG Iteration 13'!D46</f>
        <v>22.308265318441425</v>
      </c>
      <c r="E46" s="30">
        <f>'GF + UG Iteration 13'!E46</f>
        <v>2003</v>
      </c>
      <c r="F46" s="18"/>
      <c r="G46" s="19"/>
      <c r="H46" s="20"/>
      <c r="I46" s="18">
        <f t="shared" si="0"/>
        <v>25</v>
      </c>
      <c r="J46" s="19">
        <f t="shared" si="1"/>
        <v>22.308265318441425</v>
      </c>
      <c r="K46" s="20">
        <f t="shared" si="2"/>
        <v>2003</v>
      </c>
      <c r="M46" s="21">
        <f t="shared" si="3"/>
        <v>3.2188758248682006</v>
      </c>
      <c r="N46" s="21">
        <f t="shared" si="4"/>
        <v>3.1049572518778392</v>
      </c>
    </row>
    <row r="47" spans="1:14" x14ac:dyDescent="0.2">
      <c r="A47" s="25" t="str">
        <f>'GF + UG Iteration 13'!A47</f>
        <v>79A</v>
      </c>
      <c r="B47" s="25" t="str">
        <f>'GF + UG Iteration 13'!B47</f>
        <v>GF</v>
      </c>
      <c r="C47" s="18">
        <f>'GF + UG Iteration 13'!C47</f>
        <v>8</v>
      </c>
      <c r="D47" s="19">
        <f>'GF + UG Iteration 13'!D47</f>
        <v>5.0823375539699818</v>
      </c>
      <c r="E47" s="30">
        <f>'GF + UG Iteration 13'!E47</f>
        <v>2000</v>
      </c>
      <c r="F47" s="18"/>
      <c r="G47" s="19"/>
      <c r="H47" s="20"/>
      <c r="I47" s="18">
        <f t="shared" si="0"/>
        <v>8</v>
      </c>
      <c r="J47" s="19">
        <f t="shared" si="1"/>
        <v>5.0823375539699818</v>
      </c>
      <c r="K47" s="20">
        <f t="shared" si="2"/>
        <v>2000</v>
      </c>
      <c r="M47" s="21">
        <f t="shared" si="3"/>
        <v>2.0794415416798357</v>
      </c>
      <c r="N47" s="21">
        <f t="shared" si="4"/>
        <v>1.62577130417386</v>
      </c>
    </row>
    <row r="48" spans="1:14" x14ac:dyDescent="0.2">
      <c r="A48" s="25" t="str">
        <f>'GF + UG Iteration 13'!A48</f>
        <v>10A</v>
      </c>
      <c r="B48" s="25" t="str">
        <f>'GF + UG Iteration 13'!B48</f>
        <v>GF</v>
      </c>
      <c r="C48" s="18">
        <f>'GF + UG Iteration 13'!C48</f>
        <v>6.2</v>
      </c>
      <c r="D48" s="19">
        <f>'GF + UG Iteration 13'!D48</f>
        <v>8.9160103759227685</v>
      </c>
      <c r="E48" s="30">
        <f>'GF + UG Iteration 13'!E48</f>
        <v>2001</v>
      </c>
      <c r="F48" s="18"/>
      <c r="G48" s="19"/>
      <c r="H48" s="20"/>
      <c r="I48" s="18">
        <f t="shared" si="0"/>
        <v>6.2</v>
      </c>
      <c r="J48" s="19">
        <f t="shared" si="1"/>
        <v>8.9160103759227685</v>
      </c>
      <c r="K48" s="20">
        <f t="shared" si="2"/>
        <v>2001</v>
      </c>
      <c r="M48" s="21">
        <f t="shared" si="3"/>
        <v>1.824549292051046</v>
      </c>
      <c r="N48" s="21">
        <f t="shared" si="4"/>
        <v>2.1878485792648439</v>
      </c>
    </row>
    <row r="49" spans="1:14" x14ac:dyDescent="0.2">
      <c r="A49" s="25">
        <f>'GF + UG Iteration 13'!A49</f>
        <v>345</v>
      </c>
      <c r="B49" s="25" t="str">
        <f>'GF + UG Iteration 13'!B49</f>
        <v>GF</v>
      </c>
      <c r="C49" s="18">
        <f>'GF + UG Iteration 13'!C49</f>
        <v>35</v>
      </c>
      <c r="D49" s="19">
        <f>'GF + UG Iteration 13'!D49</f>
        <v>8.3689831482940882</v>
      </c>
      <c r="E49" s="30">
        <f>'GF + UG Iteration 13'!E49</f>
        <v>2003</v>
      </c>
      <c r="F49" s="18"/>
      <c r="G49" s="19"/>
      <c r="H49" s="20"/>
      <c r="I49" s="18">
        <f t="shared" si="0"/>
        <v>35</v>
      </c>
      <c r="J49" s="19">
        <f t="shared" si="1"/>
        <v>8.3689831482940882</v>
      </c>
      <c r="K49" s="20">
        <f t="shared" si="2"/>
        <v>2003</v>
      </c>
      <c r="M49" s="21">
        <f t="shared" si="3"/>
        <v>3.5553480614894135</v>
      </c>
      <c r="N49" s="21">
        <f t="shared" si="4"/>
        <v>2.1245323894621508</v>
      </c>
    </row>
    <row r="50" spans="1:14" x14ac:dyDescent="0.2">
      <c r="A50" s="25">
        <f>'GF + UG Iteration 13'!A50</f>
        <v>1049</v>
      </c>
      <c r="B50" s="25" t="str">
        <f>'GF + UG Iteration 13'!B50</f>
        <v>GF</v>
      </c>
      <c r="C50" s="18">
        <f>'GF + UG Iteration 13'!C50</f>
        <v>15.2</v>
      </c>
      <c r="D50" s="19">
        <f>'GF + UG Iteration 13'!D50</f>
        <v>54.551770509232071</v>
      </c>
      <c r="E50" s="30">
        <f>'GF + UG Iteration 13'!E50</f>
        <v>2011</v>
      </c>
      <c r="F50" s="18"/>
      <c r="G50" s="19"/>
      <c r="H50" s="20"/>
      <c r="I50" s="18">
        <f t="shared" si="0"/>
        <v>15.2</v>
      </c>
      <c r="J50" s="19">
        <f t="shared" si="1"/>
        <v>54.551770509232071</v>
      </c>
      <c r="K50" s="20">
        <f t="shared" si="2"/>
        <v>2011</v>
      </c>
      <c r="M50" s="21">
        <f t="shared" si="3"/>
        <v>2.7212954278522306</v>
      </c>
      <c r="N50" s="21">
        <f t="shared" si="4"/>
        <v>3.9991501683835766</v>
      </c>
    </row>
    <row r="51" spans="1:14" x14ac:dyDescent="0.2">
      <c r="A51" s="25">
        <f>'GF + UG Iteration 13'!A51</f>
        <v>230</v>
      </c>
      <c r="B51" s="25" t="str">
        <f>'GF + UG Iteration 13'!B51</f>
        <v>GF</v>
      </c>
      <c r="C51" s="18">
        <f>'GF + UG Iteration 13'!C51</f>
        <v>17</v>
      </c>
      <c r="D51" s="19">
        <f>'GF + UG Iteration 13'!D51</f>
        <v>10.739901169983137</v>
      </c>
      <c r="E51" s="30">
        <f>'GF + UG Iteration 13'!E51</f>
        <v>2003</v>
      </c>
      <c r="F51" s="18"/>
      <c r="G51" s="19"/>
      <c r="H51" s="20"/>
      <c r="I51" s="18">
        <f t="shared" si="0"/>
        <v>17</v>
      </c>
      <c r="J51" s="19">
        <f t="shared" si="1"/>
        <v>10.739901169983137</v>
      </c>
      <c r="K51" s="20">
        <f t="shared" si="2"/>
        <v>2003</v>
      </c>
      <c r="M51" s="21">
        <f t="shared" si="3"/>
        <v>2.8332133440562162</v>
      </c>
      <c r="N51" s="21">
        <f t="shared" si="4"/>
        <v>2.3739658869883922</v>
      </c>
    </row>
    <row r="52" spans="1:14" x14ac:dyDescent="0.2">
      <c r="A52" s="25" t="str">
        <f>'GF + UG Iteration 13'!A52</f>
        <v>79B</v>
      </c>
      <c r="B52" s="25" t="str">
        <f>'GF + UG Iteration 13'!B52</f>
        <v>GF</v>
      </c>
      <c r="C52" s="18">
        <f>'GF + UG Iteration 13'!C52</f>
        <v>8</v>
      </c>
      <c r="D52" s="19">
        <f>'GF + UG Iteration 13'!D52</f>
        <v>3.3788339951362953</v>
      </c>
      <c r="E52" s="30">
        <f>'GF + UG Iteration 13'!E52</f>
        <v>2000</v>
      </c>
      <c r="F52" s="18"/>
      <c r="G52" s="19"/>
      <c r="H52" s="20"/>
      <c r="I52" s="18">
        <f t="shared" si="0"/>
        <v>8</v>
      </c>
      <c r="J52" s="19">
        <f t="shared" si="1"/>
        <v>3.3788339951362953</v>
      </c>
      <c r="K52" s="20">
        <f t="shared" si="2"/>
        <v>2000</v>
      </c>
      <c r="M52" s="21">
        <f t="shared" si="3"/>
        <v>2.0794415416798357</v>
      </c>
      <c r="N52" s="21">
        <f t="shared" si="4"/>
        <v>1.2175306781252826</v>
      </c>
    </row>
    <row r="53" spans="1:14" x14ac:dyDescent="0.2">
      <c r="A53" s="25" t="str">
        <f>'GF + UG Iteration 13'!A53</f>
        <v>10B</v>
      </c>
      <c r="B53" s="25" t="str">
        <f>'GF + UG Iteration 13'!B53</f>
        <v>GF</v>
      </c>
      <c r="C53" s="18">
        <f>'GF + UG Iteration 13'!C53</f>
        <v>9.4060000000000006</v>
      </c>
      <c r="D53" s="19">
        <f>'GF + UG Iteration 13'!D53</f>
        <v>9.7991326901064184</v>
      </c>
      <c r="E53" s="30">
        <f>'GF + UG Iteration 13'!E53</f>
        <v>2001</v>
      </c>
      <c r="F53" s="18"/>
      <c r="G53" s="19"/>
      <c r="H53" s="20"/>
      <c r="I53" s="18">
        <f t="shared" si="0"/>
        <v>9.4060000000000006</v>
      </c>
      <c r="J53" s="19">
        <f t="shared" si="1"/>
        <v>9.7991326901064184</v>
      </c>
      <c r="K53" s="20">
        <f t="shared" si="2"/>
        <v>2001</v>
      </c>
      <c r="M53" s="21">
        <f t="shared" si="3"/>
        <v>2.2413477835228561</v>
      </c>
      <c r="N53" s="21">
        <f t="shared" si="4"/>
        <v>2.2822938807505317</v>
      </c>
    </row>
    <row r="54" spans="1:14" x14ac:dyDescent="0.2">
      <c r="A54" s="25">
        <f>'GF + UG Iteration 13'!A54</f>
        <v>8</v>
      </c>
      <c r="B54" s="25" t="str">
        <f>'GF + UG Iteration 13'!B54</f>
        <v>GF</v>
      </c>
      <c r="C54" s="18">
        <f>'GF + UG Iteration 13'!C54</f>
        <v>18</v>
      </c>
      <c r="D54" s="19">
        <f>'GF + UG Iteration 13'!D54</f>
        <v>11.984110505191126</v>
      </c>
      <c r="E54" s="30">
        <f>'GF + UG Iteration 13'!E54</f>
        <v>2000</v>
      </c>
      <c r="F54" s="18"/>
      <c r="G54" s="19"/>
      <c r="H54" s="20"/>
      <c r="I54" s="18">
        <f t="shared" si="0"/>
        <v>18</v>
      </c>
      <c r="J54" s="19">
        <f t="shared" si="1"/>
        <v>11.984110505191126</v>
      </c>
      <c r="K54" s="20">
        <f t="shared" si="2"/>
        <v>2000</v>
      </c>
      <c r="M54" s="21">
        <f t="shared" si="3"/>
        <v>2.8903717578961645</v>
      </c>
      <c r="N54" s="21">
        <f t="shared" si="4"/>
        <v>2.4835816477930246</v>
      </c>
    </row>
    <row r="55" spans="1:14" x14ac:dyDescent="0.2">
      <c r="A55" s="25">
        <f>'GF + UG Iteration 13'!A55</f>
        <v>487</v>
      </c>
      <c r="B55" s="25" t="str">
        <f>'GF + UG Iteration 13'!B55</f>
        <v>GF</v>
      </c>
      <c r="C55" s="18">
        <f>'GF + UG Iteration 13'!C55</f>
        <v>22</v>
      </c>
      <c r="D55" s="19">
        <f>'GF + UG Iteration 13'!D55</f>
        <v>16.606728766354362</v>
      </c>
      <c r="E55" s="30">
        <f>'GF + UG Iteration 13'!E55</f>
        <v>2007</v>
      </c>
      <c r="F55" s="18"/>
      <c r="G55" s="19"/>
      <c r="H55" s="20"/>
      <c r="I55" s="18">
        <f t="shared" si="0"/>
        <v>22</v>
      </c>
      <c r="J55" s="19">
        <f t="shared" si="1"/>
        <v>16.606728766354362</v>
      </c>
      <c r="K55" s="20">
        <f t="shared" si="2"/>
        <v>2007</v>
      </c>
      <c r="M55" s="21">
        <f t="shared" si="3"/>
        <v>3.0910424533583161</v>
      </c>
      <c r="N55" s="21">
        <f t="shared" si="4"/>
        <v>2.8098079606021904</v>
      </c>
    </row>
    <row r="56" spans="1:14" x14ac:dyDescent="0.2">
      <c r="A56" s="25">
        <f>'GF + UG Iteration 13'!A56</f>
        <v>385</v>
      </c>
      <c r="B56" s="25" t="str">
        <f>'GF + UG Iteration 13'!B56</f>
        <v>GF</v>
      </c>
      <c r="C56" s="18">
        <f>'GF + UG Iteration 13'!C56</f>
        <v>7.5</v>
      </c>
      <c r="D56" s="19">
        <f>'GF + UG Iteration 13'!D56</f>
        <v>8.5880709825089685</v>
      </c>
      <c r="E56" s="30">
        <f>'GF + UG Iteration 13'!E56</f>
        <v>2003</v>
      </c>
      <c r="F56" s="18"/>
      <c r="G56" s="19"/>
      <c r="H56" s="20"/>
      <c r="I56" s="18">
        <f t="shared" si="0"/>
        <v>7.5</v>
      </c>
      <c r="J56" s="19">
        <f t="shared" si="1"/>
        <v>8.5880709825089685</v>
      </c>
      <c r="K56" s="20">
        <f t="shared" si="2"/>
        <v>2003</v>
      </c>
      <c r="M56" s="21">
        <f t="shared" si="3"/>
        <v>2.0149030205422647</v>
      </c>
      <c r="N56" s="21">
        <f t="shared" si="4"/>
        <v>2.1503741452954848</v>
      </c>
    </row>
    <row r="57" spans="1:14" x14ac:dyDescent="0.2">
      <c r="A57" s="25">
        <f>'GF + UG Iteration 13'!A57</f>
        <v>865</v>
      </c>
      <c r="B57" s="25" t="str">
        <f>'GF + UG Iteration 13'!B57</f>
        <v>GF</v>
      </c>
      <c r="C57" s="18">
        <f>'GF + UG Iteration 13'!C57</f>
        <v>25</v>
      </c>
      <c r="D57" s="19">
        <f>'GF + UG Iteration 13'!D57</f>
        <v>8.6091983279462436</v>
      </c>
      <c r="E57" s="30">
        <f>'GF + UG Iteration 13'!E57</f>
        <v>2007</v>
      </c>
      <c r="F57" s="18"/>
      <c r="G57" s="19"/>
      <c r="H57" s="20"/>
      <c r="I57" s="18">
        <f t="shared" si="0"/>
        <v>25</v>
      </c>
      <c r="J57" s="19">
        <f t="shared" si="1"/>
        <v>8.6091983279462436</v>
      </c>
      <c r="K57" s="20">
        <f t="shared" si="2"/>
        <v>2007</v>
      </c>
      <c r="M57" s="21">
        <f t="shared" si="3"/>
        <v>3.2188758248682006</v>
      </c>
      <c r="N57" s="21">
        <f t="shared" si="4"/>
        <v>2.1528312046907798</v>
      </c>
    </row>
    <row r="58" spans="1:14" x14ac:dyDescent="0.2">
      <c r="A58" s="25">
        <f>'GF + UG Iteration 13'!A58</f>
        <v>863</v>
      </c>
      <c r="B58" s="25" t="str">
        <f>'GF + UG Iteration 13'!B58</f>
        <v>GF</v>
      </c>
      <c r="C58" s="18">
        <f>'GF + UG Iteration 13'!C58</f>
        <v>25</v>
      </c>
      <c r="D58" s="19">
        <f>'GF + UG Iteration 13'!D58</f>
        <v>8.2434360504581008</v>
      </c>
      <c r="E58" s="30">
        <f>'GF + UG Iteration 13'!E58</f>
        <v>2007</v>
      </c>
      <c r="F58" s="18"/>
      <c r="G58" s="19"/>
      <c r="H58" s="20"/>
      <c r="I58" s="18">
        <f t="shared" si="0"/>
        <v>25</v>
      </c>
      <c r="J58" s="19">
        <f t="shared" si="1"/>
        <v>8.2434360504581008</v>
      </c>
      <c r="K58" s="20">
        <f t="shared" si="2"/>
        <v>2007</v>
      </c>
      <c r="M58" s="21">
        <f t="shared" si="3"/>
        <v>3.2188758248682006</v>
      </c>
      <c r="N58" s="21">
        <f t="shared" si="4"/>
        <v>2.1094172534173556</v>
      </c>
    </row>
    <row r="59" spans="1:14" x14ac:dyDescent="0.2">
      <c r="A59" s="25">
        <f>'GF + UG Iteration 13'!A59</f>
        <v>527</v>
      </c>
      <c r="B59" s="25" t="str">
        <f>'GF + UG Iteration 13'!B59</f>
        <v>GF</v>
      </c>
      <c r="C59" s="18">
        <f>'GF + UG Iteration 13'!C59</f>
        <v>17</v>
      </c>
      <c r="D59" s="19">
        <f>'GF + UG Iteration 13'!D59</f>
        <v>6.9318595783251213</v>
      </c>
      <c r="E59" s="30">
        <f>'GF + UG Iteration 13'!E59</f>
        <v>2007</v>
      </c>
      <c r="F59" s="18"/>
      <c r="G59" s="19"/>
      <c r="H59" s="20"/>
      <c r="I59" s="18">
        <f t="shared" si="0"/>
        <v>17</v>
      </c>
      <c r="J59" s="19">
        <f t="shared" si="1"/>
        <v>6.9318595783251213</v>
      </c>
      <c r="K59" s="20">
        <f t="shared" si="2"/>
        <v>2007</v>
      </c>
      <c r="M59" s="21">
        <f t="shared" si="3"/>
        <v>2.8332133440562162</v>
      </c>
      <c r="N59" s="21">
        <f t="shared" si="4"/>
        <v>1.936128114626418</v>
      </c>
    </row>
    <row r="60" spans="1:14" x14ac:dyDescent="0.2">
      <c r="A60" s="25">
        <f>'GF + UG Iteration 13'!A60</f>
        <v>595</v>
      </c>
      <c r="B60" s="25" t="str">
        <f>'GF + UG Iteration 13'!B60</f>
        <v>GF</v>
      </c>
      <c r="C60" s="18">
        <f>'GF + UG Iteration 13'!C60</f>
        <v>11</v>
      </c>
      <c r="D60" s="19">
        <f>'GF + UG Iteration 13'!D60</f>
        <v>19.087371326529755</v>
      </c>
      <c r="E60" s="30">
        <f>'GF + UG Iteration 13'!E60</f>
        <v>2007</v>
      </c>
      <c r="F60" s="18"/>
      <c r="G60" s="19"/>
      <c r="H60" s="20"/>
      <c r="I60" s="18">
        <f t="shared" si="0"/>
        <v>11</v>
      </c>
      <c r="J60" s="19">
        <f t="shared" si="1"/>
        <v>19.087371326529755</v>
      </c>
      <c r="K60" s="20">
        <f t="shared" si="2"/>
        <v>2007</v>
      </c>
      <c r="M60" s="21">
        <f t="shared" si="3"/>
        <v>2.3978952727983707</v>
      </c>
      <c r="N60" s="21">
        <f t="shared" si="4"/>
        <v>2.9490269292793174</v>
      </c>
    </row>
    <row r="61" spans="1:14" x14ac:dyDescent="0.2">
      <c r="A61" s="25">
        <f>'GF + UG Iteration 13'!A61</f>
        <v>528</v>
      </c>
      <c r="B61" s="25" t="str">
        <f>'GF + UG Iteration 13'!B61</f>
        <v>GF</v>
      </c>
      <c r="C61" s="18">
        <f>'GF + UG Iteration 13'!C61</f>
        <v>17</v>
      </c>
      <c r="D61" s="19">
        <f>'GF + UG Iteration 13'!D61</f>
        <v>5.2657663175025586</v>
      </c>
      <c r="E61" s="30">
        <f>'GF + UG Iteration 13'!E61</f>
        <v>2007</v>
      </c>
      <c r="F61" s="18"/>
      <c r="G61" s="19"/>
      <c r="H61" s="20"/>
      <c r="I61" s="18">
        <f t="shared" si="0"/>
        <v>17</v>
      </c>
      <c r="J61" s="19">
        <f t="shared" si="1"/>
        <v>5.2657663175025586</v>
      </c>
      <c r="K61" s="20">
        <f t="shared" si="2"/>
        <v>2007</v>
      </c>
      <c r="M61" s="21">
        <f t="shared" si="3"/>
        <v>2.8332133440562162</v>
      </c>
      <c r="N61" s="21">
        <f t="shared" si="4"/>
        <v>1.6612266843778571</v>
      </c>
    </row>
    <row r="62" spans="1:14" x14ac:dyDescent="0.2">
      <c r="A62" s="25">
        <f>'GF + UG Iteration 13'!A62</f>
        <v>529</v>
      </c>
      <c r="B62" s="25" t="str">
        <f>'GF + UG Iteration 13'!B62</f>
        <v>GF</v>
      </c>
      <c r="C62" s="18">
        <f>'GF + UG Iteration 13'!C62</f>
        <v>17</v>
      </c>
      <c r="D62" s="19">
        <f>'GF + UG Iteration 13'!D62</f>
        <v>7.7921694439597555</v>
      </c>
      <c r="E62" s="30">
        <f>'GF + UG Iteration 13'!E62</f>
        <v>2007</v>
      </c>
      <c r="F62" s="18"/>
      <c r="G62" s="19"/>
      <c r="H62" s="20"/>
      <c r="I62" s="18">
        <f t="shared" si="0"/>
        <v>17</v>
      </c>
      <c r="J62" s="19">
        <f t="shared" si="1"/>
        <v>7.7921694439597555</v>
      </c>
      <c r="K62" s="20">
        <f t="shared" si="2"/>
        <v>2007</v>
      </c>
      <c r="M62" s="21">
        <f t="shared" si="3"/>
        <v>2.8332133440562162</v>
      </c>
      <c r="N62" s="21">
        <f t="shared" si="4"/>
        <v>2.0531193119918547</v>
      </c>
    </row>
    <row r="63" spans="1:14" x14ac:dyDescent="0.2">
      <c r="A63" s="25">
        <f>'GF + UG Iteration 13'!A63</f>
        <v>1095</v>
      </c>
      <c r="B63" s="25" t="str">
        <f>'GF + UG Iteration 13'!B63</f>
        <v>GF</v>
      </c>
      <c r="C63" s="18">
        <f>'GF + UG Iteration 13'!C63</f>
        <v>18</v>
      </c>
      <c r="D63" s="19">
        <f>'GF + UG Iteration 13'!D63</f>
        <v>11.923356574074873</v>
      </c>
      <c r="E63" s="30">
        <f>'GF + UG Iteration 13'!E63</f>
        <v>2011</v>
      </c>
      <c r="F63" s="18"/>
      <c r="G63" s="19"/>
      <c r="H63" s="20"/>
      <c r="I63" s="18">
        <f t="shared" si="0"/>
        <v>18</v>
      </c>
      <c r="J63" s="19">
        <f t="shared" si="1"/>
        <v>11.923356574074873</v>
      </c>
      <c r="K63" s="20">
        <f t="shared" si="2"/>
        <v>2011</v>
      </c>
      <c r="M63" s="21">
        <f t="shared" si="3"/>
        <v>2.8903717578961645</v>
      </c>
      <c r="N63" s="21">
        <f t="shared" si="4"/>
        <v>2.4784992137824831</v>
      </c>
    </row>
    <row r="64" spans="1:14" x14ac:dyDescent="0.2">
      <c r="A64" s="25">
        <f>'GF + UG Iteration 13'!A64</f>
        <v>561</v>
      </c>
      <c r="B64" s="25" t="str">
        <f>'GF + UG Iteration 13'!B64</f>
        <v>GF</v>
      </c>
      <c r="C64" s="18">
        <f>'GF + UG Iteration 13'!C64</f>
        <v>46</v>
      </c>
      <c r="D64" s="19">
        <f>'GF + UG Iteration 13'!D64</f>
        <v>58.100097147658744</v>
      </c>
      <c r="E64" s="30">
        <f>'GF + UG Iteration 13'!E64</f>
        <v>2011</v>
      </c>
      <c r="F64" s="18"/>
      <c r="G64" s="19"/>
      <c r="H64" s="20"/>
      <c r="I64" s="18">
        <f t="shared" si="0"/>
        <v>46</v>
      </c>
      <c r="J64" s="19">
        <f t="shared" si="1"/>
        <v>58.100097147658744</v>
      </c>
      <c r="K64" s="20">
        <f t="shared" si="2"/>
        <v>2011</v>
      </c>
      <c r="M64" s="21">
        <f t="shared" si="3"/>
        <v>3.8286413964890951</v>
      </c>
      <c r="N64" s="21">
        <f t="shared" si="4"/>
        <v>4.0621673359332098</v>
      </c>
    </row>
    <row r="65" spans="1:14" x14ac:dyDescent="0.2">
      <c r="A65" s="25">
        <f>'GF + UG Iteration 13'!A65</f>
        <v>1018</v>
      </c>
      <c r="B65" s="25" t="str">
        <f>'GF + UG Iteration 13'!B65</f>
        <v>GF</v>
      </c>
      <c r="C65" s="18">
        <f>'GF + UG Iteration 13'!C65</f>
        <v>3</v>
      </c>
      <c r="D65" s="19">
        <f>'GF + UG Iteration 13'!D65</f>
        <v>10.634643135603309</v>
      </c>
      <c r="E65" s="30">
        <f>'GF + UG Iteration 13'!E65</f>
        <v>2011</v>
      </c>
      <c r="F65" s="18"/>
      <c r="G65" s="19"/>
      <c r="H65" s="20"/>
      <c r="I65" s="18">
        <f t="shared" si="0"/>
        <v>3</v>
      </c>
      <c r="J65" s="19">
        <f t="shared" si="1"/>
        <v>10.634643135603309</v>
      </c>
      <c r="K65" s="20">
        <f t="shared" si="2"/>
        <v>2011</v>
      </c>
      <c r="M65" s="21">
        <f t="shared" si="3"/>
        <v>1.0986122886681098</v>
      </c>
      <c r="N65" s="21">
        <f t="shared" si="4"/>
        <v>2.3641168924336546</v>
      </c>
    </row>
    <row r="66" spans="1:14" x14ac:dyDescent="0.2">
      <c r="A66" s="25">
        <f>'GF + UG Iteration 13'!A66</f>
        <v>360</v>
      </c>
      <c r="B66" s="25" t="str">
        <f>'GF + UG Iteration 13'!B66</f>
        <v>GF</v>
      </c>
      <c r="C66" s="18">
        <f>'GF + UG Iteration 13'!C66</f>
        <v>22</v>
      </c>
      <c r="D66" s="19">
        <f>'GF + UG Iteration 13'!D66</f>
        <v>7.1174715515965792</v>
      </c>
      <c r="E66" s="30">
        <f>'GF + UG Iteration 13'!E66</f>
        <v>2003</v>
      </c>
      <c r="F66" s="18"/>
      <c r="G66" s="19"/>
      <c r="H66" s="20"/>
      <c r="I66" s="18">
        <f t="shared" si="0"/>
        <v>22</v>
      </c>
      <c r="J66" s="19">
        <f t="shared" si="1"/>
        <v>7.1174715515965792</v>
      </c>
      <c r="K66" s="20">
        <f t="shared" si="2"/>
        <v>2003</v>
      </c>
      <c r="M66" s="21">
        <f t="shared" si="3"/>
        <v>3.0910424533583161</v>
      </c>
      <c r="N66" s="21">
        <f t="shared" si="4"/>
        <v>1.9625525431963604</v>
      </c>
    </row>
    <row r="67" spans="1:14" x14ac:dyDescent="0.2">
      <c r="A67" s="25">
        <f>'GF + UG Iteration 13'!A67</f>
        <v>1106</v>
      </c>
      <c r="B67" s="25" t="str">
        <f>'GF + UG Iteration 13'!B67</f>
        <v>GF</v>
      </c>
      <c r="C67" s="18">
        <f>'GF + UG Iteration 13'!C67</f>
        <v>12</v>
      </c>
      <c r="D67" s="19">
        <f>'GF + UG Iteration 13'!D67</f>
        <v>20.217898457447252</v>
      </c>
      <c r="E67" s="30">
        <f>'GF + UG Iteration 13'!E67</f>
        <v>2011</v>
      </c>
      <c r="F67" s="18"/>
      <c r="G67" s="19"/>
      <c r="H67" s="20"/>
      <c r="I67" s="18">
        <f t="shared" si="0"/>
        <v>12</v>
      </c>
      <c r="J67" s="19">
        <f t="shared" si="1"/>
        <v>20.217898457447252</v>
      </c>
      <c r="K67" s="20">
        <f t="shared" si="2"/>
        <v>2011</v>
      </c>
      <c r="M67" s="21">
        <f t="shared" si="3"/>
        <v>2.4849066497880004</v>
      </c>
      <c r="N67" s="21">
        <f t="shared" si="4"/>
        <v>3.0065682743355979</v>
      </c>
    </row>
    <row r="68" spans="1:14" x14ac:dyDescent="0.2">
      <c r="A68" s="25">
        <f>'GF + UG Iteration 13'!A68</f>
        <v>899</v>
      </c>
      <c r="B68" s="25" t="str">
        <f>'GF + UG Iteration 13'!B68</f>
        <v>GF</v>
      </c>
      <c r="C68" s="18">
        <f>'GF + UG Iteration 13'!C68</f>
        <v>25</v>
      </c>
      <c r="D68" s="19">
        <f>'GF + UG Iteration 13'!D68</f>
        <v>15.17251837286627</v>
      </c>
      <c r="E68" s="30">
        <f>'GF + UG Iteration 13'!E68</f>
        <v>2010</v>
      </c>
      <c r="F68" s="18"/>
      <c r="G68" s="19"/>
      <c r="H68" s="20"/>
      <c r="I68" s="18">
        <f t="shared" si="0"/>
        <v>25</v>
      </c>
      <c r="J68" s="19">
        <f t="shared" si="1"/>
        <v>15.17251837286627</v>
      </c>
      <c r="K68" s="20">
        <f t="shared" si="2"/>
        <v>2010</v>
      </c>
      <c r="M68" s="21">
        <f t="shared" si="3"/>
        <v>3.2188758248682006</v>
      </c>
      <c r="N68" s="21">
        <f t="shared" si="4"/>
        <v>2.7194857896591729</v>
      </c>
    </row>
    <row r="69" spans="1:14" x14ac:dyDescent="0.2">
      <c r="A69" s="25">
        <f>'GF + UG Iteration 13'!A69</f>
        <v>1191</v>
      </c>
      <c r="B69" s="25" t="str">
        <f>'GF + UG Iteration 13'!B69</f>
        <v>GF</v>
      </c>
      <c r="C69" s="18">
        <f>'GF + UG Iteration 13'!C69</f>
        <v>11</v>
      </c>
      <c r="D69" s="19">
        <f>'GF + UG Iteration 13'!D69</f>
        <v>12.628076471206382</v>
      </c>
      <c r="E69" s="30">
        <f>'GF + UG Iteration 13'!E69</f>
        <v>2011</v>
      </c>
      <c r="F69" s="18"/>
      <c r="G69" s="19"/>
      <c r="H69" s="20"/>
      <c r="I69" s="18">
        <f t="shared" si="0"/>
        <v>11</v>
      </c>
      <c r="J69" s="19">
        <f t="shared" si="1"/>
        <v>12.628076471206382</v>
      </c>
      <c r="K69" s="20">
        <f t="shared" si="2"/>
        <v>2011</v>
      </c>
      <c r="M69" s="21">
        <f t="shared" si="3"/>
        <v>2.3978952727983707</v>
      </c>
      <c r="N69" s="21">
        <f t="shared" si="4"/>
        <v>2.5359226263636927</v>
      </c>
    </row>
    <row r="70" spans="1:14" x14ac:dyDescent="0.2">
      <c r="A70" s="25">
        <f>'GF + UG Iteration 13'!A70</f>
        <v>1115</v>
      </c>
      <c r="B70" s="25" t="str">
        <f>'GF + UG Iteration 13'!B70</f>
        <v>GF</v>
      </c>
      <c r="C70" s="18">
        <f>'GF + UG Iteration 13'!C70</f>
        <v>10</v>
      </c>
      <c r="D70" s="19">
        <f>'GF + UG Iteration 13'!D70</f>
        <v>24.362790290493837</v>
      </c>
      <c r="E70" s="30">
        <f>'GF + UG Iteration 13'!E70</f>
        <v>2011</v>
      </c>
      <c r="F70" s="18"/>
      <c r="G70" s="19"/>
      <c r="H70" s="20"/>
      <c r="I70" s="18">
        <f t="shared" si="0"/>
        <v>10</v>
      </c>
      <c r="J70" s="19">
        <f t="shared" si="1"/>
        <v>24.362790290493837</v>
      </c>
      <c r="K70" s="20">
        <f t="shared" si="2"/>
        <v>2011</v>
      </c>
      <c r="M70" s="21">
        <f t="shared" si="3"/>
        <v>2.3025850929940459</v>
      </c>
      <c r="N70" s="21">
        <f t="shared" si="4"/>
        <v>3.1930569802267783</v>
      </c>
    </row>
    <row r="71" spans="1:14" x14ac:dyDescent="0.2">
      <c r="A71" s="25">
        <f>'GF + UG Iteration 13'!A71</f>
        <v>1053</v>
      </c>
      <c r="B71" s="25" t="str">
        <f>'GF + UG Iteration 13'!B71</f>
        <v>GF</v>
      </c>
      <c r="C71" s="18">
        <f>'GF + UG Iteration 13'!C71</f>
        <v>9</v>
      </c>
      <c r="D71" s="19">
        <f>'GF + UG Iteration 13'!D71</f>
        <v>14.71443826778331</v>
      </c>
      <c r="E71" s="30">
        <f>'GF + UG Iteration 13'!E71</f>
        <v>2011</v>
      </c>
      <c r="F71" s="18"/>
      <c r="G71" s="19"/>
      <c r="H71" s="20"/>
      <c r="I71" s="18">
        <f t="shared" si="0"/>
        <v>9</v>
      </c>
      <c r="J71" s="19">
        <f t="shared" si="1"/>
        <v>14.71443826778331</v>
      </c>
      <c r="K71" s="20">
        <f t="shared" si="2"/>
        <v>2011</v>
      </c>
      <c r="M71" s="21">
        <f t="shared" si="3"/>
        <v>2.1972245773362196</v>
      </c>
      <c r="N71" s="21">
        <f t="shared" si="4"/>
        <v>2.6888292068340069</v>
      </c>
    </row>
    <row r="72" spans="1:14" x14ac:dyDescent="0.2">
      <c r="A72" s="25">
        <f>'GF + UG Iteration 13'!A72</f>
        <v>864</v>
      </c>
      <c r="B72" s="25" t="str">
        <f>'GF + UG Iteration 13'!B72</f>
        <v>GF</v>
      </c>
      <c r="C72" s="18">
        <f>'GF + UG Iteration 13'!C72</f>
        <v>25</v>
      </c>
      <c r="D72" s="19">
        <f>'GF + UG Iteration 13'!D72</f>
        <v>9.825778201045452</v>
      </c>
      <c r="E72" s="30">
        <f>'GF + UG Iteration 13'!E72</f>
        <v>2007</v>
      </c>
      <c r="F72" s="18"/>
      <c r="G72" s="19"/>
      <c r="H72" s="20"/>
      <c r="I72" s="18">
        <f t="shared" ref="I72:I117" si="5">C72+F72</f>
        <v>25</v>
      </c>
      <c r="J72" s="19">
        <f t="shared" ref="J72:J117" si="6">D72+G72</f>
        <v>9.825778201045452</v>
      </c>
      <c r="K72" s="20">
        <f t="shared" ref="K72:K117" si="7">MAX(E72,H72)</f>
        <v>2007</v>
      </c>
      <c r="M72" s="21">
        <f t="shared" ref="M72:M135" si="8">LN(I72)</f>
        <v>3.2188758248682006</v>
      </c>
      <c r="N72" s="21">
        <f t="shared" ref="N72:N135" si="9">LN(J72)</f>
        <v>2.2850093608319559</v>
      </c>
    </row>
    <row r="73" spans="1:14" x14ac:dyDescent="0.2">
      <c r="A73" s="25">
        <f>'GF + UG Iteration 13'!A73</f>
        <v>834</v>
      </c>
      <c r="B73" s="25" t="str">
        <f>'GF + UG Iteration 13'!B73</f>
        <v>GF</v>
      </c>
      <c r="C73" s="18">
        <f>'GF + UG Iteration 13'!C73</f>
        <v>45</v>
      </c>
      <c r="D73" s="19">
        <f>'GF + UG Iteration 13'!D73</f>
        <v>25.798393978216257</v>
      </c>
      <c r="E73" s="30">
        <f>'GF + UG Iteration 13'!E73</f>
        <v>2010</v>
      </c>
      <c r="F73" s="18"/>
      <c r="G73" s="19"/>
      <c r="H73" s="20"/>
      <c r="I73" s="18">
        <f t="shared" si="5"/>
        <v>45</v>
      </c>
      <c r="J73" s="19">
        <f t="shared" si="6"/>
        <v>25.798393978216257</v>
      </c>
      <c r="K73" s="20">
        <f t="shared" si="7"/>
        <v>2010</v>
      </c>
      <c r="M73" s="21">
        <f t="shared" si="8"/>
        <v>3.8066624897703196</v>
      </c>
      <c r="N73" s="21">
        <f t="shared" si="9"/>
        <v>3.2503122410836816</v>
      </c>
    </row>
    <row r="74" spans="1:14" x14ac:dyDescent="0.2">
      <c r="A74" s="25">
        <f>'GF + UG Iteration 13'!A74</f>
        <v>722</v>
      </c>
      <c r="B74" s="25" t="str">
        <f>'GF + UG Iteration 13'!B74</f>
        <v>GF</v>
      </c>
      <c r="C74" s="18">
        <f>'GF + UG Iteration 13'!C74</f>
        <v>10.5</v>
      </c>
      <c r="D74" s="19">
        <f>'GF + UG Iteration 13'!D74</f>
        <v>13.501544643115857</v>
      </c>
      <c r="E74" s="30">
        <f>'GF + UG Iteration 13'!E74</f>
        <v>2010</v>
      </c>
      <c r="F74" s="18"/>
      <c r="G74" s="19"/>
      <c r="H74" s="20"/>
      <c r="I74" s="18">
        <f t="shared" si="5"/>
        <v>10.5</v>
      </c>
      <c r="J74" s="19">
        <f t="shared" si="6"/>
        <v>13.501544643115857</v>
      </c>
      <c r="K74" s="20">
        <f t="shared" si="7"/>
        <v>2010</v>
      </c>
      <c r="M74" s="21">
        <f t="shared" si="8"/>
        <v>2.3513752571634776</v>
      </c>
      <c r="N74" s="21">
        <f t="shared" si="9"/>
        <v>2.6028040969077249</v>
      </c>
    </row>
    <row r="75" spans="1:14" x14ac:dyDescent="0.2">
      <c r="A75" s="25">
        <f>'GF + UG Iteration 13'!A75</f>
        <v>927</v>
      </c>
      <c r="B75" s="25" t="str">
        <f>'GF + UG Iteration 13'!B75</f>
        <v>GF</v>
      </c>
      <c r="C75" s="18">
        <f>'GF + UG Iteration 13'!C75</f>
        <v>60</v>
      </c>
      <c r="D75" s="19">
        <f>'GF + UG Iteration 13'!D75</f>
        <v>25.887106037100622</v>
      </c>
      <c r="E75" s="30">
        <f>'GF + UG Iteration 13'!E75</f>
        <v>2011</v>
      </c>
      <c r="F75" s="18"/>
      <c r="G75" s="19"/>
      <c r="H75" s="20"/>
      <c r="I75" s="18">
        <f t="shared" si="5"/>
        <v>60</v>
      </c>
      <c r="J75" s="19">
        <f t="shared" si="6"/>
        <v>25.887106037100622</v>
      </c>
      <c r="K75" s="20">
        <f t="shared" si="7"/>
        <v>2011</v>
      </c>
      <c r="M75" s="21">
        <f t="shared" si="8"/>
        <v>4.0943445622221004</v>
      </c>
      <c r="N75" s="21">
        <f t="shared" si="9"/>
        <v>3.2537450083384241</v>
      </c>
    </row>
    <row r="76" spans="1:14" x14ac:dyDescent="0.2">
      <c r="A76" s="25">
        <f>'GF + UG Iteration 13'!A76</f>
        <v>1068</v>
      </c>
      <c r="B76" s="25" t="str">
        <f>'GF + UG Iteration 13'!B76</f>
        <v>GF</v>
      </c>
      <c r="C76" s="18">
        <f>'GF + UG Iteration 13'!C76</f>
        <v>11.2</v>
      </c>
      <c r="D76" s="19">
        <f>'GF + UG Iteration 13'!D76</f>
        <v>26.918199168374588</v>
      </c>
      <c r="E76" s="30">
        <f>'GF + UG Iteration 13'!E76</f>
        <v>2011</v>
      </c>
      <c r="F76" s="18"/>
      <c r="G76" s="19"/>
      <c r="H76" s="20"/>
      <c r="I76" s="18">
        <f t="shared" si="5"/>
        <v>11.2</v>
      </c>
      <c r="J76" s="19">
        <f t="shared" si="6"/>
        <v>26.918199168374588</v>
      </c>
      <c r="K76" s="20">
        <f t="shared" si="7"/>
        <v>2011</v>
      </c>
      <c r="M76" s="21">
        <f t="shared" si="8"/>
        <v>2.4159137783010487</v>
      </c>
      <c r="N76" s="21">
        <f t="shared" si="9"/>
        <v>3.2928026068618901</v>
      </c>
    </row>
    <row r="77" spans="1:14" x14ac:dyDescent="0.2">
      <c r="A77" s="25">
        <f>'GF + UG Iteration 13'!A77</f>
        <v>506</v>
      </c>
      <c r="B77" s="25" t="str">
        <f>'GF + UG Iteration 13'!B77</f>
        <v>GF</v>
      </c>
      <c r="C77" s="18">
        <f>'GF + UG Iteration 13'!C77</f>
        <v>20</v>
      </c>
      <c r="D77" s="19">
        <f>'GF + UG Iteration 13'!D77</f>
        <v>13.969254162639503</v>
      </c>
      <c r="E77" s="30">
        <f>'GF + UG Iteration 13'!E77</f>
        <v>2003</v>
      </c>
      <c r="F77" s="18"/>
      <c r="G77" s="19"/>
      <c r="H77" s="20"/>
      <c r="I77" s="18">
        <f t="shared" si="5"/>
        <v>20</v>
      </c>
      <c r="J77" s="19">
        <f t="shared" si="6"/>
        <v>13.969254162639503</v>
      </c>
      <c r="K77" s="20">
        <f t="shared" si="7"/>
        <v>2003</v>
      </c>
      <c r="M77" s="21">
        <f t="shared" si="8"/>
        <v>2.9957322735539909</v>
      </c>
      <c r="N77" s="21">
        <f t="shared" si="9"/>
        <v>2.6368587833425443</v>
      </c>
    </row>
    <row r="78" spans="1:14" x14ac:dyDescent="0.2">
      <c r="A78" s="25">
        <f>'GF + UG Iteration 13'!A78</f>
        <v>456</v>
      </c>
      <c r="B78" s="25" t="str">
        <f>'GF + UG Iteration 13'!B78</f>
        <v>GF</v>
      </c>
      <c r="C78" s="18">
        <f>'GF + UG Iteration 13'!C78</f>
        <v>16</v>
      </c>
      <c r="D78" s="19">
        <f>'GF + UG Iteration 13'!D78</f>
        <v>17.647037003819346</v>
      </c>
      <c r="E78" s="30">
        <f>'GF + UG Iteration 13'!E78</f>
        <v>2007</v>
      </c>
      <c r="F78" s="18"/>
      <c r="G78" s="19"/>
      <c r="H78" s="20"/>
      <c r="I78" s="18">
        <f t="shared" si="5"/>
        <v>16</v>
      </c>
      <c r="J78" s="19">
        <f t="shared" si="6"/>
        <v>17.647037003819346</v>
      </c>
      <c r="K78" s="20">
        <f t="shared" si="7"/>
        <v>2007</v>
      </c>
      <c r="M78" s="21">
        <f t="shared" si="8"/>
        <v>2.7725887222397811</v>
      </c>
      <c r="N78" s="21">
        <f t="shared" si="9"/>
        <v>2.8705678941489836</v>
      </c>
    </row>
    <row r="79" spans="1:14" x14ac:dyDescent="0.2">
      <c r="A79" s="25">
        <f>'GF + UG Iteration 13'!A79</f>
        <v>130</v>
      </c>
      <c r="B79" s="25" t="str">
        <f>'GF + UG Iteration 13'!B79</f>
        <v>GF</v>
      </c>
      <c r="C79" s="18">
        <f>'GF + UG Iteration 13'!C79</f>
        <v>18</v>
      </c>
      <c r="D79" s="19">
        <f>'GF + UG Iteration 13'!D79</f>
        <v>8.4369732753123952</v>
      </c>
      <c r="E79" s="30">
        <f>'GF + UG Iteration 13'!E79</f>
        <v>2001</v>
      </c>
      <c r="F79" s="18"/>
      <c r="G79" s="19"/>
      <c r="H79" s="20"/>
      <c r="I79" s="18">
        <f t="shared" si="5"/>
        <v>18</v>
      </c>
      <c r="J79" s="19">
        <f t="shared" si="6"/>
        <v>8.4369732753123952</v>
      </c>
      <c r="K79" s="20">
        <f t="shared" si="7"/>
        <v>2001</v>
      </c>
      <c r="M79" s="21">
        <f t="shared" si="8"/>
        <v>2.8903717578961645</v>
      </c>
      <c r="N79" s="21">
        <f t="shared" si="9"/>
        <v>2.1326236276203829</v>
      </c>
    </row>
    <row r="80" spans="1:14" x14ac:dyDescent="0.2">
      <c r="A80" s="25">
        <f>'GF + UG Iteration 13'!A80</f>
        <v>308</v>
      </c>
      <c r="B80" s="25" t="str">
        <f>'GF + UG Iteration 13'!B80</f>
        <v>GF</v>
      </c>
      <c r="C80" s="18">
        <f>'GF + UG Iteration 13'!C80</f>
        <v>10</v>
      </c>
      <c r="D80" s="19">
        <f>'GF + UG Iteration 13'!D80</f>
        <v>8.8753762889293544</v>
      </c>
      <c r="E80" s="30">
        <f>'GF + UG Iteration 13'!E80</f>
        <v>2003</v>
      </c>
      <c r="F80" s="18"/>
      <c r="G80" s="19"/>
      <c r="H80" s="20"/>
      <c r="I80" s="18">
        <f t="shared" si="5"/>
        <v>10</v>
      </c>
      <c r="J80" s="19">
        <f t="shared" si="6"/>
        <v>8.8753762889293544</v>
      </c>
      <c r="K80" s="20">
        <f t="shared" si="7"/>
        <v>2003</v>
      </c>
      <c r="M80" s="21">
        <f t="shared" si="8"/>
        <v>2.3025850929940459</v>
      </c>
      <c r="N80" s="21">
        <f t="shared" si="9"/>
        <v>2.1832807332152813</v>
      </c>
    </row>
    <row r="81" spans="1:14" x14ac:dyDescent="0.2">
      <c r="A81" s="25">
        <f>'GF + UG Iteration 13'!A81</f>
        <v>829</v>
      </c>
      <c r="B81" s="25" t="str">
        <f>'GF + UG Iteration 13'!B81</f>
        <v>GF</v>
      </c>
      <c r="C81" s="18">
        <f>'GF + UG Iteration 13'!C81</f>
        <v>20</v>
      </c>
      <c r="D81" s="19">
        <f>'GF + UG Iteration 13'!D81</f>
        <v>27.761077137379147</v>
      </c>
      <c r="E81" s="30">
        <f>'GF + UG Iteration 13'!E81</f>
        <v>2011</v>
      </c>
      <c r="F81" s="18"/>
      <c r="G81" s="19"/>
      <c r="H81" s="20"/>
      <c r="I81" s="18">
        <f t="shared" si="5"/>
        <v>20</v>
      </c>
      <c r="J81" s="19">
        <f t="shared" si="6"/>
        <v>27.761077137379147</v>
      </c>
      <c r="K81" s="20">
        <f t="shared" si="7"/>
        <v>2011</v>
      </c>
      <c r="M81" s="21">
        <f t="shared" si="8"/>
        <v>2.9957322735539909</v>
      </c>
      <c r="N81" s="21">
        <f t="shared" si="9"/>
        <v>3.3236349366646221</v>
      </c>
    </row>
    <row r="82" spans="1:14" x14ac:dyDescent="0.2">
      <c r="A82" s="25">
        <f>'GF + UG Iteration 13'!A82</f>
        <v>425</v>
      </c>
      <c r="B82" s="25" t="str">
        <f>'GF + UG Iteration 13'!B82</f>
        <v>GF</v>
      </c>
      <c r="C82" s="18">
        <f>'GF + UG Iteration 13'!C82</f>
        <v>17</v>
      </c>
      <c r="D82" s="19">
        <f>'GF + UG Iteration 13'!D82</f>
        <v>11.725448588458148</v>
      </c>
      <c r="E82" s="30">
        <f>'GF + UG Iteration 13'!E82</f>
        <v>2006</v>
      </c>
      <c r="F82" s="18"/>
      <c r="G82" s="19"/>
      <c r="H82" s="20"/>
      <c r="I82" s="18">
        <f t="shared" si="5"/>
        <v>17</v>
      </c>
      <c r="J82" s="19">
        <f t="shared" si="6"/>
        <v>11.725448588458148</v>
      </c>
      <c r="K82" s="20">
        <f t="shared" si="7"/>
        <v>2006</v>
      </c>
      <c r="M82" s="21">
        <f t="shared" si="8"/>
        <v>2.8332133440562162</v>
      </c>
      <c r="N82" s="21">
        <f t="shared" si="9"/>
        <v>2.4617615727440327</v>
      </c>
    </row>
    <row r="83" spans="1:14" x14ac:dyDescent="0.2">
      <c r="A83" s="25">
        <f>'GF + UG Iteration 13'!A83</f>
        <v>333</v>
      </c>
      <c r="B83" s="25" t="str">
        <f>'GF + UG Iteration 13'!B83</f>
        <v>GF</v>
      </c>
      <c r="C83" s="18">
        <f>'GF + UG Iteration 13'!C83</f>
        <v>12</v>
      </c>
      <c r="D83" s="19">
        <f>'GF + UG Iteration 13'!D83</f>
        <v>7.5607136656563343</v>
      </c>
      <c r="E83" s="30">
        <f>'GF + UG Iteration 13'!E83</f>
        <v>2003</v>
      </c>
      <c r="F83" s="18"/>
      <c r="G83" s="19"/>
      <c r="H83" s="20"/>
      <c r="I83" s="18">
        <f t="shared" si="5"/>
        <v>12</v>
      </c>
      <c r="J83" s="19">
        <f t="shared" si="6"/>
        <v>7.5607136656563343</v>
      </c>
      <c r="K83" s="20">
        <f t="shared" si="7"/>
        <v>2003</v>
      </c>
      <c r="M83" s="21">
        <f t="shared" si="8"/>
        <v>2.4849066497880004</v>
      </c>
      <c r="N83" s="21">
        <f t="shared" si="9"/>
        <v>2.022965585955113</v>
      </c>
    </row>
    <row r="84" spans="1:14" x14ac:dyDescent="0.2">
      <c r="A84" s="25">
        <f>'GF + UG Iteration 13'!A84</f>
        <v>769</v>
      </c>
      <c r="B84" s="25" t="str">
        <f>'GF + UG Iteration 13'!B84</f>
        <v>GF</v>
      </c>
      <c r="C84" s="18">
        <f>'GF + UG Iteration 13'!C84</f>
        <v>40</v>
      </c>
      <c r="D84" s="19">
        <f>'GF + UG Iteration 13'!D84</f>
        <v>26.381292343151443</v>
      </c>
      <c r="E84" s="30">
        <f>'GF + UG Iteration 13'!E84</f>
        <v>2007</v>
      </c>
      <c r="F84" s="18"/>
      <c r="G84" s="19"/>
      <c r="H84" s="20"/>
      <c r="I84" s="18">
        <f t="shared" si="5"/>
        <v>40</v>
      </c>
      <c r="J84" s="19">
        <f t="shared" si="6"/>
        <v>26.381292343151443</v>
      </c>
      <c r="K84" s="20">
        <f t="shared" si="7"/>
        <v>2007</v>
      </c>
      <c r="M84" s="21">
        <f t="shared" si="8"/>
        <v>3.6888794541139363</v>
      </c>
      <c r="N84" s="21">
        <f t="shared" si="9"/>
        <v>3.2726551355945839</v>
      </c>
    </row>
    <row r="85" spans="1:14" x14ac:dyDescent="0.2">
      <c r="A85" s="25">
        <f>'GF + UG Iteration 13'!A85</f>
        <v>948</v>
      </c>
      <c r="B85" s="25" t="str">
        <f>'GF + UG Iteration 13'!B85</f>
        <v>GF</v>
      </c>
      <c r="C85" s="18">
        <f>'GF + UG Iteration 13'!C85</f>
        <v>57</v>
      </c>
      <c r="D85" s="19">
        <f>'GF + UG Iteration 13'!D85</f>
        <v>12.653662771089085</v>
      </c>
      <c r="E85" s="30">
        <f>'GF + UG Iteration 13'!E85</f>
        <v>2014</v>
      </c>
      <c r="F85" s="18"/>
      <c r="G85" s="19"/>
      <c r="H85" s="20"/>
      <c r="I85" s="18">
        <f t="shared" si="5"/>
        <v>57</v>
      </c>
      <c r="J85" s="19">
        <f t="shared" si="6"/>
        <v>12.653662771089085</v>
      </c>
      <c r="K85" s="20">
        <f t="shared" si="7"/>
        <v>2014</v>
      </c>
      <c r="M85" s="21">
        <f t="shared" si="8"/>
        <v>4.0430512678345503</v>
      </c>
      <c r="N85" s="21">
        <f t="shared" si="9"/>
        <v>2.5379467203845181</v>
      </c>
    </row>
    <row r="86" spans="1:14" x14ac:dyDescent="0.2">
      <c r="A86" s="25">
        <f>'GF + UG Iteration 13'!A86</f>
        <v>1128</v>
      </c>
      <c r="B86" s="25" t="str">
        <f>'GF + UG Iteration 13'!B86</f>
        <v>GF</v>
      </c>
      <c r="C86" s="18">
        <f>'GF + UG Iteration 13'!C86</f>
        <v>45</v>
      </c>
      <c r="D86" s="19">
        <f>'GF + UG Iteration 13'!D86</f>
        <v>63.556235718349399</v>
      </c>
      <c r="E86" s="30">
        <f>'GF + UG Iteration 13'!E86</f>
        <v>2013</v>
      </c>
      <c r="F86" s="18"/>
      <c r="G86" s="19"/>
      <c r="H86" s="20"/>
      <c r="I86" s="18">
        <f t="shared" si="5"/>
        <v>45</v>
      </c>
      <c r="J86" s="19">
        <f t="shared" si="6"/>
        <v>63.556235718349399</v>
      </c>
      <c r="K86" s="20">
        <f t="shared" si="7"/>
        <v>2013</v>
      </c>
      <c r="M86" s="21">
        <f t="shared" si="8"/>
        <v>3.8066624897703196</v>
      </c>
      <c r="N86" s="21">
        <f t="shared" si="9"/>
        <v>4.1519251158484547</v>
      </c>
    </row>
    <row r="87" spans="1:14" x14ac:dyDescent="0.2">
      <c r="A87" s="25">
        <f>'GF + UG Iteration 13'!A87</f>
        <v>1214</v>
      </c>
      <c r="B87" s="25" t="str">
        <f>'GF + UG Iteration 13'!B87</f>
        <v>GF</v>
      </c>
      <c r="C87" s="18">
        <f>'GF + UG Iteration 13'!C87</f>
        <v>52</v>
      </c>
      <c r="D87" s="19">
        <f>'GF + UG Iteration 13'!D87</f>
        <v>22.631695273294461</v>
      </c>
      <c r="E87" s="30">
        <f>'GF + UG Iteration 13'!E87</f>
        <v>2013</v>
      </c>
      <c r="F87" s="18"/>
      <c r="G87" s="19"/>
      <c r="H87" s="20"/>
      <c r="I87" s="18">
        <f t="shared" si="5"/>
        <v>52</v>
      </c>
      <c r="J87" s="19">
        <f t="shared" si="6"/>
        <v>22.631695273294461</v>
      </c>
      <c r="K87" s="20">
        <f t="shared" si="7"/>
        <v>2013</v>
      </c>
      <c r="M87" s="21">
        <f t="shared" si="8"/>
        <v>3.9512437185814275</v>
      </c>
      <c r="N87" s="21">
        <f t="shared" si="9"/>
        <v>3.1193513694907367</v>
      </c>
    </row>
    <row r="88" spans="1:14" x14ac:dyDescent="0.2">
      <c r="A88" s="25">
        <f>'GF + UG Iteration 13'!A88</f>
        <v>1225</v>
      </c>
      <c r="B88" s="25" t="str">
        <f>'GF + UG Iteration 13'!B88</f>
        <v>GF</v>
      </c>
      <c r="C88" s="18">
        <f>'GF + UG Iteration 13'!C88</f>
        <v>20</v>
      </c>
      <c r="D88" s="19">
        <f>'GF + UG Iteration 13'!D88</f>
        <v>18.636695744675041</v>
      </c>
      <c r="E88" s="30">
        <f>'GF + UG Iteration 13'!E88</f>
        <v>2013</v>
      </c>
      <c r="F88" s="18"/>
      <c r="G88" s="19"/>
      <c r="H88" s="20"/>
      <c r="I88" s="18">
        <f t="shared" si="5"/>
        <v>20</v>
      </c>
      <c r="J88" s="19">
        <f t="shared" si="6"/>
        <v>18.636695744675041</v>
      </c>
      <c r="K88" s="20">
        <f t="shared" si="7"/>
        <v>2013</v>
      </c>
      <c r="M88" s="21">
        <f t="shared" si="8"/>
        <v>2.9957322735539909</v>
      </c>
      <c r="N88" s="21">
        <f t="shared" si="9"/>
        <v>2.925132526627233</v>
      </c>
    </row>
    <row r="89" spans="1:14" x14ac:dyDescent="0.2">
      <c r="A89" s="25">
        <f>'GF + UG Iteration 13'!A89</f>
        <v>1263</v>
      </c>
      <c r="B89" s="25" t="str">
        <f>'GF + UG Iteration 13'!B89</f>
        <v>GF</v>
      </c>
      <c r="C89" s="18">
        <f>'GF + UG Iteration 13'!C89</f>
        <v>8</v>
      </c>
      <c r="D89" s="19">
        <f>'GF + UG Iteration 13'!D89</f>
        <v>19.611656992669992</v>
      </c>
      <c r="E89" s="30">
        <f>'GF + UG Iteration 13'!E89</f>
        <v>2013</v>
      </c>
      <c r="F89" s="18"/>
      <c r="G89" s="19"/>
      <c r="H89" s="20"/>
      <c r="I89" s="18">
        <f t="shared" si="5"/>
        <v>8</v>
      </c>
      <c r="J89" s="19">
        <f t="shared" si="6"/>
        <v>19.611656992669992</v>
      </c>
      <c r="K89" s="20">
        <f t="shared" si="7"/>
        <v>2013</v>
      </c>
      <c r="M89" s="21">
        <f t="shared" si="8"/>
        <v>2.0794415416798357</v>
      </c>
      <c r="N89" s="21">
        <f t="shared" si="9"/>
        <v>2.9761241339700195</v>
      </c>
    </row>
    <row r="90" spans="1:14" x14ac:dyDescent="0.2">
      <c r="A90" s="25">
        <f>'GF + UG Iteration 13'!A90</f>
        <v>1309</v>
      </c>
      <c r="B90" s="25" t="str">
        <f>'GF + UG Iteration 13'!B90</f>
        <v>GF</v>
      </c>
      <c r="C90" s="18">
        <f>'GF + UG Iteration 13'!C90</f>
        <v>15</v>
      </c>
      <c r="D90" s="19">
        <f>'GF + UG Iteration 13'!D90</f>
        <v>16.109333942693336</v>
      </c>
      <c r="E90" s="30">
        <f>'GF + UG Iteration 13'!E90</f>
        <v>2013</v>
      </c>
      <c r="F90" s="18"/>
      <c r="G90" s="19"/>
      <c r="H90" s="20"/>
      <c r="I90" s="18">
        <f t="shared" si="5"/>
        <v>15</v>
      </c>
      <c r="J90" s="19">
        <f t="shared" si="6"/>
        <v>16.109333942693336</v>
      </c>
      <c r="K90" s="20">
        <f t="shared" si="7"/>
        <v>2013</v>
      </c>
      <c r="M90" s="21">
        <f t="shared" si="8"/>
        <v>2.7080502011022101</v>
      </c>
      <c r="N90" s="21">
        <f t="shared" si="9"/>
        <v>2.7793988519948485</v>
      </c>
    </row>
    <row r="91" spans="1:14" x14ac:dyDescent="0.2">
      <c r="A91" s="25">
        <f>'GF + UG Iteration 13'!A91</f>
        <v>1349</v>
      </c>
      <c r="B91" s="25" t="str">
        <f>'GF + UG Iteration 13'!B91</f>
        <v>GF</v>
      </c>
      <c r="C91" s="18">
        <f>'GF + UG Iteration 13'!C91</f>
        <v>34</v>
      </c>
      <c r="D91" s="19">
        <f>'GF + UG Iteration 13'!D91</f>
        <v>8.9679522578977586</v>
      </c>
      <c r="E91" s="30">
        <f>'GF + UG Iteration 13'!E91</f>
        <v>2013</v>
      </c>
      <c r="F91" s="18"/>
      <c r="G91" s="19"/>
      <c r="H91" s="20"/>
      <c r="I91" s="18">
        <f t="shared" si="5"/>
        <v>34</v>
      </c>
      <c r="J91" s="19">
        <f t="shared" si="6"/>
        <v>8.9679522578977586</v>
      </c>
      <c r="K91" s="20">
        <f t="shared" si="7"/>
        <v>2013</v>
      </c>
      <c r="M91" s="21">
        <f t="shared" si="8"/>
        <v>3.5263605246161616</v>
      </c>
      <c r="N91" s="21">
        <f t="shared" si="9"/>
        <v>2.193657362149283</v>
      </c>
    </row>
    <row r="92" spans="1:14" x14ac:dyDescent="0.2">
      <c r="A92" s="25">
        <f>'GF + UG Iteration 13'!A92</f>
        <v>1358</v>
      </c>
      <c r="B92" s="25" t="str">
        <f>'GF + UG Iteration 13'!B92</f>
        <v>GF</v>
      </c>
      <c r="C92" s="18">
        <f>'GF + UG Iteration 13'!C92</f>
        <v>27</v>
      </c>
      <c r="D92" s="19">
        <f>'GF + UG Iteration 13'!D92</f>
        <v>13.07265503282744</v>
      </c>
      <c r="E92" s="30">
        <f>'GF + UG Iteration 13'!E92</f>
        <v>2013</v>
      </c>
      <c r="F92" s="18"/>
      <c r="G92" s="19"/>
      <c r="H92" s="20"/>
      <c r="I92" s="18">
        <f t="shared" si="5"/>
        <v>27</v>
      </c>
      <c r="J92" s="19">
        <f t="shared" si="6"/>
        <v>13.07265503282744</v>
      </c>
      <c r="K92" s="20">
        <f t="shared" si="7"/>
        <v>2013</v>
      </c>
      <c r="M92" s="21">
        <f t="shared" si="8"/>
        <v>3.2958368660043291</v>
      </c>
      <c r="N92" s="21">
        <f t="shared" si="9"/>
        <v>2.5705226464726247</v>
      </c>
    </row>
    <row r="93" spans="1:14" x14ac:dyDescent="0.2">
      <c r="A93" s="25">
        <f>'GF + UG Iteration 13'!A93</f>
        <v>1404</v>
      </c>
      <c r="B93" s="25" t="str">
        <f>'GF + UG Iteration 13'!B93</f>
        <v>GF</v>
      </c>
      <c r="C93" s="18">
        <f>'GF + UG Iteration 13'!C93</f>
        <v>35</v>
      </c>
      <c r="D93" s="19">
        <f>'GF + UG Iteration 13'!D93</f>
        <v>35.276341164894447</v>
      </c>
      <c r="E93" s="30">
        <f>'GF + UG Iteration 13'!E93</f>
        <v>2013</v>
      </c>
      <c r="F93" s="18"/>
      <c r="G93" s="19"/>
      <c r="H93" s="20"/>
      <c r="I93" s="18">
        <f t="shared" si="5"/>
        <v>35</v>
      </c>
      <c r="J93" s="19">
        <f t="shared" si="6"/>
        <v>35.276341164894447</v>
      </c>
      <c r="K93" s="20">
        <f t="shared" si="7"/>
        <v>2013</v>
      </c>
      <c r="M93" s="21">
        <f t="shared" si="8"/>
        <v>3.5553480614894135</v>
      </c>
      <c r="N93" s="21">
        <f t="shared" si="9"/>
        <v>3.5632125172824458</v>
      </c>
    </row>
    <row r="94" spans="1:14" x14ac:dyDescent="0.2">
      <c r="A94" s="25">
        <f>'GF + UG Iteration 13'!A94</f>
        <v>1482</v>
      </c>
      <c r="B94" s="25" t="str">
        <f>'GF + UG Iteration 13'!B94</f>
        <v>GF</v>
      </c>
      <c r="C94" s="18">
        <f>'GF + UG Iteration 13'!C94</f>
        <v>18.399999999999999</v>
      </c>
      <c r="D94" s="19">
        <f>'GF + UG Iteration 13'!D94</f>
        <v>18.765793673519447</v>
      </c>
      <c r="E94" s="30">
        <f>'GF + UG Iteration 13'!E94</f>
        <v>2013</v>
      </c>
      <c r="F94" s="18"/>
      <c r="G94" s="19"/>
      <c r="H94" s="20"/>
      <c r="I94" s="18">
        <f t="shared" si="5"/>
        <v>18.399999999999999</v>
      </c>
      <c r="J94" s="19">
        <f t="shared" si="6"/>
        <v>18.765793673519447</v>
      </c>
      <c r="K94" s="20">
        <f t="shared" si="7"/>
        <v>2013</v>
      </c>
      <c r="M94" s="21">
        <f t="shared" si="8"/>
        <v>2.91235066461494</v>
      </c>
      <c r="N94" s="21">
        <f t="shared" si="9"/>
        <v>2.9320357271105943</v>
      </c>
    </row>
    <row r="95" spans="1:14" x14ac:dyDescent="0.2">
      <c r="A95" s="25">
        <f>'GF + UG Iteration 13'!A95</f>
        <v>1515</v>
      </c>
      <c r="B95" s="25" t="str">
        <f>'GF + UG Iteration 13'!B95</f>
        <v>GF</v>
      </c>
      <c r="C95" s="18">
        <f>'GF + UG Iteration 13'!C95</f>
        <v>7.2</v>
      </c>
      <c r="D95" s="19">
        <f>'GF + UG Iteration 13'!D95</f>
        <v>12.99271394051414</v>
      </c>
      <c r="E95" s="30">
        <f>'GF + UG Iteration 13'!E95</f>
        <v>2013</v>
      </c>
      <c r="F95" s="18"/>
      <c r="G95" s="19"/>
      <c r="H95" s="20"/>
      <c r="I95" s="18">
        <f t="shared" si="5"/>
        <v>7.2</v>
      </c>
      <c r="J95" s="19">
        <f t="shared" si="6"/>
        <v>12.99271394051414</v>
      </c>
      <c r="K95" s="20">
        <f t="shared" si="7"/>
        <v>2013</v>
      </c>
      <c r="M95" s="21">
        <f t="shared" si="8"/>
        <v>1.9740810260220096</v>
      </c>
      <c r="N95" s="21">
        <f t="shared" si="9"/>
        <v>2.5643887342273977</v>
      </c>
    </row>
    <row r="96" spans="1:14" x14ac:dyDescent="0.2">
      <c r="A96" s="25">
        <f>'GF + UG Iteration 13'!A96</f>
        <v>1618</v>
      </c>
      <c r="B96" s="25" t="str">
        <f>'GF + UG Iteration 13'!B96</f>
        <v>GF</v>
      </c>
      <c r="C96" s="18">
        <f>'GF + UG Iteration 13'!C96</f>
        <v>21</v>
      </c>
      <c r="D96" s="19">
        <f>'GF + UG Iteration 13'!D96</f>
        <v>15.965955598995766</v>
      </c>
      <c r="E96" s="30">
        <f>'GF + UG Iteration 13'!E96</f>
        <v>2016</v>
      </c>
      <c r="F96" s="18"/>
      <c r="G96" s="19"/>
      <c r="H96" s="20"/>
      <c r="I96" s="18">
        <f t="shared" si="5"/>
        <v>21</v>
      </c>
      <c r="J96" s="19">
        <f t="shared" si="6"/>
        <v>15.965955598995766</v>
      </c>
      <c r="K96" s="20">
        <f t="shared" si="7"/>
        <v>2016</v>
      </c>
      <c r="M96" s="21">
        <f t="shared" si="8"/>
        <v>3.044522437723423</v>
      </c>
      <c r="N96" s="21">
        <f t="shared" si="9"/>
        <v>2.7704586802474096</v>
      </c>
    </row>
    <row r="97" spans="1:14" x14ac:dyDescent="0.2">
      <c r="A97" s="25">
        <f>'GF + UG Iteration 13'!A97</f>
        <v>1634</v>
      </c>
      <c r="B97" s="25" t="str">
        <f>'GF + UG Iteration 13'!B97</f>
        <v>GF</v>
      </c>
      <c r="C97" s="18">
        <f>'GF + UG Iteration 13'!C97</f>
        <v>17.899999999999999</v>
      </c>
      <c r="D97" s="19">
        <f>'GF + UG Iteration 13'!D97</f>
        <v>17.172783979023848</v>
      </c>
      <c r="E97" s="30">
        <f>'GF + UG Iteration 13'!E97</f>
        <v>2015</v>
      </c>
      <c r="F97" s="18"/>
      <c r="G97" s="19"/>
      <c r="H97" s="20"/>
      <c r="I97" s="18">
        <f t="shared" si="5"/>
        <v>17.899999999999999</v>
      </c>
      <c r="J97" s="19">
        <f t="shared" si="6"/>
        <v>17.172783979023848</v>
      </c>
      <c r="K97" s="20">
        <f t="shared" si="7"/>
        <v>2015</v>
      </c>
      <c r="M97" s="21">
        <f t="shared" si="8"/>
        <v>2.884800712846709</v>
      </c>
      <c r="N97" s="21">
        <f t="shared" si="9"/>
        <v>2.8433258038172586</v>
      </c>
    </row>
    <row r="98" spans="1:14" x14ac:dyDescent="0.2">
      <c r="A98" s="25">
        <f>'GF + UG Iteration 13'!A98</f>
        <v>1258</v>
      </c>
      <c r="B98" s="25" t="str">
        <f>'GF + UG Iteration 13'!B98</f>
        <v>GF</v>
      </c>
      <c r="C98" s="18">
        <f>'GF + UG Iteration 13'!C98</f>
        <v>46</v>
      </c>
      <c r="D98" s="19">
        <f>'GF + UG Iteration 13'!D98</f>
        <v>53.518330212347877</v>
      </c>
      <c r="E98" s="30">
        <f>'GF + UG Iteration 13'!E98</f>
        <v>2017</v>
      </c>
      <c r="F98" s="18"/>
      <c r="G98" s="19"/>
      <c r="H98" s="20"/>
      <c r="I98" s="18">
        <f t="shared" si="5"/>
        <v>46</v>
      </c>
      <c r="J98" s="19">
        <f t="shared" si="6"/>
        <v>53.518330212347877</v>
      </c>
      <c r="K98" s="20">
        <f t="shared" si="7"/>
        <v>2017</v>
      </c>
      <c r="M98" s="21">
        <f t="shared" si="8"/>
        <v>3.8286413964890951</v>
      </c>
      <c r="N98" s="21">
        <f t="shared" si="9"/>
        <v>3.98002421601241</v>
      </c>
    </row>
    <row r="99" spans="1:14" x14ac:dyDescent="0.2">
      <c r="A99" s="25">
        <f>'GF + UG Iteration 13'!A99</f>
        <v>1284</v>
      </c>
      <c r="B99" s="25" t="str">
        <f>'GF + UG Iteration 13'!B99</f>
        <v>GF</v>
      </c>
      <c r="C99" s="18">
        <f>'GF + UG Iteration 13'!C99</f>
        <v>24.1</v>
      </c>
      <c r="D99" s="19">
        <f>'GF + UG Iteration 13'!D99</f>
        <v>7.0843108002972475</v>
      </c>
      <c r="E99" s="30">
        <f>'GF + UG Iteration 13'!E99</f>
        <v>2013</v>
      </c>
      <c r="F99" s="18"/>
      <c r="G99" s="19"/>
      <c r="H99" s="20"/>
      <c r="I99" s="18">
        <f t="shared" si="5"/>
        <v>24.1</v>
      </c>
      <c r="J99" s="19">
        <f t="shared" si="6"/>
        <v>7.0843108002972475</v>
      </c>
      <c r="K99" s="20">
        <f t="shared" si="7"/>
        <v>2013</v>
      </c>
      <c r="M99" s="21">
        <f t="shared" si="8"/>
        <v>3.1822118404966093</v>
      </c>
      <c r="N99" s="21">
        <f t="shared" si="9"/>
        <v>1.9578825925179175</v>
      </c>
    </row>
    <row r="100" spans="1:14" x14ac:dyDescent="0.2">
      <c r="A100" s="25" t="str">
        <f>'GF + UG Iteration 13'!A100</f>
        <v>Pre-01</v>
      </c>
      <c r="B100" s="25" t="str">
        <f>'GF + UG Iteration 13'!B100</f>
        <v>GF</v>
      </c>
      <c r="C100" s="18">
        <f>'GF + UG Iteration 13'!C100</f>
        <v>2.2000000000000002</v>
      </c>
      <c r="D100" s="19">
        <f>'GF + UG Iteration 13'!D100</f>
        <v>2.4933711786255444</v>
      </c>
      <c r="E100" s="30">
        <f>'GF + UG Iteration 13'!E100</f>
        <v>1990</v>
      </c>
      <c r="F100" s="18"/>
      <c r="G100" s="19"/>
      <c r="H100" s="20"/>
      <c r="I100" s="18">
        <f t="shared" si="5"/>
        <v>2.2000000000000002</v>
      </c>
      <c r="J100" s="19">
        <f t="shared" si="6"/>
        <v>2.4933711786255444</v>
      </c>
      <c r="K100" s="20">
        <f t="shared" si="7"/>
        <v>1990</v>
      </c>
      <c r="M100" s="21">
        <f t="shared" si="8"/>
        <v>0.78845736036427028</v>
      </c>
      <c r="N100" s="21">
        <f t="shared" si="9"/>
        <v>0.91363568179621524</v>
      </c>
    </row>
    <row r="101" spans="1:14" x14ac:dyDescent="0.2">
      <c r="A101" s="25" t="str">
        <f>'GF + UG Iteration 13'!A101</f>
        <v>Pre-02</v>
      </c>
      <c r="B101" s="25" t="str">
        <f>'GF + UG Iteration 13'!B101</f>
        <v>GF</v>
      </c>
      <c r="C101" s="18">
        <f>'GF + UG Iteration 13'!C101</f>
        <v>1.464</v>
      </c>
      <c r="D101" s="19">
        <f>'GF + UG Iteration 13'!D101</f>
        <v>1.4940223849019025</v>
      </c>
      <c r="E101" s="30">
        <f>'GF + UG Iteration 13'!E101</f>
        <v>1987</v>
      </c>
      <c r="F101" s="18"/>
      <c r="G101" s="19"/>
      <c r="H101" s="20"/>
      <c r="I101" s="18">
        <f t="shared" si="5"/>
        <v>1.464</v>
      </c>
      <c r="J101" s="19">
        <f t="shared" si="6"/>
        <v>1.4940223849019025</v>
      </c>
      <c r="K101" s="20">
        <f t="shared" si="7"/>
        <v>1987</v>
      </c>
      <c r="M101" s="21">
        <f t="shared" si="8"/>
        <v>0.38117241553911979</v>
      </c>
      <c r="N101" s="21">
        <f t="shared" si="9"/>
        <v>0.40147206979911648</v>
      </c>
    </row>
    <row r="102" spans="1:14" x14ac:dyDescent="0.2">
      <c r="A102" s="25" t="str">
        <f>'GF + UG Iteration 13'!A102</f>
        <v>Pre-03</v>
      </c>
      <c r="B102" s="25" t="str">
        <f>'GF + UG Iteration 13'!B102</f>
        <v>GF</v>
      </c>
      <c r="C102" s="18">
        <f>'GF + UG Iteration 13'!C102</f>
        <v>4.0750000000000002</v>
      </c>
      <c r="D102" s="19">
        <f>'GF + UG Iteration 13'!D102</f>
        <v>1.9369408873503524</v>
      </c>
      <c r="E102" s="30">
        <f>'GF + UG Iteration 13'!E102</f>
        <v>1990</v>
      </c>
      <c r="F102" s="18"/>
      <c r="G102" s="19"/>
      <c r="H102" s="20"/>
      <c r="I102" s="18">
        <f t="shared" si="5"/>
        <v>4.0750000000000002</v>
      </c>
      <c r="J102" s="19">
        <f t="shared" si="6"/>
        <v>1.9369408873503524</v>
      </c>
      <c r="K102" s="20">
        <f t="shared" si="7"/>
        <v>1990</v>
      </c>
      <c r="M102" s="21">
        <f t="shared" si="8"/>
        <v>1.4048707466928261</v>
      </c>
      <c r="N102" s="21">
        <f t="shared" si="9"/>
        <v>0.66110986632901214</v>
      </c>
    </row>
    <row r="103" spans="1:14" x14ac:dyDescent="0.2">
      <c r="A103" s="25" t="str">
        <f>'GF + UG Iteration 13'!A103</f>
        <v>Pre-04</v>
      </c>
      <c r="B103" s="25" t="str">
        <f>'GF + UG Iteration 13'!B103</f>
        <v>GF</v>
      </c>
      <c r="C103" s="18">
        <f>'GF + UG Iteration 13'!C103</f>
        <v>10</v>
      </c>
      <c r="D103" s="19">
        <f>'GF + UG Iteration 13'!D103</f>
        <v>8.526519330793306</v>
      </c>
      <c r="E103" s="30">
        <f>'GF + UG Iteration 13'!E103</f>
        <v>1991</v>
      </c>
      <c r="F103" s="18"/>
      <c r="G103" s="19"/>
      <c r="H103" s="20"/>
      <c r="I103" s="18">
        <f t="shared" si="5"/>
        <v>10</v>
      </c>
      <c r="J103" s="19">
        <f t="shared" si="6"/>
        <v>8.526519330793306</v>
      </c>
      <c r="K103" s="20">
        <f t="shared" si="7"/>
        <v>1991</v>
      </c>
      <c r="M103" s="21">
        <f t="shared" si="8"/>
        <v>2.3025850929940459</v>
      </c>
      <c r="N103" s="21">
        <f t="shared" si="9"/>
        <v>2.143181227911088</v>
      </c>
    </row>
    <row r="104" spans="1:14" x14ac:dyDescent="0.2">
      <c r="A104" s="25" t="str">
        <f>'GF + UG Iteration 13'!A104</f>
        <v>Pre-05</v>
      </c>
      <c r="B104" s="25" t="str">
        <f>'GF + UG Iteration 13'!B104</f>
        <v>GF</v>
      </c>
      <c r="C104" s="18">
        <f>'GF + UG Iteration 13'!C104</f>
        <v>4.8</v>
      </c>
      <c r="D104" s="19">
        <f>'GF + UG Iteration 13'!D104</f>
        <v>4.0521826998299986</v>
      </c>
      <c r="E104" s="30">
        <f>'GF + UG Iteration 13'!E104</f>
        <v>1988</v>
      </c>
      <c r="F104" s="18"/>
      <c r="G104" s="19"/>
      <c r="H104" s="20"/>
      <c r="I104" s="18">
        <f t="shared" si="5"/>
        <v>4.8</v>
      </c>
      <c r="J104" s="19">
        <f t="shared" si="6"/>
        <v>4.0521826998299986</v>
      </c>
      <c r="K104" s="20">
        <f t="shared" si="7"/>
        <v>1988</v>
      </c>
      <c r="M104" s="21">
        <f t="shared" si="8"/>
        <v>1.5686159179138452</v>
      </c>
      <c r="N104" s="21">
        <f t="shared" si="9"/>
        <v>1.3992556741730273</v>
      </c>
    </row>
    <row r="105" spans="1:14" x14ac:dyDescent="0.2">
      <c r="A105" s="25" t="str">
        <f>'GF + UG Iteration 13'!A105</f>
        <v>Pre-06</v>
      </c>
      <c r="B105" s="25" t="str">
        <f>'GF + UG Iteration 13'!B105</f>
        <v>GF</v>
      </c>
      <c r="C105" s="18">
        <f>'GF + UG Iteration 13'!C105</f>
        <v>5.0999999999999996</v>
      </c>
      <c r="D105" s="19">
        <f>'GF + UG Iteration 13'!D105</f>
        <v>9.6482174286466869</v>
      </c>
      <c r="E105" s="30">
        <f>'GF + UG Iteration 13'!E105</f>
        <v>1989</v>
      </c>
      <c r="F105" s="18"/>
      <c r="G105" s="19"/>
      <c r="H105" s="20"/>
      <c r="I105" s="18">
        <f t="shared" si="5"/>
        <v>5.0999999999999996</v>
      </c>
      <c r="J105" s="19">
        <f t="shared" si="6"/>
        <v>9.6482174286466869</v>
      </c>
      <c r="K105" s="20">
        <f t="shared" si="7"/>
        <v>1989</v>
      </c>
      <c r="M105" s="21">
        <f t="shared" si="8"/>
        <v>1.62924053973028</v>
      </c>
      <c r="N105" s="21">
        <f t="shared" si="9"/>
        <v>2.2667731758675744</v>
      </c>
    </row>
    <row r="106" spans="1:14" x14ac:dyDescent="0.2">
      <c r="A106" s="25" t="str">
        <f>'GF + UG Iteration 13'!A106</f>
        <v>Pre-07</v>
      </c>
      <c r="B106" s="25" t="str">
        <f>'GF + UG Iteration 13'!B106</f>
        <v>GF</v>
      </c>
      <c r="C106" s="18">
        <f>'GF + UG Iteration 13'!C106</f>
        <v>6.9</v>
      </c>
      <c r="D106" s="19">
        <f>'GF + UG Iteration 13'!D106</f>
        <v>5.029432718717521</v>
      </c>
      <c r="E106" s="30">
        <f>'GF + UG Iteration 13'!E106</f>
        <v>1997</v>
      </c>
      <c r="F106" s="18"/>
      <c r="G106" s="19"/>
      <c r="H106" s="20"/>
      <c r="I106" s="18">
        <f t="shared" si="5"/>
        <v>6.9</v>
      </c>
      <c r="J106" s="19">
        <f t="shared" si="6"/>
        <v>5.029432718717521</v>
      </c>
      <c r="K106" s="20">
        <f t="shared" si="7"/>
        <v>1997</v>
      </c>
      <c r="M106" s="21">
        <f t="shared" si="8"/>
        <v>1.9315214116032138</v>
      </c>
      <c r="N106" s="21">
        <f t="shared" si="9"/>
        <v>1.6153071981725313</v>
      </c>
    </row>
    <row r="107" spans="1:14" x14ac:dyDescent="0.2">
      <c r="A107" s="25" t="str">
        <f>'GF + UG Iteration 13'!A107</f>
        <v>Pre-08</v>
      </c>
      <c r="B107" s="25" t="str">
        <f>'GF + UG Iteration 13'!B107</f>
        <v>GF</v>
      </c>
      <c r="C107" s="18">
        <f>'GF + UG Iteration 13'!C107</f>
        <v>11.8</v>
      </c>
      <c r="D107" s="19">
        <f>'GF + UG Iteration 13'!D107</f>
        <v>6.372939235597177</v>
      </c>
      <c r="E107" s="30">
        <f>'GF + UG Iteration 13'!E107</f>
        <v>1987</v>
      </c>
      <c r="F107" s="18"/>
      <c r="G107" s="19"/>
      <c r="H107" s="20"/>
      <c r="I107" s="18">
        <f t="shared" si="5"/>
        <v>11.8</v>
      </c>
      <c r="J107" s="19">
        <f t="shared" si="6"/>
        <v>6.372939235597177</v>
      </c>
      <c r="K107" s="20">
        <f t="shared" si="7"/>
        <v>1987</v>
      </c>
      <c r="M107" s="21">
        <f t="shared" si="8"/>
        <v>2.4680995314716192</v>
      </c>
      <c r="N107" s="21">
        <f t="shared" si="9"/>
        <v>1.8520607816244041</v>
      </c>
    </row>
    <row r="108" spans="1:14" x14ac:dyDescent="0.2">
      <c r="A108" s="25" t="str">
        <f>'GF + UG Iteration 13'!A108</f>
        <v>Pre-09</v>
      </c>
      <c r="B108" s="25" t="str">
        <f>'GF + UG Iteration 13'!B108</f>
        <v>GF</v>
      </c>
      <c r="C108" s="18">
        <f>'GF + UG Iteration 13'!C108</f>
        <v>9.6999999999999993</v>
      </c>
      <c r="D108" s="19">
        <f>'GF + UG Iteration 13'!D108</f>
        <v>2.9443376052628771</v>
      </c>
      <c r="E108" s="30">
        <f>'GF + UG Iteration 13'!E108</f>
        <v>1997</v>
      </c>
      <c r="F108" s="18"/>
      <c r="G108" s="19"/>
      <c r="H108" s="20"/>
      <c r="I108" s="18">
        <f t="shared" si="5"/>
        <v>9.6999999999999993</v>
      </c>
      <c r="J108" s="19">
        <f t="shared" si="6"/>
        <v>2.9443376052628771</v>
      </c>
      <c r="K108" s="20">
        <f t="shared" si="7"/>
        <v>1997</v>
      </c>
      <c r="M108" s="21">
        <f t="shared" si="8"/>
        <v>2.2721258855093369</v>
      </c>
      <c r="N108" s="21">
        <f t="shared" si="9"/>
        <v>1.0798838699925799</v>
      </c>
    </row>
    <row r="109" spans="1:14" x14ac:dyDescent="0.2">
      <c r="A109" s="25" t="str">
        <f>'GF + UG Iteration 13'!A109</f>
        <v>Pre-10</v>
      </c>
      <c r="B109" s="25" t="str">
        <f>'GF + UG Iteration 13'!B109</f>
        <v>GF</v>
      </c>
      <c r="C109" s="18">
        <f>'GF + UG Iteration 13'!C109</f>
        <v>6.12</v>
      </c>
      <c r="D109" s="19">
        <f>'GF + UG Iteration 13'!D109</f>
        <v>13.481108575958453</v>
      </c>
      <c r="E109" s="30">
        <f>'GF + UG Iteration 13'!E109</f>
        <v>1990</v>
      </c>
      <c r="F109" s="18"/>
      <c r="G109" s="19"/>
      <c r="H109" s="20"/>
      <c r="I109" s="18">
        <f t="shared" si="5"/>
        <v>6.12</v>
      </c>
      <c r="J109" s="19">
        <f t="shared" si="6"/>
        <v>13.481108575958453</v>
      </c>
      <c r="K109" s="20">
        <f t="shared" si="7"/>
        <v>1990</v>
      </c>
      <c r="M109" s="21">
        <f t="shared" si="8"/>
        <v>1.8115620965242347</v>
      </c>
      <c r="N109" s="21">
        <f t="shared" si="9"/>
        <v>2.6012893406753403</v>
      </c>
    </row>
    <row r="110" spans="1:14" x14ac:dyDescent="0.2">
      <c r="A110" s="25" t="str">
        <f>'GF + UG Iteration 13'!A110</f>
        <v>Pre-11</v>
      </c>
      <c r="B110" s="25" t="str">
        <f>'GF + UG Iteration 13'!B110</f>
        <v>GF</v>
      </c>
      <c r="C110" s="18">
        <f>'GF + UG Iteration 13'!C110</f>
        <v>6.2671999999999999</v>
      </c>
      <c r="D110" s="19">
        <f>'GF + UG Iteration 13'!D110</f>
        <v>2.9102311039234974</v>
      </c>
      <c r="E110" s="30">
        <f>'GF + UG Iteration 13'!E110</f>
        <v>1987</v>
      </c>
      <c r="F110" s="18"/>
      <c r="G110" s="19"/>
      <c r="H110" s="20"/>
      <c r="I110" s="18">
        <f t="shared" si="5"/>
        <v>6.2671999999999999</v>
      </c>
      <c r="J110" s="19">
        <f t="shared" si="6"/>
        <v>2.9102311039234974</v>
      </c>
      <c r="K110" s="20">
        <f t="shared" si="7"/>
        <v>1987</v>
      </c>
      <c r="M110" s="21">
        <f t="shared" si="8"/>
        <v>1.8353296839294297</v>
      </c>
      <c r="N110" s="21">
        <f t="shared" si="9"/>
        <v>1.0682324951858668</v>
      </c>
    </row>
    <row r="111" spans="1:14" x14ac:dyDescent="0.2">
      <c r="A111" s="25" t="str">
        <f>'GF + UG Iteration 13'!A111</f>
        <v>Pre-12</v>
      </c>
      <c r="B111" s="25" t="str">
        <f>'GF + UG Iteration 13'!B111</f>
        <v>GF</v>
      </c>
      <c r="C111" s="18">
        <f>'GF + UG Iteration 13'!C111</f>
        <v>6.3659999999999997</v>
      </c>
      <c r="D111" s="19">
        <f>'GF + UG Iteration 13'!D111</f>
        <v>9.8906921245327926</v>
      </c>
      <c r="E111" s="30">
        <f>'GF + UG Iteration 13'!E111</f>
        <v>1993</v>
      </c>
      <c r="F111" s="18"/>
      <c r="G111" s="19"/>
      <c r="H111" s="20"/>
      <c r="I111" s="18">
        <f t="shared" si="5"/>
        <v>6.3659999999999997</v>
      </c>
      <c r="J111" s="19">
        <f t="shared" si="6"/>
        <v>9.8906921245327926</v>
      </c>
      <c r="K111" s="20">
        <f t="shared" si="7"/>
        <v>1993</v>
      </c>
      <c r="M111" s="21">
        <f t="shared" si="8"/>
        <v>1.850971328859901</v>
      </c>
      <c r="N111" s="21">
        <f t="shared" si="9"/>
        <v>2.2915941254440955</v>
      </c>
    </row>
    <row r="112" spans="1:14" x14ac:dyDescent="0.2">
      <c r="A112" s="25" t="str">
        <f>'GF + UG Iteration 13'!A112</f>
        <v>Pre-13</v>
      </c>
      <c r="B112" s="25" t="str">
        <f>'GF + UG Iteration 13'!B112</f>
        <v>GF</v>
      </c>
      <c r="C112" s="18">
        <f>'GF + UG Iteration 13'!C112</f>
        <v>8.5</v>
      </c>
      <c r="D112" s="19">
        <f>'GF + UG Iteration 13'!D112</f>
        <v>5.9446476688134462</v>
      </c>
      <c r="E112" s="30">
        <f>'GF + UG Iteration 13'!E112</f>
        <v>1990</v>
      </c>
      <c r="F112" s="18"/>
      <c r="G112" s="19"/>
      <c r="H112" s="20"/>
      <c r="I112" s="18">
        <f t="shared" si="5"/>
        <v>8.5</v>
      </c>
      <c r="J112" s="19">
        <f t="shared" si="6"/>
        <v>5.9446476688134462</v>
      </c>
      <c r="K112" s="20">
        <f t="shared" si="7"/>
        <v>1990</v>
      </c>
      <c r="M112" s="21">
        <f t="shared" si="8"/>
        <v>2.1400661634962708</v>
      </c>
      <c r="N112" s="21">
        <f t="shared" si="9"/>
        <v>1.7824912632583982</v>
      </c>
    </row>
    <row r="113" spans="1:14" x14ac:dyDescent="0.2">
      <c r="A113" s="25" t="str">
        <f>'GF + UG Iteration 13'!A113</f>
        <v>Pre-14</v>
      </c>
      <c r="B113" s="25" t="str">
        <f>'GF + UG Iteration 13'!B113</f>
        <v>GF</v>
      </c>
      <c r="C113" s="18">
        <f>'GF + UG Iteration 13'!C113</f>
        <v>46.55</v>
      </c>
      <c r="D113" s="19">
        <f>'GF + UG Iteration 13'!D113</f>
        <v>7.1936227504100643</v>
      </c>
      <c r="E113" s="30">
        <f>'GF + UG Iteration 13'!E113</f>
        <v>1991</v>
      </c>
      <c r="F113" s="18"/>
      <c r="G113" s="19"/>
      <c r="H113" s="20"/>
      <c r="I113" s="18">
        <f t="shared" si="5"/>
        <v>46.55</v>
      </c>
      <c r="J113" s="19">
        <f t="shared" si="6"/>
        <v>7.1936227504100643</v>
      </c>
      <c r="K113" s="20">
        <f t="shared" si="7"/>
        <v>1991</v>
      </c>
      <c r="M113" s="21">
        <f t="shared" si="8"/>
        <v>3.8405270037230759</v>
      </c>
      <c r="N113" s="21">
        <f t="shared" si="9"/>
        <v>1.9731949044224915</v>
      </c>
    </row>
    <row r="114" spans="1:14" x14ac:dyDescent="0.2">
      <c r="A114" s="25" t="str">
        <f>'GF + UG Iteration 13'!A114</f>
        <v>Pre-15</v>
      </c>
      <c r="B114" s="25" t="str">
        <f>'GF + UG Iteration 13'!B114</f>
        <v>GF</v>
      </c>
      <c r="C114" s="18">
        <f>'GF + UG Iteration 13'!C114</f>
        <v>56.8</v>
      </c>
      <c r="D114" s="19">
        <f>'GF + UG Iteration 13'!D114</f>
        <v>17.594466678549747</v>
      </c>
      <c r="E114" s="30">
        <f>'GF + UG Iteration 13'!E114</f>
        <v>1990</v>
      </c>
      <c r="F114" s="18"/>
      <c r="G114" s="19"/>
      <c r="H114" s="20"/>
      <c r="I114" s="18">
        <f t="shared" si="5"/>
        <v>56.8</v>
      </c>
      <c r="J114" s="19">
        <f t="shared" si="6"/>
        <v>17.594466678549747</v>
      </c>
      <c r="K114" s="20">
        <f t="shared" si="7"/>
        <v>1990</v>
      </c>
      <c r="M114" s="21">
        <f t="shared" si="8"/>
        <v>4.0395363257271057</v>
      </c>
      <c r="N114" s="21">
        <f t="shared" si="9"/>
        <v>2.867584459347964</v>
      </c>
    </row>
    <row r="115" spans="1:14" x14ac:dyDescent="0.2">
      <c r="A115" s="25" t="str">
        <f>'GF + UG Iteration 13'!A115</f>
        <v>Pre-16</v>
      </c>
      <c r="B115" s="25" t="str">
        <f>'GF + UG Iteration 13'!B115</f>
        <v>GF</v>
      </c>
      <c r="C115" s="18">
        <f>'GF + UG Iteration 13'!C115</f>
        <v>81.575999999999993</v>
      </c>
      <c r="D115" s="19">
        <f>'GF + UG Iteration 13'!D115</f>
        <v>14.026199251012313</v>
      </c>
      <c r="E115" s="30">
        <f>'GF + UG Iteration 13'!E115</f>
        <v>1988</v>
      </c>
      <c r="F115" s="18"/>
      <c r="G115" s="19"/>
      <c r="H115" s="20"/>
      <c r="I115" s="18">
        <f t="shared" si="5"/>
        <v>81.575999999999993</v>
      </c>
      <c r="J115" s="19">
        <f t="shared" si="6"/>
        <v>14.026199251012313</v>
      </c>
      <c r="K115" s="20">
        <f t="shared" si="7"/>
        <v>1988</v>
      </c>
      <c r="M115" s="21">
        <f t="shared" si="8"/>
        <v>4.4015351010619241</v>
      </c>
      <c r="N115" s="21">
        <f t="shared" si="9"/>
        <v>2.6409269558467208</v>
      </c>
    </row>
    <row r="116" spans="1:14" x14ac:dyDescent="0.2">
      <c r="A116" s="25" t="str">
        <f>'GF + UG Iteration 13'!A116</f>
        <v>Pre-17</v>
      </c>
      <c r="B116" s="25" t="str">
        <f>'GF + UG Iteration 13'!B116</f>
        <v>GF</v>
      </c>
      <c r="C116" s="18">
        <f>'GF + UG Iteration 13'!C116</f>
        <v>95.2</v>
      </c>
      <c r="D116" s="19">
        <f>'GF + UG Iteration 13'!D116</f>
        <v>14.219904176944949</v>
      </c>
      <c r="E116" s="30">
        <f>'GF + UG Iteration 13'!E116</f>
        <v>1999</v>
      </c>
      <c r="F116" s="18"/>
      <c r="G116" s="19"/>
      <c r="H116" s="20"/>
      <c r="I116" s="18">
        <f t="shared" si="5"/>
        <v>95.2</v>
      </c>
      <c r="J116" s="19">
        <f t="shared" si="6"/>
        <v>14.219904176944949</v>
      </c>
      <c r="K116" s="20">
        <f t="shared" si="7"/>
        <v>1999</v>
      </c>
      <c r="M116" s="21">
        <f t="shared" si="8"/>
        <v>4.5559799417973199</v>
      </c>
      <c r="N116" s="21">
        <f t="shared" si="9"/>
        <v>2.654642685740924</v>
      </c>
    </row>
    <row r="117" spans="1:14" x14ac:dyDescent="0.2">
      <c r="A117" s="25" t="str">
        <f>'GF + UG Iteration 13'!A117</f>
        <v>Pre-18</v>
      </c>
      <c r="B117" s="25" t="str">
        <f>'GF + UG Iteration 13'!B117</f>
        <v>GF</v>
      </c>
      <c r="C117" s="18">
        <f>'GF + UG Iteration 13'!C117</f>
        <v>122.77200000000001</v>
      </c>
      <c r="D117" s="19">
        <f>'GF + UG Iteration 13'!D117</f>
        <v>23.447549869052086</v>
      </c>
      <c r="E117" s="30">
        <f>'GF + UG Iteration 13'!E117</f>
        <v>1990</v>
      </c>
      <c r="F117" s="18"/>
      <c r="G117" s="19"/>
      <c r="H117" s="20"/>
      <c r="I117" s="18">
        <f t="shared" si="5"/>
        <v>122.77200000000001</v>
      </c>
      <c r="J117" s="19">
        <f t="shared" si="6"/>
        <v>23.447549869052086</v>
      </c>
      <c r="K117" s="20">
        <f t="shared" si="7"/>
        <v>1990</v>
      </c>
      <c r="M117" s="21">
        <f t="shared" si="8"/>
        <v>4.8103289766848034</v>
      </c>
      <c r="N117" s="21">
        <f t="shared" si="9"/>
        <v>3.1547660062374661</v>
      </c>
    </row>
    <row r="118" spans="1:14" x14ac:dyDescent="0.2">
      <c r="A118" s="33">
        <f>'GF + UG Iteration 13'!A118</f>
        <v>1184</v>
      </c>
      <c r="B118" s="34" t="str">
        <f>'GF + UG Iteration 13'!B118</f>
        <v>UG</v>
      </c>
      <c r="C118" s="35">
        <f>'GF + UG Iteration 13'!C118</f>
        <v>30</v>
      </c>
      <c r="D118" s="36">
        <f>'GF + UG Iteration 13'!P$16*(C118^'GF + UG Iteration 13'!P$15)</f>
        <v>17.908748174448405</v>
      </c>
      <c r="E118" s="37">
        <f>'GF + UG Iteration 13'!E118</f>
        <v>2013</v>
      </c>
      <c r="F118" s="35">
        <f>'GF + UG Iteration 13'!F118</f>
        <v>18.200000000000003</v>
      </c>
      <c r="G118" s="36">
        <f>'GF + UG Iteration 13'!G118</f>
        <v>18.869341885211266</v>
      </c>
      <c r="H118" s="38">
        <f>'GF + UG Iteration 13'!H118</f>
        <v>2012</v>
      </c>
      <c r="I118" s="35">
        <f>C118+F118</f>
        <v>48.2</v>
      </c>
      <c r="J118" s="36">
        <f>D118+G118</f>
        <v>36.778090059659675</v>
      </c>
      <c r="K118" s="38">
        <f>MAX(E118,H118)</f>
        <v>2013</v>
      </c>
      <c r="M118" s="21">
        <f t="shared" si="8"/>
        <v>3.8753590210565547</v>
      </c>
      <c r="N118" s="21">
        <f t="shared" si="9"/>
        <v>3.604902289052943</v>
      </c>
    </row>
    <row r="119" spans="1:14" x14ac:dyDescent="0.2">
      <c r="A119" s="33">
        <f>'GF + UG Iteration 13'!A119</f>
        <v>1481</v>
      </c>
      <c r="B119" s="34" t="str">
        <f>'GF + UG Iteration 13'!B119</f>
        <v>UG</v>
      </c>
      <c r="C119" s="35">
        <f>'GF + UG Iteration 13'!C119</f>
        <v>48.2</v>
      </c>
      <c r="D119" s="36">
        <f>'GF + UG Iteration 13'!P$16*(C119^'GF + UG Iteration 13'!P$15)</f>
        <v>23.495172412366156</v>
      </c>
      <c r="E119" s="37">
        <f>'GF + UG Iteration 13'!E119</f>
        <v>2013</v>
      </c>
      <c r="F119" s="35">
        <f>'GF + UG Iteration 13'!F119</f>
        <v>0</v>
      </c>
      <c r="G119" s="36">
        <f>'GF + UG Iteration 13'!G119</f>
        <v>1.1114331301697908</v>
      </c>
      <c r="H119" s="38">
        <f>'GF + UG Iteration 13'!H119</f>
        <v>2014</v>
      </c>
      <c r="I119" s="35">
        <f t="shared" ref="I119:I183" si="10">C119+F119</f>
        <v>48.2</v>
      </c>
      <c r="J119" s="36">
        <f t="shared" ref="J119:J183" si="11">D119+G119</f>
        <v>24.606605542535945</v>
      </c>
      <c r="K119" s="38">
        <f t="shared" ref="K119:K183" si="12">MAX(E119,H119)</f>
        <v>2014</v>
      </c>
      <c r="M119" s="21">
        <f t="shared" si="8"/>
        <v>3.8753590210565547</v>
      </c>
      <c r="N119" s="21">
        <f t="shared" si="9"/>
        <v>3.2030149248830804</v>
      </c>
    </row>
    <row r="120" spans="1:14" x14ac:dyDescent="0.2">
      <c r="A120" s="33">
        <f>'GF + UG Iteration 13'!A120</f>
        <v>457</v>
      </c>
      <c r="B120" s="34" t="str">
        <f>'GF + UG Iteration 13'!B120</f>
        <v>UG</v>
      </c>
      <c r="C120" s="35">
        <f>'GF + UG Iteration 13'!C120</f>
        <v>10.77</v>
      </c>
      <c r="D120" s="36">
        <f>'GF + UG Iteration 13'!P$16*(C120^'GF + UG Iteration 13'!P$15)</f>
        <v>9.9611999139716225</v>
      </c>
      <c r="E120" s="37">
        <f>'GF + UG Iteration 13'!E120</f>
        <v>1990</v>
      </c>
      <c r="F120" s="35">
        <f>'GF + UG Iteration 13'!F120</f>
        <v>10</v>
      </c>
      <c r="G120" s="36">
        <f>'GF + UG Iteration 13'!G120</f>
        <v>3.289132084924363</v>
      </c>
      <c r="H120" s="38">
        <f>'GF + UG Iteration 13'!H120</f>
        <v>2006</v>
      </c>
      <c r="I120" s="35">
        <f t="shared" si="10"/>
        <v>20.77</v>
      </c>
      <c r="J120" s="36">
        <f t="shared" si="11"/>
        <v>13.250331998895986</v>
      </c>
      <c r="K120" s="38">
        <f t="shared" si="12"/>
        <v>2006</v>
      </c>
      <c r="M120" s="21">
        <f t="shared" si="8"/>
        <v>3.0335096378880211</v>
      </c>
      <c r="N120" s="21">
        <f t="shared" si="9"/>
        <v>2.5840226086387736</v>
      </c>
    </row>
    <row r="121" spans="1:14" x14ac:dyDescent="0.2">
      <c r="A121" s="33">
        <f>'GF + UG Iteration 13'!A121</f>
        <v>407</v>
      </c>
      <c r="B121" s="34" t="str">
        <f>'GF + UG Iteration 13'!B121</f>
        <v>UG</v>
      </c>
      <c r="C121" s="35">
        <f>'GF + UG Iteration 13'!C121</f>
        <v>25.4</v>
      </c>
      <c r="D121" s="36">
        <f>'GF + UG Iteration 13'!P$16*(C121^'GF + UG Iteration 13'!P$15)</f>
        <v>16.280707691925514</v>
      </c>
      <c r="E121" s="37">
        <f>'GF + UG Iteration 13'!E121</f>
        <v>1982</v>
      </c>
      <c r="F121" s="35">
        <f>'GF + UG Iteration 13'!F121</f>
        <v>2</v>
      </c>
      <c r="G121" s="36">
        <f>'GF + UG Iteration 13'!G121</f>
        <v>0.60106525862386018</v>
      </c>
      <c r="H121" s="38">
        <f>'GF + UG Iteration 13'!H121</f>
        <v>2004</v>
      </c>
      <c r="I121" s="35">
        <f t="shared" si="10"/>
        <v>27.4</v>
      </c>
      <c r="J121" s="36">
        <f t="shared" si="11"/>
        <v>16.881772950549372</v>
      </c>
      <c r="K121" s="38">
        <f t="shared" si="12"/>
        <v>2004</v>
      </c>
      <c r="M121" s="21">
        <f t="shared" si="8"/>
        <v>3.3105430133940246</v>
      </c>
      <c r="N121" s="21">
        <f t="shared" si="9"/>
        <v>2.8262345162677565</v>
      </c>
    </row>
    <row r="122" spans="1:14" x14ac:dyDescent="0.2">
      <c r="A122" s="33">
        <f>'GF + UG Iteration 13'!A122</f>
        <v>706</v>
      </c>
      <c r="B122" s="34" t="str">
        <f>'GF + UG Iteration 13'!B122</f>
        <v>UG</v>
      </c>
      <c r="C122" s="35">
        <f>'GF + UG Iteration 13'!C122</f>
        <v>14.85</v>
      </c>
      <c r="D122" s="36">
        <f>'GF + UG Iteration 13'!P$16*(C122^'GF + UG Iteration 13'!P$15)</f>
        <v>11.972799703277873</v>
      </c>
      <c r="E122" s="37">
        <f>'GF + UG Iteration 13'!E122</f>
        <v>1984</v>
      </c>
      <c r="F122" s="35">
        <f>'GF + UG Iteration 13'!F122</f>
        <v>14.250000000000002</v>
      </c>
      <c r="G122" s="36">
        <f>'GF + UG Iteration 13'!G122</f>
        <v>5.8346214151737739</v>
      </c>
      <c r="H122" s="38">
        <f>'GF + UG Iteration 13'!H122</f>
        <v>2008</v>
      </c>
      <c r="I122" s="35">
        <f t="shared" si="10"/>
        <v>29.1</v>
      </c>
      <c r="J122" s="36">
        <f t="shared" si="11"/>
        <v>17.807421118451646</v>
      </c>
      <c r="K122" s="38">
        <f t="shared" si="12"/>
        <v>2008</v>
      </c>
      <c r="M122" s="21">
        <f t="shared" si="8"/>
        <v>3.3707381741774469</v>
      </c>
      <c r="N122" s="21">
        <f t="shared" si="9"/>
        <v>2.8796152871793392</v>
      </c>
    </row>
    <row r="123" spans="1:14" x14ac:dyDescent="0.2">
      <c r="A123" s="33">
        <f>'GF + UG Iteration 13'!A123</f>
        <v>1070</v>
      </c>
      <c r="B123" s="34" t="str">
        <f>'GF + UG Iteration 13'!B123</f>
        <v>UG</v>
      </c>
      <c r="C123" s="35">
        <f>'GF + UG Iteration 13'!C123</f>
        <v>34</v>
      </c>
      <c r="D123" s="36">
        <f>'GF + UG Iteration 13'!P$16*(C123^'GF + UG Iteration 13'!P$15)</f>
        <v>19.239354949369289</v>
      </c>
      <c r="E123" s="37">
        <f>'GF + UG Iteration 13'!E123</f>
        <v>1984</v>
      </c>
      <c r="F123" s="35">
        <f>'GF + UG Iteration 13'!F123</f>
        <v>4.8999999999999986</v>
      </c>
      <c r="G123" s="36">
        <f>'GF + UG Iteration 13'!G123</f>
        <v>0.83607952853202894</v>
      </c>
      <c r="H123" s="38">
        <f>'GF + UG Iteration 13'!H123</f>
        <v>2011</v>
      </c>
      <c r="I123" s="35">
        <f t="shared" si="10"/>
        <v>38.9</v>
      </c>
      <c r="J123" s="36">
        <f t="shared" si="11"/>
        <v>20.075434477901318</v>
      </c>
      <c r="K123" s="38">
        <f t="shared" si="12"/>
        <v>2011</v>
      </c>
      <c r="M123" s="21">
        <f t="shared" si="8"/>
        <v>3.6609942506244004</v>
      </c>
      <c r="N123" s="21">
        <f t="shared" si="9"/>
        <v>2.9994969023334352</v>
      </c>
    </row>
    <row r="124" spans="1:14" x14ac:dyDescent="0.2">
      <c r="A124" s="33">
        <f>'GF + UG Iteration 13'!A124</f>
        <v>1264</v>
      </c>
      <c r="B124" s="34" t="str">
        <f>'GF + UG Iteration 13'!B124</f>
        <v>UG</v>
      </c>
      <c r="C124" s="35">
        <f>'GF + UG Iteration 13'!C124</f>
        <v>38.9</v>
      </c>
      <c r="D124" s="36">
        <f>'GF + UG Iteration 13'!P$16*(C124^'GF + UG Iteration 13'!P$15)</f>
        <v>20.781213631171433</v>
      </c>
      <c r="E124" s="37">
        <f>'GF + UG Iteration 13'!E124</f>
        <v>1984</v>
      </c>
      <c r="F124" s="35">
        <f>'GF + UG Iteration 13'!F124</f>
        <v>7.2000000000000028</v>
      </c>
      <c r="G124" s="36">
        <f>'GF + UG Iteration 13'!G124</f>
        <v>8.0578720930203094</v>
      </c>
      <c r="H124" s="38">
        <f>'GF + UG Iteration 13'!H124</f>
        <v>2013</v>
      </c>
      <c r="I124" s="35">
        <f t="shared" si="10"/>
        <v>46.1</v>
      </c>
      <c r="J124" s="36">
        <f t="shared" si="11"/>
        <v>28.83908572419174</v>
      </c>
      <c r="K124" s="38">
        <f t="shared" si="12"/>
        <v>2013</v>
      </c>
      <c r="M124" s="21">
        <f t="shared" si="8"/>
        <v>3.8308129500026027</v>
      </c>
      <c r="N124" s="21">
        <f t="shared" si="9"/>
        <v>3.3617316102565336</v>
      </c>
    </row>
    <row r="125" spans="1:14" x14ac:dyDescent="0.2">
      <c r="A125" s="33">
        <f>'GF + UG Iteration 13'!A125</f>
        <v>1208</v>
      </c>
      <c r="B125" s="34" t="str">
        <f>'GF + UG Iteration 13'!B125</f>
        <v>UG</v>
      </c>
      <c r="C125" s="35">
        <f>'GF + UG Iteration 13'!C125</f>
        <v>14.1</v>
      </c>
      <c r="D125" s="36">
        <f>'GF + UG Iteration 13'!P$16*(C125^'GF + UG Iteration 13'!P$15)</f>
        <v>11.622725488601075</v>
      </c>
      <c r="E125" s="37">
        <f>'GF + UG Iteration 13'!E125</f>
        <v>1961</v>
      </c>
      <c r="F125" s="35">
        <f>'GF + UG Iteration 13'!F125</f>
        <v>11.500000000000002</v>
      </c>
      <c r="G125" s="36">
        <f>'GF + UG Iteration 13'!G125</f>
        <v>2.7992110812000917</v>
      </c>
      <c r="H125" s="38">
        <f>'GF + UG Iteration 13'!H125</f>
        <v>2012</v>
      </c>
      <c r="I125" s="35">
        <f t="shared" si="10"/>
        <v>25.6</v>
      </c>
      <c r="J125" s="36">
        <f t="shared" si="11"/>
        <v>14.421936569801167</v>
      </c>
      <c r="K125" s="38">
        <f t="shared" si="12"/>
        <v>2012</v>
      </c>
      <c r="M125" s="21">
        <f t="shared" si="8"/>
        <v>3.2425923514855168</v>
      </c>
      <c r="N125" s="21">
        <f t="shared" si="9"/>
        <v>2.6687504203293813</v>
      </c>
    </row>
    <row r="126" spans="1:14" x14ac:dyDescent="0.2">
      <c r="A126" s="33">
        <f>'GF + UG Iteration 13'!A126</f>
        <v>655</v>
      </c>
      <c r="B126" s="34" t="str">
        <f>'GF + UG Iteration 13'!B126</f>
        <v>UG</v>
      </c>
      <c r="C126" s="35">
        <f>'GF + UG Iteration 13'!C126</f>
        <v>12.052999999999999</v>
      </c>
      <c r="D126" s="36">
        <f>'GF + UG Iteration 13'!P$16*(C126^'GF + UG Iteration 13'!P$15)</f>
        <v>10.624294559106255</v>
      </c>
      <c r="E126" s="37">
        <f>'GF + UG Iteration 13'!E126</f>
        <v>1974</v>
      </c>
      <c r="F126" s="35">
        <f>'GF + UG Iteration 13'!F126</f>
        <v>2.3390000000000004</v>
      </c>
      <c r="G126" s="36">
        <f>'GF + UG Iteration 13'!G126</f>
        <v>0.59464786373478107</v>
      </c>
      <c r="H126" s="38">
        <f>'GF + UG Iteration 13'!H126</f>
        <v>2007</v>
      </c>
      <c r="I126" s="35">
        <f t="shared" si="10"/>
        <v>14.391999999999999</v>
      </c>
      <c r="J126" s="36">
        <f t="shared" si="11"/>
        <v>11.218942422841037</v>
      </c>
      <c r="K126" s="38">
        <f t="shared" si="12"/>
        <v>2007</v>
      </c>
      <c r="M126" s="21">
        <f t="shared" si="8"/>
        <v>2.666672496648232</v>
      </c>
      <c r="N126" s="21">
        <f t="shared" si="9"/>
        <v>2.4176036374381544</v>
      </c>
    </row>
    <row r="127" spans="1:14" x14ac:dyDescent="0.2">
      <c r="A127" s="33">
        <f>'GF + UG Iteration 13'!A127</f>
        <v>733</v>
      </c>
      <c r="B127" s="34" t="str">
        <f>'GF + UG Iteration 13'!B127</f>
        <v>UG</v>
      </c>
      <c r="C127" s="35">
        <f>'GF + UG Iteration 13'!C127</f>
        <v>24.3</v>
      </c>
      <c r="D127" s="36">
        <f>'GF + UG Iteration 13'!P$16*(C127^'GF + UG Iteration 13'!P$15)</f>
        <v>15.873168144679743</v>
      </c>
      <c r="E127" s="37">
        <f>'GF + UG Iteration 13'!E127</f>
        <v>2007</v>
      </c>
      <c r="F127" s="35">
        <f>'GF + UG Iteration 13'!F127</f>
        <v>17.099999999999998</v>
      </c>
      <c r="G127" s="36">
        <f>'GF + UG Iteration 13'!G127</f>
        <v>6.7726080218724345</v>
      </c>
      <c r="H127" s="38">
        <f>'GF + UG Iteration 13'!H127</f>
        <v>2009</v>
      </c>
      <c r="I127" s="35">
        <f t="shared" si="10"/>
        <v>41.4</v>
      </c>
      <c r="J127" s="36">
        <f t="shared" si="11"/>
        <v>22.645776166552178</v>
      </c>
      <c r="K127" s="38">
        <f t="shared" si="12"/>
        <v>2009</v>
      </c>
      <c r="M127" s="21">
        <f t="shared" si="8"/>
        <v>3.7232808808312687</v>
      </c>
      <c r="N127" s="21">
        <f t="shared" si="9"/>
        <v>3.1199733518260517</v>
      </c>
    </row>
    <row r="128" spans="1:14" x14ac:dyDescent="0.2">
      <c r="A128" s="33">
        <f>'GF + UG Iteration 13'!A128</f>
        <v>1700</v>
      </c>
      <c r="B128" s="34" t="str">
        <f>'GF + UG Iteration 13'!B128</f>
        <v>UG</v>
      </c>
      <c r="C128" s="35">
        <f>'GF + UG Iteration 13'!C128</f>
        <v>13.4</v>
      </c>
      <c r="D128" s="36">
        <f>'GF + UG Iteration 13'!P$16*(C128^'GF + UG Iteration 13'!P$15)</f>
        <v>11.288735348789487</v>
      </c>
      <c r="E128" s="37">
        <f>'GF + UG Iteration 13'!E128</f>
        <v>0</v>
      </c>
      <c r="F128" s="35">
        <f>'GF + UG Iteration 13'!F128</f>
        <v>0</v>
      </c>
      <c r="G128" s="36">
        <f>'GF + UG Iteration 13'!G128</f>
        <v>4.0238803148956235</v>
      </c>
      <c r="H128" s="38">
        <f>'GF + UG Iteration 13'!H128</f>
        <v>2016</v>
      </c>
      <c r="I128" s="35">
        <f t="shared" ref="I128" si="13">C128+F128</f>
        <v>13.4</v>
      </c>
      <c r="J128" s="36">
        <f t="shared" ref="J128" si="14">D128+G128</f>
        <v>15.312615663685111</v>
      </c>
      <c r="K128" s="38">
        <f t="shared" ref="K128" si="15">MAX(E128,H128)</f>
        <v>2016</v>
      </c>
      <c r="M128" s="21">
        <f t="shared" ref="M128" si="16">LN(I128)</f>
        <v>2.5952547069568657</v>
      </c>
      <c r="N128" s="21">
        <f t="shared" ref="N128" si="17">LN(J128)</f>
        <v>2.7286770418232007</v>
      </c>
    </row>
    <row r="129" spans="1:14" x14ac:dyDescent="0.2">
      <c r="A129" s="33">
        <f>'GF + UG Iteration 13'!A129</f>
        <v>1569</v>
      </c>
      <c r="B129" s="34" t="str">
        <f>'GF + UG Iteration 13'!B129</f>
        <v>UG</v>
      </c>
      <c r="C129" s="35">
        <f>'GF + UG Iteration 13'!C129</f>
        <v>17.7</v>
      </c>
      <c r="D129" s="36">
        <f>'GF + UG Iteration 13'!P$16*(C129^'GF + UG Iteration 13'!P$15)</f>
        <v>13.238986956276554</v>
      </c>
      <c r="E129" s="37">
        <f>'GF + UG Iteration 13'!E129</f>
        <v>1997</v>
      </c>
      <c r="F129" s="35">
        <f>'GF + UG Iteration 13'!F129</f>
        <v>0</v>
      </c>
      <c r="G129" s="36">
        <f>'GF + UG Iteration 13'!G129</f>
        <v>3.7372730134616279</v>
      </c>
      <c r="H129" s="38">
        <f>'GF + UG Iteration 13'!H129</f>
        <v>2015</v>
      </c>
      <c r="I129" s="35">
        <f t="shared" si="10"/>
        <v>17.7</v>
      </c>
      <c r="J129" s="36">
        <f t="shared" si="11"/>
        <v>16.97625996973818</v>
      </c>
      <c r="K129" s="38">
        <f t="shared" si="12"/>
        <v>2015</v>
      </c>
      <c r="M129" s="21">
        <f t="shared" si="8"/>
        <v>2.8735646395797834</v>
      </c>
      <c r="N129" s="21">
        <f t="shared" si="9"/>
        <v>2.8318158957116144</v>
      </c>
    </row>
    <row r="130" spans="1:14" x14ac:dyDescent="0.2">
      <c r="A130" s="33">
        <f>'GF + UG Iteration 13'!A130</f>
        <v>401</v>
      </c>
      <c r="B130" s="34" t="str">
        <f>'GF + UG Iteration 13'!B130</f>
        <v>UG</v>
      </c>
      <c r="C130" s="35">
        <f>'GF + UG Iteration 13'!C130</f>
        <v>2</v>
      </c>
      <c r="D130" s="36">
        <f>'GF + UG Iteration 13'!P$16*(C130^'GF + UG Iteration 13'!P$15)</f>
        <v>3.798688167130833</v>
      </c>
      <c r="E130" s="37">
        <f>'GF + UG Iteration 13'!E130</f>
        <v>1986</v>
      </c>
      <c r="F130" s="35">
        <f>'GF + UG Iteration 13'!F130</f>
        <v>1.5</v>
      </c>
      <c r="G130" s="36">
        <f>'GF + UG Iteration 13'!G130</f>
        <v>0.36204281296556784</v>
      </c>
      <c r="H130" s="38">
        <f>'GF + UG Iteration 13'!H130</f>
        <v>2004</v>
      </c>
      <c r="I130" s="35">
        <f t="shared" si="10"/>
        <v>3.5</v>
      </c>
      <c r="J130" s="36">
        <f t="shared" si="11"/>
        <v>4.1607309800964005</v>
      </c>
      <c r="K130" s="38">
        <f t="shared" si="12"/>
        <v>2004</v>
      </c>
      <c r="M130" s="21">
        <f t="shared" si="8"/>
        <v>1.2527629684953681</v>
      </c>
      <c r="N130" s="21">
        <f t="shared" si="9"/>
        <v>1.425690775206186</v>
      </c>
    </row>
    <row r="131" spans="1:14" x14ac:dyDescent="0.2">
      <c r="A131" s="33">
        <f>'GF + UG Iteration 13'!A131</f>
        <v>1412</v>
      </c>
      <c r="B131" s="34" t="str">
        <f>'GF + UG Iteration 13'!B131</f>
        <v>UG</v>
      </c>
      <c r="C131" s="35">
        <f>'GF + UG Iteration 13'!C131</f>
        <v>3.5</v>
      </c>
      <c r="D131" s="36">
        <f>'GF + UG Iteration 13'!P$16*(C131^'GF + UG Iteration 13'!P$15)</f>
        <v>5.2335645888407276</v>
      </c>
      <c r="E131" s="37">
        <f>'GF + UG Iteration 13'!E131</f>
        <v>1986</v>
      </c>
      <c r="F131" s="35">
        <f>'GF + UG Iteration 13'!F131</f>
        <v>11</v>
      </c>
      <c r="G131" s="36">
        <f>'GF + UG Iteration 13'!G131</f>
        <v>4.3574845496482366</v>
      </c>
      <c r="H131" s="38">
        <f>'GF + UG Iteration 13'!H131</f>
        <v>2015</v>
      </c>
      <c r="I131" s="35">
        <f t="shared" si="10"/>
        <v>14.5</v>
      </c>
      <c r="J131" s="36">
        <f t="shared" si="11"/>
        <v>9.5910491384889642</v>
      </c>
      <c r="K131" s="38">
        <f t="shared" si="12"/>
        <v>2015</v>
      </c>
      <c r="M131" s="21">
        <f t="shared" si="8"/>
        <v>2.6741486494265287</v>
      </c>
      <c r="N131" s="21">
        <f t="shared" si="9"/>
        <v>2.2608302821284734</v>
      </c>
    </row>
    <row r="132" spans="1:14" x14ac:dyDescent="0.2">
      <c r="A132" s="33">
        <f>'GF + UG Iteration 13'!A132</f>
        <v>1318</v>
      </c>
      <c r="B132" s="34" t="str">
        <f>'GF + UG Iteration 13'!B132</f>
        <v>UG</v>
      </c>
      <c r="C132" s="35">
        <f>'GF + UG Iteration 13'!C132</f>
        <v>22.3</v>
      </c>
      <c r="D132" s="36">
        <f>'GF + UG Iteration 13'!P$16*(C132^'GF + UG Iteration 13'!P$15)</f>
        <v>15.111402527846534</v>
      </c>
      <c r="E132" s="37">
        <f>'GF + UG Iteration 13'!E132</f>
        <v>1997</v>
      </c>
      <c r="F132" s="35">
        <f>'GF + UG Iteration 13'!F132</f>
        <v>28.900000000000002</v>
      </c>
      <c r="G132" s="36">
        <f>'GF + UG Iteration 13'!G132</f>
        <v>1.6878206182928517</v>
      </c>
      <c r="H132" s="38">
        <f>'GF + UG Iteration 13'!H132</f>
        <v>2013</v>
      </c>
      <c r="I132" s="35">
        <f t="shared" si="10"/>
        <v>51.2</v>
      </c>
      <c r="J132" s="36">
        <f t="shared" si="11"/>
        <v>16.799223146139386</v>
      </c>
      <c r="K132" s="38">
        <f t="shared" si="12"/>
        <v>2013</v>
      </c>
      <c r="M132" s="21">
        <f t="shared" si="8"/>
        <v>3.9357395320454622</v>
      </c>
      <c r="N132" s="21">
        <f t="shared" si="9"/>
        <v>2.8213326440388244</v>
      </c>
    </row>
    <row r="133" spans="1:14" x14ac:dyDescent="0.2">
      <c r="A133" s="33">
        <f>'GF + UG Iteration 13'!A133</f>
        <v>1194</v>
      </c>
      <c r="B133" s="34" t="str">
        <f>'GF + UG Iteration 13'!B133</f>
        <v>UG</v>
      </c>
      <c r="C133" s="35">
        <f>'GF + UG Iteration 13'!C133</f>
        <v>5.8</v>
      </c>
      <c r="D133" s="36">
        <f>'GF + UG Iteration 13'!P$16*(C133^'GF + UG Iteration 13'!P$15)</f>
        <v>6.9888129649551693</v>
      </c>
      <c r="E133" s="37">
        <f>'GF + UG Iteration 13'!E133</f>
        <v>1980</v>
      </c>
      <c r="F133" s="35">
        <f>'GF + UG Iteration 13'!F133</f>
        <v>9.6000000000000014</v>
      </c>
      <c r="G133" s="36">
        <f>'GF + UG Iteration 13'!G133</f>
        <v>1.6086060831571487</v>
      </c>
      <c r="H133" s="38">
        <f>'GF + UG Iteration 13'!H133</f>
        <v>2011</v>
      </c>
      <c r="I133" s="35">
        <f t="shared" si="10"/>
        <v>15.400000000000002</v>
      </c>
      <c r="J133" s="36">
        <f t="shared" si="11"/>
        <v>8.5974190481123181</v>
      </c>
      <c r="K133" s="38">
        <f t="shared" si="12"/>
        <v>2011</v>
      </c>
      <c r="M133" s="21">
        <f t="shared" si="8"/>
        <v>2.7343675094195836</v>
      </c>
      <c r="N133" s="21">
        <f t="shared" si="9"/>
        <v>2.1514620475326245</v>
      </c>
    </row>
    <row r="134" spans="1:14" x14ac:dyDescent="0.2">
      <c r="A134" s="33">
        <f>'GF + UG Iteration 13'!A134</f>
        <v>801</v>
      </c>
      <c r="B134" s="34" t="str">
        <f>'GF + UG Iteration 13'!B134</f>
        <v>UG</v>
      </c>
      <c r="C134" s="35">
        <f>'GF + UG Iteration 13'!C134</f>
        <v>10</v>
      </c>
      <c r="D134" s="36">
        <f>'GF + UG Iteration 13'!P$16*(C134^'GF + UG Iteration 13'!P$15)</f>
        <v>9.5469554734416082</v>
      </c>
      <c r="E134" s="37">
        <f>'GF + UG Iteration 13'!E134</f>
        <v>2008</v>
      </c>
      <c r="F134" s="35">
        <f>'GF + UG Iteration 13'!F134</f>
        <v>0</v>
      </c>
      <c r="G134" s="36">
        <f>'GF + UG Iteration 13'!G134</f>
        <v>6.3106495854024782</v>
      </c>
      <c r="H134" s="38">
        <f>'GF + UG Iteration 13'!H134</f>
        <v>2009</v>
      </c>
      <c r="I134" s="35">
        <f t="shared" si="10"/>
        <v>10</v>
      </c>
      <c r="J134" s="36">
        <f t="shared" si="11"/>
        <v>15.857605058844086</v>
      </c>
      <c r="K134" s="38">
        <f t="shared" si="12"/>
        <v>2009</v>
      </c>
      <c r="M134" s="21">
        <f t="shared" si="8"/>
        <v>2.3025850929940459</v>
      </c>
      <c r="N134" s="21">
        <f t="shared" si="9"/>
        <v>2.7636491996872627</v>
      </c>
    </row>
    <row r="135" spans="1:14" x14ac:dyDescent="0.2">
      <c r="A135" s="33">
        <f>'GF + UG Iteration 13'!A135</f>
        <v>804</v>
      </c>
      <c r="B135" s="34" t="str">
        <f>'GF + UG Iteration 13'!B135</f>
        <v>UG</v>
      </c>
      <c r="C135" s="35">
        <f>'GF + UG Iteration 13'!C135</f>
        <v>14.429</v>
      </c>
      <c r="D135" s="36">
        <f>'GF + UG Iteration 13'!P$16*(C135^'GF + UG Iteration 13'!P$15)</f>
        <v>11.777247411453004</v>
      </c>
      <c r="E135" s="37">
        <f>'GF + UG Iteration 13'!E135</f>
        <v>1982</v>
      </c>
      <c r="F135" s="35">
        <f>'GF + UG Iteration 13'!F135</f>
        <v>9.8710000000000004</v>
      </c>
      <c r="G135" s="36">
        <f>'GF + UG Iteration 13'!G135</f>
        <v>9.1566982400815444</v>
      </c>
      <c r="H135" s="38">
        <f>'GF + UG Iteration 13'!H135</f>
        <v>2009</v>
      </c>
      <c r="I135" s="35">
        <f t="shared" si="10"/>
        <v>24.3</v>
      </c>
      <c r="J135" s="36">
        <f t="shared" si="11"/>
        <v>20.93394565153455</v>
      </c>
      <c r="K135" s="38">
        <f t="shared" si="12"/>
        <v>2009</v>
      </c>
      <c r="M135" s="21">
        <f t="shared" si="8"/>
        <v>3.1904763503465028</v>
      </c>
      <c r="N135" s="21">
        <f t="shared" si="9"/>
        <v>3.04137203524773</v>
      </c>
    </row>
    <row r="136" spans="1:14" x14ac:dyDescent="0.2">
      <c r="A136" s="33">
        <f>'GF + UG Iteration 13'!A136</f>
        <v>365</v>
      </c>
      <c r="B136" s="34" t="str">
        <f>'GF + UG Iteration 13'!B136</f>
        <v>UG</v>
      </c>
      <c r="C136" s="35">
        <f>'GF + UG Iteration 13'!C136</f>
        <v>15.9</v>
      </c>
      <c r="D136" s="36">
        <f>'GF + UG Iteration 13'!P$16*(C136^'GF + UG Iteration 13'!P$15)</f>
        <v>12.450453963796097</v>
      </c>
      <c r="E136" s="37">
        <f>'GF + UG Iteration 13'!E136</f>
        <v>1982</v>
      </c>
      <c r="F136" s="35">
        <f>'GF + UG Iteration 13'!F136</f>
        <v>0.26900000000000013</v>
      </c>
      <c r="G136" s="36">
        <f>'GF + UG Iteration 13'!G136</f>
        <v>0.59607313292480213</v>
      </c>
      <c r="H136" s="38">
        <f>'GF + UG Iteration 13'!H136</f>
        <v>2003</v>
      </c>
      <c r="I136" s="35">
        <f t="shared" si="10"/>
        <v>16.169</v>
      </c>
      <c r="J136" s="36">
        <f t="shared" si="11"/>
        <v>13.046527096720899</v>
      </c>
      <c r="K136" s="38">
        <f t="shared" si="12"/>
        <v>2003</v>
      </c>
      <c r="M136" s="21">
        <f t="shared" ref="M136:M183" si="18">LN(I136)</f>
        <v>2.7830958287576775</v>
      </c>
      <c r="N136" s="21">
        <f t="shared" ref="N136:N183" si="19">LN(J136)</f>
        <v>2.5685219754950954</v>
      </c>
    </row>
    <row r="137" spans="1:14" x14ac:dyDescent="0.2">
      <c r="A137" s="33">
        <f>'GF + UG Iteration 13'!A137</f>
        <v>708</v>
      </c>
      <c r="B137" s="34" t="str">
        <f>'GF + UG Iteration 13'!B137</f>
        <v>UG</v>
      </c>
      <c r="C137" s="35">
        <f>'GF + UG Iteration 13'!C137</f>
        <v>16.2</v>
      </c>
      <c r="D137" s="36">
        <f>'GF + UG Iteration 13'!P$16*(C137^'GF + UG Iteration 13'!P$15)</f>
        <v>12.584428647481221</v>
      </c>
      <c r="E137" s="37">
        <f>'GF + UG Iteration 13'!E137</f>
        <v>1982</v>
      </c>
      <c r="F137" s="35">
        <f>'GF + UG Iteration 13'!F137</f>
        <v>11.5</v>
      </c>
      <c r="G137" s="36">
        <f>'GF + UG Iteration 13'!G137</f>
        <v>6.8374623210633541</v>
      </c>
      <c r="H137" s="38">
        <f>'GF + UG Iteration 13'!H137</f>
        <v>2007</v>
      </c>
      <c r="I137" s="35">
        <f t="shared" si="10"/>
        <v>27.7</v>
      </c>
      <c r="J137" s="36">
        <f t="shared" si="11"/>
        <v>19.421890968544574</v>
      </c>
      <c r="K137" s="38">
        <f t="shared" si="12"/>
        <v>2007</v>
      </c>
      <c r="M137" s="21">
        <f t="shared" si="18"/>
        <v>3.3214324131932926</v>
      </c>
      <c r="N137" s="21">
        <f t="shared" si="19"/>
        <v>2.9664008303444684</v>
      </c>
    </row>
    <row r="138" spans="1:14" x14ac:dyDescent="0.2">
      <c r="A138" s="33">
        <f>'GF + UG Iteration 13'!A138</f>
        <v>1568</v>
      </c>
      <c r="B138" s="34" t="str">
        <f>'GF + UG Iteration 13'!B138</f>
        <v>UG</v>
      </c>
      <c r="C138" s="35">
        <f>'GF + UG Iteration 13'!C138</f>
        <v>27.7</v>
      </c>
      <c r="D138" s="36">
        <f>'GF + UG Iteration 13'!P$16*(C138^'GF + UG Iteration 13'!P$15)</f>
        <v>17.109190580243919</v>
      </c>
      <c r="E138" s="37">
        <f>'GF + UG Iteration 13'!E138</f>
        <v>1997</v>
      </c>
      <c r="F138" s="35">
        <f>'GF + UG Iteration 13'!F138</f>
        <v>8.0999999999999979</v>
      </c>
      <c r="G138" s="36">
        <f>'GF + UG Iteration 13'!G138</f>
        <v>3.5848996641236104</v>
      </c>
      <c r="H138" s="38">
        <f>'GF + UG Iteration 13'!H138</f>
        <v>2015</v>
      </c>
      <c r="I138" s="35">
        <f t="shared" si="10"/>
        <v>35.799999999999997</v>
      </c>
      <c r="J138" s="36">
        <f t="shared" si="11"/>
        <v>20.69409024436753</v>
      </c>
      <c r="K138" s="38">
        <f t="shared" si="12"/>
        <v>2015</v>
      </c>
      <c r="M138" s="21">
        <f t="shared" si="18"/>
        <v>3.5779478934066544</v>
      </c>
      <c r="N138" s="21">
        <f t="shared" si="19"/>
        <v>3.0298481640685595</v>
      </c>
    </row>
    <row r="139" spans="1:14" x14ac:dyDescent="0.2">
      <c r="A139" s="33">
        <f>'GF + UG Iteration 13'!A139</f>
        <v>398</v>
      </c>
      <c r="B139" s="34" t="str">
        <f>'GF + UG Iteration 13'!B139</f>
        <v>UG</v>
      </c>
      <c r="C139" s="35">
        <f>'GF + UG Iteration 13'!C139</f>
        <v>27.329000000000001</v>
      </c>
      <c r="D139" s="36">
        <f>'GF + UG Iteration 13'!P$16*(C139^'GF + UG Iteration 13'!P$15)</f>
        <v>16.977599854556736</v>
      </c>
      <c r="E139" s="37">
        <f>'GF + UG Iteration 13'!E139</f>
        <v>1981</v>
      </c>
      <c r="F139" s="35">
        <f>'GF + UG Iteration 13'!F139</f>
        <v>2</v>
      </c>
      <c r="G139" s="36">
        <f>'GF + UG Iteration 13'!G139</f>
        <v>1.454685054931611</v>
      </c>
      <c r="H139" s="38">
        <f>'GF + UG Iteration 13'!H139</f>
        <v>2004</v>
      </c>
      <c r="I139" s="35">
        <f t="shared" si="10"/>
        <v>29.329000000000001</v>
      </c>
      <c r="J139" s="36">
        <f t="shared" si="11"/>
        <v>18.432284909488349</v>
      </c>
      <c r="K139" s="38">
        <f t="shared" si="12"/>
        <v>2004</v>
      </c>
      <c r="M139" s="21">
        <f t="shared" si="18"/>
        <v>3.3785767876246213</v>
      </c>
      <c r="N139" s="21">
        <f t="shared" si="19"/>
        <v>2.9141037417230296</v>
      </c>
    </row>
    <row r="140" spans="1:14" x14ac:dyDescent="0.2">
      <c r="A140" s="33">
        <f>'GF + UG Iteration 13'!A140</f>
        <v>1642</v>
      </c>
      <c r="B140" s="34" t="str">
        <f>'GF + UG Iteration 13'!B140</f>
        <v>UG</v>
      </c>
      <c r="C140" s="35">
        <f>'GF + UG Iteration 13'!C140</f>
        <v>16.12</v>
      </c>
      <c r="D140" s="36">
        <f>'GF + UG Iteration 13'!P$16*(C140^'GF + UG Iteration 13'!P$15)</f>
        <v>12.548806500978984</v>
      </c>
      <c r="E140" s="37" t="str">
        <f>'GF + UG Iteration 13'!E140</f>
        <v>unknown</v>
      </c>
      <c r="F140" s="35">
        <f>'GF + UG Iteration 13'!F140</f>
        <v>2.7799999999999976</v>
      </c>
      <c r="G140" s="36">
        <f>'GF + UG Iteration 13'!G140</f>
        <v>10.134123990225088</v>
      </c>
      <c r="H140" s="38">
        <f>'GF + UG Iteration 13'!H140</f>
        <v>2015</v>
      </c>
      <c r="I140" s="35">
        <f t="shared" si="10"/>
        <v>18.899999999999999</v>
      </c>
      <c r="J140" s="36">
        <f t="shared" si="11"/>
        <v>22.682930491204072</v>
      </c>
      <c r="K140" s="38">
        <f t="shared" si="12"/>
        <v>2015</v>
      </c>
      <c r="M140" s="21">
        <f t="shared" si="18"/>
        <v>2.9391619220655967</v>
      </c>
      <c r="N140" s="21">
        <f t="shared" si="19"/>
        <v>3.1216126808831604</v>
      </c>
    </row>
    <row r="141" spans="1:14" x14ac:dyDescent="0.2">
      <c r="A141" s="33">
        <f>'GF + UG Iteration 13'!A141</f>
        <v>522</v>
      </c>
      <c r="B141" s="34" t="str">
        <f>'GF + UG Iteration 13'!B141</f>
        <v>UG</v>
      </c>
      <c r="C141" s="35">
        <f>'GF + UG Iteration 13'!C141</f>
        <v>38.700000000000003</v>
      </c>
      <c r="D141" s="36">
        <f>'GF + UG Iteration 13'!P$16*(C141^'GF + UG Iteration 13'!P$15)</f>
        <v>20.719967052566986</v>
      </c>
      <c r="E141" s="37">
        <f>'GF + UG Iteration 13'!E141</f>
        <v>1981</v>
      </c>
      <c r="F141" s="35">
        <f>'GF + UG Iteration 13'!F141</f>
        <v>2.2999999999999972</v>
      </c>
      <c r="G141" s="36">
        <f>'GF + UG Iteration 13'!G141</f>
        <v>0.49326793696611254</v>
      </c>
      <c r="H141" s="38">
        <f>'GF + UG Iteration 13'!H141</f>
        <v>2006</v>
      </c>
      <c r="I141" s="35">
        <f t="shared" si="10"/>
        <v>41</v>
      </c>
      <c r="J141" s="36">
        <f t="shared" si="11"/>
        <v>21.213234989533099</v>
      </c>
      <c r="K141" s="38">
        <f t="shared" si="12"/>
        <v>2006</v>
      </c>
      <c r="M141" s="21">
        <f t="shared" si="18"/>
        <v>3.713572066704308</v>
      </c>
      <c r="N141" s="21">
        <f t="shared" si="19"/>
        <v>3.054625278847916</v>
      </c>
    </row>
    <row r="142" spans="1:14" x14ac:dyDescent="0.2">
      <c r="A142" s="33">
        <f>'GF + UG Iteration 13'!A142</f>
        <v>170</v>
      </c>
      <c r="B142" s="34" t="str">
        <f>'GF + UG Iteration 13'!B142</f>
        <v>UG</v>
      </c>
      <c r="C142" s="35">
        <f>'GF + UG Iteration 13'!C142</f>
        <v>20.399999999999999</v>
      </c>
      <c r="D142" s="36">
        <f>'GF + UG Iteration 13'!P$16*(C142^'GF + UG Iteration 13'!P$15)</f>
        <v>14.360170175808207</v>
      </c>
      <c r="E142" s="37" t="str">
        <f>'GF + UG Iteration 13'!E142</f>
        <v>unknown</v>
      </c>
      <c r="F142" s="35">
        <f>'GF + UG Iteration 13'!F142</f>
        <v>5.6000000000000014</v>
      </c>
      <c r="G142" s="36">
        <f>'GF + UG Iteration 13'!G142</f>
        <v>4.433742547698083</v>
      </c>
      <c r="H142" s="38">
        <f>'GF + UG Iteration 13'!H142</f>
        <v>2001</v>
      </c>
      <c r="I142" s="35">
        <f t="shared" si="10"/>
        <v>26</v>
      </c>
      <c r="J142" s="36">
        <f t="shared" si="11"/>
        <v>18.793912723506288</v>
      </c>
      <c r="K142" s="38">
        <f t="shared" si="12"/>
        <v>2001</v>
      </c>
      <c r="M142" s="21">
        <f t="shared" si="18"/>
        <v>3.2580965380214821</v>
      </c>
      <c r="N142" s="21">
        <f t="shared" si="19"/>
        <v>2.9335330261013244</v>
      </c>
    </row>
    <row r="143" spans="1:14" x14ac:dyDescent="0.2">
      <c r="A143" s="33">
        <f>'GF + UG Iteration 13'!A143</f>
        <v>1312</v>
      </c>
      <c r="B143" s="34" t="str">
        <f>'GF + UG Iteration 13'!B143</f>
        <v>UG</v>
      </c>
      <c r="C143" s="35">
        <f>'GF + UG Iteration 13'!C143</f>
        <v>23.63</v>
      </c>
      <c r="D143" s="36">
        <f>'GF + UG Iteration 13'!P$16*(C143^'GF + UG Iteration 13'!P$15)</f>
        <v>15.621069824113365</v>
      </c>
      <c r="E143" s="37" t="str">
        <f>'GF + UG Iteration 13'!E143</f>
        <v>unknown</v>
      </c>
      <c r="F143" s="35">
        <f>'GF + UG Iteration 13'!F143</f>
        <v>0</v>
      </c>
      <c r="G143" s="36">
        <f>'GF + UG Iteration 13'!G143</f>
        <v>6.0245111186360631</v>
      </c>
      <c r="H143" s="38">
        <f>'GF + UG Iteration 13'!H143</f>
        <v>2013</v>
      </c>
      <c r="I143" s="35">
        <f t="shared" si="10"/>
        <v>23.63</v>
      </c>
      <c r="J143" s="36">
        <f t="shared" si="11"/>
        <v>21.645580942749426</v>
      </c>
      <c r="K143" s="38">
        <f t="shared" si="12"/>
        <v>2013</v>
      </c>
      <c r="M143" s="21">
        <f t="shared" si="18"/>
        <v>3.1625170911988163</v>
      </c>
      <c r="N143" s="21">
        <f t="shared" si="19"/>
        <v>3.0748013201156317</v>
      </c>
    </row>
    <row r="144" spans="1:14" x14ac:dyDescent="0.2">
      <c r="A144" s="33">
        <f>'GF + UG Iteration 13'!A144</f>
        <v>170</v>
      </c>
      <c r="B144" s="34" t="str">
        <f>'GF + UG Iteration 13'!B144</f>
        <v>UG</v>
      </c>
      <c r="C144" s="35">
        <f>'GF + UG Iteration 13'!C144</f>
        <v>21.6</v>
      </c>
      <c r="D144" s="36">
        <f>'GF + UG Iteration 13'!P$16*(C144^'GF + UG Iteration 13'!P$15)</f>
        <v>14.83793988166464</v>
      </c>
      <c r="E144" s="37" t="str">
        <f>'GF + UG Iteration 13'!E144</f>
        <v>unknown</v>
      </c>
      <c r="F144" s="35">
        <f>'GF + UG Iteration 13'!F144</f>
        <v>1</v>
      </c>
      <c r="G144" s="36">
        <f>'GF + UG Iteration 13'!G144</f>
        <v>4.8829870198591019</v>
      </c>
      <c r="H144" s="38">
        <f>'GF + UG Iteration 13'!H144</f>
        <v>2001</v>
      </c>
      <c r="I144" s="35">
        <f t="shared" si="10"/>
        <v>22.6</v>
      </c>
      <c r="J144" s="36">
        <f t="shared" si="11"/>
        <v>19.720926901523743</v>
      </c>
      <c r="K144" s="38">
        <f t="shared" si="12"/>
        <v>2001</v>
      </c>
      <c r="M144" s="21">
        <f t="shared" si="18"/>
        <v>3.1179499062782403</v>
      </c>
      <c r="N144" s="21">
        <f t="shared" si="19"/>
        <v>2.9816803511897425</v>
      </c>
    </row>
    <row r="145" spans="1:14" x14ac:dyDescent="0.2">
      <c r="A145" s="33">
        <f>'GF + UG Iteration 13'!A145</f>
        <v>1366</v>
      </c>
      <c r="B145" s="34" t="str">
        <f>'GF + UG Iteration 13'!B145</f>
        <v>UG</v>
      </c>
      <c r="C145" s="35">
        <f>'GF + UG Iteration 13'!C145</f>
        <v>25.5</v>
      </c>
      <c r="D145" s="36">
        <f>'GF + UG Iteration 13'!P$16*(C145^'GF + UG Iteration 13'!P$15)</f>
        <v>16.317379064400143</v>
      </c>
      <c r="E145" s="37">
        <f>'GF + UG Iteration 13'!E145</f>
        <v>0</v>
      </c>
      <c r="F145" s="35">
        <f>'GF + UG Iteration 13'!F145</f>
        <v>14</v>
      </c>
      <c r="G145" s="36">
        <f>'GF + UG Iteration 13'!G145</f>
        <v>5.5737060104438019</v>
      </c>
      <c r="H145" s="38">
        <f>'GF + UG Iteration 13'!H145</f>
        <v>2013</v>
      </c>
      <c r="I145" s="35">
        <f t="shared" si="10"/>
        <v>39.5</v>
      </c>
      <c r="J145" s="36">
        <f t="shared" si="11"/>
        <v>21.891085074843943</v>
      </c>
      <c r="K145" s="38">
        <f t="shared" si="12"/>
        <v>2013</v>
      </c>
      <c r="M145" s="21">
        <f t="shared" si="18"/>
        <v>3.6763006719070761</v>
      </c>
      <c r="N145" s="21">
        <f t="shared" si="19"/>
        <v>3.0860794797372182</v>
      </c>
    </row>
    <row r="146" spans="1:14" x14ac:dyDescent="0.2">
      <c r="A146" s="33">
        <f>'GF + UG Iteration 13'!A146</f>
        <v>170</v>
      </c>
      <c r="B146" s="34" t="str">
        <f>'GF + UG Iteration 13'!B146</f>
        <v>UG</v>
      </c>
      <c r="C146" s="35">
        <f>'GF + UG Iteration 13'!C146</f>
        <v>5.4</v>
      </c>
      <c r="D146" s="36">
        <f>'GF + UG Iteration 13'!P$16*(C146^'GF + UG Iteration 13'!P$15)</f>
        <v>6.7086196525797455</v>
      </c>
      <c r="E146" s="37" t="str">
        <f>'GF + UG Iteration 13'!E146</f>
        <v>unknown</v>
      </c>
      <c r="F146" s="35">
        <f>'GF + UG Iteration 13'!F146</f>
        <v>10.6</v>
      </c>
      <c r="G146" s="36">
        <f>'GF + UG Iteration 13'!G146</f>
        <v>5.2097107088088661</v>
      </c>
      <c r="H146" s="38">
        <f>'GF + UG Iteration 13'!H146</f>
        <v>2001</v>
      </c>
      <c r="I146" s="35">
        <f t="shared" si="10"/>
        <v>16</v>
      </c>
      <c r="J146" s="36">
        <f t="shared" si="11"/>
        <v>11.918330361388612</v>
      </c>
      <c r="K146" s="38">
        <f t="shared" si="12"/>
        <v>2001</v>
      </c>
      <c r="M146" s="21">
        <f t="shared" si="18"/>
        <v>2.7725887222397811</v>
      </c>
      <c r="N146" s="21">
        <f t="shared" si="19"/>
        <v>2.4780775814731313</v>
      </c>
    </row>
    <row r="147" spans="1:14" x14ac:dyDescent="0.2">
      <c r="A147" s="33">
        <f>'GF + UG Iteration 13'!A147</f>
        <v>1350</v>
      </c>
      <c r="B147" s="34" t="str">
        <f>'GF + UG Iteration 13'!B147</f>
        <v>UG</v>
      </c>
      <c r="C147" s="35">
        <f>'GF + UG Iteration 13'!C147</f>
        <v>16</v>
      </c>
      <c r="D147" s="36">
        <f>'GF + UG Iteration 13'!P$16*(C147^'GF + UG Iteration 13'!P$15)</f>
        <v>12.495231291494642</v>
      </c>
      <c r="E147" s="37">
        <f>'GF + UG Iteration 13'!E147</f>
        <v>0</v>
      </c>
      <c r="F147" s="35">
        <f>'GF + UG Iteration 13'!F147</f>
        <v>20</v>
      </c>
      <c r="G147" s="36">
        <f>'GF + UG Iteration 13'!G147</f>
        <v>6.5300342953877131</v>
      </c>
      <c r="H147" s="38">
        <f>'GF + UG Iteration 13'!H147</f>
        <v>2013</v>
      </c>
      <c r="I147" s="35">
        <f t="shared" si="10"/>
        <v>36</v>
      </c>
      <c r="J147" s="36">
        <f t="shared" si="11"/>
        <v>19.025265586882355</v>
      </c>
      <c r="K147" s="38">
        <f t="shared" si="12"/>
        <v>2013</v>
      </c>
      <c r="M147" s="21">
        <f t="shared" si="18"/>
        <v>3.5835189384561099</v>
      </c>
      <c r="N147" s="21">
        <f t="shared" si="19"/>
        <v>2.9457678635390026</v>
      </c>
    </row>
    <row r="148" spans="1:14" x14ac:dyDescent="0.2">
      <c r="A148" s="33">
        <f>'GF + UG Iteration 13'!A148</f>
        <v>658</v>
      </c>
      <c r="B148" s="34" t="str">
        <f>'GF + UG Iteration 13'!B148</f>
        <v>UG</v>
      </c>
      <c r="C148" s="35">
        <f>'GF + UG Iteration 13'!C148</f>
        <v>1.6</v>
      </c>
      <c r="D148" s="36">
        <f>'GF + UG Iteration 13'!P$16*(C148^'GF + UG Iteration 13'!P$15)</f>
        <v>3.3430496594786985</v>
      </c>
      <c r="E148" s="37">
        <f>'GF + UG Iteration 13'!E148</f>
        <v>1996</v>
      </c>
      <c r="F148" s="35">
        <f>'GF + UG Iteration 13'!F148</f>
        <v>13.200000000000001</v>
      </c>
      <c r="G148" s="36">
        <f>'GF + UG Iteration 13'!G148</f>
        <v>7.1146692323992218</v>
      </c>
      <c r="H148" s="38">
        <f>'GF + UG Iteration 13'!H148</f>
        <v>2008</v>
      </c>
      <c r="I148" s="35">
        <f t="shared" si="10"/>
        <v>14.8</v>
      </c>
      <c r="J148" s="36">
        <f t="shared" si="11"/>
        <v>10.457718891877921</v>
      </c>
      <c r="K148" s="38">
        <f t="shared" si="12"/>
        <v>2008</v>
      </c>
      <c r="M148" s="21">
        <f t="shared" si="18"/>
        <v>2.6946271807700692</v>
      </c>
      <c r="N148" s="21">
        <f t="shared" si="19"/>
        <v>2.347340355683686</v>
      </c>
    </row>
    <row r="149" spans="1:14" x14ac:dyDescent="0.2">
      <c r="A149" s="33">
        <f>'GF + UG Iteration 13'!A149</f>
        <v>897</v>
      </c>
      <c r="B149" s="34" t="str">
        <f>'GF + UG Iteration 13'!B149</f>
        <v>UG</v>
      </c>
      <c r="C149" s="35">
        <f>'GF + UG Iteration 13'!C149</f>
        <v>14.8</v>
      </c>
      <c r="D149" s="36">
        <f>'GF + UG Iteration 13'!P$16*(C149^'GF + UG Iteration 13'!P$15)</f>
        <v>11.949700095661196</v>
      </c>
      <c r="E149" s="37">
        <f>'GF + UG Iteration 13'!E149</f>
        <v>1996</v>
      </c>
      <c r="F149" s="35">
        <f>'GF + UG Iteration 13'!F149</f>
        <v>3</v>
      </c>
      <c r="G149" s="36">
        <f>'GF + UG Iteration 13'!G149</f>
        <v>6.2372112776035529</v>
      </c>
      <c r="H149" s="38">
        <f>'GF + UG Iteration 13'!H149</f>
        <v>2010</v>
      </c>
      <c r="I149" s="35">
        <f t="shared" si="10"/>
        <v>17.8</v>
      </c>
      <c r="J149" s="36">
        <f t="shared" si="11"/>
        <v>18.186911373264749</v>
      </c>
      <c r="K149" s="38">
        <f t="shared" si="12"/>
        <v>2010</v>
      </c>
      <c r="M149" s="21">
        <f t="shared" si="18"/>
        <v>2.8791984572980396</v>
      </c>
      <c r="N149" s="21">
        <f t="shared" si="19"/>
        <v>2.9007021800513968</v>
      </c>
    </row>
    <row r="150" spans="1:14" x14ac:dyDescent="0.2">
      <c r="A150" s="33">
        <f>'GF + UG Iteration 13'!A150</f>
        <v>483</v>
      </c>
      <c r="B150" s="34" t="str">
        <f>'GF + UG Iteration 13'!B150</f>
        <v>UG</v>
      </c>
      <c r="C150" s="35">
        <f>'GF + UG Iteration 13'!C150</f>
        <v>20.7</v>
      </c>
      <c r="D150" s="36">
        <f>'GF + UG Iteration 13'!P$16*(C150^'GF + UG Iteration 13'!P$15)</f>
        <v>14.480714190145553</v>
      </c>
      <c r="E150" s="37">
        <f>'GF + UG Iteration 13'!E150</f>
        <v>1986</v>
      </c>
      <c r="F150" s="35">
        <f>'GF + UG Iteration 13'!F150</f>
        <v>18.099999999999998</v>
      </c>
      <c r="G150" s="36">
        <f>'GF + UG Iteration 13'!G150</f>
        <v>3.6200694377675466</v>
      </c>
      <c r="H150" s="38">
        <f>'GF + UG Iteration 13'!H150</f>
        <v>2005</v>
      </c>
      <c r="I150" s="35">
        <f t="shared" si="10"/>
        <v>38.799999999999997</v>
      </c>
      <c r="J150" s="36">
        <f t="shared" si="11"/>
        <v>18.100783627913099</v>
      </c>
      <c r="K150" s="38">
        <f t="shared" si="12"/>
        <v>2005</v>
      </c>
      <c r="M150" s="21">
        <f t="shared" si="18"/>
        <v>3.6584202466292277</v>
      </c>
      <c r="N150" s="21">
        <f t="shared" si="19"/>
        <v>2.8959552316944461</v>
      </c>
    </row>
    <row r="151" spans="1:14" x14ac:dyDescent="0.2">
      <c r="A151" s="33">
        <f>'GF + UG Iteration 13'!A151</f>
        <v>1494</v>
      </c>
      <c r="B151" s="34" t="str">
        <f>'GF + UG Iteration 13'!B151</f>
        <v>UG</v>
      </c>
      <c r="C151" s="35">
        <f>'GF + UG Iteration 13'!C151</f>
        <v>13.3</v>
      </c>
      <c r="D151" s="36">
        <f>'GF + UG Iteration 13'!P$16*(C151^'GF + UG Iteration 13'!P$15)</f>
        <v>11.240419738679345</v>
      </c>
      <c r="E151" s="37">
        <f>'GF + UG Iteration 13'!E151</f>
        <v>0</v>
      </c>
      <c r="F151" s="35">
        <f>'GF + UG Iteration 13'!F151</f>
        <v>6</v>
      </c>
      <c r="G151" s="36">
        <f>'GF + UG Iteration 13'!G151</f>
        <v>6.4297485673579153</v>
      </c>
      <c r="H151" s="38">
        <f>'GF + UG Iteration 13'!H151</f>
        <v>2014</v>
      </c>
      <c r="I151" s="35">
        <f t="shared" si="10"/>
        <v>19.3</v>
      </c>
      <c r="J151" s="36">
        <f t="shared" si="11"/>
        <v>17.670168306037262</v>
      </c>
      <c r="K151" s="38">
        <f t="shared" si="12"/>
        <v>2014</v>
      </c>
      <c r="M151" s="21">
        <f t="shared" si="18"/>
        <v>2.9601050959108397</v>
      </c>
      <c r="N151" s="21">
        <f t="shared" si="19"/>
        <v>2.8718778112459069</v>
      </c>
    </row>
    <row r="152" spans="1:14" x14ac:dyDescent="0.2">
      <c r="A152" s="33">
        <f>'GF + UG Iteration 13'!A152</f>
        <v>488</v>
      </c>
      <c r="B152" s="34" t="str">
        <f>'GF + UG Iteration 13'!B152</f>
        <v>UG</v>
      </c>
      <c r="C152" s="35">
        <f>'GF + UG Iteration 13'!C152</f>
        <v>41.3</v>
      </c>
      <c r="D152" s="36">
        <f>'GF + UG Iteration 13'!P$16*(C152^'GF + UG Iteration 13'!P$15)</f>
        <v>21.505958482348966</v>
      </c>
      <c r="E152" s="37">
        <f>'GF + UG Iteration 13'!E152</f>
        <v>1982</v>
      </c>
      <c r="F152" s="35">
        <f>'GF + UG Iteration 13'!F152</f>
        <v>24.200000000000003</v>
      </c>
      <c r="G152" s="36">
        <f>'GF + UG Iteration 13'!G152</f>
        <v>0.40462675342078769</v>
      </c>
      <c r="H152" s="38">
        <f>'GF + UG Iteration 13'!H152</f>
        <v>2006</v>
      </c>
      <c r="I152" s="35">
        <f t="shared" si="10"/>
        <v>65.5</v>
      </c>
      <c r="J152" s="36">
        <f t="shared" si="11"/>
        <v>21.910585235769755</v>
      </c>
      <c r="K152" s="38">
        <f t="shared" si="12"/>
        <v>2006</v>
      </c>
      <c r="M152" s="21">
        <f t="shared" si="18"/>
        <v>4.1820501426412067</v>
      </c>
      <c r="N152" s="21">
        <f t="shared" si="19"/>
        <v>3.086969864148398</v>
      </c>
    </row>
    <row r="153" spans="1:14" x14ac:dyDescent="0.2">
      <c r="A153" s="33">
        <f>'GF + UG Iteration 13'!A153</f>
        <v>1692</v>
      </c>
      <c r="B153" s="34" t="str">
        <f>'GF + UG Iteration 13'!B153</f>
        <v>UG</v>
      </c>
      <c r="C153" s="35">
        <f>'GF + UG Iteration 13'!C153</f>
        <v>65.5</v>
      </c>
      <c r="D153" s="36">
        <f>'GF + UG Iteration 13'!P$16*(C153^'GF + UG Iteration 13'!P$15)</f>
        <v>28.005663521133147</v>
      </c>
      <c r="E153" s="37">
        <f>'GF + UG Iteration 13'!E153</f>
        <v>0</v>
      </c>
      <c r="F153" s="35">
        <f>'GF + UG Iteration 13'!F153</f>
        <v>0</v>
      </c>
      <c r="G153" s="36">
        <f>'GF + UG Iteration 13'!G153</f>
        <v>2.2188176481219593</v>
      </c>
      <c r="H153" s="38">
        <f>'GF + UG Iteration 13'!H153</f>
        <v>2016</v>
      </c>
      <c r="I153" s="35">
        <f t="shared" si="10"/>
        <v>65.5</v>
      </c>
      <c r="J153" s="36">
        <f t="shared" si="11"/>
        <v>30.224481169255107</v>
      </c>
      <c r="K153" s="38">
        <f t="shared" si="12"/>
        <v>2016</v>
      </c>
      <c r="M153" s="21">
        <f t="shared" si="18"/>
        <v>4.1820501426412067</v>
      </c>
      <c r="N153" s="21">
        <f t="shared" si="19"/>
        <v>3.4086522307374829</v>
      </c>
    </row>
    <row r="154" spans="1:14" x14ac:dyDescent="0.2">
      <c r="A154" s="33">
        <f>'GF + UG Iteration 13'!A154</f>
        <v>318</v>
      </c>
      <c r="B154" s="34" t="str">
        <f>'GF + UG Iteration 13'!B154</f>
        <v>UG</v>
      </c>
      <c r="C154" s="35">
        <f>'GF + UG Iteration 13'!C154</f>
        <v>22.87</v>
      </c>
      <c r="D154" s="36">
        <f>'GF + UG Iteration 13'!P$16*(C154^'GF + UG Iteration 13'!P$15)</f>
        <v>15.331379417354999</v>
      </c>
      <c r="E154" s="37">
        <f>'GF + UG Iteration 13'!E154</f>
        <v>1996</v>
      </c>
      <c r="F154" s="35">
        <f>'GF + UG Iteration 13'!F154</f>
        <v>1</v>
      </c>
      <c r="G154" s="36">
        <f>'GF + UG Iteration 13'!G154</f>
        <v>0.76702040063252341</v>
      </c>
      <c r="H154" s="38">
        <f>'GF + UG Iteration 13'!H154</f>
        <v>2001</v>
      </c>
      <c r="I154" s="35">
        <f t="shared" si="10"/>
        <v>23.87</v>
      </c>
      <c r="J154" s="36">
        <f t="shared" si="11"/>
        <v>16.098399817987524</v>
      </c>
      <c r="K154" s="38">
        <f t="shared" si="12"/>
        <v>2001</v>
      </c>
      <c r="M154" s="21">
        <f t="shared" si="18"/>
        <v>3.1726224403507386</v>
      </c>
      <c r="N154" s="21">
        <f t="shared" si="19"/>
        <v>2.7787198768637751</v>
      </c>
    </row>
    <row r="155" spans="1:14" x14ac:dyDescent="0.2">
      <c r="A155" s="33">
        <f>'GF + UG Iteration 13'!A155</f>
        <v>806</v>
      </c>
      <c r="B155" s="34" t="str">
        <f>'GF + UG Iteration 13'!B155</f>
        <v>UG</v>
      </c>
      <c r="C155" s="35">
        <f>'GF + UG Iteration 13'!C155</f>
        <v>23.867000000000001</v>
      </c>
      <c r="D155" s="36">
        <f>'GF + UG Iteration 13'!P$16*(C155^'GF + UG Iteration 13'!P$15)</f>
        <v>15.710589901738899</v>
      </c>
      <c r="E155" s="37">
        <f>'GF + UG Iteration 13'!E155</f>
        <v>1996</v>
      </c>
      <c r="F155" s="35">
        <f>'GF + UG Iteration 13'!F155</f>
        <v>5.4329999999999998</v>
      </c>
      <c r="G155" s="36">
        <f>'GF + UG Iteration 13'!G155</f>
        <v>0.68947713107767894</v>
      </c>
      <c r="H155" s="38">
        <f>'GF + UG Iteration 13'!H155</f>
        <v>2008</v>
      </c>
      <c r="I155" s="35">
        <f t="shared" si="10"/>
        <v>29.3</v>
      </c>
      <c r="J155" s="36">
        <f t="shared" si="11"/>
        <v>16.40006703281658</v>
      </c>
      <c r="K155" s="38">
        <f t="shared" si="12"/>
        <v>2008</v>
      </c>
      <c r="M155" s="21">
        <f t="shared" si="18"/>
        <v>3.3775875160230218</v>
      </c>
      <c r="N155" s="21">
        <f t="shared" si="19"/>
        <v>2.7972854221886641</v>
      </c>
    </row>
    <row r="156" spans="1:14" x14ac:dyDescent="0.2">
      <c r="A156" s="33">
        <f>'GF + UG Iteration 13'!A156</f>
        <v>1495</v>
      </c>
      <c r="B156" s="34" t="str">
        <f>'GF + UG Iteration 13'!B156</f>
        <v>UG</v>
      </c>
      <c r="C156" s="35">
        <f>'GF + UG Iteration 13'!C156</f>
        <v>29.3</v>
      </c>
      <c r="D156" s="36">
        <f>'GF + UG Iteration 13'!P$16*(C156^'GF + UG Iteration 13'!P$15)</f>
        <v>17.668268215446858</v>
      </c>
      <c r="E156" s="37">
        <f>'GF + UG Iteration 13'!E156</f>
        <v>1996</v>
      </c>
      <c r="F156" s="35">
        <f>'GF + UG Iteration 13'!F156</f>
        <v>0</v>
      </c>
      <c r="G156" s="36">
        <f>'GF + UG Iteration 13'!G156</f>
        <v>5.142810508174632</v>
      </c>
      <c r="H156" s="38">
        <f>'GF + UG Iteration 13'!H156</f>
        <v>2014</v>
      </c>
      <c r="I156" s="35">
        <f t="shared" si="10"/>
        <v>29.3</v>
      </c>
      <c r="J156" s="36">
        <f t="shared" si="11"/>
        <v>22.811078723621492</v>
      </c>
      <c r="K156" s="38">
        <f t="shared" si="12"/>
        <v>2014</v>
      </c>
      <c r="M156" s="21">
        <f t="shared" si="18"/>
        <v>3.3775875160230218</v>
      </c>
      <c r="N156" s="21">
        <f t="shared" si="19"/>
        <v>3.1272463268756461</v>
      </c>
    </row>
    <row r="157" spans="1:14" x14ac:dyDescent="0.2">
      <c r="A157" s="33">
        <f>'GF + UG Iteration 13'!A157</f>
        <v>1386</v>
      </c>
      <c r="B157" s="34" t="str">
        <f>'GF + UG Iteration 13'!B157</f>
        <v>UG</v>
      </c>
      <c r="C157" s="35">
        <f>'GF + UG Iteration 13'!C157</f>
        <v>32.700000000000003</v>
      </c>
      <c r="D157" s="36">
        <f>'GF + UG Iteration 13'!P$16*(C157^'GF + UG Iteration 13'!P$15)</f>
        <v>18.814630663877015</v>
      </c>
      <c r="E157" s="37">
        <f>'GF + UG Iteration 13'!E157</f>
        <v>0</v>
      </c>
      <c r="F157" s="35">
        <f>'GF + UG Iteration 13'!F157</f>
        <v>13.5</v>
      </c>
      <c r="G157" s="36">
        <f>'GF + UG Iteration 13'!G157</f>
        <v>0.85934464632152285</v>
      </c>
      <c r="H157" s="38">
        <f>'GF + UG Iteration 13'!H157</f>
        <v>2013</v>
      </c>
      <c r="I157" s="35">
        <f t="shared" si="10"/>
        <v>46.2</v>
      </c>
      <c r="J157" s="36">
        <f t="shared" si="11"/>
        <v>19.673975310198539</v>
      </c>
      <c r="K157" s="38">
        <f t="shared" si="12"/>
        <v>2013</v>
      </c>
      <c r="M157" s="21">
        <f t="shared" si="18"/>
        <v>3.8329797980876932</v>
      </c>
      <c r="N157" s="21">
        <f t="shared" si="19"/>
        <v>2.979296712144091</v>
      </c>
    </row>
    <row r="158" spans="1:14" x14ac:dyDescent="0.2">
      <c r="A158" s="33">
        <f>'GF + UG Iteration 13'!A158</f>
        <v>928</v>
      </c>
      <c r="B158" s="34" t="str">
        <f>'GF + UG Iteration 13'!B158</f>
        <v>UG</v>
      </c>
      <c r="C158" s="35">
        <f>'GF + UG Iteration 13'!C158</f>
        <v>18.02</v>
      </c>
      <c r="D158" s="36">
        <f>'GF + UG Iteration 13'!P$16*(C158^'GF + UG Iteration 13'!P$15)</f>
        <v>13.375513506411378</v>
      </c>
      <c r="E158" s="37">
        <f>'GF + UG Iteration 13'!E158</f>
        <v>1992</v>
      </c>
      <c r="F158" s="35">
        <f>'GF + UG Iteration 13'!F158</f>
        <v>3.4800000000000004</v>
      </c>
      <c r="G158" s="36">
        <f>'GF + UG Iteration 13'!G158</f>
        <v>10.364367944955573</v>
      </c>
      <c r="H158" s="38">
        <f>'GF + UG Iteration 13'!H158</f>
        <v>2010</v>
      </c>
      <c r="I158" s="35">
        <f t="shared" si="10"/>
        <v>21.5</v>
      </c>
      <c r="J158" s="36">
        <f t="shared" si="11"/>
        <v>23.739881451366951</v>
      </c>
      <c r="K158" s="38">
        <f t="shared" si="12"/>
        <v>2010</v>
      </c>
      <c r="M158" s="21">
        <f t="shared" si="18"/>
        <v>3.068052935133617</v>
      </c>
      <c r="N158" s="21">
        <f t="shared" si="19"/>
        <v>3.1671563955450837</v>
      </c>
    </row>
    <row r="159" spans="1:14" x14ac:dyDescent="0.2">
      <c r="A159" s="33">
        <f>'GF + UG Iteration 13'!A159</f>
        <v>1450</v>
      </c>
      <c r="B159" s="34" t="str">
        <f>'GF + UG Iteration 13'!B159</f>
        <v>UG</v>
      </c>
      <c r="C159" s="35">
        <f>'GF + UG Iteration 13'!C159</f>
        <v>21.5</v>
      </c>
      <c r="D159" s="36">
        <f>'GF + UG Iteration 13'!P$16*(C159^'GF + UG Iteration 13'!P$15)</f>
        <v>14.798566499682421</v>
      </c>
      <c r="E159" s="37">
        <f>'GF + UG Iteration 13'!E159</f>
        <v>1992</v>
      </c>
      <c r="F159" s="35">
        <f>'GF + UG Iteration 13'!F159</f>
        <v>16.299999999999997</v>
      </c>
      <c r="G159" s="36">
        <f>'GF + UG Iteration 13'!G159</f>
        <v>5.1529943993409928</v>
      </c>
      <c r="H159" s="38">
        <f>'GF + UG Iteration 13'!H159</f>
        <v>2014</v>
      </c>
      <c r="I159" s="35">
        <f t="shared" si="10"/>
        <v>37.799999999999997</v>
      </c>
      <c r="J159" s="36">
        <f t="shared" si="11"/>
        <v>19.951560899023413</v>
      </c>
      <c r="K159" s="38">
        <f t="shared" si="12"/>
        <v>2014</v>
      </c>
      <c r="M159" s="21">
        <f t="shared" si="18"/>
        <v>3.6323091026255421</v>
      </c>
      <c r="N159" s="21">
        <f t="shared" si="19"/>
        <v>2.9933073808277921</v>
      </c>
    </row>
    <row r="160" spans="1:14" x14ac:dyDescent="0.2">
      <c r="A160" s="33">
        <f>'GF + UG Iteration 13'!A160</f>
        <v>170</v>
      </c>
      <c r="B160" s="34" t="str">
        <f>'GF + UG Iteration 13'!B160</f>
        <v>UG</v>
      </c>
      <c r="C160" s="35">
        <f>'GF + UG Iteration 13'!C160</f>
        <v>17.7</v>
      </c>
      <c r="D160" s="36">
        <f>'GF + UG Iteration 13'!P$16*(C160^'GF + UG Iteration 13'!P$15)</f>
        <v>13.238986956276554</v>
      </c>
      <c r="E160" s="37" t="str">
        <f>'GF + UG Iteration 13'!E160</f>
        <v>unknown</v>
      </c>
      <c r="F160" s="35">
        <f>'GF + UG Iteration 13'!F160</f>
        <v>8.8000000000000007</v>
      </c>
      <c r="G160" s="36">
        <f>'GF + UG Iteration 13'!G160</f>
        <v>1.1342290648673055</v>
      </c>
      <c r="H160" s="38">
        <f>'GF + UG Iteration 13'!H160</f>
        <v>2001</v>
      </c>
      <c r="I160" s="35">
        <f t="shared" si="10"/>
        <v>26.5</v>
      </c>
      <c r="J160" s="36">
        <f t="shared" si="11"/>
        <v>14.373216021143859</v>
      </c>
      <c r="K160" s="38">
        <f t="shared" si="12"/>
        <v>2001</v>
      </c>
      <c r="M160" s="21">
        <f t="shared" si="18"/>
        <v>3.2771447329921766</v>
      </c>
      <c r="N160" s="21">
        <f t="shared" si="19"/>
        <v>2.6653664761050662</v>
      </c>
    </row>
    <row r="161" spans="1:14" x14ac:dyDescent="0.2">
      <c r="A161" s="33">
        <f>'GF + UG Iteration 13'!A161</f>
        <v>649</v>
      </c>
      <c r="B161" s="34" t="str">
        <f>'GF + UG Iteration 13'!B161</f>
        <v>UG</v>
      </c>
      <c r="C161" s="35">
        <f>'GF + UG Iteration 13'!C161</f>
        <v>26.5</v>
      </c>
      <c r="D161" s="36">
        <f>'GF + UG Iteration 13'!P$16*(C161^'GF + UG Iteration 13'!P$15)</f>
        <v>16.680770503248809</v>
      </c>
      <c r="E161" s="37">
        <f>'GF + UG Iteration 13'!E161</f>
        <v>1997</v>
      </c>
      <c r="F161" s="35">
        <f>'GF + UG Iteration 13'!F161</f>
        <v>33.799999999999997</v>
      </c>
      <c r="G161" s="36">
        <f>'GF + UG Iteration 13'!G161</f>
        <v>5.0180795362586865</v>
      </c>
      <c r="H161" s="38">
        <f>'GF + UG Iteration 13'!H161</f>
        <v>2007</v>
      </c>
      <c r="I161" s="35">
        <f t="shared" si="10"/>
        <v>60.3</v>
      </c>
      <c r="J161" s="36">
        <f t="shared" si="11"/>
        <v>21.698850039507494</v>
      </c>
      <c r="K161" s="38">
        <f t="shared" si="12"/>
        <v>2007</v>
      </c>
      <c r="M161" s="21">
        <f t="shared" si="18"/>
        <v>4.0993321037331398</v>
      </c>
      <c r="N161" s="21">
        <f t="shared" si="19"/>
        <v>3.0772592655711217</v>
      </c>
    </row>
    <row r="162" spans="1:14" x14ac:dyDescent="0.2">
      <c r="A162" s="33">
        <f>'GF + UG Iteration 13'!A162</f>
        <v>1203</v>
      </c>
      <c r="B162" s="34" t="str">
        <f>'GF + UG Iteration 13'!B162</f>
        <v>UG</v>
      </c>
      <c r="C162" s="35">
        <f>'GF + UG Iteration 13'!C162</f>
        <v>20.5</v>
      </c>
      <c r="D162" s="36">
        <f>'GF + UG Iteration 13'!P$16*(C162^'GF + UG Iteration 13'!P$15)</f>
        <v>14.40043518071745</v>
      </c>
      <c r="E162" s="37">
        <f>'GF + UG Iteration 13'!E162</f>
        <v>1977</v>
      </c>
      <c r="F162" s="35">
        <f>'GF + UG Iteration 13'!F162</f>
        <v>4.1000000000000014</v>
      </c>
      <c r="G162" s="36">
        <f>'GF + UG Iteration 13'!G162</f>
        <v>12.443615523285567</v>
      </c>
      <c r="H162" s="38">
        <f>'GF + UG Iteration 13'!H162</f>
        <v>2012</v>
      </c>
      <c r="I162" s="35">
        <f t="shared" si="10"/>
        <v>24.6</v>
      </c>
      <c r="J162" s="36">
        <f t="shared" si="11"/>
        <v>26.844050704003017</v>
      </c>
      <c r="K162" s="38">
        <f t="shared" si="12"/>
        <v>2012</v>
      </c>
      <c r="M162" s="21">
        <f t="shared" si="18"/>
        <v>3.202746442938317</v>
      </c>
      <c r="N162" s="21">
        <f t="shared" si="19"/>
        <v>3.2900442211335408</v>
      </c>
    </row>
    <row r="163" spans="1:14" x14ac:dyDescent="0.2">
      <c r="A163" s="33">
        <f>'GF + UG Iteration 13'!A163</f>
        <v>170</v>
      </c>
      <c r="B163" s="34" t="str">
        <f>'GF + UG Iteration 13'!B163</f>
        <v>UG</v>
      </c>
      <c r="C163" s="35">
        <f>'GF + UG Iteration 13'!C163</f>
        <v>7.9</v>
      </c>
      <c r="D163" s="36">
        <f>'GF + UG Iteration 13'!P$16*(C163^'GF + UG Iteration 13'!P$15)</f>
        <v>8.3415358159324402</v>
      </c>
      <c r="E163" s="37">
        <f>'GF + UG Iteration 13'!E163</f>
        <v>1972</v>
      </c>
      <c r="F163" s="35">
        <f>'GF + UG Iteration 13'!F163</f>
        <v>6.1</v>
      </c>
      <c r="G163" s="36">
        <f>'GF + UG Iteration 13'!G163</f>
        <v>2.9004939377112939</v>
      </c>
      <c r="H163" s="38">
        <f>'GF + UG Iteration 13'!H163</f>
        <v>2001</v>
      </c>
      <c r="I163" s="35">
        <f t="shared" si="10"/>
        <v>14</v>
      </c>
      <c r="J163" s="36">
        <f t="shared" si="11"/>
        <v>11.242029753643735</v>
      </c>
      <c r="K163" s="38">
        <f t="shared" si="12"/>
        <v>2001</v>
      </c>
      <c r="M163" s="21">
        <f t="shared" si="18"/>
        <v>2.6390573296152584</v>
      </c>
      <c r="N163" s="21">
        <f t="shared" si="19"/>
        <v>2.4196594112267755</v>
      </c>
    </row>
    <row r="164" spans="1:14" x14ac:dyDescent="0.2">
      <c r="A164" s="33">
        <f>'GF + UG Iteration 13'!A164</f>
        <v>363</v>
      </c>
      <c r="B164" s="34" t="str">
        <f>'GF + UG Iteration 13'!B164</f>
        <v>UG</v>
      </c>
      <c r="C164" s="35">
        <f>'GF + UG Iteration 13'!C164</f>
        <v>21.225999999999999</v>
      </c>
      <c r="D164" s="36">
        <f>'GF + UG Iteration 13'!P$16*(C164^'GF + UG Iteration 13'!P$15)</f>
        <v>14.690280432906302</v>
      </c>
      <c r="E164" s="37">
        <f>'GF + UG Iteration 13'!E164</f>
        <v>1975</v>
      </c>
      <c r="F164" s="35">
        <f>'GF + UG Iteration 13'!F164</f>
        <v>4.1999999999999993</v>
      </c>
      <c r="G164" s="36">
        <f>'GF + UG Iteration 13'!G164</f>
        <v>0.82194253395528394</v>
      </c>
      <c r="H164" s="38">
        <f>'GF + UG Iteration 13'!H164</f>
        <v>2004</v>
      </c>
      <c r="I164" s="35">
        <f t="shared" si="10"/>
        <v>25.425999999999998</v>
      </c>
      <c r="J164" s="36">
        <f t="shared" si="11"/>
        <v>15.512222966861586</v>
      </c>
      <c r="K164" s="38">
        <f t="shared" si="12"/>
        <v>2004</v>
      </c>
      <c r="M164" s="21">
        <f t="shared" si="18"/>
        <v>3.2357722725279308</v>
      </c>
      <c r="N164" s="21">
        <f t="shared" si="19"/>
        <v>2.741628291667733</v>
      </c>
    </row>
    <row r="165" spans="1:14" x14ac:dyDescent="0.2">
      <c r="A165" s="33">
        <f>'GF + UG Iteration 13'!A165</f>
        <v>493</v>
      </c>
      <c r="B165" s="34" t="str">
        <f>'GF + UG Iteration 13'!B165</f>
        <v>UG</v>
      </c>
      <c r="C165" s="35">
        <f>'GF + UG Iteration 13'!C165</f>
        <v>25.4</v>
      </c>
      <c r="D165" s="36">
        <f>'GF + UG Iteration 13'!P$16*(C165^'GF + UG Iteration 13'!P$15)</f>
        <v>16.280707691925514</v>
      </c>
      <c r="E165" s="37">
        <f>'GF + UG Iteration 13'!E165</f>
        <v>1975</v>
      </c>
      <c r="F165" s="35">
        <f>'GF + UG Iteration 13'!F165</f>
        <v>3.3000000000000007</v>
      </c>
      <c r="G165" s="36">
        <f>'GF + UG Iteration 13'!G165</f>
        <v>3.4002692913337142</v>
      </c>
      <c r="H165" s="38">
        <f>'GF + UG Iteration 13'!H165</f>
        <v>2006</v>
      </c>
      <c r="I165" s="35">
        <f t="shared" si="10"/>
        <v>28.7</v>
      </c>
      <c r="J165" s="36">
        <f t="shared" si="11"/>
        <v>19.680976983259228</v>
      </c>
      <c r="K165" s="38">
        <f t="shared" si="12"/>
        <v>2006</v>
      </c>
      <c r="M165" s="21">
        <f t="shared" si="18"/>
        <v>3.3568971227655755</v>
      </c>
      <c r="N165" s="21">
        <f t="shared" si="19"/>
        <v>2.9796525338502056</v>
      </c>
    </row>
    <row r="166" spans="1:14" x14ac:dyDescent="0.2">
      <c r="A166" s="33">
        <f>'GF + UG Iteration 13'!A166</f>
        <v>685</v>
      </c>
      <c r="B166" s="34" t="str">
        <f>'GF + UG Iteration 13'!B166</f>
        <v>UG</v>
      </c>
      <c r="C166" s="35">
        <f>'GF + UG Iteration 13'!C166</f>
        <v>28.7</v>
      </c>
      <c r="D166" s="36">
        <f>'GF + UG Iteration 13'!P$16*(C166^'GF + UG Iteration 13'!P$15)</f>
        <v>17.460181138678948</v>
      </c>
      <c r="E166" s="37">
        <f>'GF + UG Iteration 13'!E166</f>
        <v>1975</v>
      </c>
      <c r="F166" s="35">
        <f>'GF + UG Iteration 13'!F166</f>
        <v>4.1999999999999993</v>
      </c>
      <c r="G166" s="36">
        <f>'GF + UG Iteration 13'!G166</f>
        <v>0.94606982488538283</v>
      </c>
      <c r="H166" s="38">
        <f>'GF + UG Iteration 13'!H166</f>
        <v>2007</v>
      </c>
      <c r="I166" s="35">
        <f t="shared" si="10"/>
        <v>32.9</v>
      </c>
      <c r="J166" s="36">
        <f t="shared" si="11"/>
        <v>18.406250963564332</v>
      </c>
      <c r="K166" s="38">
        <f t="shared" si="12"/>
        <v>2007</v>
      </c>
      <c r="M166" s="21">
        <f t="shared" si="18"/>
        <v>3.493472657771326</v>
      </c>
      <c r="N166" s="21">
        <f t="shared" si="19"/>
        <v>2.9126903332017036</v>
      </c>
    </row>
    <row r="167" spans="1:14" x14ac:dyDescent="0.2">
      <c r="A167" s="33">
        <f>'GF + UG Iteration 13'!A167</f>
        <v>1574</v>
      </c>
      <c r="B167" s="34" t="str">
        <f>'GF + UG Iteration 13'!B167</f>
        <v>UG</v>
      </c>
      <c r="C167" s="35">
        <f>'GF + UG Iteration 13'!C167</f>
        <v>28</v>
      </c>
      <c r="D167" s="36">
        <f>'GF + UG Iteration 13'!P$16*(C167^'GF + UG Iteration 13'!P$15)</f>
        <v>17.215048232277987</v>
      </c>
      <c r="E167" s="37">
        <f>'GF + UG Iteration 13'!E167</f>
        <v>2013</v>
      </c>
      <c r="F167" s="35">
        <f>'GF + UG Iteration 13'!F167</f>
        <v>0</v>
      </c>
      <c r="G167" s="36">
        <f>'GF + UG Iteration 13'!G167</f>
        <v>6.2662260340537754</v>
      </c>
      <c r="H167" s="38">
        <f>'GF + UG Iteration 13'!H167</f>
        <v>2015</v>
      </c>
      <c r="I167" s="35">
        <f t="shared" si="10"/>
        <v>28</v>
      </c>
      <c r="J167" s="36">
        <f t="shared" si="11"/>
        <v>23.481274266331763</v>
      </c>
      <c r="K167" s="38">
        <f t="shared" si="12"/>
        <v>2015</v>
      </c>
      <c r="M167" s="21">
        <f t="shared" si="18"/>
        <v>3.3322045101752038</v>
      </c>
      <c r="N167" s="21">
        <f t="shared" si="19"/>
        <v>3.1562032637740192</v>
      </c>
    </row>
    <row r="168" spans="1:14" x14ac:dyDescent="0.2">
      <c r="A168" s="33">
        <f>'GF + UG Iteration 13'!A168</f>
        <v>435</v>
      </c>
      <c r="B168" s="34" t="str">
        <f>'GF + UG Iteration 13'!B168</f>
        <v>UG</v>
      </c>
      <c r="C168" s="35">
        <f>'GF + UG Iteration 13'!C168</f>
        <v>10.6</v>
      </c>
      <c r="D168" s="36">
        <f>'GF + UG Iteration 13'!P$16*(C168^'GF + UG Iteration 13'!P$15)</f>
        <v>9.8708618284659977</v>
      </c>
      <c r="E168" s="37">
        <f>'GF + UG Iteration 13'!E168</f>
        <v>1990</v>
      </c>
      <c r="F168" s="35">
        <f>'GF + UG Iteration 13'!F168</f>
        <v>8.4</v>
      </c>
      <c r="G168" s="36">
        <f>'GF + UG Iteration 13'!G168</f>
        <v>3.0773639102073269</v>
      </c>
      <c r="H168" s="38">
        <f>'GF + UG Iteration 13'!H168</f>
        <v>2004</v>
      </c>
      <c r="I168" s="35">
        <f t="shared" si="10"/>
        <v>19</v>
      </c>
      <c r="J168" s="36">
        <f t="shared" si="11"/>
        <v>12.948225738673324</v>
      </c>
      <c r="K168" s="38">
        <f t="shared" si="12"/>
        <v>2004</v>
      </c>
      <c r="M168" s="21">
        <f t="shared" si="18"/>
        <v>2.9444389791664403</v>
      </c>
      <c r="N168" s="21">
        <f t="shared" si="19"/>
        <v>2.5609587701623573</v>
      </c>
    </row>
    <row r="169" spans="1:14" x14ac:dyDescent="0.2">
      <c r="A169" s="33">
        <f>'GF + UG Iteration 13'!A169</f>
        <v>652</v>
      </c>
      <c r="B169" s="34" t="str">
        <f>'GF + UG Iteration 13'!B169</f>
        <v>UG</v>
      </c>
      <c r="C169" s="35">
        <f>'GF + UG Iteration 13'!C169</f>
        <v>10.195</v>
      </c>
      <c r="D169" s="36">
        <f>'GF + UG Iteration 13'!P$16*(C169^'GF + UG Iteration 13'!P$15)</f>
        <v>9.6531140501335688</v>
      </c>
      <c r="E169" s="37">
        <f>'GF + UG Iteration 13'!E169</f>
        <v>1986</v>
      </c>
      <c r="F169" s="35">
        <f>'GF + UG Iteration 13'!F169</f>
        <v>3.4049999999999994</v>
      </c>
      <c r="G169" s="36">
        <f>'GF + UG Iteration 13'!G169</f>
        <v>4.380227937072533</v>
      </c>
      <c r="H169" s="38">
        <f>'GF + UG Iteration 13'!H169</f>
        <v>2007</v>
      </c>
      <c r="I169" s="35">
        <f t="shared" si="10"/>
        <v>13.6</v>
      </c>
      <c r="J169" s="36">
        <f t="shared" si="11"/>
        <v>14.033341987206102</v>
      </c>
      <c r="K169" s="38">
        <f t="shared" si="12"/>
        <v>2007</v>
      </c>
      <c r="M169" s="21">
        <f t="shared" si="18"/>
        <v>2.6100697927420065</v>
      </c>
      <c r="N169" s="21">
        <f t="shared" si="19"/>
        <v>2.6414360686855538</v>
      </c>
    </row>
    <row r="170" spans="1:14" x14ac:dyDescent="0.2">
      <c r="A170" s="33">
        <f>'GF + UG Iteration 13'!A170</f>
        <v>366</v>
      </c>
      <c r="B170" s="34" t="str">
        <f>'GF + UG Iteration 13'!B170</f>
        <v>UG</v>
      </c>
      <c r="C170" s="35">
        <f>'GF + UG Iteration 13'!C170</f>
        <v>11.1</v>
      </c>
      <c r="D170" s="36">
        <f>'GF + UG Iteration 13'!P$16*(C170^'GF + UG Iteration 13'!P$15)</f>
        <v>10.134840106642695</v>
      </c>
      <c r="E170" s="37">
        <f>'GF + UG Iteration 13'!E170</f>
        <v>1981</v>
      </c>
      <c r="F170" s="35">
        <f>'GF + UG Iteration 13'!F170</f>
        <v>4.8000000000000007</v>
      </c>
      <c r="G170" s="36">
        <f>'GF + UG Iteration 13'!G170</f>
        <v>0.60207988766843201</v>
      </c>
      <c r="H170" s="38">
        <f>'GF + UG Iteration 13'!H170</f>
        <v>2003</v>
      </c>
      <c r="I170" s="35">
        <f t="shared" si="10"/>
        <v>15.9</v>
      </c>
      <c r="J170" s="36">
        <f t="shared" si="11"/>
        <v>10.736919994311128</v>
      </c>
      <c r="K170" s="38">
        <f t="shared" si="12"/>
        <v>2003</v>
      </c>
      <c r="M170" s="21">
        <f t="shared" si="18"/>
        <v>2.7663191092261861</v>
      </c>
      <c r="N170" s="21">
        <f t="shared" si="19"/>
        <v>2.3736882690235781</v>
      </c>
    </row>
    <row r="171" spans="1:14" x14ac:dyDescent="0.2">
      <c r="A171" s="33">
        <f>'GF + UG Iteration 13'!A171</f>
        <v>1640</v>
      </c>
      <c r="B171" s="34" t="str">
        <f>'GF + UG Iteration 13'!B171</f>
        <v>UG</v>
      </c>
      <c r="C171" s="35">
        <f>'GF + UG Iteration 13'!C171</f>
        <v>15.9</v>
      </c>
      <c r="D171" s="36">
        <f>'GF + UG Iteration 13'!P$16*(C171^'GF + UG Iteration 13'!P$15)</f>
        <v>12.450453963796097</v>
      </c>
      <c r="E171" s="37">
        <f>'GF + UG Iteration 13'!E171</f>
        <v>1981</v>
      </c>
      <c r="F171" s="35">
        <f>'GF + UG Iteration 13'!F171</f>
        <v>2.4999999999999982</v>
      </c>
      <c r="G171" s="36">
        <f>'GF + UG Iteration 13'!G171</f>
        <v>8.3244002844443177</v>
      </c>
      <c r="H171" s="38">
        <f>'GF + UG Iteration 13'!H171</f>
        <v>2015</v>
      </c>
      <c r="I171" s="35">
        <f t="shared" si="10"/>
        <v>18.399999999999999</v>
      </c>
      <c r="J171" s="36">
        <f t="shared" si="11"/>
        <v>20.774854248240416</v>
      </c>
      <c r="K171" s="38">
        <f t="shared" si="12"/>
        <v>2015</v>
      </c>
      <c r="M171" s="21">
        <f t="shared" si="18"/>
        <v>2.91235066461494</v>
      </c>
      <c r="N171" s="21">
        <f t="shared" si="19"/>
        <v>3.0337433249884018</v>
      </c>
    </row>
    <row r="172" spans="1:14" x14ac:dyDescent="0.2">
      <c r="A172" s="33">
        <f>'GF + UG Iteration 13'!A172</f>
        <v>367</v>
      </c>
      <c r="B172" s="34" t="str">
        <f>'GF + UG Iteration 13'!B172</f>
        <v>UG</v>
      </c>
      <c r="C172" s="35">
        <f>'GF + UG Iteration 13'!C172</f>
        <v>11.211</v>
      </c>
      <c r="D172" s="36">
        <f>'GF + UG Iteration 13'!P$16*(C172^'GF + UG Iteration 13'!P$15)</f>
        <v>10.192748922264576</v>
      </c>
      <c r="E172" s="37">
        <f>'GF + UG Iteration 13'!E172</f>
        <v>1988</v>
      </c>
      <c r="F172" s="35">
        <f>'GF + UG Iteration 13'!F172</f>
        <v>1</v>
      </c>
      <c r="G172" s="36">
        <f>'GF + UG Iteration 13'!G172</f>
        <v>0.55588557988620213</v>
      </c>
      <c r="H172" s="38">
        <f>'GF + UG Iteration 13'!H172</f>
        <v>2004</v>
      </c>
      <c r="I172" s="35">
        <f t="shared" si="10"/>
        <v>12.211</v>
      </c>
      <c r="J172" s="36">
        <f t="shared" si="11"/>
        <v>10.748634502150779</v>
      </c>
      <c r="K172" s="38">
        <f t="shared" si="12"/>
        <v>2004</v>
      </c>
      <c r="M172" s="21">
        <f t="shared" si="18"/>
        <v>2.5023371848508846</v>
      </c>
      <c r="N172" s="21">
        <f t="shared" si="19"/>
        <v>2.3747787234498188</v>
      </c>
    </row>
    <row r="173" spans="1:14" x14ac:dyDescent="0.2">
      <c r="A173" s="33">
        <f>'GF + UG Iteration 13'!A173</f>
        <v>650</v>
      </c>
      <c r="B173" s="34" t="str">
        <f>'GF + UG Iteration 13'!B173</f>
        <v>UG</v>
      </c>
      <c r="C173" s="35">
        <f>'GF + UG Iteration 13'!C173</f>
        <v>23</v>
      </c>
      <c r="D173" s="36">
        <f>'GF + UG Iteration 13'!P$16*(C173^'GF + UG Iteration 13'!P$15)</f>
        <v>15.381220151525225</v>
      </c>
      <c r="E173" s="37">
        <f>'GF + UG Iteration 13'!E173</f>
        <v>1981</v>
      </c>
      <c r="F173" s="35">
        <f>'GF + UG Iteration 13'!F173</f>
        <v>0</v>
      </c>
      <c r="G173" s="36">
        <f>'GF + UG Iteration 13'!G173</f>
        <v>5.9476879309059552</v>
      </c>
      <c r="H173" s="38">
        <f>'GF + UG Iteration 13'!H173</f>
        <v>2007</v>
      </c>
      <c r="I173" s="35">
        <f t="shared" si="10"/>
        <v>23</v>
      </c>
      <c r="J173" s="36">
        <f t="shared" si="11"/>
        <v>21.32890808243118</v>
      </c>
      <c r="K173" s="38">
        <f t="shared" si="12"/>
        <v>2007</v>
      </c>
      <c r="M173" s="21">
        <f t="shared" si="18"/>
        <v>3.1354942159291497</v>
      </c>
      <c r="N173" s="21">
        <f t="shared" si="19"/>
        <v>3.0600633395381913</v>
      </c>
    </row>
    <row r="174" spans="1:14" x14ac:dyDescent="0.2">
      <c r="A174" s="33">
        <f>'GF + UG Iteration 13'!A174</f>
        <v>902</v>
      </c>
      <c r="B174" s="34" t="str">
        <f>'GF + UG Iteration 13'!B174</f>
        <v>UG</v>
      </c>
      <c r="C174" s="35">
        <f>'GF + UG Iteration 13'!C174</f>
        <v>19.2</v>
      </c>
      <c r="D174" s="36">
        <f>'GF + UG Iteration 13'!P$16*(C174^'GF + UG Iteration 13'!P$15)</f>
        <v>13.870227917020284</v>
      </c>
      <c r="E174" s="37">
        <f>'GF + UG Iteration 13'!E174</f>
        <v>2002</v>
      </c>
      <c r="F174" s="35">
        <f>'GF + UG Iteration 13'!F174</f>
        <v>13.500000000000004</v>
      </c>
      <c r="G174" s="36">
        <f>'GF + UG Iteration 13'!G174</f>
        <v>0.54699963688402187</v>
      </c>
      <c r="H174" s="38">
        <f>'GF + UG Iteration 13'!H174</f>
        <v>2009</v>
      </c>
      <c r="I174" s="35">
        <f t="shared" si="10"/>
        <v>32.700000000000003</v>
      </c>
      <c r="J174" s="36">
        <f t="shared" si="11"/>
        <v>14.417227553904306</v>
      </c>
      <c r="K174" s="38">
        <f t="shared" si="12"/>
        <v>2009</v>
      </c>
      <c r="M174" s="21">
        <f t="shared" si="18"/>
        <v>3.487375077903208</v>
      </c>
      <c r="N174" s="21">
        <f t="shared" si="19"/>
        <v>2.6684238494261114</v>
      </c>
    </row>
    <row r="175" spans="1:14" x14ac:dyDescent="0.2">
      <c r="A175" s="33">
        <f>'GF + UG Iteration 13'!A175</f>
        <v>1202</v>
      </c>
      <c r="B175" s="34" t="str">
        <f>'GF + UG Iteration 13'!B175</f>
        <v>UG</v>
      </c>
      <c r="C175" s="35">
        <f>'GF + UG Iteration 13'!C175</f>
        <v>19.399999999999999</v>
      </c>
      <c r="D175" s="36">
        <f>'GF + UG Iteration 13'!P$16*(C175^'GF + UG Iteration 13'!P$15)</f>
        <v>13.952775006363277</v>
      </c>
      <c r="E175" s="37">
        <f>'GF + UG Iteration 13'!E175</f>
        <v>1989</v>
      </c>
      <c r="F175" s="35">
        <f>'GF + UG Iteration 13'!F175</f>
        <v>1.6000000000000014</v>
      </c>
      <c r="G175" s="36">
        <f>'GF + UG Iteration 13'!G175</f>
        <v>10.745042225505973</v>
      </c>
      <c r="H175" s="38">
        <f>'GF + UG Iteration 13'!H175</f>
        <v>2012</v>
      </c>
      <c r="I175" s="35">
        <f t="shared" si="10"/>
        <v>21</v>
      </c>
      <c r="J175" s="36">
        <f t="shared" si="11"/>
        <v>24.697817231869251</v>
      </c>
      <c r="K175" s="38">
        <f t="shared" si="12"/>
        <v>2012</v>
      </c>
      <c r="M175" s="21">
        <f t="shared" si="18"/>
        <v>3.044522437723423</v>
      </c>
      <c r="N175" s="21">
        <f t="shared" si="19"/>
        <v>3.2067148685495863</v>
      </c>
    </row>
    <row r="176" spans="1:14" x14ac:dyDescent="0.2">
      <c r="A176" s="33">
        <f>'GF + UG Iteration 13'!A176</f>
        <v>1338</v>
      </c>
      <c r="B176" s="34" t="str">
        <f>'GF + UG Iteration 13'!B176</f>
        <v>UG</v>
      </c>
      <c r="C176" s="35">
        <f>'GF + UG Iteration 13'!C176</f>
        <v>7.5</v>
      </c>
      <c r="D176" s="36">
        <f>'GF + UG Iteration 13'!P$16*(C176^'GF + UG Iteration 13'!P$15)</f>
        <v>8.097012180556673</v>
      </c>
      <c r="E176" s="37" t="str">
        <f>'GF + UG Iteration 13'!E176</f>
        <v>unknown</v>
      </c>
      <c r="F176" s="35">
        <f>'GF + UG Iteration 13'!F176</f>
        <v>2</v>
      </c>
      <c r="G176" s="36">
        <f>'GF + UG Iteration 13'!G176</f>
        <v>6.6635813355623759</v>
      </c>
      <c r="H176" s="38">
        <f>'GF + UG Iteration 13'!H176</f>
        <v>2013</v>
      </c>
      <c r="I176" s="35">
        <f t="shared" si="10"/>
        <v>9.5</v>
      </c>
      <c r="J176" s="36">
        <f t="shared" si="11"/>
        <v>14.760593516119048</v>
      </c>
      <c r="K176" s="38">
        <f t="shared" si="12"/>
        <v>2013</v>
      </c>
      <c r="M176" s="21">
        <f t="shared" si="18"/>
        <v>2.2512917986064953</v>
      </c>
      <c r="N176" s="21">
        <f t="shared" si="19"/>
        <v>2.6919610294830578</v>
      </c>
    </row>
    <row r="177" spans="1:14" x14ac:dyDescent="0.2">
      <c r="A177" s="33">
        <f>'GF + UG Iteration 13'!A177</f>
        <v>212</v>
      </c>
      <c r="B177" s="34" t="str">
        <f>'GF + UG Iteration 13'!B177</f>
        <v>UG</v>
      </c>
      <c r="C177" s="35">
        <f>'GF + UG Iteration 13'!C177</f>
        <v>36.549999999999997</v>
      </c>
      <c r="D177" s="36">
        <f>'GF + UG Iteration 13'!P$16*(C177^'GF + UG Iteration 13'!P$15)</f>
        <v>20.0528008123066</v>
      </c>
      <c r="E177" s="37">
        <f>'GF + UG Iteration 13'!E177</f>
        <v>1978</v>
      </c>
      <c r="F177" s="35">
        <f>'GF + UG Iteration 13'!F177</f>
        <v>28</v>
      </c>
      <c r="G177" s="36">
        <f>'GF + UG Iteration 13'!G177</f>
        <v>4.6264535731184777</v>
      </c>
      <c r="H177" s="38">
        <f>'GF + UG Iteration 13'!H177</f>
        <v>2003</v>
      </c>
      <c r="I177" s="35">
        <f t="shared" si="10"/>
        <v>64.55</v>
      </c>
      <c r="J177" s="36">
        <f t="shared" si="11"/>
        <v>24.679254385425079</v>
      </c>
      <c r="K177" s="38">
        <f t="shared" si="12"/>
        <v>2003</v>
      </c>
      <c r="M177" s="21">
        <f t="shared" si="18"/>
        <v>4.1674401172926512</v>
      </c>
      <c r="N177" s="21">
        <f t="shared" si="19"/>
        <v>3.2059629872933404</v>
      </c>
    </row>
    <row r="178" spans="1:14" x14ac:dyDescent="0.2">
      <c r="A178" s="33">
        <f>'GF + UG Iteration 13'!A178</f>
        <v>653</v>
      </c>
      <c r="B178" s="34" t="str">
        <f>'GF + UG Iteration 13'!B178</f>
        <v>UG</v>
      </c>
      <c r="C178" s="35">
        <f>'GF + UG Iteration 13'!C178</f>
        <v>64.55</v>
      </c>
      <c r="D178" s="36">
        <f>'GF + UG Iteration 13'!P$16*(C178^'GF + UG Iteration 13'!P$15)</f>
        <v>27.772353190649294</v>
      </c>
      <c r="E178" s="37">
        <f>'GF + UG Iteration 13'!E178</f>
        <v>1977</v>
      </c>
      <c r="F178" s="35">
        <f>'GF + UG Iteration 13'!F178</f>
        <v>1.3200000000000074</v>
      </c>
      <c r="G178" s="36">
        <f>'GF + UG Iteration 13'!G178</f>
        <v>0.56894692945086811</v>
      </c>
      <c r="H178" s="38">
        <f>'GF + UG Iteration 13'!H178</f>
        <v>2007</v>
      </c>
      <c r="I178" s="35">
        <f t="shared" si="10"/>
        <v>65.87</v>
      </c>
      <c r="J178" s="36">
        <f t="shared" si="11"/>
        <v>28.341300120100161</v>
      </c>
      <c r="K178" s="38">
        <f t="shared" si="12"/>
        <v>2007</v>
      </c>
      <c r="M178" s="21">
        <f t="shared" si="18"/>
        <v>4.1876831026526018</v>
      </c>
      <c r="N178" s="21">
        <f t="shared" si="19"/>
        <v>3.3443201090077372</v>
      </c>
    </row>
    <row r="179" spans="1:14" x14ac:dyDescent="0.2">
      <c r="A179" s="33">
        <f>'GF + UG Iteration 13'!A179</f>
        <v>1679</v>
      </c>
      <c r="B179" s="34" t="str">
        <f>'GF + UG Iteration 13'!B179</f>
        <v>UG</v>
      </c>
      <c r="C179" s="35">
        <f>'GF + UG Iteration 13'!C179</f>
        <v>65.87</v>
      </c>
      <c r="D179" s="36">
        <f>'GF + UG Iteration 13'!P$16*(C179^'GF + UG Iteration 13'!P$15)</f>
        <v>28.096139976668383</v>
      </c>
      <c r="E179" s="37">
        <f>'GF + UG Iteration 13'!E179</f>
        <v>1977</v>
      </c>
      <c r="F179" s="35">
        <f>'GF + UG Iteration 13'!F179</f>
        <v>0</v>
      </c>
      <c r="G179" s="36">
        <f>'GF + UG Iteration 13'!G179</f>
        <v>3.0359489017822221</v>
      </c>
      <c r="H179" s="38">
        <f>'GF + UG Iteration 13'!H179</f>
        <v>2016</v>
      </c>
      <c r="I179" s="35">
        <f t="shared" si="10"/>
        <v>65.87</v>
      </c>
      <c r="J179" s="36">
        <f t="shared" si="11"/>
        <v>31.132088878450606</v>
      </c>
      <c r="K179" s="38">
        <f t="shared" si="12"/>
        <v>2016</v>
      </c>
      <c r="M179" s="21">
        <f t="shared" si="18"/>
        <v>4.1876831026526018</v>
      </c>
      <c r="N179" s="21">
        <f t="shared" si="19"/>
        <v>3.4382390839835524</v>
      </c>
    </row>
    <row r="180" spans="1:14" x14ac:dyDescent="0.2">
      <c r="A180" s="33">
        <f>'GF + UG Iteration 13'!A180</f>
        <v>1382</v>
      </c>
      <c r="B180" s="34" t="str">
        <f>'GF + UG Iteration 13'!B180</f>
        <v>UG</v>
      </c>
      <c r="C180" s="35">
        <f>'GF + UG Iteration 13'!C180</f>
        <v>24.2</v>
      </c>
      <c r="D180" s="36">
        <f>'GF + UG Iteration 13'!P$16*(C180^'GF + UG Iteration 13'!P$15)</f>
        <v>15.83573189700896</v>
      </c>
      <c r="E180" s="37" t="str">
        <f>'GF + UG Iteration 13'!E180</f>
        <v>unknown</v>
      </c>
      <c r="F180" s="35">
        <f>'GF + UG Iteration 13'!F180</f>
        <v>11.900000000000002</v>
      </c>
      <c r="G180" s="36">
        <f>'GF + UG Iteration 13'!G180</f>
        <v>2.4484361075925429</v>
      </c>
      <c r="H180" s="38">
        <f>'GF + UG Iteration 13'!H180</f>
        <v>2013</v>
      </c>
      <c r="I180" s="35">
        <f t="shared" si="10"/>
        <v>36.1</v>
      </c>
      <c r="J180" s="36">
        <f t="shared" si="11"/>
        <v>18.284168004601504</v>
      </c>
      <c r="K180" s="38">
        <f t="shared" si="12"/>
        <v>2013</v>
      </c>
      <c r="M180" s="21">
        <f t="shared" si="18"/>
        <v>3.5862928653388351</v>
      </c>
      <c r="N180" s="21">
        <f t="shared" si="19"/>
        <v>2.90603554904036</v>
      </c>
    </row>
    <row r="181" spans="1:14" x14ac:dyDescent="0.2">
      <c r="A181" s="33">
        <f>'GF + UG Iteration 13'!A181</f>
        <v>1638</v>
      </c>
      <c r="B181" s="34" t="str">
        <f>'GF + UG Iteration 13'!B181</f>
        <v>UG</v>
      </c>
      <c r="C181" s="35">
        <f>'GF + UG Iteration 13'!C181</f>
        <v>36.1</v>
      </c>
      <c r="D181" s="36">
        <f>'GF + UG Iteration 13'!P$16*(C181^'GF + UG Iteration 13'!P$15)</f>
        <v>19.911058176008719</v>
      </c>
      <c r="E181" s="37" t="str">
        <f>'GF + UG Iteration 13'!E181</f>
        <v>unknown</v>
      </c>
      <c r="F181" s="35">
        <f>'GF + UG Iteration 13'!F181</f>
        <v>0</v>
      </c>
      <c r="G181" s="36">
        <f>'GF + UG Iteration 13'!G181</f>
        <v>1.4307693737810239</v>
      </c>
      <c r="H181" s="38">
        <f>'GF + UG Iteration 13'!H181</f>
        <v>2015</v>
      </c>
      <c r="I181" s="35">
        <f t="shared" si="10"/>
        <v>36.1</v>
      </c>
      <c r="J181" s="36">
        <f t="shared" si="11"/>
        <v>21.341827549789745</v>
      </c>
      <c r="K181" s="38">
        <f t="shared" si="12"/>
        <v>2015</v>
      </c>
      <c r="M181" s="21">
        <f t="shared" si="18"/>
        <v>3.5862928653388351</v>
      </c>
      <c r="N181" s="21">
        <f t="shared" si="19"/>
        <v>3.0606688818407517</v>
      </c>
    </row>
    <row r="182" spans="1:14" x14ac:dyDescent="0.2">
      <c r="A182" s="33">
        <f>'GF + UG Iteration 13'!A182</f>
        <v>874</v>
      </c>
      <c r="B182" s="34" t="str">
        <f>'GF + UG Iteration 13'!B182</f>
        <v>UG</v>
      </c>
      <c r="C182" s="35">
        <f>'GF + UG Iteration 13'!C182</f>
        <v>6.4</v>
      </c>
      <c r="D182" s="36">
        <f>'GF + UG Iteration 13'!P$16*(C182^'GF + UG Iteration 13'!P$15)</f>
        <v>7.3940650145055642</v>
      </c>
      <c r="E182" s="37">
        <f>'GF + UG Iteration 13'!E182</f>
        <v>1997</v>
      </c>
      <c r="F182" s="35">
        <f>'GF + UG Iteration 13'!F182</f>
        <v>0.5</v>
      </c>
      <c r="G182" s="36">
        <f>'GF + UG Iteration 13'!G182</f>
        <v>3.6333602061432981</v>
      </c>
      <c r="H182" s="38">
        <f>'GF + UG Iteration 13'!H182</f>
        <v>2009</v>
      </c>
      <c r="I182" s="35">
        <f t="shared" si="10"/>
        <v>6.9</v>
      </c>
      <c r="J182" s="36">
        <f t="shared" si="11"/>
        <v>11.027425220648862</v>
      </c>
      <c r="K182" s="38">
        <f t="shared" si="12"/>
        <v>2009</v>
      </c>
      <c r="M182" s="21">
        <f t="shared" si="18"/>
        <v>1.9315214116032138</v>
      </c>
      <c r="N182" s="21">
        <f t="shared" si="19"/>
        <v>2.4003853718040595</v>
      </c>
    </row>
    <row r="183" spans="1:14" x14ac:dyDescent="0.2">
      <c r="A183" s="33">
        <f>'GF + UG Iteration 13'!A183</f>
        <v>491</v>
      </c>
      <c r="B183" s="34" t="str">
        <f>'GF + UG Iteration 13'!B183</f>
        <v>UG</v>
      </c>
      <c r="C183" s="35">
        <f>'GF + UG Iteration 13'!C183</f>
        <v>27.9</v>
      </c>
      <c r="D183" s="36">
        <f>'GF + UG Iteration 13'!P$16*(C183^'GF + UG Iteration 13'!P$15)</f>
        <v>17.17981645364566</v>
      </c>
      <c r="E183" s="37">
        <f>'GF + UG Iteration 13'!E183</f>
        <v>1984</v>
      </c>
      <c r="F183" s="35">
        <f>'GF + UG Iteration 13'!F183</f>
        <v>1</v>
      </c>
      <c r="G183" s="36">
        <f>'GF + UG Iteration 13'!G183</f>
        <v>0.19252271805052243</v>
      </c>
      <c r="H183" s="38">
        <f>'GF + UG Iteration 13'!H183</f>
        <v>2006</v>
      </c>
      <c r="I183" s="35">
        <f t="shared" si="10"/>
        <v>28.9</v>
      </c>
      <c r="J183" s="36">
        <f t="shared" si="11"/>
        <v>17.372339171696183</v>
      </c>
      <c r="K183" s="38">
        <f t="shared" si="12"/>
        <v>2006</v>
      </c>
      <c r="M183" s="21">
        <f t="shared" si="18"/>
        <v>3.3638415951183864</v>
      </c>
      <c r="N183" s="21">
        <f t="shared" si="19"/>
        <v>2.8548792385262032</v>
      </c>
    </row>
    <row r="184" spans="1:14" x14ac:dyDescent="0.2">
      <c r="A184" s="33">
        <f>'GF + UG Iteration 13'!A184</f>
        <v>1396</v>
      </c>
      <c r="B184" s="34" t="str">
        <f>'GF + UG Iteration 13'!B184</f>
        <v>UG</v>
      </c>
      <c r="C184" s="35">
        <f>'GF + UG Iteration 13'!C184</f>
        <v>20.6</v>
      </c>
      <c r="D184" s="36">
        <f>'GF + UG Iteration 13'!P$16*(C184^'GF + UG Iteration 13'!P$15)</f>
        <v>14.440616325336523</v>
      </c>
      <c r="E184" s="37">
        <f>'GF + UG Iteration 13'!E184</f>
        <v>2009</v>
      </c>
      <c r="F184" s="35">
        <f>'GF + UG Iteration 13'!F184</f>
        <v>5.3999999999999986</v>
      </c>
      <c r="G184" s="36">
        <f>'GF + UG Iteration 13'!G184</f>
        <v>0.37351117224616898</v>
      </c>
      <c r="H184" s="38">
        <f>'GF + UG Iteration 13'!H184</f>
        <v>2013</v>
      </c>
      <c r="I184" s="35">
        <f t="shared" ref="I184:I246" si="20">C184+F184</f>
        <v>26</v>
      </c>
      <c r="J184" s="36">
        <f t="shared" ref="J184:J246" si="21">D184+G184</f>
        <v>14.814127497582691</v>
      </c>
      <c r="K184" s="38">
        <f t="shared" ref="K184:K246" si="22">MAX(E184,H184)</f>
        <v>2013</v>
      </c>
      <c r="M184" s="21">
        <f>LN(I184)</f>
        <v>3.2580965380214821</v>
      </c>
      <c r="N184" s="21">
        <f>LN(J184)</f>
        <v>2.6955812861142538</v>
      </c>
    </row>
    <row r="185" spans="1:14" x14ac:dyDescent="0.2">
      <c r="A185" s="33">
        <f>'GF + UG Iteration 13'!A185</f>
        <v>1597</v>
      </c>
      <c r="B185" s="34" t="str">
        <f>'GF + UG Iteration 13'!B185</f>
        <v>UG</v>
      </c>
      <c r="C185" s="35">
        <f>'GF + UG Iteration 13'!C185</f>
        <v>26</v>
      </c>
      <c r="D185" s="36">
        <f>'GF + UG Iteration 13'!P$16*(C185^'GF + UG Iteration 13'!P$15)</f>
        <v>16.499821532441942</v>
      </c>
      <c r="E185" s="37">
        <f>'GF + UG Iteration 13'!E185</f>
        <v>2009</v>
      </c>
      <c r="F185" s="35">
        <f>'GF + UG Iteration 13'!F185</f>
        <v>27.299999999999997</v>
      </c>
      <c r="G185" s="36">
        <f>'GF + UG Iteration 13'!G185</f>
        <v>4.2355817632178319</v>
      </c>
      <c r="H185" s="38">
        <f>'GF + UG Iteration 13'!H185</f>
        <v>2015</v>
      </c>
      <c r="I185" s="35">
        <f t="shared" si="20"/>
        <v>53.3</v>
      </c>
      <c r="J185" s="36">
        <f t="shared" si="21"/>
        <v>20.735403295659772</v>
      </c>
      <c r="K185" s="38">
        <f t="shared" si="22"/>
        <v>2015</v>
      </c>
      <c r="M185" s="21">
        <f t="shared" ref="M185:M247" si="23">LN(I185)</f>
        <v>3.9759363311717988</v>
      </c>
      <c r="N185" s="21">
        <f t="shared" ref="N185:N247" si="24">LN(J185)</f>
        <v>3.0318425435048444</v>
      </c>
    </row>
    <row r="186" spans="1:14" x14ac:dyDescent="0.2">
      <c r="A186" s="33">
        <f>'GF + UG Iteration 13'!A186</f>
        <v>1292</v>
      </c>
      <c r="B186" s="34" t="str">
        <f>'GF + UG Iteration 13'!B186</f>
        <v>UG</v>
      </c>
      <c r="C186" s="35">
        <f>'GF + UG Iteration 13'!C186</f>
        <v>30.3</v>
      </c>
      <c r="D186" s="36">
        <f>'GF + UG Iteration 13'!P$16*(C186^'GF + UG Iteration 13'!P$15)</f>
        <v>18.011075826896825</v>
      </c>
      <c r="E186" s="37" t="str">
        <f>'GF + UG Iteration 13'!E186</f>
        <v>unknown</v>
      </c>
      <c r="F186" s="35">
        <f>'GF + UG Iteration 13'!F186</f>
        <v>2.4999999999999964</v>
      </c>
      <c r="G186" s="36">
        <f>'GF + UG Iteration 13'!G186</f>
        <v>4.47116983018676</v>
      </c>
      <c r="H186" s="38">
        <f>'GF + UG Iteration 13'!H186</f>
        <v>2013</v>
      </c>
      <c r="I186" s="35">
        <f t="shared" si="20"/>
        <v>32.799999999999997</v>
      </c>
      <c r="J186" s="36">
        <f t="shared" si="21"/>
        <v>22.482245657083585</v>
      </c>
      <c r="K186" s="38">
        <f t="shared" si="22"/>
        <v>2013</v>
      </c>
      <c r="M186" s="21">
        <f t="shared" si="23"/>
        <v>3.4904285153900978</v>
      </c>
      <c r="N186" s="21">
        <f t="shared" si="24"/>
        <v>3.1127259158139791</v>
      </c>
    </row>
    <row r="187" spans="1:14" x14ac:dyDescent="0.2">
      <c r="A187" s="33">
        <f>'GF + UG Iteration 13'!A187</f>
        <v>364</v>
      </c>
      <c r="B187" s="34" t="str">
        <f>'GF + UG Iteration 13'!B187</f>
        <v>UG</v>
      </c>
      <c r="C187" s="35">
        <f>'GF + UG Iteration 13'!C187</f>
        <v>44.904000000000003</v>
      </c>
      <c r="D187" s="36">
        <f>'GF + UG Iteration 13'!P$16*(C187^'GF + UG Iteration 13'!P$15)</f>
        <v>22.561307493626177</v>
      </c>
      <c r="E187" s="37">
        <f>'GF + UG Iteration 13'!E187</f>
        <v>1975</v>
      </c>
      <c r="F187" s="35">
        <f>'GF + UG Iteration 13'!F187</f>
        <v>2</v>
      </c>
      <c r="G187" s="36">
        <f>'GF + UG Iteration 13'!G187</f>
        <v>1.3174901179839253</v>
      </c>
      <c r="H187" s="38">
        <f>'GF + UG Iteration 13'!H187</f>
        <v>2004</v>
      </c>
      <c r="I187" s="35">
        <f t="shared" si="20"/>
        <v>46.904000000000003</v>
      </c>
      <c r="J187" s="36">
        <f t="shared" si="21"/>
        <v>23.878797611610104</v>
      </c>
      <c r="K187" s="38">
        <f t="shared" si="22"/>
        <v>2004</v>
      </c>
      <c r="M187" s="21">
        <f t="shared" si="23"/>
        <v>3.8481029596619138</v>
      </c>
      <c r="N187" s="21">
        <f t="shared" si="24"/>
        <v>3.1729909359841248</v>
      </c>
    </row>
    <row r="188" spans="1:14" x14ac:dyDescent="0.2">
      <c r="A188" s="33">
        <f>'GF + UG Iteration 13'!A188</f>
        <v>1306</v>
      </c>
      <c r="B188" s="34" t="str">
        <f>'GF + UG Iteration 13'!B188</f>
        <v>UG</v>
      </c>
      <c r="C188" s="35">
        <f>'GF + UG Iteration 13'!C188</f>
        <v>23.1</v>
      </c>
      <c r="D188" s="36">
        <f>'GF + UG Iteration 13'!P$16*(C188^'GF + UG Iteration 13'!P$15)</f>
        <v>15.419477295293667</v>
      </c>
      <c r="E188" s="37">
        <f>'GF + UG Iteration 13'!E188</f>
        <v>1985</v>
      </c>
      <c r="F188" s="35">
        <f>'GF + UG Iteration 13'!F188</f>
        <v>2.0999999999999979</v>
      </c>
      <c r="G188" s="36">
        <f>'GF + UG Iteration 13'!G188</f>
        <v>5.9848606370399509</v>
      </c>
      <c r="H188" s="38">
        <f>'GF + UG Iteration 13'!H188</f>
        <v>2013</v>
      </c>
      <c r="I188" s="35">
        <f t="shared" si="20"/>
        <v>25.2</v>
      </c>
      <c r="J188" s="36">
        <f t="shared" si="21"/>
        <v>21.404337932333618</v>
      </c>
      <c r="K188" s="38">
        <f t="shared" si="22"/>
        <v>2013</v>
      </c>
      <c r="M188" s="21">
        <f t="shared" si="23"/>
        <v>3.2268439945173775</v>
      </c>
      <c r="N188" s="21">
        <f t="shared" si="24"/>
        <v>3.0635936086038873</v>
      </c>
    </row>
    <row r="189" spans="1:14" x14ac:dyDescent="0.2">
      <c r="A189" s="33">
        <f>'GF + UG Iteration 13'!A189</f>
        <v>858</v>
      </c>
      <c r="B189" s="34" t="str">
        <f>'GF + UG Iteration 13'!B189</f>
        <v>UG</v>
      </c>
      <c r="C189" s="35">
        <f>'GF + UG Iteration 13'!C189</f>
        <v>28.4</v>
      </c>
      <c r="D189" s="36">
        <f>'GF + UG Iteration 13'!P$16*(C189^'GF + UG Iteration 13'!P$15)</f>
        <v>17.355440685528951</v>
      </c>
      <c r="E189" s="37">
        <f>'GF + UG Iteration 13'!E189</f>
        <v>2009</v>
      </c>
      <c r="F189" s="35">
        <f>'GF + UG Iteration 13'!F189</f>
        <v>13.300000000000004</v>
      </c>
      <c r="G189" s="36">
        <f>'GF + UG Iteration 13'!G189</f>
        <v>5.4358775042665943</v>
      </c>
      <c r="H189" s="38">
        <f>'GF + UG Iteration 13'!H189</f>
        <v>2010</v>
      </c>
      <c r="I189" s="35">
        <f t="shared" si="20"/>
        <v>41.7</v>
      </c>
      <c r="J189" s="36">
        <f t="shared" si="21"/>
        <v>22.791318189795547</v>
      </c>
      <c r="K189" s="38">
        <f t="shared" si="22"/>
        <v>2010</v>
      </c>
      <c r="M189" s="21">
        <f t="shared" si="23"/>
        <v>3.730501128804756</v>
      </c>
      <c r="N189" s="21">
        <f t="shared" si="24"/>
        <v>3.1263796822955263</v>
      </c>
    </row>
    <row r="190" spans="1:14" x14ac:dyDescent="0.2">
      <c r="A190" s="33">
        <f>'GF + UG Iteration 13'!A190</f>
        <v>1454</v>
      </c>
      <c r="B190" s="34" t="str">
        <f>'GF + UG Iteration 13'!B190</f>
        <v>UG</v>
      </c>
      <c r="C190" s="35">
        <f>'GF + UG Iteration 13'!C190</f>
        <v>41.7</v>
      </c>
      <c r="D190" s="36">
        <f>'GF + UG Iteration 13'!P$16*(C190^'GF + UG Iteration 13'!P$15)</f>
        <v>21.624980011816589</v>
      </c>
      <c r="E190" s="37">
        <f>'GF + UG Iteration 13'!E190</f>
        <v>2009</v>
      </c>
      <c r="F190" s="35">
        <f>'GF + UG Iteration 13'!F190</f>
        <v>5.6999999999999957</v>
      </c>
      <c r="G190" s="36">
        <f>'GF + UG Iteration 13'!G190</f>
        <v>0.45762240995573644</v>
      </c>
      <c r="H190" s="38">
        <f>'GF + UG Iteration 13'!H190</f>
        <v>2013</v>
      </c>
      <c r="I190" s="35">
        <f t="shared" si="20"/>
        <v>47.4</v>
      </c>
      <c r="J190" s="36">
        <f t="shared" si="21"/>
        <v>22.082602421772325</v>
      </c>
      <c r="K190" s="38">
        <f t="shared" si="22"/>
        <v>2013</v>
      </c>
      <c r="M190" s="21">
        <f t="shared" si="23"/>
        <v>3.858622228701031</v>
      </c>
      <c r="N190" s="21">
        <f t="shared" si="24"/>
        <v>3.0947900777684669</v>
      </c>
    </row>
    <row r="191" spans="1:14" x14ac:dyDescent="0.2">
      <c r="A191" s="33">
        <f>'GF + UG Iteration 13'!A191</f>
        <v>637</v>
      </c>
      <c r="B191" s="34" t="str">
        <f>'GF + UG Iteration 13'!B191</f>
        <v>UG</v>
      </c>
      <c r="C191" s="35">
        <f>'GF + UG Iteration 13'!C191</f>
        <v>15.499999999999998</v>
      </c>
      <c r="D191" s="36">
        <f>'GF + UG Iteration 13'!P$16*(C191^'GF + UG Iteration 13'!P$15)</f>
        <v>12.270128403033164</v>
      </c>
      <c r="E191" s="37">
        <f>'GF + UG Iteration 13'!E191</f>
        <v>1989</v>
      </c>
      <c r="F191" s="35">
        <f>'GF + UG Iteration 13'!F191</f>
        <v>8.4</v>
      </c>
      <c r="G191" s="36">
        <f>'GF + UG Iteration 13'!G191</f>
        <v>5.068859840469166</v>
      </c>
      <c r="H191" s="38">
        <f>'GF + UG Iteration 13'!H191</f>
        <v>2007</v>
      </c>
      <c r="I191" s="35">
        <f t="shared" si="20"/>
        <v>23.9</v>
      </c>
      <c r="J191" s="36">
        <f t="shared" si="21"/>
        <v>17.338988243502328</v>
      </c>
      <c r="K191" s="38">
        <f t="shared" si="22"/>
        <v>2007</v>
      </c>
      <c r="M191" s="21">
        <f t="shared" si="23"/>
        <v>3.1738784589374651</v>
      </c>
      <c r="N191" s="21">
        <f t="shared" si="24"/>
        <v>2.8529576215244909</v>
      </c>
    </row>
    <row r="192" spans="1:14" x14ac:dyDescent="0.2">
      <c r="A192" s="33">
        <f>'GF + UG Iteration 13'!A192</f>
        <v>1254</v>
      </c>
      <c r="B192" s="34" t="str">
        <f>'GF + UG Iteration 13'!B192</f>
        <v>UG</v>
      </c>
      <c r="C192" s="35">
        <f>'GF + UG Iteration 13'!C192</f>
        <v>23.9</v>
      </c>
      <c r="D192" s="36">
        <f>'GF + UG Iteration 13'!P$16*(C192^'GF + UG Iteration 13'!P$15)</f>
        <v>15.723024529862935</v>
      </c>
      <c r="E192" s="37">
        <f>'GF + UG Iteration 13'!E192</f>
        <v>1989</v>
      </c>
      <c r="F192" s="35">
        <f>'GF + UG Iteration 13'!F192</f>
        <v>15.399999999999999</v>
      </c>
      <c r="G192" s="36">
        <f>'GF + UG Iteration 13'!G192</f>
        <v>6.528436764593768</v>
      </c>
      <c r="H192" s="38">
        <f>'GF + UG Iteration 13'!H192</f>
        <v>2012</v>
      </c>
      <c r="I192" s="35">
        <f t="shared" si="20"/>
        <v>39.299999999999997</v>
      </c>
      <c r="J192" s="36">
        <f t="shared" si="21"/>
        <v>22.251461294456703</v>
      </c>
      <c r="K192" s="38">
        <f t="shared" si="22"/>
        <v>2012</v>
      </c>
      <c r="M192" s="21">
        <f t="shared" si="23"/>
        <v>3.6712245188752153</v>
      </c>
      <c r="N192" s="21">
        <f t="shared" si="24"/>
        <v>3.1024076826110223</v>
      </c>
    </row>
    <row r="193" spans="1:14" x14ac:dyDescent="0.2">
      <c r="A193" s="33">
        <f>'GF + UG Iteration 13'!A193</f>
        <v>734</v>
      </c>
      <c r="B193" s="34" t="str">
        <f>'GF + UG Iteration 13'!B193</f>
        <v>UG</v>
      </c>
      <c r="C193" s="35">
        <f>'GF + UG Iteration 13'!C193</f>
        <v>20</v>
      </c>
      <c r="D193" s="36">
        <f>'GF + UG Iteration 13'!P$16*(C193^'GF + UG Iteration 13'!P$15)</f>
        <v>14.198259699188911</v>
      </c>
      <c r="E193" s="37">
        <f>'GF + UG Iteration 13'!E193</f>
        <v>1974</v>
      </c>
      <c r="F193" s="35">
        <f>'GF + UG Iteration 13'!F193</f>
        <v>4.3999999999999986</v>
      </c>
      <c r="G193" s="36">
        <f>'GF + UG Iteration 13'!G193</f>
        <v>11.261124599264825</v>
      </c>
      <c r="H193" s="38">
        <f>'GF + UG Iteration 13'!H193</f>
        <v>2011</v>
      </c>
      <c r="I193" s="35">
        <f t="shared" ref="I193" si="25">C193+F193</f>
        <v>24.4</v>
      </c>
      <c r="J193" s="36">
        <f t="shared" ref="J193" si="26">D193+G193</f>
        <v>25.459384298453735</v>
      </c>
      <c r="K193" s="38">
        <f t="shared" ref="K193" si="27">MAX(E193,H193)</f>
        <v>2011</v>
      </c>
      <c r="M193" s="21">
        <f t="shared" ref="M193" si="28">LN(I193)</f>
        <v>3.1945831322991562</v>
      </c>
      <c r="N193" s="21">
        <f t="shared" ref="N193" si="29">LN(J193)</f>
        <v>3.2370844097439044</v>
      </c>
    </row>
    <row r="194" spans="1:14" x14ac:dyDescent="0.2">
      <c r="A194" s="33">
        <f>'GF + UG Iteration 13'!A194</f>
        <v>1594</v>
      </c>
      <c r="B194" s="34" t="str">
        <f>'GF + UG Iteration 13'!B194</f>
        <v>UG</v>
      </c>
      <c r="C194" s="35">
        <f>'GF + UG Iteration 13'!C194</f>
        <v>24.4</v>
      </c>
      <c r="D194" s="36">
        <f>'GF + UG Iteration 13'!P$16*(C194^'GF + UG Iteration 13'!P$15)</f>
        <v>15.910538605563623</v>
      </c>
      <c r="E194" s="37">
        <f>'GF + UG Iteration 13'!E194</f>
        <v>1974</v>
      </c>
      <c r="F194" s="35">
        <f>'GF + UG Iteration 13'!F194</f>
        <v>0</v>
      </c>
      <c r="G194" s="36">
        <f>'GF + UG Iteration 13'!G194</f>
        <v>17.2334453477478</v>
      </c>
      <c r="H194" s="38">
        <f>'GF + UG Iteration 13'!H194</f>
        <v>2017</v>
      </c>
      <c r="I194" s="35">
        <f t="shared" si="20"/>
        <v>24.4</v>
      </c>
      <c r="J194" s="36">
        <f t="shared" si="21"/>
        <v>33.14398395331142</v>
      </c>
      <c r="K194" s="38">
        <f t="shared" si="22"/>
        <v>2017</v>
      </c>
      <c r="M194" s="21">
        <f t="shared" si="23"/>
        <v>3.1945831322991562</v>
      </c>
      <c r="N194" s="21">
        <f t="shared" si="24"/>
        <v>3.5008612206243503</v>
      </c>
    </row>
    <row r="195" spans="1:14" x14ac:dyDescent="0.2">
      <c r="A195" s="33">
        <f>'GF + UG Iteration 13'!A195</f>
        <v>1674</v>
      </c>
      <c r="B195" s="34" t="str">
        <f>'GF + UG Iteration 13'!B195</f>
        <v>UG</v>
      </c>
      <c r="C195" s="35">
        <f>'GF + UG Iteration 13'!C195</f>
        <v>17.399999999999999</v>
      </c>
      <c r="D195" s="36">
        <f>'GF + UG Iteration 13'!P$16*(C195^'GF + UG Iteration 13'!P$15)</f>
        <v>13.110031965256738</v>
      </c>
      <c r="E195" s="37">
        <f>'GF + UG Iteration 13'!E195</f>
        <v>0</v>
      </c>
      <c r="F195" s="35">
        <f>'GF + UG Iteration 13'!F195</f>
        <v>3.7000000000000028</v>
      </c>
      <c r="G195" s="36">
        <f>'GF + UG Iteration 13'!G195</f>
        <v>10.327278566796926</v>
      </c>
      <c r="H195" s="38">
        <f>'GF + UG Iteration 13'!H195</f>
        <v>2016</v>
      </c>
      <c r="I195" s="35">
        <f t="shared" si="20"/>
        <v>21.1</v>
      </c>
      <c r="J195" s="36">
        <f t="shared" si="21"/>
        <v>23.437310532053665</v>
      </c>
      <c r="K195" s="38">
        <f t="shared" si="22"/>
        <v>2016</v>
      </c>
      <c r="M195" s="21">
        <f t="shared" si="23"/>
        <v>3.0492730404820207</v>
      </c>
      <c r="N195" s="21">
        <f t="shared" si="24"/>
        <v>3.1543292197322437</v>
      </c>
    </row>
    <row r="196" spans="1:14" x14ac:dyDescent="0.2">
      <c r="A196" s="33">
        <f>'GF + UG Iteration 13'!A196</f>
        <v>711</v>
      </c>
      <c r="B196" s="34" t="str">
        <f>'GF + UG Iteration 13'!B196</f>
        <v>UG</v>
      </c>
      <c r="C196" s="35">
        <f>'GF + UG Iteration 13'!C196</f>
        <v>11.5</v>
      </c>
      <c r="D196" s="36">
        <f>'GF + UG Iteration 13'!P$16*(C196^'GF + UG Iteration 13'!P$15)</f>
        <v>10.342381885168832</v>
      </c>
      <c r="E196" s="37">
        <f>'GF + UG Iteration 13'!E196</f>
        <v>1976</v>
      </c>
      <c r="F196" s="35">
        <f>'GF + UG Iteration 13'!F196</f>
        <v>13.7</v>
      </c>
      <c r="G196" s="36">
        <f>'GF + UG Iteration 13'!G196</f>
        <v>9.2617881543087019</v>
      </c>
      <c r="H196" s="38">
        <f>'GF + UG Iteration 13'!H196</f>
        <v>2009</v>
      </c>
      <c r="I196" s="35">
        <f t="shared" si="20"/>
        <v>25.2</v>
      </c>
      <c r="J196" s="36">
        <f t="shared" si="21"/>
        <v>19.604170039477534</v>
      </c>
      <c r="K196" s="38">
        <f t="shared" si="22"/>
        <v>2009</v>
      </c>
      <c r="M196" s="21">
        <f t="shared" si="23"/>
        <v>3.2268439945173775</v>
      </c>
      <c r="N196" s="21">
        <f t="shared" si="24"/>
        <v>2.9757423007230868</v>
      </c>
    </row>
    <row r="197" spans="1:14" x14ac:dyDescent="0.2">
      <c r="A197" s="33">
        <f>'GF + UG Iteration 13'!A197</f>
        <v>408</v>
      </c>
      <c r="B197" s="34" t="str">
        <f>'GF + UG Iteration 13'!B197</f>
        <v>UG</v>
      </c>
      <c r="C197" s="35">
        <f>'GF + UG Iteration 13'!C197</f>
        <v>37.700000000000003</v>
      </c>
      <c r="D197" s="36">
        <f>'GF + UG Iteration 13'!P$16*(C197^'GF + UG Iteration 13'!P$15)</f>
        <v>20.411682404797546</v>
      </c>
      <c r="E197" s="37">
        <f>'GF + UG Iteration 13'!E197</f>
        <v>1976</v>
      </c>
      <c r="F197" s="35">
        <f>'GF + UG Iteration 13'!F197</f>
        <v>2.0419999999999945</v>
      </c>
      <c r="G197" s="36">
        <f>'GF + UG Iteration 13'!G197</f>
        <v>0.58015876995711901</v>
      </c>
      <c r="H197" s="38">
        <f>'GF + UG Iteration 13'!H197</f>
        <v>2004</v>
      </c>
      <c r="I197" s="35">
        <f t="shared" si="20"/>
        <v>39.741999999999997</v>
      </c>
      <c r="J197" s="36">
        <f t="shared" si="21"/>
        <v>20.991841174754665</v>
      </c>
      <c r="K197" s="38">
        <f t="shared" si="22"/>
        <v>2004</v>
      </c>
      <c r="M197" s="21">
        <f t="shared" si="23"/>
        <v>3.6824085629836243</v>
      </c>
      <c r="N197" s="21">
        <f t="shared" si="24"/>
        <v>3.0441338467438541</v>
      </c>
    </row>
    <row r="198" spans="1:14" x14ac:dyDescent="0.2">
      <c r="A198" s="33">
        <f>'GF + UG Iteration 13'!A198</f>
        <v>698</v>
      </c>
      <c r="B198" s="34" t="str">
        <f>'GF + UG Iteration 13'!B198</f>
        <v>UG</v>
      </c>
      <c r="C198" s="35">
        <f>'GF + UG Iteration 13'!C198</f>
        <v>39.700000000000003</v>
      </c>
      <c r="D198" s="36">
        <f>'GF + UG Iteration 13'!P$16*(C198^'GF + UG Iteration 13'!P$15)</f>
        <v>21.024865315113448</v>
      </c>
      <c r="E198" s="37">
        <f>'GF + UG Iteration 13'!E198</f>
        <v>1976</v>
      </c>
      <c r="F198" s="35">
        <f>'GF + UG Iteration 13'!F198</f>
        <v>20.9</v>
      </c>
      <c r="G198" s="36">
        <f>'GF + UG Iteration 13'!G198</f>
        <v>1.4406821685518079</v>
      </c>
      <c r="H198" s="38">
        <f>'GF + UG Iteration 13'!H198</f>
        <v>2007</v>
      </c>
      <c r="I198" s="35">
        <f t="shared" si="20"/>
        <v>60.6</v>
      </c>
      <c r="J198" s="36">
        <f t="shared" si="21"/>
        <v>22.465547483665254</v>
      </c>
      <c r="K198" s="38">
        <f t="shared" si="22"/>
        <v>2007</v>
      </c>
      <c r="M198" s="21">
        <f t="shared" si="23"/>
        <v>4.1042948930752692</v>
      </c>
      <c r="N198" s="21">
        <f t="shared" si="24"/>
        <v>3.1119829127422047</v>
      </c>
    </row>
    <row r="199" spans="1:14" x14ac:dyDescent="0.2">
      <c r="A199" s="33">
        <f>'GF + UG Iteration 13'!A199</f>
        <v>696</v>
      </c>
      <c r="B199" s="34" t="str">
        <f>'GF + UG Iteration 13'!B199</f>
        <v>UG</v>
      </c>
      <c r="C199" s="35">
        <f>'GF + UG Iteration 13'!C199</f>
        <v>9.1370000000000005</v>
      </c>
      <c r="D199" s="36">
        <f>'GF + UG Iteration 13'!P$16*(C199^'GF + UG Iteration 13'!P$15)</f>
        <v>9.0661102273554235</v>
      </c>
      <c r="E199" s="37">
        <f>'GF + UG Iteration 13'!E199</f>
        <v>1981</v>
      </c>
      <c r="F199" s="35">
        <f>'GF + UG Iteration 13'!F199</f>
        <v>8.0629999999999988</v>
      </c>
      <c r="G199" s="36">
        <f>'GF + UG Iteration 13'!G199</f>
        <v>0.26810351472539734</v>
      </c>
      <c r="H199" s="38">
        <f>'GF + UG Iteration 13'!H199</f>
        <v>2007</v>
      </c>
      <c r="I199" s="35">
        <f t="shared" si="20"/>
        <v>17.2</v>
      </c>
      <c r="J199" s="36">
        <f t="shared" si="21"/>
        <v>9.33421374208082</v>
      </c>
      <c r="K199" s="38">
        <f t="shared" si="22"/>
        <v>2007</v>
      </c>
      <c r="M199" s="21">
        <f t="shared" si="23"/>
        <v>2.8449093838194073</v>
      </c>
      <c r="N199" s="21">
        <f t="shared" si="24"/>
        <v>2.233686546567005</v>
      </c>
    </row>
    <row r="200" spans="1:14" x14ac:dyDescent="0.2">
      <c r="A200" s="33">
        <f>'GF + UG Iteration 13'!A200</f>
        <v>1636</v>
      </c>
      <c r="B200" s="34" t="str">
        <f>'GF + UG Iteration 13'!B200</f>
        <v>UG</v>
      </c>
      <c r="C200" s="35">
        <f>'GF + UG Iteration 13'!C200</f>
        <v>17.2</v>
      </c>
      <c r="D200" s="36">
        <f>'GF + UG Iteration 13'!P$16*(C200^'GF + UG Iteration 13'!P$15)</f>
        <v>13.023533525496743</v>
      </c>
      <c r="E200" s="37">
        <f>'GF + UG Iteration 13'!E200</f>
        <v>1981</v>
      </c>
      <c r="F200" s="35">
        <f>'GF + UG Iteration 13'!F200</f>
        <v>0</v>
      </c>
      <c r="G200" s="36">
        <f>'GF + UG Iteration 13'!G200</f>
        <v>6.6058972937468434</v>
      </c>
      <c r="H200" s="38">
        <f>'GF + UG Iteration 13'!H200</f>
        <v>2015</v>
      </c>
      <c r="I200" s="35">
        <f t="shared" si="20"/>
        <v>17.2</v>
      </c>
      <c r="J200" s="36">
        <f t="shared" si="21"/>
        <v>19.629430819243588</v>
      </c>
      <c r="K200" s="38">
        <f t="shared" si="22"/>
        <v>2015</v>
      </c>
      <c r="M200" s="21">
        <f t="shared" si="23"/>
        <v>2.8449093838194073</v>
      </c>
      <c r="N200" s="21">
        <f t="shared" si="24"/>
        <v>2.977030012414279</v>
      </c>
    </row>
    <row r="201" spans="1:14" x14ac:dyDescent="0.2">
      <c r="A201" s="33">
        <f>'GF + UG Iteration 13'!A201</f>
        <v>1185</v>
      </c>
      <c r="B201" s="34" t="str">
        <f>'GF + UG Iteration 13'!B201</f>
        <v>UG</v>
      </c>
      <c r="C201" s="35">
        <f>'GF + UG Iteration 13'!C201</f>
        <v>32.4</v>
      </c>
      <c r="D201" s="36">
        <f>'GF + UG Iteration 13'!P$16*(C201^'GF + UG Iteration 13'!P$15)</f>
        <v>18.715598559133046</v>
      </c>
      <c r="E201" s="37">
        <f>'GF + UG Iteration 13'!E201</f>
        <v>1988</v>
      </c>
      <c r="F201" s="35">
        <f>'GF + UG Iteration 13'!F201</f>
        <v>2.5</v>
      </c>
      <c r="G201" s="36">
        <f>'GF + UG Iteration 13'!G201</f>
        <v>2.8087836612562955</v>
      </c>
      <c r="H201" s="38">
        <f>'GF + UG Iteration 13'!H201</f>
        <v>2011</v>
      </c>
      <c r="I201" s="35">
        <f t="shared" si="20"/>
        <v>34.9</v>
      </c>
      <c r="J201" s="36">
        <f t="shared" si="21"/>
        <v>21.524382220389342</v>
      </c>
      <c r="K201" s="38">
        <f t="shared" si="22"/>
        <v>2011</v>
      </c>
      <c r="M201" s="21">
        <f t="shared" si="23"/>
        <v>3.5524868292083815</v>
      </c>
      <c r="N201" s="21">
        <f t="shared" si="24"/>
        <v>3.0691863493392932</v>
      </c>
    </row>
    <row r="202" spans="1:14" x14ac:dyDescent="0.2">
      <c r="A202" s="33">
        <f>'GF + UG Iteration 13'!A202</f>
        <v>568</v>
      </c>
      <c r="B202" s="34" t="str">
        <f>'GF + UG Iteration 13'!B202</f>
        <v>UG</v>
      </c>
      <c r="C202" s="35">
        <f>'GF + UG Iteration 13'!C202</f>
        <v>38.04</v>
      </c>
      <c r="D202" s="36">
        <f>'GF + UG Iteration 13'!P$16*(C202^'GF + UG Iteration 13'!P$15)</f>
        <v>20.516886973773776</v>
      </c>
      <c r="E202" s="37">
        <f>'GF + UG Iteration 13'!E202</f>
        <v>1978</v>
      </c>
      <c r="F202" s="35">
        <f>'GF + UG Iteration 13'!F202</f>
        <v>1</v>
      </c>
      <c r="G202" s="36">
        <f>'GF + UG Iteration 13'!G202</f>
        <v>2.8818936071529556E-2</v>
      </c>
      <c r="H202" s="38">
        <f>'GF + UG Iteration 13'!H202</f>
        <v>2006</v>
      </c>
      <c r="I202" s="35">
        <f t="shared" si="20"/>
        <v>39.04</v>
      </c>
      <c r="J202" s="36">
        <f t="shared" si="21"/>
        <v>20.545705909845307</v>
      </c>
      <c r="K202" s="38">
        <f t="shared" si="22"/>
        <v>2006</v>
      </c>
      <c r="M202" s="21">
        <f t="shared" si="23"/>
        <v>3.6645867615448919</v>
      </c>
      <c r="N202" s="21">
        <f t="shared" si="24"/>
        <v>3.0226519609490667</v>
      </c>
    </row>
    <row r="203" spans="1:14" x14ac:dyDescent="0.2">
      <c r="A203" s="33">
        <f>'GF + UG Iteration 13'!A203</f>
        <v>853</v>
      </c>
      <c r="B203" s="34" t="str">
        <f>'GF + UG Iteration 13'!B203</f>
        <v>UG</v>
      </c>
      <c r="C203" s="35">
        <f>'GF + UG Iteration 13'!C203</f>
        <v>20</v>
      </c>
      <c r="D203" s="36">
        <f>'GF + UG Iteration 13'!P$16*(C203^'GF + UG Iteration 13'!P$15)</f>
        <v>14.198259699188911</v>
      </c>
      <c r="E203" s="37">
        <f>'GF + UG Iteration 13'!E203</f>
        <v>1991</v>
      </c>
      <c r="F203" s="35">
        <f>'GF + UG Iteration 13'!F203</f>
        <v>21.700000000000003</v>
      </c>
      <c r="G203" s="36">
        <f>'GF + UG Iteration 13'!G203</f>
        <v>4.2556245512411124</v>
      </c>
      <c r="H203" s="38">
        <f>'GF + UG Iteration 13'!H203</f>
        <v>2009</v>
      </c>
      <c r="I203" s="35">
        <f t="shared" si="20"/>
        <v>41.7</v>
      </c>
      <c r="J203" s="36">
        <f t="shared" si="21"/>
        <v>18.453884250430022</v>
      </c>
      <c r="K203" s="38">
        <f t="shared" si="22"/>
        <v>2009</v>
      </c>
      <c r="M203" s="21">
        <f t="shared" si="23"/>
        <v>3.730501128804756</v>
      </c>
      <c r="N203" s="21">
        <f t="shared" si="24"/>
        <v>2.9152748768071177</v>
      </c>
    </row>
    <row r="204" spans="1:14" x14ac:dyDescent="0.2">
      <c r="A204" s="33">
        <f>'GF + UG Iteration 13'!A204</f>
        <v>1201</v>
      </c>
      <c r="B204" s="34" t="str">
        <f>'GF + UG Iteration 13'!B204</f>
        <v>UG</v>
      </c>
      <c r="C204" s="35">
        <f>'GF + UG Iteration 13'!C204</f>
        <v>13.3</v>
      </c>
      <c r="D204" s="36">
        <f>'GF + UG Iteration 13'!P$16*(C204^'GF + UG Iteration 13'!P$15)</f>
        <v>11.240419738679345</v>
      </c>
      <c r="E204" s="37" t="str">
        <f>'GF + UG Iteration 13'!E204</f>
        <v>unknown</v>
      </c>
      <c r="F204" s="35">
        <f>'GF + UG Iteration 13'!F204</f>
        <v>10.599999999999998</v>
      </c>
      <c r="G204" s="36">
        <f>'GF + UG Iteration 13'!G204</f>
        <v>7.6364894321569698</v>
      </c>
      <c r="H204" s="38">
        <f>'GF + UG Iteration 13'!H204</f>
        <v>2012</v>
      </c>
      <c r="I204" s="35">
        <f t="shared" si="20"/>
        <v>23.9</v>
      </c>
      <c r="J204" s="36">
        <f t="shared" si="21"/>
        <v>18.876909170836313</v>
      </c>
      <c r="K204" s="38">
        <f t="shared" si="22"/>
        <v>2012</v>
      </c>
      <c r="M204" s="21">
        <f t="shared" si="23"/>
        <v>3.1738784589374651</v>
      </c>
      <c r="N204" s="21">
        <f t="shared" si="24"/>
        <v>2.93793943814374</v>
      </c>
    </row>
    <row r="205" spans="1:14" x14ac:dyDescent="0.2">
      <c r="A205" s="33">
        <f>'GF + UG Iteration 13'!A205</f>
        <v>654</v>
      </c>
      <c r="B205" s="34" t="str">
        <f>'GF + UG Iteration 13'!B205</f>
        <v>UG</v>
      </c>
      <c r="C205" s="35">
        <f>'GF + UG Iteration 13'!C205</f>
        <v>7.29</v>
      </c>
      <c r="D205" s="36">
        <f>'GF + UG Iteration 13'!P$16*(C205^'GF + UG Iteration 13'!P$15)</f>
        <v>7.9664067652504613</v>
      </c>
      <c r="E205" s="37">
        <f>'GF + UG Iteration 13'!E205</f>
        <v>1976</v>
      </c>
      <c r="F205" s="35">
        <f>'GF + UG Iteration 13'!F205</f>
        <v>4.4099999999999993</v>
      </c>
      <c r="G205" s="36">
        <f>'GF + UG Iteration 13'!G205</f>
        <v>0.73672544554632269</v>
      </c>
      <c r="H205" s="38">
        <f>'GF + UG Iteration 13'!H205</f>
        <v>2007</v>
      </c>
      <c r="I205" s="35">
        <f t="shared" si="20"/>
        <v>11.7</v>
      </c>
      <c r="J205" s="36">
        <f t="shared" si="21"/>
        <v>8.7031322107967846</v>
      </c>
      <c r="K205" s="38">
        <f t="shared" si="22"/>
        <v>2007</v>
      </c>
      <c r="M205" s="21">
        <f t="shared" si="23"/>
        <v>2.4595888418037104</v>
      </c>
      <c r="N205" s="21">
        <f t="shared" si="24"/>
        <v>2.1636829850968815</v>
      </c>
    </row>
    <row r="206" spans="1:14" x14ac:dyDescent="0.2">
      <c r="A206" s="33">
        <f>'GF + UG Iteration 13'!A206</f>
        <v>1394</v>
      </c>
      <c r="B206" s="34" t="str">
        <f>'GF + UG Iteration 13'!B206</f>
        <v>UG</v>
      </c>
      <c r="C206" s="35">
        <f>'GF + UG Iteration 13'!C206</f>
        <v>11.7</v>
      </c>
      <c r="D206" s="36">
        <f>'GF + UG Iteration 13'!P$16*(C206^'GF + UG Iteration 13'!P$15)</f>
        <v>10.444994648825737</v>
      </c>
      <c r="E206" s="37">
        <f>'GF + UG Iteration 13'!E206</f>
        <v>1976</v>
      </c>
      <c r="F206" s="35">
        <f>'GF + UG Iteration 13'!F206</f>
        <v>10</v>
      </c>
      <c r="G206" s="36">
        <f>'GF + UG Iteration 13'!G206</f>
        <v>5.0057806862702598</v>
      </c>
      <c r="H206" s="38">
        <f>'GF + UG Iteration 13'!H206</f>
        <v>2014</v>
      </c>
      <c r="I206" s="35">
        <f t="shared" si="20"/>
        <v>21.7</v>
      </c>
      <c r="J206" s="36">
        <f t="shared" si="21"/>
        <v>15.450775335095997</v>
      </c>
      <c r="K206" s="38">
        <f t="shared" si="22"/>
        <v>2014</v>
      </c>
      <c r="M206" s="21">
        <f t="shared" si="23"/>
        <v>3.0773122605464138</v>
      </c>
      <c r="N206" s="21">
        <f t="shared" si="24"/>
        <v>2.7376591855859638</v>
      </c>
    </row>
    <row r="207" spans="1:14" x14ac:dyDescent="0.2">
      <c r="A207" s="33">
        <f>'GF + UG Iteration 13'!A207</f>
        <v>1294</v>
      </c>
      <c r="B207" s="34" t="str">
        <f>'GF + UG Iteration 13'!B207</f>
        <v>UG</v>
      </c>
      <c r="C207" s="35">
        <f>'GF + UG Iteration 13'!C207</f>
        <v>8.5</v>
      </c>
      <c r="D207" s="36">
        <f>'GF + UG Iteration 13'!P$16*(C207^'GF + UG Iteration 13'!P$15)</f>
        <v>8.6986142109787359</v>
      </c>
      <c r="E207" s="37">
        <f>'GF + UG Iteration 13'!E207</f>
        <v>0</v>
      </c>
      <c r="F207" s="35">
        <f>'GF + UG Iteration 13'!F207</f>
        <v>1.5999999999999996</v>
      </c>
      <c r="G207" s="36">
        <f>'GF + UG Iteration 13'!G207</f>
        <v>4.5619922667121129</v>
      </c>
      <c r="H207" s="38">
        <f>'GF + UG Iteration 13'!H207</f>
        <v>2014</v>
      </c>
      <c r="I207" s="35">
        <f t="shared" si="20"/>
        <v>10.1</v>
      </c>
      <c r="J207" s="36">
        <f t="shared" si="21"/>
        <v>13.26060647769085</v>
      </c>
      <c r="K207" s="38">
        <f t="shared" si="22"/>
        <v>2014</v>
      </c>
      <c r="M207" s="21">
        <f t="shared" si="23"/>
        <v>2.3125354238472138</v>
      </c>
      <c r="N207" s="21">
        <f t="shared" si="24"/>
        <v>2.5847977210942115</v>
      </c>
    </row>
    <row r="208" spans="1:14" x14ac:dyDescent="0.2">
      <c r="A208" s="33">
        <f>'GF + UG Iteration 13'!A208</f>
        <v>1670</v>
      </c>
      <c r="B208" s="34" t="str">
        <f>'GF + UG Iteration 13'!B208</f>
        <v>UG</v>
      </c>
      <c r="C208" s="35">
        <f>'GF + UG Iteration 13'!C208</f>
        <v>31.45</v>
      </c>
      <c r="D208" s="36">
        <f>'GF + UG Iteration 13'!P$16*(C208^'GF + UG Iteration 13'!P$15)</f>
        <v>18.399381037102629</v>
      </c>
      <c r="E208" s="37">
        <f>'GF + UG Iteration 13'!E208</f>
        <v>0</v>
      </c>
      <c r="F208" s="35">
        <f>'GF + UG Iteration 13'!F208</f>
        <v>24.250000000000004</v>
      </c>
      <c r="G208" s="36">
        <f>'GF + UG Iteration 13'!G208</f>
        <v>2.7943521582603679</v>
      </c>
      <c r="H208" s="38">
        <f>'GF + UG Iteration 13'!H208</f>
        <v>2016</v>
      </c>
      <c r="I208" s="35">
        <f t="shared" si="20"/>
        <v>55.7</v>
      </c>
      <c r="J208" s="36">
        <f t="shared" si="21"/>
        <v>21.193733195362995</v>
      </c>
      <c r="K208" s="38">
        <f t="shared" si="22"/>
        <v>2016</v>
      </c>
      <c r="M208" s="21">
        <f t="shared" si="23"/>
        <v>4.0199801469332384</v>
      </c>
      <c r="N208" s="21">
        <f t="shared" si="24"/>
        <v>3.0537055339861832</v>
      </c>
    </row>
    <row r="209" spans="1:14" x14ac:dyDescent="0.2">
      <c r="A209" s="33">
        <f>'GF + UG Iteration 13'!A209</f>
        <v>579</v>
      </c>
      <c r="B209" s="34" t="str">
        <f>'GF + UG Iteration 13'!B209</f>
        <v>UG</v>
      </c>
      <c r="C209" s="35">
        <f>'GF + UG Iteration 13'!C209</f>
        <v>17.100000000000001</v>
      </c>
      <c r="D209" s="36">
        <f>'GF + UG Iteration 13'!P$16*(C209^'GF + UG Iteration 13'!P$15)</f>
        <v>12.980123145228884</v>
      </c>
      <c r="E209" s="37" t="str">
        <f>'GF + UG Iteration 13'!E209</f>
        <v>unknown</v>
      </c>
      <c r="F209" s="35">
        <f>'GF + UG Iteration 13'!F209</f>
        <v>11</v>
      </c>
      <c r="G209" s="36">
        <f>'GF + UG Iteration 13'!G209</f>
        <v>3.6516230200538073</v>
      </c>
      <c r="H209" s="38">
        <f>'GF + UG Iteration 13'!H209</f>
        <v>2008</v>
      </c>
      <c r="I209" s="35">
        <f t="shared" si="20"/>
        <v>28.1</v>
      </c>
      <c r="J209" s="36">
        <f t="shared" si="21"/>
        <v>16.631746165282692</v>
      </c>
      <c r="K209" s="38">
        <f t="shared" si="22"/>
        <v>2008</v>
      </c>
      <c r="M209" s="21">
        <f t="shared" si="23"/>
        <v>3.3357695763396999</v>
      </c>
      <c r="N209" s="21">
        <f t="shared" si="24"/>
        <v>2.811313288611609</v>
      </c>
    </row>
    <row r="210" spans="1:14" x14ac:dyDescent="0.2">
      <c r="A210" s="33">
        <f>'GF + UG Iteration 13'!A210</f>
        <v>1670</v>
      </c>
      <c r="B210" s="34" t="str">
        <f>'GF + UG Iteration 13'!B210</f>
        <v>UG</v>
      </c>
      <c r="C210" s="35">
        <f>'GF + UG Iteration 13'!C210</f>
        <v>18.79</v>
      </c>
      <c r="D210" s="36">
        <f>'GF + UG Iteration 13'!P$16*(C210^'GF + UG Iteration 13'!P$15)</f>
        <v>13.699848812545467</v>
      </c>
      <c r="E210" s="37">
        <f>'GF + UG Iteration 13'!E210</f>
        <v>0</v>
      </c>
      <c r="F210" s="35">
        <f>'GF + UG Iteration 13'!F210</f>
        <v>30.509999999999998</v>
      </c>
      <c r="G210" s="36">
        <f>'GF + UG Iteration 13'!G210</f>
        <v>18.363697996227653</v>
      </c>
      <c r="H210" s="38">
        <f>'GF + UG Iteration 13'!H210</f>
        <v>2016</v>
      </c>
      <c r="I210" s="35">
        <f t="shared" si="20"/>
        <v>49.3</v>
      </c>
      <c r="J210" s="36">
        <f t="shared" si="21"/>
        <v>32.063546808773118</v>
      </c>
      <c r="K210" s="38">
        <f t="shared" si="22"/>
        <v>2016</v>
      </c>
      <c r="M210" s="21">
        <f t="shared" si="23"/>
        <v>3.8979240810486444</v>
      </c>
      <c r="N210" s="21">
        <f t="shared" si="24"/>
        <v>3.4677197714045902</v>
      </c>
    </row>
    <row r="211" spans="1:14" x14ac:dyDescent="0.2">
      <c r="A211" s="33">
        <f>'GF + UG Iteration 13'!A211</f>
        <v>1083</v>
      </c>
      <c r="B211" s="34" t="str">
        <f>'GF + UG Iteration 13'!B211</f>
        <v>UG</v>
      </c>
      <c r="C211" s="35">
        <f>'GF + UG Iteration 13'!C211</f>
        <v>7.53</v>
      </c>
      <c r="D211" s="36">
        <f>'GF + UG Iteration 13'!P$16*(C211^'GF + UG Iteration 13'!P$15)</f>
        <v>8.1155418024238042</v>
      </c>
      <c r="E211" s="37">
        <f>'GF + UG Iteration 13'!E211</f>
        <v>1981</v>
      </c>
      <c r="F211" s="35">
        <f>'GF + UG Iteration 13'!F211</f>
        <v>5.87</v>
      </c>
      <c r="G211" s="36">
        <f>'GF + UG Iteration 13'!G211</f>
        <v>7.4125108979310461</v>
      </c>
      <c r="H211" s="38">
        <f>'GF + UG Iteration 13'!H211</f>
        <v>2011</v>
      </c>
      <c r="I211" s="35">
        <f t="shared" si="20"/>
        <v>13.4</v>
      </c>
      <c r="J211" s="36">
        <f t="shared" si="21"/>
        <v>15.52805270035485</v>
      </c>
      <c r="K211" s="38">
        <f t="shared" si="22"/>
        <v>2011</v>
      </c>
      <c r="M211" s="21">
        <f t="shared" si="23"/>
        <v>2.5952547069568657</v>
      </c>
      <c r="N211" s="21">
        <f t="shared" si="24"/>
        <v>2.7426482397529419</v>
      </c>
    </row>
    <row r="212" spans="1:14" x14ac:dyDescent="0.2">
      <c r="A212" s="33">
        <f>'GF + UG Iteration 13'!A212</f>
        <v>552</v>
      </c>
      <c r="B212" s="34" t="str">
        <f>'GF + UG Iteration 13'!B212</f>
        <v>UG</v>
      </c>
      <c r="C212" s="35">
        <f>'GF + UG Iteration 13'!C212</f>
        <v>20.229999999999997</v>
      </c>
      <c r="D212" s="36">
        <f>'GF + UG Iteration 13'!P$16*(C212^'GF + UG Iteration 13'!P$15)</f>
        <v>14.291525541996863</v>
      </c>
      <c r="E212" s="37">
        <f>'GF + UG Iteration 13'!E212</f>
        <v>1991</v>
      </c>
      <c r="F212" s="35">
        <f>'GF + UG Iteration 13'!F212</f>
        <v>10.470000000000002</v>
      </c>
      <c r="G212" s="36">
        <f>'GF + UG Iteration 13'!G212</f>
        <v>1.1457716756011658</v>
      </c>
      <c r="H212" s="38">
        <f>'GF + UG Iteration 13'!H212</f>
        <v>2006</v>
      </c>
      <c r="I212" s="35">
        <f t="shared" si="20"/>
        <v>30.7</v>
      </c>
      <c r="J212" s="36">
        <f t="shared" si="21"/>
        <v>15.437297217598029</v>
      </c>
      <c r="K212" s="38">
        <f t="shared" si="22"/>
        <v>2006</v>
      </c>
      <c r="M212" s="21">
        <f t="shared" si="23"/>
        <v>3.4242626545931514</v>
      </c>
      <c r="N212" s="21">
        <f t="shared" si="24"/>
        <v>2.73678647859977</v>
      </c>
    </row>
    <row r="213" spans="1:14" x14ac:dyDescent="0.2">
      <c r="A213" s="33">
        <f>'GF + UG Iteration 13'!A213</f>
        <v>1311</v>
      </c>
      <c r="B213" s="34" t="str">
        <f>'GF + UG Iteration 13'!B213</f>
        <v>UG</v>
      </c>
      <c r="C213" s="35">
        <f>'GF + UG Iteration 13'!C213</f>
        <v>30.7</v>
      </c>
      <c r="D213" s="36">
        <f>'GF + UG Iteration 13'!P$16*(C213^'GF + UG Iteration 13'!P$15)</f>
        <v>18.1468415722922</v>
      </c>
      <c r="E213" s="37">
        <f>'GF + UG Iteration 13'!E213</f>
        <v>1991</v>
      </c>
      <c r="F213" s="35">
        <f>'GF + UG Iteration 13'!F213</f>
        <v>19.3</v>
      </c>
      <c r="G213" s="36">
        <f>'GF + UG Iteration 13'!G213</f>
        <v>5.9841430822776953</v>
      </c>
      <c r="H213" s="38">
        <f>'GF + UG Iteration 13'!H213</f>
        <v>2013</v>
      </c>
      <c r="I213" s="35">
        <f t="shared" si="20"/>
        <v>50</v>
      </c>
      <c r="J213" s="36">
        <f t="shared" si="21"/>
        <v>24.130984654569893</v>
      </c>
      <c r="K213" s="38">
        <f t="shared" si="22"/>
        <v>2013</v>
      </c>
      <c r="M213" s="21">
        <f t="shared" si="23"/>
        <v>3.912023005428146</v>
      </c>
      <c r="N213" s="21">
        <f t="shared" si="24"/>
        <v>3.183496685044334</v>
      </c>
    </row>
    <row r="214" spans="1:14" x14ac:dyDescent="0.2">
      <c r="A214" s="33">
        <f>'GF + UG Iteration 13'!A214</f>
        <v>1078</v>
      </c>
      <c r="B214" s="34" t="str">
        <f>'GF + UG Iteration 13'!B214</f>
        <v>UG</v>
      </c>
      <c r="C214" s="35">
        <f>'GF + UG Iteration 13'!C214</f>
        <v>17.66</v>
      </c>
      <c r="D214" s="36">
        <f>'GF + UG Iteration 13'!P$16*(C214^'GF + UG Iteration 13'!P$15)</f>
        <v>13.221847231231731</v>
      </c>
      <c r="E214" s="37">
        <f>'GF + UG Iteration 13'!E214</f>
        <v>1957</v>
      </c>
      <c r="F214" s="35">
        <f>'GF + UG Iteration 13'!F214</f>
        <v>7.34</v>
      </c>
      <c r="G214" s="36">
        <f>'GF + UG Iteration 13'!G214</f>
        <v>1.0936387702296273</v>
      </c>
      <c r="H214" s="38">
        <f>'GF + UG Iteration 13'!H214</f>
        <v>2011</v>
      </c>
      <c r="I214" s="35">
        <f t="shared" si="20"/>
        <v>25</v>
      </c>
      <c r="J214" s="36">
        <f t="shared" si="21"/>
        <v>14.315486001461359</v>
      </c>
      <c r="K214" s="38">
        <f t="shared" si="22"/>
        <v>2011</v>
      </c>
      <c r="M214" s="21">
        <f t="shared" si="23"/>
        <v>3.2188758248682006</v>
      </c>
      <c r="N214" s="21">
        <f t="shared" si="24"/>
        <v>2.6613418884775353</v>
      </c>
    </row>
    <row r="215" spans="1:14" x14ac:dyDescent="0.2">
      <c r="A215" s="33">
        <f>'GF + UG Iteration 13'!A215</f>
        <v>495</v>
      </c>
      <c r="B215" s="34" t="str">
        <f>'GF + UG Iteration 13'!B215</f>
        <v>UG</v>
      </c>
      <c r="C215" s="35">
        <f>'GF + UG Iteration 13'!C215</f>
        <v>12.974</v>
      </c>
      <c r="D215" s="36">
        <f>'GF + UG Iteration 13'!P$16*(C215^'GF + UG Iteration 13'!P$15)</f>
        <v>11.081822122954492</v>
      </c>
      <c r="E215" s="37">
        <f>'GF + UG Iteration 13'!E215</f>
        <v>1982</v>
      </c>
      <c r="F215" s="35">
        <f>'GF + UG Iteration 13'!F215</f>
        <v>0</v>
      </c>
      <c r="G215" s="36">
        <f>'GF + UG Iteration 13'!G215</f>
        <v>3.5907902166068872</v>
      </c>
      <c r="H215" s="38">
        <f>'GF + UG Iteration 13'!H215</f>
        <v>2006</v>
      </c>
      <c r="I215" s="35">
        <f t="shared" si="20"/>
        <v>12.974</v>
      </c>
      <c r="J215" s="36">
        <f t="shared" si="21"/>
        <v>14.672612339561379</v>
      </c>
      <c r="K215" s="38">
        <f t="shared" si="22"/>
        <v>2006</v>
      </c>
      <c r="M215" s="21">
        <f t="shared" si="23"/>
        <v>2.5629473547908637</v>
      </c>
      <c r="N215" s="21">
        <f t="shared" si="24"/>
        <v>2.6859826498914035</v>
      </c>
    </row>
    <row r="216" spans="1:14" x14ac:dyDescent="0.2">
      <c r="A216" s="33">
        <f>'GF + UG Iteration 13'!A216</f>
        <v>383</v>
      </c>
      <c r="B216" s="34" t="str">
        <f>'GF + UG Iteration 13'!B216</f>
        <v>UG</v>
      </c>
      <c r="C216" s="35">
        <f>'GF + UG Iteration 13'!C216</f>
        <v>0.51</v>
      </c>
      <c r="D216" s="36">
        <f>'GF + UG Iteration 13'!P$16*(C216^'GF + UG Iteration 13'!P$15)</f>
        <v>1.7370714320679219</v>
      </c>
      <c r="E216" s="37">
        <f>'GF + UG Iteration 13'!E216</f>
        <v>1984</v>
      </c>
      <c r="F216" s="35">
        <f>'GF + UG Iteration 13'!F216</f>
        <v>8</v>
      </c>
      <c r="G216" s="36">
        <f>'GF + UG Iteration 13'!G216</f>
        <v>3.9501723720469593</v>
      </c>
      <c r="H216" s="38">
        <f>'GF + UG Iteration 13'!H216</f>
        <v>2005</v>
      </c>
      <c r="I216" s="35">
        <f t="shared" si="20"/>
        <v>8.51</v>
      </c>
      <c r="J216" s="36">
        <f t="shared" si="21"/>
        <v>5.687243804114881</v>
      </c>
      <c r="K216" s="38">
        <f t="shared" si="22"/>
        <v>2005</v>
      </c>
      <c r="M216" s="21">
        <f t="shared" si="23"/>
        <v>2.1412419425852827</v>
      </c>
      <c r="N216" s="21">
        <f t="shared" si="24"/>
        <v>1.7382257378321424</v>
      </c>
    </row>
    <row r="217" spans="1:14" x14ac:dyDescent="0.2">
      <c r="A217" s="33">
        <f>'GF + UG Iteration 13'!A217</f>
        <v>1020</v>
      </c>
      <c r="B217" s="34" t="str">
        <f>'GF + UG Iteration 13'!B217</f>
        <v>UG</v>
      </c>
      <c r="C217" s="35">
        <f>'GF + UG Iteration 13'!C217</f>
        <v>13</v>
      </c>
      <c r="D217" s="36">
        <f>'GF + UG Iteration 13'!P$16*(C217^'GF + UG Iteration 13'!P$15)</f>
        <v>11.094533050339606</v>
      </c>
      <c r="E217" s="37">
        <f>'GF + UG Iteration 13'!E217</f>
        <v>1977</v>
      </c>
      <c r="F217" s="35">
        <f>'GF + UG Iteration 13'!F217</f>
        <v>9</v>
      </c>
      <c r="G217" s="36">
        <f>'GF + UG Iteration 13'!G217</f>
        <v>7.3449786888029998</v>
      </c>
      <c r="H217" s="38">
        <f>'GF + UG Iteration 13'!H217</f>
        <v>2010</v>
      </c>
      <c r="I217" s="35">
        <f t="shared" si="20"/>
        <v>22</v>
      </c>
      <c r="J217" s="36">
        <f t="shared" si="21"/>
        <v>18.439511739142606</v>
      </c>
      <c r="K217" s="38">
        <f t="shared" si="22"/>
        <v>2010</v>
      </c>
      <c r="M217" s="21">
        <f t="shared" si="23"/>
        <v>3.0910424533583161</v>
      </c>
      <c r="N217" s="21">
        <f t="shared" si="24"/>
        <v>2.9144957394233675</v>
      </c>
    </row>
    <row r="218" spans="1:14" x14ac:dyDescent="0.2">
      <c r="A218" s="33">
        <f>'GF + UG Iteration 13'!A218</f>
        <v>1364</v>
      </c>
      <c r="B218" s="34" t="str">
        <f>'GF + UG Iteration 13'!B218</f>
        <v>UG</v>
      </c>
      <c r="C218" s="35">
        <f>'GF + UG Iteration 13'!C218</f>
        <v>8.5</v>
      </c>
      <c r="D218" s="36">
        <f>'GF + UG Iteration 13'!P$16*(C218^'GF + UG Iteration 13'!P$15)</f>
        <v>8.6986142109787359</v>
      </c>
      <c r="E218" s="37">
        <f>'GF + UG Iteration 13'!E218</f>
        <v>0</v>
      </c>
      <c r="F218" s="35">
        <f>'GF + UG Iteration 13'!F218</f>
        <v>34</v>
      </c>
      <c r="G218" s="36">
        <f>'GF + UG Iteration 13'!G218</f>
        <v>8.7951197470845859</v>
      </c>
      <c r="H218" s="38">
        <f>'GF + UG Iteration 13'!H218</f>
        <v>2013</v>
      </c>
      <c r="I218" s="35">
        <f t="shared" si="20"/>
        <v>42.5</v>
      </c>
      <c r="J218" s="36">
        <f t="shared" si="21"/>
        <v>17.493733958063324</v>
      </c>
      <c r="K218" s="38">
        <f t="shared" si="22"/>
        <v>2013</v>
      </c>
      <c r="M218" s="21">
        <f t="shared" si="23"/>
        <v>3.7495040759303713</v>
      </c>
      <c r="N218" s="21">
        <f t="shared" si="24"/>
        <v>2.861842757271607</v>
      </c>
    </row>
    <row r="219" spans="1:14" x14ac:dyDescent="0.2">
      <c r="A219" s="33">
        <f>'GF + UG Iteration 13'!A219</f>
        <v>503</v>
      </c>
      <c r="B219" s="34" t="str">
        <f>'GF + UG Iteration 13'!B219</f>
        <v>UG</v>
      </c>
      <c r="C219" s="35">
        <f>'GF + UG Iteration 13'!C219</f>
        <v>31</v>
      </c>
      <c r="D219" s="36">
        <f>'GF + UG Iteration 13'!P$16*(C219^'GF + UG Iteration 13'!P$15)</f>
        <v>18.248170329619853</v>
      </c>
      <c r="E219" s="37">
        <f>'GF + UG Iteration 13'!E219</f>
        <v>1972</v>
      </c>
      <c r="F219" s="35">
        <f>'GF + UG Iteration 13'!F219</f>
        <v>16</v>
      </c>
      <c r="G219" s="36">
        <f>'GF + UG Iteration 13'!G219</f>
        <v>3.8033222269089473</v>
      </c>
      <c r="H219" s="38">
        <f>'GF + UG Iteration 13'!H219</f>
        <v>2007</v>
      </c>
      <c r="I219" s="35">
        <f t="shared" si="20"/>
        <v>47</v>
      </c>
      <c r="J219" s="36">
        <f t="shared" si="21"/>
        <v>22.0514925565288</v>
      </c>
      <c r="K219" s="38">
        <f t="shared" si="22"/>
        <v>2007</v>
      </c>
      <c r="M219" s="21">
        <f t="shared" si="23"/>
        <v>3.8501476017100584</v>
      </c>
      <c r="N219" s="21">
        <f t="shared" si="24"/>
        <v>3.0933802892405091</v>
      </c>
    </row>
    <row r="220" spans="1:14" x14ac:dyDescent="0.2">
      <c r="A220" s="33">
        <f>'GF + UG Iteration 13'!A220</f>
        <v>925</v>
      </c>
      <c r="B220" s="34" t="str">
        <f>'GF + UG Iteration 13'!B220</f>
        <v>UG</v>
      </c>
      <c r="C220" s="35">
        <f>'GF + UG Iteration 13'!C220</f>
        <v>47</v>
      </c>
      <c r="D220" s="36">
        <f>'GF + UG Iteration 13'!P$16*(C220^'GF + UG Iteration 13'!P$15)</f>
        <v>23.158430320777082</v>
      </c>
      <c r="E220" s="37">
        <f>'GF + UG Iteration 13'!E220</f>
        <v>1972</v>
      </c>
      <c r="F220" s="35">
        <f>'GF + UG Iteration 13'!F220</f>
        <v>9</v>
      </c>
      <c r="G220" s="36">
        <f>'GF + UG Iteration 13'!G220</f>
        <v>3.3164697860941139</v>
      </c>
      <c r="H220" s="38">
        <f>'GF + UG Iteration 13'!H220</f>
        <v>2011</v>
      </c>
      <c r="I220" s="35">
        <f t="shared" si="20"/>
        <v>56</v>
      </c>
      <c r="J220" s="36">
        <f t="shared" si="21"/>
        <v>26.474900106871196</v>
      </c>
      <c r="K220" s="38">
        <f t="shared" si="22"/>
        <v>2011</v>
      </c>
      <c r="M220" s="21">
        <f t="shared" si="23"/>
        <v>4.0253516907351496</v>
      </c>
      <c r="N220" s="21">
        <f t="shared" si="24"/>
        <v>3.2761971183687826</v>
      </c>
    </row>
    <row r="221" spans="1:14" x14ac:dyDescent="0.2">
      <c r="A221" s="33">
        <f>'GF + UG Iteration 13'!A221</f>
        <v>821</v>
      </c>
      <c r="B221" s="34" t="str">
        <f>'GF + UG Iteration 13'!B221</f>
        <v>UG</v>
      </c>
      <c r="C221" s="35">
        <f>'GF + UG Iteration 13'!C221</f>
        <v>25</v>
      </c>
      <c r="D221" s="36">
        <f>'GF + UG Iteration 13'!P$16*(C221^'GF + UG Iteration 13'!P$15)</f>
        <v>16.133401117819428</v>
      </c>
      <c r="E221" s="37">
        <f>'GF + UG Iteration 13'!E221</f>
        <v>2006</v>
      </c>
      <c r="F221" s="35">
        <f>'GF + UG Iteration 13'!F221</f>
        <v>32</v>
      </c>
      <c r="G221" s="36">
        <f>'GF + UG Iteration 13'!G221</f>
        <v>9.4177371403666275</v>
      </c>
      <c r="H221" s="38">
        <f>'GF + UG Iteration 13'!H221</f>
        <v>2011</v>
      </c>
      <c r="I221" s="35">
        <f t="shared" si="20"/>
        <v>57</v>
      </c>
      <c r="J221" s="36">
        <f t="shared" si="21"/>
        <v>25.551138258186057</v>
      </c>
      <c r="K221" s="38">
        <f t="shared" si="22"/>
        <v>2011</v>
      </c>
      <c r="M221" s="21">
        <f t="shared" si="23"/>
        <v>4.0430512678345503</v>
      </c>
      <c r="N221" s="21">
        <f t="shared" si="24"/>
        <v>3.2406818658799281</v>
      </c>
    </row>
    <row r="222" spans="1:14" x14ac:dyDescent="0.2">
      <c r="A222" s="33">
        <f>'GF + UG Iteration 13'!A222</f>
        <v>486</v>
      </c>
      <c r="B222" s="34" t="str">
        <f>'GF + UG Iteration 13'!B222</f>
        <v>UG</v>
      </c>
      <c r="C222" s="35">
        <f>'GF + UG Iteration 13'!C222</f>
        <v>10.81</v>
      </c>
      <c r="D222" s="36">
        <f>'GF + UG Iteration 13'!P$16*(C222^'GF + UG Iteration 13'!P$15)</f>
        <v>9.982367151489802</v>
      </c>
      <c r="E222" s="37">
        <f>'GF + UG Iteration 13'!E222</f>
        <v>1993</v>
      </c>
      <c r="F222" s="35">
        <f>'GF + UG Iteration 13'!F222</f>
        <v>3.1399999999999988</v>
      </c>
      <c r="G222" s="36">
        <f>'GF + UG Iteration 13'!G222</f>
        <v>0.34692120274319505</v>
      </c>
      <c r="H222" s="38">
        <f>'GF + UG Iteration 13'!H222</f>
        <v>2005</v>
      </c>
      <c r="I222" s="35">
        <f t="shared" si="20"/>
        <v>13.95</v>
      </c>
      <c r="J222" s="36">
        <f t="shared" si="21"/>
        <v>10.329288354232997</v>
      </c>
      <c r="K222" s="38">
        <f t="shared" si="22"/>
        <v>2005</v>
      </c>
      <c r="M222" s="21">
        <f t="shared" si="23"/>
        <v>2.6354795082673745</v>
      </c>
      <c r="N222" s="21">
        <f t="shared" si="24"/>
        <v>2.3349833895902905</v>
      </c>
    </row>
    <row r="223" spans="1:14" x14ac:dyDescent="0.2">
      <c r="A223" s="33">
        <f>'GF + UG Iteration 13'!A223</f>
        <v>779</v>
      </c>
      <c r="B223" s="34" t="str">
        <f>'GF + UG Iteration 13'!B223</f>
        <v>UG</v>
      </c>
      <c r="C223" s="35">
        <f>'GF + UG Iteration 13'!C223</f>
        <v>13.95</v>
      </c>
      <c r="D223" s="36">
        <f>'GF + UG Iteration 13'!P$16*(C223^'GF + UG Iteration 13'!P$15)</f>
        <v>11.551763821746697</v>
      </c>
      <c r="E223" s="37">
        <f>'GF + UG Iteration 13'!E223</f>
        <v>1993</v>
      </c>
      <c r="F223" s="35">
        <f>'GF + UG Iteration 13'!F223</f>
        <v>4.0500000000000007</v>
      </c>
      <c r="G223" s="36">
        <f>'GF + UG Iteration 13'!G223</f>
        <v>0.91575874480529229</v>
      </c>
      <c r="H223" s="38">
        <f>'GF + UG Iteration 13'!H223</f>
        <v>2008</v>
      </c>
      <c r="I223" s="35">
        <f t="shared" si="20"/>
        <v>18</v>
      </c>
      <c r="J223" s="36">
        <f t="shared" si="21"/>
        <v>12.467522566551988</v>
      </c>
      <c r="K223" s="38">
        <f t="shared" si="22"/>
        <v>2008</v>
      </c>
      <c r="M223" s="21">
        <f t="shared" si="23"/>
        <v>2.8903717578961645</v>
      </c>
      <c r="N223" s="21">
        <f t="shared" si="24"/>
        <v>2.52312706846674</v>
      </c>
    </row>
    <row r="224" spans="1:14" x14ac:dyDescent="0.2">
      <c r="A224" s="33">
        <f>'GF + UG Iteration 13'!A224</f>
        <v>1416</v>
      </c>
      <c r="B224" s="34" t="str">
        <f>'GF + UG Iteration 13'!B224</f>
        <v>UG</v>
      </c>
      <c r="C224" s="35">
        <f>'GF + UG Iteration 13'!C224</f>
        <v>18</v>
      </c>
      <c r="D224" s="36">
        <f>'GF + UG Iteration 13'!P$16*(C224^'GF + UG Iteration 13'!P$15)</f>
        <v>13.367011113291223</v>
      </c>
      <c r="E224" s="37">
        <f>'GF + UG Iteration 13'!E224</f>
        <v>1993</v>
      </c>
      <c r="F224" s="35">
        <f>'GF + UG Iteration 13'!F224</f>
        <v>6</v>
      </c>
      <c r="G224" s="36">
        <f>'GF + UG Iteration 13'!G224</f>
        <v>1.4181567457767223</v>
      </c>
      <c r="H224" s="38">
        <f>'GF + UG Iteration 13'!H224</f>
        <v>2014</v>
      </c>
      <c r="I224" s="35">
        <f t="shared" si="20"/>
        <v>24</v>
      </c>
      <c r="J224" s="36">
        <f t="shared" si="21"/>
        <v>14.785167859067945</v>
      </c>
      <c r="K224" s="38">
        <f t="shared" si="22"/>
        <v>2014</v>
      </c>
      <c r="M224" s="21">
        <f t="shared" si="23"/>
        <v>3.1780538303479458</v>
      </c>
      <c r="N224" s="21">
        <f t="shared" si="24"/>
        <v>2.6936245065756661</v>
      </c>
    </row>
    <row r="225" spans="1:14" x14ac:dyDescent="0.2">
      <c r="A225" s="33">
        <f>'GF + UG Iteration 13'!A225</f>
        <v>554</v>
      </c>
      <c r="B225" s="34" t="str">
        <f>'GF + UG Iteration 13'!B225</f>
        <v>UG</v>
      </c>
      <c r="C225" s="35">
        <f>'GF + UG Iteration 13'!C225</f>
        <v>23</v>
      </c>
      <c r="D225" s="36">
        <f>'GF + UG Iteration 13'!P$16*(C225^'GF + UG Iteration 13'!P$15)</f>
        <v>15.381220151525225</v>
      </c>
      <c r="E225" s="37">
        <f>'GF + UG Iteration 13'!E225</f>
        <v>1968</v>
      </c>
      <c r="F225" s="35">
        <f>'GF + UG Iteration 13'!F225</f>
        <v>8.2600000000000016</v>
      </c>
      <c r="G225" s="36">
        <f>'GF + UG Iteration 13'!G225</f>
        <v>1.061095708813089</v>
      </c>
      <c r="H225" s="38">
        <f>'GF + UG Iteration 13'!H225</f>
        <v>2006</v>
      </c>
      <c r="I225" s="35">
        <f t="shared" si="20"/>
        <v>31.26</v>
      </c>
      <c r="J225" s="36">
        <f t="shared" si="21"/>
        <v>16.442315860338315</v>
      </c>
      <c r="K225" s="38">
        <f t="shared" si="22"/>
        <v>2006</v>
      </c>
      <c r="M225" s="21">
        <f t="shared" si="23"/>
        <v>3.4423393249933305</v>
      </c>
      <c r="N225" s="21">
        <f t="shared" si="24"/>
        <v>2.7998582471243232</v>
      </c>
    </row>
    <row r="226" spans="1:14" x14ac:dyDescent="0.2">
      <c r="A226" s="33">
        <f>'GF + UG Iteration 13'!A226</f>
        <v>1581</v>
      </c>
      <c r="B226" s="34" t="str">
        <f>'GF + UG Iteration 13'!B226</f>
        <v>UG</v>
      </c>
      <c r="C226" s="35">
        <f>'GF + UG Iteration 13'!C226</f>
        <v>7.44</v>
      </c>
      <c r="D226" s="36">
        <f>'GF + UG Iteration 13'!P$16*(C226^'GF + UG Iteration 13'!P$15)</f>
        <v>8.0598576389268377</v>
      </c>
      <c r="E226" s="37" t="str">
        <f>'GF + UG Iteration 13'!E226</f>
        <v>unknown</v>
      </c>
      <c r="F226" s="35">
        <f>'GF + UG Iteration 13'!F226</f>
        <v>9.36</v>
      </c>
      <c r="G226" s="36">
        <f>'GF + UG Iteration 13'!G226</f>
        <v>5.3848313505476417</v>
      </c>
      <c r="H226" s="38">
        <f>'GF + UG Iteration 13'!H226</f>
        <v>2015</v>
      </c>
      <c r="I226" s="35">
        <f t="shared" si="20"/>
        <v>16.8</v>
      </c>
      <c r="J226" s="36">
        <f t="shared" si="21"/>
        <v>13.444688989474479</v>
      </c>
      <c r="K226" s="38">
        <f t="shared" si="22"/>
        <v>2015</v>
      </c>
      <c r="M226" s="21">
        <f t="shared" si="23"/>
        <v>2.8213788864092133</v>
      </c>
      <c r="N226" s="21">
        <f t="shared" si="24"/>
        <v>2.5985841573948529</v>
      </c>
    </row>
    <row r="227" spans="1:14" x14ac:dyDescent="0.2">
      <c r="A227" s="33">
        <f>'GF + UG Iteration 13'!A227</f>
        <v>880</v>
      </c>
      <c r="B227" s="34" t="str">
        <f>'GF + UG Iteration 13'!B227</f>
        <v>UG</v>
      </c>
      <c r="C227" s="35">
        <f>'GF + UG Iteration 13'!C227</f>
        <v>8.9499999999999993</v>
      </c>
      <c r="D227" s="36">
        <f>'GF + UG Iteration 13'!P$16*(C227^'GF + UG Iteration 13'!P$15)</f>
        <v>8.9593952488814068</v>
      </c>
      <c r="E227" s="37">
        <f>'GF + UG Iteration 13'!E227</f>
        <v>1966</v>
      </c>
      <c r="F227" s="35">
        <f>'GF + UG Iteration 13'!F227</f>
        <v>2.0500000000000007</v>
      </c>
      <c r="G227" s="36">
        <f>'GF + UG Iteration 13'!G227</f>
        <v>4.5763928166345611</v>
      </c>
      <c r="H227" s="38">
        <f>'GF + UG Iteration 13'!H227</f>
        <v>2010</v>
      </c>
      <c r="I227" s="35">
        <f t="shared" si="20"/>
        <v>11</v>
      </c>
      <c r="J227" s="36">
        <f t="shared" si="21"/>
        <v>13.535788065515968</v>
      </c>
      <c r="K227" s="38">
        <f t="shared" si="22"/>
        <v>2010</v>
      </c>
      <c r="M227" s="21">
        <f t="shared" si="23"/>
        <v>2.3978952727983707</v>
      </c>
      <c r="N227" s="21">
        <f t="shared" si="24"/>
        <v>2.6053371456428871</v>
      </c>
    </row>
    <row r="228" spans="1:14" x14ac:dyDescent="0.2">
      <c r="A228" s="33">
        <f>'GF + UG Iteration 13'!A228</f>
        <v>1047</v>
      </c>
      <c r="B228" s="34" t="str">
        <f>'GF + UG Iteration 13'!B228</f>
        <v>UG</v>
      </c>
      <c r="C228" s="35">
        <f>'GF + UG Iteration 13'!C228</f>
        <v>10</v>
      </c>
      <c r="D228" s="36">
        <f>'GF + UG Iteration 13'!P$16*(C228^'GF + UG Iteration 13'!P$15)</f>
        <v>9.5469554734416082</v>
      </c>
      <c r="E228" s="37">
        <f>'GF + UG Iteration 13'!E228</f>
        <v>1965</v>
      </c>
      <c r="F228" s="35">
        <f>'GF + UG Iteration 13'!F228</f>
        <v>5</v>
      </c>
      <c r="G228" s="36">
        <f>'GF + UG Iteration 13'!G228</f>
        <v>6.2586429220605622</v>
      </c>
      <c r="H228" s="38">
        <f>'GF + UG Iteration 13'!H228</f>
        <v>2012</v>
      </c>
      <c r="I228" s="35">
        <f t="shared" si="20"/>
        <v>15</v>
      </c>
      <c r="J228" s="36">
        <f t="shared" si="21"/>
        <v>15.805598395502169</v>
      </c>
      <c r="K228" s="38">
        <f t="shared" si="22"/>
        <v>2012</v>
      </c>
      <c r="M228" s="21">
        <f t="shared" si="23"/>
        <v>2.7080502011022101</v>
      </c>
      <c r="N228" s="21">
        <f t="shared" si="24"/>
        <v>2.7603642061025373</v>
      </c>
    </row>
    <row r="229" spans="1:14" x14ac:dyDescent="0.2">
      <c r="A229" s="33">
        <f>'GF + UG Iteration 13'!A229</f>
        <v>1045</v>
      </c>
      <c r="B229" s="34" t="str">
        <f>'GF + UG Iteration 13'!B229</f>
        <v>UG</v>
      </c>
      <c r="C229" s="35">
        <f>'GF + UG Iteration 13'!C229</f>
        <v>24.065999999999999</v>
      </c>
      <c r="D229" s="36">
        <f>'GF + UG Iteration 13'!P$16*(C229^'GF + UG Iteration 13'!P$15)</f>
        <v>15.785463506118258</v>
      </c>
      <c r="E229" s="37">
        <f>'GF + UG Iteration 13'!E229</f>
        <v>1971</v>
      </c>
      <c r="F229" s="35">
        <f>'GF + UG Iteration 13'!F229</f>
        <v>7.9340000000000011</v>
      </c>
      <c r="G229" s="36">
        <f>'GF + UG Iteration 13'!G229</f>
        <v>3.8009199870921253</v>
      </c>
      <c r="H229" s="38">
        <f>'GF + UG Iteration 13'!H229</f>
        <v>2011</v>
      </c>
      <c r="I229" s="35">
        <f t="shared" si="20"/>
        <v>32</v>
      </c>
      <c r="J229" s="36">
        <f t="shared" si="21"/>
        <v>19.586383493210384</v>
      </c>
      <c r="K229" s="38">
        <f t="shared" si="22"/>
        <v>2011</v>
      </c>
      <c r="M229" s="21">
        <f t="shared" si="23"/>
        <v>3.4657359027997265</v>
      </c>
      <c r="N229" s="21">
        <f t="shared" si="24"/>
        <v>2.9748346050727292</v>
      </c>
    </row>
    <row r="230" spans="1:14" x14ac:dyDescent="0.2">
      <c r="A230" s="33">
        <f>'GF + UG Iteration 13'!A230</f>
        <v>1616</v>
      </c>
      <c r="B230" s="34" t="str">
        <f>'GF + UG Iteration 13'!B230</f>
        <v>UG</v>
      </c>
      <c r="C230" s="35">
        <f>'GF + UG Iteration 13'!C230</f>
        <v>21.68</v>
      </c>
      <c r="D230" s="36">
        <f>'GF + UG Iteration 13'!P$16*(C230^'GF + UG Iteration 13'!P$15)</f>
        <v>14.869382524082862</v>
      </c>
      <c r="E230" s="37" t="str">
        <f>'GF + UG Iteration 13'!E230</f>
        <v>unknown</v>
      </c>
      <c r="F230" s="35">
        <f>'GF + UG Iteration 13'!F230</f>
        <v>25.75</v>
      </c>
      <c r="G230" s="36">
        <f>'GF + UG Iteration 13'!G230</f>
        <v>0.84818580502502572</v>
      </c>
      <c r="H230" s="38">
        <f>'GF + UG Iteration 13'!H230</f>
        <v>2015</v>
      </c>
      <c r="I230" s="35">
        <f t="shared" si="20"/>
        <v>47.43</v>
      </c>
      <c r="J230" s="36">
        <f t="shared" si="21"/>
        <v>15.717568329107888</v>
      </c>
      <c r="K230" s="38">
        <f t="shared" si="22"/>
        <v>2015</v>
      </c>
      <c r="M230" s="21">
        <f t="shared" si="23"/>
        <v>3.8592549398894902</v>
      </c>
      <c r="N230" s="21">
        <f t="shared" si="24"/>
        <v>2.7547790885923602</v>
      </c>
    </row>
    <row r="231" spans="1:14" x14ac:dyDescent="0.2">
      <c r="A231" s="33">
        <f>'GF + UG Iteration 13'!A231</f>
        <v>362</v>
      </c>
      <c r="B231" s="34" t="str">
        <f>'GF + UG Iteration 13'!B231</f>
        <v>UG</v>
      </c>
      <c r="C231" s="35">
        <f>'GF + UG Iteration 13'!C231</f>
        <v>51.8</v>
      </c>
      <c r="D231" s="36">
        <f>'GF + UG Iteration 13'!P$16*(C231^'GF + UG Iteration 13'!P$15)</f>
        <v>24.484495997260087</v>
      </c>
      <c r="E231" s="37">
        <f>'GF + UG Iteration 13'!E231</f>
        <v>1971</v>
      </c>
      <c r="F231" s="35">
        <f>'GF + UG Iteration 13'!F231</f>
        <v>1</v>
      </c>
      <c r="G231" s="36">
        <f>'GF + UG Iteration 13'!G231</f>
        <v>0.78848028183233532</v>
      </c>
      <c r="H231" s="38">
        <f>'GF + UG Iteration 13'!H231</f>
        <v>2004</v>
      </c>
      <c r="I231" s="35">
        <f t="shared" si="20"/>
        <v>52.8</v>
      </c>
      <c r="J231" s="36">
        <f t="shared" si="21"/>
        <v>25.272976279092422</v>
      </c>
      <c r="K231" s="38">
        <f t="shared" si="22"/>
        <v>2004</v>
      </c>
      <c r="M231" s="21">
        <f t="shared" si="23"/>
        <v>3.9665111907122159</v>
      </c>
      <c r="N231" s="21">
        <f t="shared" si="24"/>
        <v>3.2297356936135722</v>
      </c>
    </row>
    <row r="232" spans="1:14" x14ac:dyDescent="0.2">
      <c r="A232" s="33">
        <f>'GF + UG Iteration 13'!A232</f>
        <v>924</v>
      </c>
      <c r="B232" s="34" t="str">
        <f>'GF + UG Iteration 13'!B232</f>
        <v>UG</v>
      </c>
      <c r="C232" s="35">
        <f>'GF + UG Iteration 13'!C232</f>
        <v>45.94</v>
      </c>
      <c r="D232" s="36">
        <f>'GF + UG Iteration 13'!P$16*(C232^'GF + UG Iteration 13'!P$15)</f>
        <v>22.857905499146803</v>
      </c>
      <c r="E232" s="37">
        <f>'GF + UG Iteration 13'!E232</f>
        <v>1982</v>
      </c>
      <c r="F232" s="35">
        <f>'GF + UG Iteration 13'!F232</f>
        <v>6.0600000000000023</v>
      </c>
      <c r="G232" s="36">
        <f>'GF + UG Iteration 13'!G232</f>
        <v>1.4264307906682692</v>
      </c>
      <c r="H232" s="38">
        <f>'GF + UG Iteration 13'!H232</f>
        <v>2010</v>
      </c>
      <c r="I232" s="35">
        <f t="shared" si="20"/>
        <v>52</v>
      </c>
      <c r="J232" s="36">
        <f t="shared" si="21"/>
        <v>24.284336289815073</v>
      </c>
      <c r="K232" s="38">
        <f t="shared" si="22"/>
        <v>2010</v>
      </c>
      <c r="M232" s="21">
        <f t="shared" si="23"/>
        <v>3.9512437185814275</v>
      </c>
      <c r="N232" s="21">
        <f t="shared" si="24"/>
        <v>3.1898315453775021</v>
      </c>
    </row>
    <row r="233" spans="1:14" x14ac:dyDescent="0.2">
      <c r="A233" s="33">
        <f>'GF + UG Iteration 13'!A233</f>
        <v>1241</v>
      </c>
      <c r="B233" s="34" t="str">
        <f>'GF + UG Iteration 13'!B233</f>
        <v>UG</v>
      </c>
      <c r="C233" s="35">
        <f>'GF + UG Iteration 13'!C233</f>
        <v>20.29</v>
      </c>
      <c r="D233" s="36">
        <f>'GF + UG Iteration 13'!P$16*(C233^'GF + UG Iteration 13'!P$15)</f>
        <v>14.315781110508311</v>
      </c>
      <c r="E233" s="37" t="str">
        <f>'GF + UG Iteration 13'!E233</f>
        <v>unknown</v>
      </c>
      <c r="F233" s="35">
        <f>'GF + UG Iteration 13'!F233</f>
        <v>6</v>
      </c>
      <c r="G233" s="36">
        <f>'GF + UG Iteration 13'!G233</f>
        <v>2.625007735639064</v>
      </c>
      <c r="H233" s="38">
        <f>'GF + UG Iteration 13'!H233</f>
        <v>2012</v>
      </c>
      <c r="I233" s="35">
        <f t="shared" si="20"/>
        <v>26.29</v>
      </c>
      <c r="J233" s="36">
        <f t="shared" si="21"/>
        <v>16.940788846147374</v>
      </c>
      <c r="K233" s="38">
        <f t="shared" si="22"/>
        <v>2012</v>
      </c>
      <c r="M233" s="21">
        <f t="shared" si="23"/>
        <v>3.2691886387417899</v>
      </c>
      <c r="N233" s="21">
        <f t="shared" si="24"/>
        <v>2.8297242552086082</v>
      </c>
    </row>
    <row r="234" spans="1:14" x14ac:dyDescent="0.2">
      <c r="A234" s="33">
        <f>'GF + UG Iteration 13'!A234</f>
        <v>438</v>
      </c>
      <c r="B234" s="34" t="str">
        <f>'GF + UG Iteration 13'!B234</f>
        <v>UG</v>
      </c>
      <c r="C234" s="35">
        <f>'GF + UG Iteration 13'!C234</f>
        <v>8.2460000000000004</v>
      </c>
      <c r="D234" s="36">
        <f>'GF + UG Iteration 13'!P$16*(C234^'GF + UG Iteration 13'!P$15)</f>
        <v>8.5488107864155847</v>
      </c>
      <c r="E234" s="37">
        <f>'GF + UG Iteration 13'!E234</f>
        <v>1978</v>
      </c>
      <c r="F234" s="35">
        <f>'GF + UG Iteration 13'!F234</f>
        <v>1</v>
      </c>
      <c r="G234" s="36">
        <f>'GF + UG Iteration 13'!G234</f>
        <v>0.18095315250984781</v>
      </c>
      <c r="H234" s="38">
        <f>'GF + UG Iteration 13'!H234</f>
        <v>2004</v>
      </c>
      <c r="I234" s="35">
        <f t="shared" si="20"/>
        <v>9.2460000000000004</v>
      </c>
      <c r="J234" s="36">
        <f t="shared" si="21"/>
        <v>8.7297639389254318</v>
      </c>
      <c r="K234" s="38">
        <f t="shared" si="22"/>
        <v>2004</v>
      </c>
      <c r="M234" s="21">
        <f t="shared" si="23"/>
        <v>2.2241910255660335</v>
      </c>
      <c r="N234" s="21">
        <f t="shared" si="24"/>
        <v>2.1667383292711904</v>
      </c>
    </row>
    <row r="235" spans="1:14" x14ac:dyDescent="0.2">
      <c r="A235" s="33">
        <f>'GF + UG Iteration 13'!A235</f>
        <v>748</v>
      </c>
      <c r="B235" s="34" t="str">
        <f>'GF + UG Iteration 13'!B235</f>
        <v>UG</v>
      </c>
      <c r="C235" s="35">
        <f>'GF + UG Iteration 13'!C235</f>
        <v>25.541</v>
      </c>
      <c r="D235" s="36">
        <f>'GF + UG Iteration 13'!P$16*(C235^'GF + UG Iteration 13'!P$15)</f>
        <v>16.332396556281143</v>
      </c>
      <c r="E235" s="37">
        <f>'GF + UG Iteration 13'!E235</f>
        <v>1995</v>
      </c>
      <c r="F235" s="35">
        <f>'GF + UG Iteration 13'!F235</f>
        <v>1</v>
      </c>
      <c r="G235" s="36">
        <f>'GF + UG Iteration 13'!G235</f>
        <v>0.38858476644316492</v>
      </c>
      <c r="H235" s="38">
        <f>'GF + UG Iteration 13'!H235</f>
        <v>2008</v>
      </c>
      <c r="I235" s="35">
        <f t="shared" si="20"/>
        <v>26.541</v>
      </c>
      <c r="J235" s="36">
        <f t="shared" si="21"/>
        <v>16.72098132272431</v>
      </c>
      <c r="K235" s="38">
        <f t="shared" si="22"/>
        <v>2008</v>
      </c>
      <c r="M235" s="21">
        <f t="shared" si="23"/>
        <v>3.2786907071693587</v>
      </c>
      <c r="N235" s="21">
        <f t="shared" si="24"/>
        <v>2.8166642974847709</v>
      </c>
    </row>
    <row r="236" spans="1:14" x14ac:dyDescent="0.2">
      <c r="A236" s="33">
        <f>'GF + UG Iteration 13'!A236</f>
        <v>1319</v>
      </c>
      <c r="B236" s="34" t="str">
        <f>'GF + UG Iteration 13'!B236</f>
        <v>UG</v>
      </c>
      <c r="C236" s="35">
        <f>'GF + UG Iteration 13'!C236</f>
        <v>15.71</v>
      </c>
      <c r="D236" s="36">
        <f>'GF + UG Iteration 13'!P$16*(C236^'GF + UG Iteration 13'!P$15)</f>
        <v>12.365044090730898</v>
      </c>
      <c r="E236" s="37">
        <f>'GF + UG Iteration 13'!E236</f>
        <v>0</v>
      </c>
      <c r="F236" s="35">
        <f>'GF + UG Iteration 13'!F236</f>
        <v>4.2899999999999991</v>
      </c>
      <c r="G236" s="36">
        <f>'GF + UG Iteration 13'!G236</f>
        <v>3.2376779482440865</v>
      </c>
      <c r="H236" s="38">
        <f>'GF + UG Iteration 13'!H236</f>
        <v>2014</v>
      </c>
      <c r="I236" s="35">
        <f t="shared" si="20"/>
        <v>20</v>
      </c>
      <c r="J236" s="36">
        <f t="shared" si="21"/>
        <v>15.602722038974985</v>
      </c>
      <c r="K236" s="38">
        <f t="shared" si="22"/>
        <v>2014</v>
      </c>
      <c r="M236" s="21">
        <f t="shared" si="23"/>
        <v>2.9957322735539909</v>
      </c>
      <c r="N236" s="21">
        <f t="shared" si="24"/>
        <v>2.7474453887118218</v>
      </c>
    </row>
    <row r="237" spans="1:14" x14ac:dyDescent="0.2">
      <c r="A237" s="33">
        <f>'GF + UG Iteration 13'!A237</f>
        <v>892</v>
      </c>
      <c r="B237" s="34" t="str">
        <f>'GF + UG Iteration 13'!B237</f>
        <v>UG</v>
      </c>
      <c r="C237" s="35">
        <f>'GF + UG Iteration 13'!C237</f>
        <v>13.05</v>
      </c>
      <c r="D237" s="36">
        <f>'GF + UG Iteration 13'!P$16*(C237^'GF + UG Iteration 13'!P$15)</f>
        <v>11.11894664277764</v>
      </c>
      <c r="E237" s="37">
        <f>'GF + UG Iteration 13'!E237</f>
        <v>1972</v>
      </c>
      <c r="F237" s="35">
        <f>'GF + UG Iteration 13'!F237</f>
        <v>0</v>
      </c>
      <c r="G237" s="36">
        <f>'GF + UG Iteration 13'!G237</f>
        <v>3.2490818561124843</v>
      </c>
      <c r="H237" s="38">
        <f>'GF + UG Iteration 13'!H237</f>
        <v>2011</v>
      </c>
      <c r="I237" s="35">
        <f t="shared" si="20"/>
        <v>13.05</v>
      </c>
      <c r="J237" s="36">
        <f t="shared" si="21"/>
        <v>14.368028498890125</v>
      </c>
      <c r="K237" s="38">
        <f t="shared" si="22"/>
        <v>2011</v>
      </c>
      <c r="M237" s="21">
        <f t="shared" si="23"/>
        <v>2.5687881337687024</v>
      </c>
      <c r="N237" s="21">
        <f t="shared" si="24"/>
        <v>2.6650054950552406</v>
      </c>
    </row>
    <row r="238" spans="1:14" x14ac:dyDescent="0.2">
      <c r="A238" s="33">
        <f>'GF + UG Iteration 13'!A238</f>
        <v>504</v>
      </c>
      <c r="B238" s="34" t="str">
        <f>'GF + UG Iteration 13'!B238</f>
        <v>UG</v>
      </c>
      <c r="C238" s="35">
        <f>'GF + UG Iteration 13'!C238</f>
        <v>10.496</v>
      </c>
      <c r="D238" s="36">
        <f>'GF + UG Iteration 13'!P$16*(C238^'GF + UG Iteration 13'!P$15)</f>
        <v>9.8152907412342145</v>
      </c>
      <c r="E238" s="37">
        <f>'GF + UG Iteration 13'!E238</f>
        <v>2007</v>
      </c>
      <c r="F238" s="35">
        <f>'GF + UG Iteration 13'!F238</f>
        <v>0</v>
      </c>
      <c r="G238" s="36">
        <f>'GF + UG Iteration 13'!G238</f>
        <v>2.1923137026225539</v>
      </c>
      <c r="H238" s="38">
        <f>'GF + UG Iteration 13'!H238</f>
        <v>2006</v>
      </c>
      <c r="I238" s="35">
        <f t="shared" si="20"/>
        <v>10.496</v>
      </c>
      <c r="J238" s="36">
        <f t="shared" si="21"/>
        <v>12.007604443856769</v>
      </c>
      <c r="K238" s="38">
        <f t="shared" si="22"/>
        <v>2007</v>
      </c>
      <c r="M238" s="21">
        <f t="shared" si="23"/>
        <v>2.3509942322017334</v>
      </c>
      <c r="N238" s="21">
        <f t="shared" si="24"/>
        <v>2.4855401527373573</v>
      </c>
    </row>
    <row r="239" spans="1:14" x14ac:dyDescent="0.2">
      <c r="A239" s="33">
        <f>'GF + UG Iteration 13'!A239</f>
        <v>618</v>
      </c>
      <c r="B239" s="34" t="str">
        <f>'GF + UG Iteration 13'!B239</f>
        <v>UG</v>
      </c>
      <c r="C239" s="35">
        <f>'GF + UG Iteration 13'!C239</f>
        <v>11</v>
      </c>
      <c r="D239" s="36">
        <f>'GF + UG Iteration 13'!P$16*(C239^'GF + UG Iteration 13'!P$15)</f>
        <v>10.08245771935368</v>
      </c>
      <c r="E239" s="37">
        <f>'GF + UG Iteration 13'!E239</f>
        <v>1995</v>
      </c>
      <c r="F239" s="35">
        <f>'GF + UG Iteration 13'!F239</f>
        <v>11.5</v>
      </c>
      <c r="G239" s="36">
        <f>'GF + UG Iteration 13'!G239</f>
        <v>2.3464649770982668</v>
      </c>
      <c r="H239" s="38">
        <f>'GF + UG Iteration 13'!H239</f>
        <v>2006</v>
      </c>
      <c r="I239" s="35">
        <f t="shared" si="20"/>
        <v>22.5</v>
      </c>
      <c r="J239" s="36">
        <f t="shared" si="21"/>
        <v>12.428922696451947</v>
      </c>
      <c r="K239" s="38">
        <f t="shared" si="22"/>
        <v>2006</v>
      </c>
      <c r="M239" s="21">
        <f t="shared" si="23"/>
        <v>3.1135153092103742</v>
      </c>
      <c r="N239" s="21">
        <f t="shared" si="24"/>
        <v>2.5200262321327966</v>
      </c>
    </row>
    <row r="240" spans="1:14" x14ac:dyDescent="0.2">
      <c r="A240" s="33">
        <f>'GF + UG Iteration 13'!A240</f>
        <v>712</v>
      </c>
      <c r="B240" s="34" t="str">
        <f>'GF + UG Iteration 13'!B240</f>
        <v>UG</v>
      </c>
      <c r="C240" s="35">
        <f>'GF + UG Iteration 13'!C240</f>
        <v>7.5</v>
      </c>
      <c r="D240" s="36">
        <f>'GF + UG Iteration 13'!P$16*(C240^'GF + UG Iteration 13'!P$15)</f>
        <v>8.097012180556673</v>
      </c>
      <c r="E240" s="37">
        <f>'GF + UG Iteration 13'!E240</f>
        <v>1980</v>
      </c>
      <c r="F240" s="35">
        <f>'GF + UG Iteration 13'!F240</f>
        <v>1</v>
      </c>
      <c r="G240" s="36">
        <f>'GF + UG Iteration 13'!G240</f>
        <v>7.8904141673966368</v>
      </c>
      <c r="H240" s="38">
        <f>'GF + UG Iteration 13'!H240</f>
        <v>2011</v>
      </c>
      <c r="I240" s="35">
        <f t="shared" si="20"/>
        <v>8.5</v>
      </c>
      <c r="J240" s="36">
        <f t="shared" si="21"/>
        <v>15.98742634795331</v>
      </c>
      <c r="K240" s="38">
        <f t="shared" si="22"/>
        <v>2011</v>
      </c>
      <c r="M240" s="21">
        <f t="shared" si="23"/>
        <v>2.1400661634962708</v>
      </c>
      <c r="N240" s="21">
        <f t="shared" si="24"/>
        <v>2.7718025600423282</v>
      </c>
    </row>
    <row r="241" spans="1:14" x14ac:dyDescent="0.2">
      <c r="A241" s="33">
        <f>'GF + UG Iteration 13'!A241</f>
        <v>726</v>
      </c>
      <c r="B241" s="34" t="str">
        <f>'GF + UG Iteration 13'!B241</f>
        <v>UG</v>
      </c>
      <c r="C241" s="35">
        <f>'GF + UG Iteration 13'!C241</f>
        <v>25.635400000000001</v>
      </c>
      <c r="D241" s="36">
        <f>'GF + UG Iteration 13'!P$16*(C241^'GF + UG Iteration 13'!P$15)</f>
        <v>16.366934296494936</v>
      </c>
      <c r="E241" s="37">
        <f>'GF + UG Iteration 13'!E241</f>
        <v>1982</v>
      </c>
      <c r="F241" s="35">
        <f>'GF + UG Iteration 13'!F241</f>
        <v>5.3645999999999994</v>
      </c>
      <c r="G241" s="36">
        <f>'GF + UG Iteration 13'!G241</f>
        <v>1.031633192087684</v>
      </c>
      <c r="H241" s="38">
        <f>'GF + UG Iteration 13'!H241</f>
        <v>2008</v>
      </c>
      <c r="I241" s="35">
        <f t="shared" si="20"/>
        <v>31</v>
      </c>
      <c r="J241" s="36">
        <f t="shared" si="21"/>
        <v>17.398567488582621</v>
      </c>
      <c r="K241" s="38">
        <f t="shared" si="22"/>
        <v>2008</v>
      </c>
      <c r="M241" s="21">
        <f t="shared" si="23"/>
        <v>3.4339872044851463</v>
      </c>
      <c r="N241" s="21">
        <f t="shared" si="24"/>
        <v>2.8563878745889495</v>
      </c>
    </row>
    <row r="242" spans="1:14" x14ac:dyDescent="0.2">
      <c r="A242" s="33">
        <f>'GF + UG Iteration 13'!A242</f>
        <v>530</v>
      </c>
      <c r="B242" s="34" t="str">
        <f>'GF + UG Iteration 13'!B242</f>
        <v>UG</v>
      </c>
      <c r="C242" s="35">
        <f>'GF + UG Iteration 13'!C242</f>
        <v>25</v>
      </c>
      <c r="D242" s="36">
        <f>'GF + UG Iteration 13'!P$16*(C242^'GF + UG Iteration 13'!P$15)</f>
        <v>16.133401117819428</v>
      </c>
      <c r="E242" s="37">
        <f>'GF + UG Iteration 13'!E242</f>
        <v>1982</v>
      </c>
      <c r="F242" s="35">
        <f>'GF + UG Iteration 13'!F242</f>
        <v>20</v>
      </c>
      <c r="G242" s="36">
        <f>'GF + UG Iteration 13'!G242</f>
        <v>4.5022608459814819</v>
      </c>
      <c r="H242" s="38">
        <f>'GF + UG Iteration 13'!H242</f>
        <v>2006</v>
      </c>
      <c r="I242" s="35">
        <f t="shared" si="20"/>
        <v>45</v>
      </c>
      <c r="J242" s="36">
        <f t="shared" si="21"/>
        <v>20.63566196380091</v>
      </c>
      <c r="K242" s="38">
        <f t="shared" si="22"/>
        <v>2006</v>
      </c>
      <c r="M242" s="21">
        <f t="shared" si="23"/>
        <v>3.8066624897703196</v>
      </c>
      <c r="N242" s="21">
        <f t="shared" si="24"/>
        <v>3.0270207423508184</v>
      </c>
    </row>
    <row r="243" spans="1:14" x14ac:dyDescent="0.2">
      <c r="A243" s="33">
        <f>'GF + UG Iteration 13'!A243</f>
        <v>755</v>
      </c>
      <c r="B243" s="34" t="str">
        <f>'GF + UG Iteration 13'!B243</f>
        <v>UG</v>
      </c>
      <c r="C243" s="35">
        <f>'GF + UG Iteration 13'!C243</f>
        <v>8.6980000000000004</v>
      </c>
      <c r="D243" s="36">
        <f>'GF + UG Iteration 13'!P$16*(C243^'GF + UG Iteration 13'!P$15)</f>
        <v>8.8140672185038991</v>
      </c>
      <c r="E243" s="37">
        <f>'GF + UG Iteration 13'!E243</f>
        <v>1983</v>
      </c>
      <c r="F243" s="35">
        <f>'GF + UG Iteration 13'!F243</f>
        <v>3.3019999999999996</v>
      </c>
      <c r="G243" s="36">
        <f>'GF + UG Iteration 13'!G243</f>
        <v>0.74649134624932623</v>
      </c>
      <c r="H243" s="38">
        <f>'GF + UG Iteration 13'!H243</f>
        <v>2008</v>
      </c>
      <c r="I243" s="35">
        <f t="shared" si="20"/>
        <v>12</v>
      </c>
      <c r="J243" s="36">
        <f t="shared" si="21"/>
        <v>9.5605585647532259</v>
      </c>
      <c r="K243" s="38">
        <f t="shared" si="22"/>
        <v>2008</v>
      </c>
      <c r="M243" s="21">
        <f t="shared" si="23"/>
        <v>2.4849066497880004</v>
      </c>
      <c r="N243" s="21">
        <f t="shared" si="24"/>
        <v>2.2576461526319451</v>
      </c>
    </row>
    <row r="244" spans="1:14" x14ac:dyDescent="0.2">
      <c r="A244" s="33">
        <f>'GF + UG Iteration 13'!A244</f>
        <v>1081</v>
      </c>
      <c r="B244" s="34" t="str">
        <f>'GF + UG Iteration 13'!B244</f>
        <v>UG</v>
      </c>
      <c r="C244" s="35">
        <f>'GF + UG Iteration 13'!C244</f>
        <v>12</v>
      </c>
      <c r="D244" s="36">
        <f>'GF + UG Iteration 13'!P$16*(C244^'GF + UG Iteration 13'!P$15)</f>
        <v>10.597518784659478</v>
      </c>
      <c r="E244" s="37">
        <f>'GF + UG Iteration 13'!E244</f>
        <v>1983</v>
      </c>
      <c r="F244" s="35">
        <f>'GF + UG Iteration 13'!F244</f>
        <v>4</v>
      </c>
      <c r="G244" s="36">
        <f>'GF + UG Iteration 13'!G244</f>
        <v>0.74615854172219498</v>
      </c>
      <c r="H244" s="38">
        <f>'GF + UG Iteration 13'!H244</f>
        <v>2010</v>
      </c>
      <c r="I244" s="35">
        <f t="shared" si="20"/>
        <v>16</v>
      </c>
      <c r="J244" s="36">
        <f t="shared" si="21"/>
        <v>11.343677326381673</v>
      </c>
      <c r="K244" s="38">
        <f t="shared" si="22"/>
        <v>2010</v>
      </c>
      <c r="M244" s="21">
        <f t="shared" si="23"/>
        <v>2.7725887222397811</v>
      </c>
      <c r="N244" s="21">
        <f t="shared" si="24"/>
        <v>2.4286605249548328</v>
      </c>
    </row>
    <row r="245" spans="1:14" x14ac:dyDescent="0.2">
      <c r="A245" s="33">
        <f>'GF + UG Iteration 13'!A245</f>
        <v>307</v>
      </c>
      <c r="B245" s="34" t="str">
        <f>'GF + UG Iteration 13'!B245</f>
        <v>UG</v>
      </c>
      <c r="C245" s="35">
        <f>'GF + UG Iteration 13'!C245</f>
        <v>9.07</v>
      </c>
      <c r="D245" s="36">
        <f>'GF + UG Iteration 13'!P$16*(C245^'GF + UG Iteration 13'!P$15)</f>
        <v>9.0279837194690948</v>
      </c>
      <c r="E245" s="37">
        <f>'GF + UG Iteration 13'!E245</f>
        <v>1985</v>
      </c>
      <c r="F245" s="35">
        <f>'GF + UG Iteration 13'!F245</f>
        <v>1.0019999999999989</v>
      </c>
      <c r="G245" s="36">
        <f>'GF + UG Iteration 13'!G245</f>
        <v>2.5230801807757093</v>
      </c>
      <c r="H245" s="38">
        <f>'GF + UG Iteration 13'!H245</f>
        <v>2003</v>
      </c>
      <c r="I245" s="35">
        <f t="shared" si="20"/>
        <v>10.071999999999999</v>
      </c>
      <c r="J245" s="36">
        <f t="shared" si="21"/>
        <v>11.551063900244804</v>
      </c>
      <c r="K245" s="38">
        <f t="shared" si="22"/>
        <v>2003</v>
      </c>
      <c r="M245" s="21">
        <f t="shared" si="23"/>
        <v>2.3097592967420462</v>
      </c>
      <c r="N245" s="21">
        <f t="shared" si="24"/>
        <v>2.4467775453010074</v>
      </c>
    </row>
    <row r="246" spans="1:14" x14ac:dyDescent="0.2">
      <c r="A246" s="33">
        <f>'GF + UG Iteration 13'!A246</f>
        <v>1466</v>
      </c>
      <c r="B246" s="34" t="str">
        <f>'GF + UG Iteration 13'!B246</f>
        <v>UG</v>
      </c>
      <c r="C246" s="35">
        <f>'GF + UG Iteration 13'!C246</f>
        <v>10.07</v>
      </c>
      <c r="D246" s="36">
        <f>'GF + UG Iteration 13'!P$16*(C246^'GF + UG Iteration 13'!P$15)</f>
        <v>9.5851646263411272</v>
      </c>
      <c r="E246" s="37">
        <f>'GF + UG Iteration 13'!E246</f>
        <v>1985</v>
      </c>
      <c r="F246" s="35">
        <f>'GF + UG Iteration 13'!F246</f>
        <v>4.93</v>
      </c>
      <c r="G246" s="36">
        <f>'GF + UG Iteration 13'!G246</f>
        <v>4.634839878669343</v>
      </c>
      <c r="H246" s="38">
        <f>'GF + UG Iteration 13'!H246</f>
        <v>2015</v>
      </c>
      <c r="I246" s="35">
        <f t="shared" si="20"/>
        <v>15</v>
      </c>
      <c r="J246" s="36">
        <f t="shared" si="21"/>
        <v>14.22000450501047</v>
      </c>
      <c r="K246" s="38">
        <f t="shared" si="22"/>
        <v>2015</v>
      </c>
      <c r="M246" s="21">
        <f t="shared" si="23"/>
        <v>2.7080502011022101</v>
      </c>
      <c r="N246" s="21">
        <f t="shared" si="24"/>
        <v>2.6546497411830945</v>
      </c>
    </row>
    <row r="247" spans="1:14" x14ac:dyDescent="0.2">
      <c r="A247" s="33">
        <f>'GF + UG Iteration 13'!A247</f>
        <v>1091</v>
      </c>
      <c r="B247" s="34" t="str">
        <f>'GF + UG Iteration 13'!B247</f>
        <v>UG</v>
      </c>
      <c r="C247" s="35">
        <f>'GF + UG Iteration 13'!C247</f>
        <v>16.059999999999999</v>
      </c>
      <c r="D247" s="36">
        <f>'GF + UG Iteration 13'!P$16*(C247^'GF + UG Iteration 13'!P$15)</f>
        <v>12.522040282935576</v>
      </c>
      <c r="E247" s="37">
        <f>'GF + UG Iteration 13'!E247</f>
        <v>1982</v>
      </c>
      <c r="F247" s="35">
        <f>'GF + UG Iteration 13'!F247</f>
        <v>24.34</v>
      </c>
      <c r="G247" s="36">
        <f>'GF + UG Iteration 13'!G247</f>
        <v>7.6638380518522098</v>
      </c>
      <c r="H247" s="38">
        <f>'GF + UG Iteration 13'!H247</f>
        <v>2011</v>
      </c>
      <c r="I247" s="35">
        <f t="shared" ref="I247:I292" si="30">C247+F247</f>
        <v>40.4</v>
      </c>
      <c r="J247" s="36">
        <f t="shared" ref="J247:J292" si="31">D247+G247</f>
        <v>20.185878334787787</v>
      </c>
      <c r="K247" s="38">
        <f t="shared" ref="K247:K292" si="32">MAX(E247,H247)</f>
        <v>2011</v>
      </c>
      <c r="M247" s="21">
        <f t="shared" si="23"/>
        <v>3.6988297849671046</v>
      </c>
      <c r="N247" s="21">
        <f t="shared" si="24"/>
        <v>3.0049832675909238</v>
      </c>
    </row>
    <row r="248" spans="1:14" x14ac:dyDescent="0.2">
      <c r="A248" s="33">
        <f>'GF + UG Iteration 13'!A248</f>
        <v>666</v>
      </c>
      <c r="B248" s="34" t="str">
        <f>'GF + UG Iteration 13'!B248</f>
        <v>UG</v>
      </c>
      <c r="C248" s="35">
        <f>'GF + UG Iteration 13'!C248</f>
        <v>25.92</v>
      </c>
      <c r="D248" s="36">
        <f>'GF + UG Iteration 13'!P$16*(C248^'GF + UG Iteration 13'!P$15)</f>
        <v>16.470732167864949</v>
      </c>
      <c r="E248" s="37">
        <f>'GF + UG Iteration 13'!E248</f>
        <v>1987</v>
      </c>
      <c r="F248" s="35">
        <f>'GF + UG Iteration 13'!F248</f>
        <v>14.079999999999998</v>
      </c>
      <c r="G248" s="36">
        <f>'GF + UG Iteration 13'!G248</f>
        <v>3.6887760601263184</v>
      </c>
      <c r="H248" s="38">
        <f>'GF + UG Iteration 13'!H248</f>
        <v>2008</v>
      </c>
      <c r="I248" s="35">
        <f t="shared" si="30"/>
        <v>40</v>
      </c>
      <c r="J248" s="36">
        <f t="shared" si="31"/>
        <v>20.159508227991267</v>
      </c>
      <c r="K248" s="38">
        <f t="shared" si="32"/>
        <v>2008</v>
      </c>
      <c r="M248" s="21">
        <f t="shared" ref="M248:M292" si="33">LN(I248)</f>
        <v>3.6888794541139363</v>
      </c>
      <c r="N248" s="21">
        <f t="shared" ref="N248:N292" si="34">LN(J248)</f>
        <v>3.0036760494528285</v>
      </c>
    </row>
    <row r="249" spans="1:14" x14ac:dyDescent="0.2">
      <c r="A249" s="33">
        <f>'GF + UG Iteration 13'!A249</f>
        <v>556</v>
      </c>
      <c r="B249" s="34" t="str">
        <f>'GF + UG Iteration 13'!B249</f>
        <v>UG</v>
      </c>
      <c r="C249" s="35">
        <f>'GF + UG Iteration 13'!C249</f>
        <v>8.6560000000000006</v>
      </c>
      <c r="D249" s="36">
        <f>'GF + UG Iteration 13'!P$16*(C249^'GF + UG Iteration 13'!P$15)</f>
        <v>8.7896718350270486</v>
      </c>
      <c r="E249" s="37">
        <f>'GF + UG Iteration 13'!E249</f>
        <v>1985</v>
      </c>
      <c r="F249" s="35">
        <f>'GF + UG Iteration 13'!F249</f>
        <v>4.3439999999999994</v>
      </c>
      <c r="G249" s="36">
        <f>'GF + UG Iteration 13'!G249</f>
        <v>3.2483692675760008</v>
      </c>
      <c r="H249" s="38">
        <f>'GF + UG Iteration 13'!H249</f>
        <v>2007</v>
      </c>
      <c r="I249" s="35">
        <f t="shared" si="30"/>
        <v>13</v>
      </c>
      <c r="J249" s="36">
        <f t="shared" si="31"/>
        <v>12.038041102603049</v>
      </c>
      <c r="K249" s="38">
        <f t="shared" si="32"/>
        <v>2007</v>
      </c>
      <c r="M249" s="21">
        <f t="shared" si="33"/>
        <v>2.5649493574615367</v>
      </c>
      <c r="N249" s="21">
        <f t="shared" si="34"/>
        <v>2.4880717275243893</v>
      </c>
    </row>
    <row r="250" spans="1:14" x14ac:dyDescent="0.2">
      <c r="A250" s="33">
        <f>'GF + UG Iteration 13'!A250</f>
        <v>452</v>
      </c>
      <c r="B250" s="34" t="str">
        <f>'GF + UG Iteration 13'!B250</f>
        <v>UG</v>
      </c>
      <c r="C250" s="35">
        <f>'GF + UG Iteration 13'!C250</f>
        <v>10.781000000000001</v>
      </c>
      <c r="D250" s="36">
        <f>'GF + UG Iteration 13'!P$16*(C250^'GF + UG Iteration 13'!P$15)</f>
        <v>9.9670242489273253</v>
      </c>
      <c r="E250" s="37">
        <f>'GF + UG Iteration 13'!E250</f>
        <v>1986</v>
      </c>
      <c r="F250" s="35">
        <f>'GF + UG Iteration 13'!F250</f>
        <v>3.6189999999999998</v>
      </c>
      <c r="G250" s="36">
        <f>'GF + UG Iteration 13'!G250</f>
        <v>3.4437072461958511</v>
      </c>
      <c r="H250" s="38">
        <f>'GF + UG Iteration 13'!H250</f>
        <v>2005</v>
      </c>
      <c r="I250" s="35">
        <f t="shared" si="30"/>
        <v>14.4</v>
      </c>
      <c r="J250" s="36">
        <f t="shared" si="31"/>
        <v>13.410731495123176</v>
      </c>
      <c r="K250" s="38">
        <f t="shared" si="32"/>
        <v>2005</v>
      </c>
      <c r="M250" s="21">
        <f t="shared" si="33"/>
        <v>2.6672282065819548</v>
      </c>
      <c r="N250" s="21">
        <f t="shared" si="34"/>
        <v>2.5960552442863483</v>
      </c>
    </row>
    <row r="251" spans="1:14" x14ac:dyDescent="0.2">
      <c r="A251" s="33">
        <f>'GF + UG Iteration 13'!A251</f>
        <v>613</v>
      </c>
      <c r="B251" s="34" t="str">
        <f>'GF + UG Iteration 13'!B251</f>
        <v>UG</v>
      </c>
      <c r="C251" s="35">
        <f>'GF + UG Iteration 13'!C251</f>
        <v>6.2</v>
      </c>
      <c r="D251" s="36">
        <f>'GF + UG Iteration 13'!P$16*(C251^'GF + UG Iteration 13'!P$15)</f>
        <v>7.2608601659190368</v>
      </c>
      <c r="E251" s="37">
        <f>'GF + UG Iteration 13'!E251</f>
        <v>1999</v>
      </c>
      <c r="F251" s="35">
        <f>'GF + UG Iteration 13'!F251</f>
        <v>2.2000000000000002</v>
      </c>
      <c r="G251" s="36">
        <f>'GF + UG Iteration 13'!G251</f>
        <v>0.43131820582676678</v>
      </c>
      <c r="H251" s="38">
        <f>'GF + UG Iteration 13'!H251</f>
        <v>2006</v>
      </c>
      <c r="I251" s="35">
        <f t="shared" si="30"/>
        <v>8.4</v>
      </c>
      <c r="J251" s="36">
        <f t="shared" si="31"/>
        <v>7.6921783717458032</v>
      </c>
      <c r="K251" s="38">
        <f t="shared" si="32"/>
        <v>2006</v>
      </c>
      <c r="M251" s="21">
        <f t="shared" si="33"/>
        <v>2.1282317058492679</v>
      </c>
      <c r="N251" s="21">
        <f t="shared" si="34"/>
        <v>2.0402040167121913</v>
      </c>
    </row>
    <row r="252" spans="1:14" x14ac:dyDescent="0.2">
      <c r="A252" s="33">
        <f>'GF + UG Iteration 13'!A252</f>
        <v>778</v>
      </c>
      <c r="B252" s="34" t="str">
        <f>'GF + UG Iteration 13'!B252</f>
        <v>UG</v>
      </c>
      <c r="C252" s="35">
        <f>'GF + UG Iteration 13'!C252</f>
        <v>0.1</v>
      </c>
      <c r="D252" s="36">
        <f>'GF + UG Iteration 13'!P$16*(C252^'GF + UG Iteration 13'!P$15)</f>
        <v>0.68337951120969265</v>
      </c>
      <c r="E252" s="37">
        <f>'GF + UG Iteration 13'!E252</f>
        <v>1988</v>
      </c>
      <c r="F252" s="35">
        <f>'GF + UG Iteration 13'!F252</f>
        <v>1.9</v>
      </c>
      <c r="G252" s="36">
        <f>'GF + UG Iteration 13'!G252</f>
        <v>0.48701021540648831</v>
      </c>
      <c r="H252" s="38">
        <f>'GF + UG Iteration 13'!H252</f>
        <v>2008</v>
      </c>
      <c r="I252" s="35">
        <f t="shared" si="30"/>
        <v>2</v>
      </c>
      <c r="J252" s="36">
        <f t="shared" si="31"/>
        <v>1.1703897266161809</v>
      </c>
      <c r="K252" s="38">
        <f t="shared" si="32"/>
        <v>2008</v>
      </c>
      <c r="M252" s="21">
        <f t="shared" si="33"/>
        <v>0.69314718055994529</v>
      </c>
      <c r="N252" s="21">
        <f t="shared" si="34"/>
        <v>0.15733679301623518</v>
      </c>
    </row>
    <row r="253" spans="1:14" x14ac:dyDescent="0.2">
      <c r="A253" s="33">
        <f>'GF + UG Iteration 13'!A253</f>
        <v>1571</v>
      </c>
      <c r="B253" s="34" t="str">
        <f>'GF + UG Iteration 13'!B253</f>
        <v>UG</v>
      </c>
      <c r="C253" s="35">
        <f>'GF + UG Iteration 13'!C253</f>
        <v>2</v>
      </c>
      <c r="D253" s="36">
        <f>'GF + UG Iteration 13'!P$16*(C253^'GF + UG Iteration 13'!P$15)</f>
        <v>3.798688167130833</v>
      </c>
      <c r="E253" s="37">
        <f>'GF + UG Iteration 13'!E253</f>
        <v>1988</v>
      </c>
      <c r="F253" s="35">
        <f>'GF + UG Iteration 13'!F253</f>
        <v>11</v>
      </c>
      <c r="G253" s="36">
        <f>'GF + UG Iteration 13'!G253</f>
        <v>1.5920457896917759</v>
      </c>
      <c r="H253" s="38">
        <f>'GF + UG Iteration 13'!H253</f>
        <v>2016</v>
      </c>
      <c r="I253" s="35">
        <f t="shared" si="30"/>
        <v>13</v>
      </c>
      <c r="J253" s="36">
        <f t="shared" si="31"/>
        <v>5.3907339568226087</v>
      </c>
      <c r="K253" s="38">
        <f t="shared" si="32"/>
        <v>2016</v>
      </c>
      <c r="M253" s="21">
        <f t="shared" si="33"/>
        <v>2.5649493574615367</v>
      </c>
      <c r="N253" s="21">
        <f t="shared" si="34"/>
        <v>1.6846815457475586</v>
      </c>
    </row>
    <row r="254" spans="1:14" x14ac:dyDescent="0.2">
      <c r="A254" s="33">
        <f>'GF + UG Iteration 13'!A254</f>
        <v>525</v>
      </c>
      <c r="B254" s="34" t="str">
        <f>'GF + UG Iteration 13'!B254</f>
        <v>UG</v>
      </c>
      <c r="C254" s="35">
        <f>'GF + UG Iteration 13'!C254</f>
        <v>11.55</v>
      </c>
      <c r="D254" s="36">
        <f>'GF + UG Iteration 13'!P$16*(C254^'GF + UG Iteration 13'!P$15)</f>
        <v>10.368106111647046</v>
      </c>
      <c r="E254" s="37">
        <f>'GF + UG Iteration 13'!E254</f>
        <v>1995</v>
      </c>
      <c r="F254" s="35">
        <f>'GF + UG Iteration 13'!F254</f>
        <v>14</v>
      </c>
      <c r="G254" s="36">
        <f>'GF + UG Iteration 13'!G254</f>
        <v>2.107818995325883</v>
      </c>
      <c r="H254" s="38">
        <f>'GF + UG Iteration 13'!H254</f>
        <v>2006</v>
      </c>
      <c r="I254" s="35">
        <f t="shared" si="30"/>
        <v>25.55</v>
      </c>
      <c r="J254" s="36">
        <f t="shared" si="31"/>
        <v>12.47592510697293</v>
      </c>
      <c r="K254" s="38">
        <f t="shared" si="32"/>
        <v>2006</v>
      </c>
      <c r="M254" s="21">
        <f t="shared" si="33"/>
        <v>3.2406373166497136</v>
      </c>
      <c r="N254" s="21">
        <f t="shared" si="34"/>
        <v>2.5238007957596751</v>
      </c>
    </row>
    <row r="255" spans="1:14" x14ac:dyDescent="0.2">
      <c r="A255" s="33">
        <f>'GF + UG Iteration 13'!A255</f>
        <v>1324</v>
      </c>
      <c r="B255" s="34" t="str">
        <f>'GF + UG Iteration 13'!B255</f>
        <v>UG</v>
      </c>
      <c r="C255" s="35">
        <f>'GF + UG Iteration 13'!C255</f>
        <v>15.8</v>
      </c>
      <c r="D255" s="36">
        <f>'GF + UG Iteration 13'!P$16*(C255^'GF + UG Iteration 13'!P$15)</f>
        <v>12.405556109920706</v>
      </c>
      <c r="E255" s="37">
        <f>'GF + UG Iteration 13'!E255</f>
        <v>2012</v>
      </c>
      <c r="F255" s="35">
        <f>'GF + UG Iteration 13'!F255</f>
        <v>12.3</v>
      </c>
      <c r="G255" s="36">
        <f>'GF + UG Iteration 13'!G255</f>
        <v>2.2692987542218521</v>
      </c>
      <c r="H255" s="38">
        <f>'GF + UG Iteration 13'!H255</f>
        <v>2014</v>
      </c>
      <c r="I255" s="35">
        <f t="shared" si="30"/>
        <v>28.1</v>
      </c>
      <c r="J255" s="36">
        <f t="shared" si="31"/>
        <v>14.674854864142558</v>
      </c>
      <c r="K255" s="38">
        <f t="shared" si="32"/>
        <v>2014</v>
      </c>
      <c r="M255" s="21">
        <f t="shared" si="33"/>
        <v>3.3357695763396999</v>
      </c>
      <c r="N255" s="21">
        <f t="shared" si="34"/>
        <v>2.6861354756579323</v>
      </c>
    </row>
    <row r="256" spans="1:14" x14ac:dyDescent="0.2">
      <c r="A256" s="33">
        <f>'GF + UG Iteration 13'!A256</f>
        <v>511</v>
      </c>
      <c r="B256" s="34" t="str">
        <f>'GF + UG Iteration 13'!B256</f>
        <v>UG</v>
      </c>
      <c r="C256" s="35">
        <f>'GF + UG Iteration 13'!C256</f>
        <v>13.95</v>
      </c>
      <c r="D256" s="36">
        <f>'GF + UG Iteration 13'!P$16*(C256^'GF + UG Iteration 13'!P$15)</f>
        <v>11.551763821746697</v>
      </c>
      <c r="E256" s="37">
        <f>'GF + UG Iteration 13'!E256</f>
        <v>2004</v>
      </c>
      <c r="F256" s="35">
        <f>'GF + UG Iteration 13'!F256</f>
        <v>4.0500000000000007</v>
      </c>
      <c r="G256" s="36">
        <f>'GF + UG Iteration 13'!G256</f>
        <v>0.42903557118440139</v>
      </c>
      <c r="H256" s="38">
        <f>'GF + UG Iteration 13'!H256</f>
        <v>2004</v>
      </c>
      <c r="I256" s="35">
        <f t="shared" si="30"/>
        <v>18</v>
      </c>
      <c r="J256" s="36">
        <f t="shared" si="31"/>
        <v>11.980799392931099</v>
      </c>
      <c r="K256" s="38">
        <f t="shared" si="32"/>
        <v>2004</v>
      </c>
      <c r="M256" s="21">
        <f t="shared" si="33"/>
        <v>2.8903717578961645</v>
      </c>
      <c r="N256" s="21">
        <f t="shared" si="34"/>
        <v>2.4833053177508777</v>
      </c>
    </row>
    <row r="257" spans="1:14" x14ac:dyDescent="0.2">
      <c r="A257" s="33">
        <f>'GF + UG Iteration 13'!A257</f>
        <v>1094</v>
      </c>
      <c r="B257" s="34" t="str">
        <f>'GF + UG Iteration 13'!B257</f>
        <v>UG</v>
      </c>
      <c r="C257" s="35">
        <f>'GF + UG Iteration 13'!C257</f>
        <v>18</v>
      </c>
      <c r="D257" s="36">
        <f>'GF + UG Iteration 13'!P$16*(C257^'GF + UG Iteration 13'!P$15)</f>
        <v>13.367011113291223</v>
      </c>
      <c r="E257" s="37">
        <f>'GF + UG Iteration 13'!E257</f>
        <v>2004</v>
      </c>
      <c r="F257" s="35">
        <f>'GF + UG Iteration 13'!F257</f>
        <v>6</v>
      </c>
      <c r="G257" s="36">
        <f>'GF + UG Iteration 13'!G257</f>
        <v>1.0646458657975095</v>
      </c>
      <c r="H257" s="38">
        <f>'GF + UG Iteration 13'!H257</f>
        <v>2011</v>
      </c>
      <c r="I257" s="35">
        <f t="shared" si="30"/>
        <v>24</v>
      </c>
      <c r="J257" s="36">
        <f t="shared" si="31"/>
        <v>14.431656979088732</v>
      </c>
      <c r="K257" s="38">
        <f t="shared" si="32"/>
        <v>2011</v>
      </c>
      <c r="M257" s="21">
        <f t="shared" si="33"/>
        <v>3.1780538303479458</v>
      </c>
      <c r="N257" s="21">
        <f t="shared" si="34"/>
        <v>2.6694241949591393</v>
      </c>
    </row>
    <row r="258" spans="1:14" x14ac:dyDescent="0.2">
      <c r="A258" s="33">
        <f>'GF + UG Iteration 13'!A258</f>
        <v>775</v>
      </c>
      <c r="B258" s="34" t="str">
        <f>'GF + UG Iteration 13'!B258</f>
        <v>UG</v>
      </c>
      <c r="C258" s="35">
        <f>'GF + UG Iteration 13'!C258</f>
        <v>8</v>
      </c>
      <c r="D258" s="36">
        <f>'GF + UG Iteration 13'!P$16*(C258^'GF + UG Iteration 13'!P$15)</f>
        <v>8.4018336963556326</v>
      </c>
      <c r="E258" s="37">
        <f>'GF + UG Iteration 13'!E258</f>
        <v>2002</v>
      </c>
      <c r="F258" s="35">
        <f>'GF + UG Iteration 13'!F258</f>
        <v>7</v>
      </c>
      <c r="G258" s="36">
        <f>'GF + UG Iteration 13'!G258</f>
        <v>1.4058744428987999</v>
      </c>
      <c r="H258" s="38">
        <f>'GF + UG Iteration 13'!H258</f>
        <v>2008</v>
      </c>
      <c r="I258" s="35">
        <f t="shared" si="30"/>
        <v>15</v>
      </c>
      <c r="J258" s="36">
        <f t="shared" si="31"/>
        <v>9.8077081392544319</v>
      </c>
      <c r="K258" s="38">
        <f t="shared" si="32"/>
        <v>2008</v>
      </c>
      <c r="M258" s="21">
        <f t="shared" si="33"/>
        <v>2.7080502011022101</v>
      </c>
      <c r="N258" s="21">
        <f t="shared" si="34"/>
        <v>2.2831686213341325</v>
      </c>
    </row>
    <row r="259" spans="1:14" x14ac:dyDescent="0.2">
      <c r="A259" s="33">
        <f>'GF + UG Iteration 13'!A259</f>
        <v>1646</v>
      </c>
      <c r="B259" s="34" t="str">
        <f>'GF + UG Iteration 13'!B259</f>
        <v>UG</v>
      </c>
      <c r="C259" s="35">
        <f>'GF + UG Iteration 13'!C259</f>
        <v>2.88</v>
      </c>
      <c r="D259" s="36">
        <f>'GF + UG Iteration 13'!P$16*(C259^'GF + UG Iteration 13'!P$15)</f>
        <v>4.680715446390054</v>
      </c>
      <c r="E259" s="37" t="str">
        <f>'GF + UG Iteration 13'!E259</f>
        <v>unknown</v>
      </c>
      <c r="F259" s="35">
        <f>'GF + UG Iteration 13'!F259</f>
        <v>3.5200000000000005</v>
      </c>
      <c r="G259" s="36">
        <f>'GF + UG Iteration 13'!G259</f>
        <v>6.6895680450065891</v>
      </c>
      <c r="H259" s="38">
        <f>'GF + UG Iteration 13'!H259</f>
        <v>2016</v>
      </c>
      <c r="I259" s="35">
        <f t="shared" si="30"/>
        <v>6.4</v>
      </c>
      <c r="J259" s="36">
        <f t="shared" si="31"/>
        <v>11.370283491396643</v>
      </c>
      <c r="K259" s="38">
        <f t="shared" si="32"/>
        <v>2016</v>
      </c>
      <c r="M259" s="21">
        <f t="shared" si="33"/>
        <v>1.8562979903656263</v>
      </c>
      <c r="N259" s="21">
        <f t="shared" si="34"/>
        <v>2.4310032407318833</v>
      </c>
    </row>
    <row r="260" spans="1:14" x14ac:dyDescent="0.2">
      <c r="A260" s="33">
        <f>'GF + UG Iteration 13'!A260</f>
        <v>467</v>
      </c>
      <c r="B260" s="34" t="str">
        <f>'GF + UG Iteration 13'!B260</f>
        <v>UG</v>
      </c>
      <c r="C260" s="35">
        <f>'GF + UG Iteration 13'!C260</f>
        <v>5.7</v>
      </c>
      <c r="D260" s="36">
        <f>'GF + UG Iteration 13'!P$16*(C260^'GF + UG Iteration 13'!P$15)</f>
        <v>6.9195600105704047</v>
      </c>
      <c r="E260" s="37">
        <f>'GF + UG Iteration 13'!E260</f>
        <v>1996</v>
      </c>
      <c r="F260" s="35">
        <f>'GF + UG Iteration 13'!F260</f>
        <v>7.8999999999999995</v>
      </c>
      <c r="G260" s="36">
        <f>'GF + UG Iteration 13'!G260</f>
        <v>3.4855022233326953</v>
      </c>
      <c r="H260" s="38">
        <f>'GF + UG Iteration 13'!H260</f>
        <v>2005</v>
      </c>
      <c r="I260" s="35">
        <f t="shared" si="30"/>
        <v>13.6</v>
      </c>
      <c r="J260" s="36">
        <f t="shared" si="31"/>
        <v>10.4050622339031</v>
      </c>
      <c r="K260" s="38">
        <f t="shared" si="32"/>
        <v>2005</v>
      </c>
      <c r="M260" s="21">
        <f t="shared" si="33"/>
        <v>2.6100697927420065</v>
      </c>
      <c r="N260" s="21">
        <f t="shared" si="34"/>
        <v>2.3422924409813004</v>
      </c>
    </row>
    <row r="261" spans="1:14" x14ac:dyDescent="0.2">
      <c r="A261" s="33">
        <f>'GF + UG Iteration 13'!A261</f>
        <v>437</v>
      </c>
      <c r="B261" s="34" t="str">
        <f>'GF + UG Iteration 13'!B261</f>
        <v>UG</v>
      </c>
      <c r="C261" s="35">
        <f>'GF + UG Iteration 13'!C261</f>
        <v>23</v>
      </c>
      <c r="D261" s="36">
        <f>'GF + UG Iteration 13'!P$16*(C261^'GF + UG Iteration 13'!P$15)</f>
        <v>15.381220151525225</v>
      </c>
      <c r="E261" s="37">
        <f>'GF + UG Iteration 13'!E261</f>
        <v>2001</v>
      </c>
      <c r="F261" s="35">
        <f>'GF + UG Iteration 13'!F261</f>
        <v>17</v>
      </c>
      <c r="G261" s="36">
        <f>'GF + UG Iteration 13'!G261</f>
        <v>3.6313804067567292</v>
      </c>
      <c r="H261" s="38">
        <f>'GF + UG Iteration 13'!H261</f>
        <v>2008</v>
      </c>
      <c r="I261" s="35">
        <f t="shared" si="30"/>
        <v>40</v>
      </c>
      <c r="J261" s="36">
        <f t="shared" si="31"/>
        <v>19.012600558281953</v>
      </c>
      <c r="K261" s="38">
        <f t="shared" si="32"/>
        <v>2008</v>
      </c>
      <c r="M261" s="21">
        <f t="shared" si="33"/>
        <v>3.6888794541139363</v>
      </c>
      <c r="N261" s="21">
        <f t="shared" si="34"/>
        <v>2.945101946632934</v>
      </c>
    </row>
    <row r="262" spans="1:14" x14ac:dyDescent="0.2">
      <c r="A262" s="33">
        <f>'GF + UG Iteration 13'!A262</f>
        <v>1233</v>
      </c>
      <c r="B262" s="34" t="str">
        <f>'GF + UG Iteration 13'!B262</f>
        <v>UG</v>
      </c>
      <c r="C262" s="35">
        <f>'GF + UG Iteration 13'!C262</f>
        <v>40</v>
      </c>
      <c r="D262" s="36">
        <f>'GF + UG Iteration 13'!P$16*(C262^'GF + UG Iteration 13'!P$15)</f>
        <v>21.115692751098596</v>
      </c>
      <c r="E262" s="37">
        <f>'GF + UG Iteration 13'!E262</f>
        <v>2001</v>
      </c>
      <c r="F262" s="35">
        <f>'GF + UG Iteration 13'!F262</f>
        <v>10</v>
      </c>
      <c r="G262" s="36">
        <f>'GF + UG Iteration 13'!G262</f>
        <v>3.8904117673360803</v>
      </c>
      <c r="H262" s="38">
        <f>'GF + UG Iteration 13'!H262</f>
        <v>2011</v>
      </c>
      <c r="I262" s="35">
        <f t="shared" si="30"/>
        <v>50</v>
      </c>
      <c r="J262" s="36">
        <f t="shared" si="31"/>
        <v>25.006104518434675</v>
      </c>
      <c r="K262" s="38">
        <f t="shared" si="32"/>
        <v>2011</v>
      </c>
      <c r="M262" s="21">
        <f t="shared" si="33"/>
        <v>3.912023005428146</v>
      </c>
      <c r="N262" s="21">
        <f t="shared" si="34"/>
        <v>3.2191199757983235</v>
      </c>
    </row>
    <row r="263" spans="1:14" x14ac:dyDescent="0.2">
      <c r="A263" s="33">
        <f>'GF + UG Iteration 13'!A263</f>
        <v>361</v>
      </c>
      <c r="B263" s="34" t="str">
        <f>'GF + UG Iteration 13'!B263</f>
        <v>UG</v>
      </c>
      <c r="C263" s="35">
        <f>'GF + UG Iteration 13'!C263</f>
        <v>12.22</v>
      </c>
      <c r="D263" s="36">
        <f>'GF + UG Iteration 13'!P$16*(C263^'GF + UG Iteration 13'!P$15)</f>
        <v>10.708336194938342</v>
      </c>
      <c r="E263" s="37">
        <f>'GF + UG Iteration 13'!E263</f>
        <v>1986</v>
      </c>
      <c r="F263" s="35">
        <f>'GF + UG Iteration 13'!F263</f>
        <v>12.999999999999998</v>
      </c>
      <c r="G263" s="36">
        <f>'GF + UG Iteration 13'!G263</f>
        <v>1.1719780512644304</v>
      </c>
      <c r="H263" s="38">
        <f>'GF + UG Iteration 13'!H263</f>
        <v>2002</v>
      </c>
      <c r="I263" s="35">
        <f t="shared" si="30"/>
        <v>25.22</v>
      </c>
      <c r="J263" s="36">
        <f t="shared" si="31"/>
        <v>11.880314246202772</v>
      </c>
      <c r="K263" s="38">
        <f t="shared" si="32"/>
        <v>2002</v>
      </c>
      <c r="M263" s="21">
        <f t="shared" si="33"/>
        <v>3.2276373305367736</v>
      </c>
      <c r="N263" s="21">
        <f t="shared" si="34"/>
        <v>2.474882765285229</v>
      </c>
    </row>
    <row r="264" spans="1:14" x14ac:dyDescent="0.2">
      <c r="A264" s="33">
        <f>'GF + UG Iteration 13'!A264</f>
        <v>645</v>
      </c>
      <c r="B264" s="34" t="str">
        <f>'GF + UG Iteration 13'!B264</f>
        <v>UG</v>
      </c>
      <c r="C264" s="35">
        <f>'GF + UG Iteration 13'!C264</f>
        <v>25.22</v>
      </c>
      <c r="D264" s="36">
        <f>'GF + UG Iteration 13'!P$16*(C264^'GF + UG Iteration 13'!P$15)</f>
        <v>16.214543357061004</v>
      </c>
      <c r="E264" s="37">
        <f>'GF + UG Iteration 13'!E264</f>
        <v>1986</v>
      </c>
      <c r="F264" s="35">
        <f>'GF + UG Iteration 13'!F264</f>
        <v>1</v>
      </c>
      <c r="G264" s="36">
        <f>'GF + UG Iteration 13'!G264</f>
        <v>0.22667756309168191</v>
      </c>
      <c r="H264" s="38">
        <f>'GF + UG Iteration 13'!H264</f>
        <v>2006</v>
      </c>
      <c r="I264" s="35">
        <f t="shared" si="30"/>
        <v>26.22</v>
      </c>
      <c r="J264" s="36">
        <f t="shared" si="31"/>
        <v>16.441220920152684</v>
      </c>
      <c r="K264" s="38">
        <f t="shared" si="32"/>
        <v>2006</v>
      </c>
      <c r="M264" s="21">
        <f t="shared" si="33"/>
        <v>3.2665224783355535</v>
      </c>
      <c r="N264" s="21">
        <f t="shared" si="34"/>
        <v>2.7997916520866091</v>
      </c>
    </row>
    <row r="265" spans="1:14" x14ac:dyDescent="0.2">
      <c r="A265" s="33">
        <f>'GF + UG Iteration 13'!A265</f>
        <v>720</v>
      </c>
      <c r="B265" s="34" t="str">
        <f>'GF + UG Iteration 13'!B265</f>
        <v>UG</v>
      </c>
      <c r="C265" s="35">
        <f>'GF + UG Iteration 13'!C265</f>
        <v>5.29</v>
      </c>
      <c r="D265" s="36">
        <f>'GF + UG Iteration 13'!P$16*(C265^'GF + UG Iteration 13'!P$15)</f>
        <v>6.6300256392017145</v>
      </c>
      <c r="E265" s="37">
        <f>'GF + UG Iteration 13'!E265</f>
        <v>1974</v>
      </c>
      <c r="F265" s="35">
        <f>'GF + UG Iteration 13'!F265</f>
        <v>3.9099999999999993</v>
      </c>
      <c r="G265" s="36">
        <f>'GF + UG Iteration 13'!G265</f>
        <v>3.214674226156069</v>
      </c>
      <c r="H265" s="38">
        <f>'GF + UG Iteration 13'!H265</f>
        <v>2009</v>
      </c>
      <c r="I265" s="35">
        <f t="shared" si="30"/>
        <v>9.1999999999999993</v>
      </c>
      <c r="J265" s="36">
        <f t="shared" si="31"/>
        <v>9.844699865357784</v>
      </c>
      <c r="K265" s="38">
        <f t="shared" si="32"/>
        <v>2009</v>
      </c>
      <c r="M265" s="21">
        <f t="shared" si="33"/>
        <v>2.2192034840549946</v>
      </c>
      <c r="N265" s="21">
        <f t="shared" si="34"/>
        <v>2.2869332256292036</v>
      </c>
    </row>
    <row r="266" spans="1:14" x14ac:dyDescent="0.2">
      <c r="A266" s="33">
        <f>'GF + UG Iteration 13'!A266</f>
        <v>1554</v>
      </c>
      <c r="B266" s="34" t="str">
        <f>'GF + UG Iteration 13'!B266</f>
        <v>UG</v>
      </c>
      <c r="C266" s="35">
        <f>'GF + UG Iteration 13'!C266</f>
        <v>18</v>
      </c>
      <c r="D266" s="36">
        <f>'GF + UG Iteration 13'!P$16*(C266^'GF + UG Iteration 13'!P$15)</f>
        <v>13.367011113291223</v>
      </c>
      <c r="E266" s="37">
        <f>'GF + UG Iteration 13'!E266</f>
        <v>2013</v>
      </c>
      <c r="F266" s="35">
        <f>'GF + UG Iteration 13'!F266</f>
        <v>13</v>
      </c>
      <c r="G266" s="36">
        <f>'GF + UG Iteration 13'!G266</f>
        <v>4.0040929633677633</v>
      </c>
      <c r="H266" s="38">
        <f>'GF + UG Iteration 13'!H266</f>
        <v>2015</v>
      </c>
      <c r="I266" s="35">
        <f t="shared" si="30"/>
        <v>31</v>
      </c>
      <c r="J266" s="36">
        <f t="shared" si="31"/>
        <v>17.371104076658987</v>
      </c>
      <c r="K266" s="38">
        <f t="shared" si="32"/>
        <v>2015</v>
      </c>
      <c r="M266" s="21">
        <f t="shared" si="33"/>
        <v>3.4339872044851463</v>
      </c>
      <c r="N266" s="21">
        <f t="shared" si="34"/>
        <v>2.8548081405046926</v>
      </c>
    </row>
    <row r="267" spans="1:14" x14ac:dyDescent="0.2">
      <c r="A267" s="33">
        <f>'GF + UG Iteration 13'!A267</f>
        <v>1570</v>
      </c>
      <c r="B267" s="34" t="str">
        <f>'GF + UG Iteration 13'!B267</f>
        <v>UG</v>
      </c>
      <c r="C267" s="35">
        <f>'GF + UG Iteration 13'!C267</f>
        <v>12</v>
      </c>
      <c r="D267" s="36">
        <f>'GF + UG Iteration 13'!P$16*(C267^'GF + UG Iteration 13'!P$15)</f>
        <v>10.597518784659478</v>
      </c>
      <c r="E267" s="37">
        <f>'GF + UG Iteration 13'!E267</f>
        <v>0</v>
      </c>
      <c r="F267" s="35">
        <f>'GF + UG Iteration 13'!F267</f>
        <v>7</v>
      </c>
      <c r="G267" s="36">
        <f>'GF + UG Iteration 13'!G267</f>
        <v>5.7128729653456798</v>
      </c>
      <c r="H267" s="38">
        <f>'GF + UG Iteration 13'!H267</f>
        <v>2016</v>
      </c>
      <c r="I267" s="35">
        <f t="shared" si="30"/>
        <v>19</v>
      </c>
      <c r="J267" s="36">
        <f t="shared" si="31"/>
        <v>16.310391750005159</v>
      </c>
      <c r="K267" s="38">
        <f t="shared" si="32"/>
        <v>2016</v>
      </c>
      <c r="M267" s="21">
        <f t="shared" si="33"/>
        <v>2.9444389791664403</v>
      </c>
      <c r="N267" s="21">
        <f t="shared" si="34"/>
        <v>2.7918024353515314</v>
      </c>
    </row>
    <row r="268" spans="1:14" x14ac:dyDescent="0.2">
      <c r="A268" s="33">
        <f>'GF + UG Iteration 13'!A268</f>
        <v>1280</v>
      </c>
      <c r="B268" s="34" t="str">
        <f>'GF + UG Iteration 13'!B268</f>
        <v>UG</v>
      </c>
      <c r="C268" s="35">
        <f>'GF + UG Iteration 13'!C268</f>
        <v>10</v>
      </c>
      <c r="D268" s="36">
        <f>'GF + UG Iteration 13'!P$16*(C268^'GF + UG Iteration 13'!P$15)</f>
        <v>9.5469554734416082</v>
      </c>
      <c r="E268" s="37">
        <f>'GF + UG Iteration 13'!E268</f>
        <v>0</v>
      </c>
      <c r="F268" s="35">
        <f>'GF + UG Iteration 13'!F268</f>
        <v>10</v>
      </c>
      <c r="G268" s="36">
        <f>'GF + UG Iteration 13'!G268</f>
        <v>3.9567117678399111</v>
      </c>
      <c r="H268" s="38">
        <f>'GF + UG Iteration 13'!H268</f>
        <v>2013</v>
      </c>
      <c r="I268" s="35">
        <f t="shared" si="30"/>
        <v>20</v>
      </c>
      <c r="J268" s="36">
        <f t="shared" si="31"/>
        <v>13.503667241281519</v>
      </c>
      <c r="K268" s="38">
        <f t="shared" si="32"/>
        <v>2013</v>
      </c>
      <c r="M268" s="21">
        <f t="shared" si="33"/>
        <v>2.9957322735539909</v>
      </c>
      <c r="N268" s="21">
        <f t="shared" si="34"/>
        <v>2.6029612960572162</v>
      </c>
    </row>
    <row r="269" spans="1:14" x14ac:dyDescent="0.2">
      <c r="A269" s="33">
        <f>'GF + UG Iteration 13'!A269</f>
        <v>659</v>
      </c>
      <c r="B269" s="34" t="str">
        <f>'GF + UG Iteration 13'!B269</f>
        <v>UG</v>
      </c>
      <c r="C269" s="35">
        <f>'GF + UG Iteration 13'!C269</f>
        <v>51</v>
      </c>
      <c r="D269" s="36">
        <f>'GF + UG Iteration 13'!P$16*(C269^'GF + UG Iteration 13'!P$15)</f>
        <v>24.267253179399514</v>
      </c>
      <c r="E269" s="37">
        <f>'GF + UG Iteration 13'!E269</f>
        <v>1974</v>
      </c>
      <c r="F269" s="35">
        <f>'GF + UG Iteration 13'!F269</f>
        <v>7</v>
      </c>
      <c r="G269" s="36">
        <f>'GF + UG Iteration 13'!G269</f>
        <v>0.19038861907506671</v>
      </c>
      <c r="H269" s="38">
        <f>'GF + UG Iteration 13'!H269</f>
        <v>2006</v>
      </c>
      <c r="I269" s="35">
        <f t="shared" si="30"/>
        <v>58</v>
      </c>
      <c r="J269" s="36">
        <f t="shared" si="31"/>
        <v>24.45764179847458</v>
      </c>
      <c r="K269" s="38">
        <f t="shared" si="32"/>
        <v>2006</v>
      </c>
      <c r="M269" s="21">
        <f t="shared" si="33"/>
        <v>4.0604430105464191</v>
      </c>
      <c r="N269" s="21">
        <f t="shared" si="34"/>
        <v>3.1969427150828018</v>
      </c>
    </row>
    <row r="270" spans="1:14" x14ac:dyDescent="0.2">
      <c r="A270" s="33">
        <f>'GF + UG Iteration 13'!A270</f>
        <v>1240</v>
      </c>
      <c r="B270" s="34" t="str">
        <f>'GF + UG Iteration 13'!B270</f>
        <v>UG</v>
      </c>
      <c r="C270" s="35">
        <f>'GF + UG Iteration 13'!C270</f>
        <v>9</v>
      </c>
      <c r="D270" s="36">
        <f>'GF + UG Iteration 13'!P$16*(C270^'GF + UG Iteration 13'!P$15)</f>
        <v>8.9880212515679307</v>
      </c>
      <c r="E270" s="37">
        <f>'GF + UG Iteration 13'!E270</f>
        <v>0</v>
      </c>
      <c r="F270" s="35">
        <f>'GF + UG Iteration 13'!F270</f>
        <v>12</v>
      </c>
      <c r="G270" s="36">
        <f>'GF + UG Iteration 13'!G270</f>
        <v>2.4762389627807444</v>
      </c>
      <c r="H270" s="38">
        <f>'GF + UG Iteration 13'!H270</f>
        <v>2013</v>
      </c>
      <c r="I270" s="35">
        <f t="shared" si="30"/>
        <v>21</v>
      </c>
      <c r="J270" s="36">
        <f t="shared" si="31"/>
        <v>11.464260214348675</v>
      </c>
      <c r="K270" s="38">
        <f t="shared" si="32"/>
        <v>2013</v>
      </c>
      <c r="M270" s="21">
        <f t="shared" si="33"/>
        <v>3.044522437723423</v>
      </c>
      <c r="N270" s="21">
        <f t="shared" si="34"/>
        <v>2.4392343886587646</v>
      </c>
    </row>
    <row r="271" spans="1:14" x14ac:dyDescent="0.2">
      <c r="A271" s="33">
        <f>'GF + UG Iteration 13'!A271</f>
        <v>317</v>
      </c>
      <c r="B271" s="34" t="str">
        <f>'GF + UG Iteration 13'!B271</f>
        <v>UG</v>
      </c>
      <c r="C271" s="35">
        <f>'GF + UG Iteration 13'!C271</f>
        <v>26.67</v>
      </c>
      <c r="D271" s="36">
        <f>'GF + UG Iteration 13'!P$16*(C271^'GF + UG Iteration 13'!P$15)</f>
        <v>16.741960107462035</v>
      </c>
      <c r="E271" s="37">
        <f>'GF + UG Iteration 13'!E271</f>
        <v>1978</v>
      </c>
      <c r="F271" s="35">
        <f>'GF + UG Iteration 13'!F271</f>
        <v>8.4600000000000009</v>
      </c>
      <c r="G271" s="36">
        <f>'GF + UG Iteration 13'!G271</f>
        <v>3.7336154837609361</v>
      </c>
      <c r="H271" s="38">
        <f>'GF + UG Iteration 13'!H271</f>
        <v>2002</v>
      </c>
      <c r="I271" s="35">
        <f t="shared" si="30"/>
        <v>35.130000000000003</v>
      </c>
      <c r="J271" s="36">
        <f t="shared" si="31"/>
        <v>20.47557559122297</v>
      </c>
      <c r="K271" s="38">
        <f t="shared" si="32"/>
        <v>2002</v>
      </c>
      <c r="M271" s="21">
        <f t="shared" si="33"/>
        <v>3.5590554662777358</v>
      </c>
      <c r="N271" s="21">
        <f t="shared" si="34"/>
        <v>3.0192327412474427</v>
      </c>
    </row>
    <row r="272" spans="1:14" x14ac:dyDescent="0.2">
      <c r="A272" s="33">
        <f>'GF + UG Iteration 13'!A272</f>
        <v>1510</v>
      </c>
      <c r="B272" s="34" t="str">
        <f>'GF + UG Iteration 13'!B272</f>
        <v>UG</v>
      </c>
      <c r="C272" s="35">
        <f>'GF + UG Iteration 13'!C272</f>
        <v>35.130000000000003</v>
      </c>
      <c r="D272" s="36">
        <f>'GF + UG Iteration 13'!P$16*(C272^'GF + UG Iteration 13'!P$15)</f>
        <v>19.602930881839203</v>
      </c>
      <c r="E272" s="37">
        <f>'GF + UG Iteration 13'!E272</f>
        <v>1978</v>
      </c>
      <c r="F272" s="35">
        <f>'GF + UG Iteration 13'!F272</f>
        <v>0</v>
      </c>
      <c r="G272" s="36">
        <f>'GF + UG Iteration 13'!G272</f>
        <v>1.0378442790997116</v>
      </c>
      <c r="H272" s="38">
        <f>'GF + UG Iteration 13'!H272</f>
        <v>2014</v>
      </c>
      <c r="I272" s="35">
        <f t="shared" si="30"/>
        <v>35.130000000000003</v>
      </c>
      <c r="J272" s="36">
        <f t="shared" si="31"/>
        <v>20.640775160938915</v>
      </c>
      <c r="K272" s="38">
        <f t="shared" si="32"/>
        <v>2014</v>
      </c>
      <c r="M272" s="21">
        <f t="shared" si="33"/>
        <v>3.5590554662777358</v>
      </c>
      <c r="N272" s="21">
        <f t="shared" si="34"/>
        <v>3.0272684961551843</v>
      </c>
    </row>
    <row r="273" spans="1:14" x14ac:dyDescent="0.2">
      <c r="A273" s="33">
        <f>'GF + UG Iteration 13'!A273</f>
        <v>1678</v>
      </c>
      <c r="B273" s="34" t="str">
        <f>'GF + UG Iteration 13'!B273</f>
        <v>UG</v>
      </c>
      <c r="C273" s="35">
        <f>'GF + UG Iteration 13'!C273</f>
        <v>71.19</v>
      </c>
      <c r="D273" s="36">
        <f>'GF + UG Iteration 13'!P$16*(C273^'GF + UG Iteration 13'!P$15)</f>
        <v>29.373876651292637</v>
      </c>
      <c r="E273" s="37">
        <f>'GF + UG Iteration 13'!E273</f>
        <v>0</v>
      </c>
      <c r="F273" s="35">
        <f>'GF + UG Iteration 13'!F273</f>
        <v>3.8100000000000023</v>
      </c>
      <c r="G273" s="36">
        <f>'GF + UG Iteration 13'!G273</f>
        <v>0.1876880715541229</v>
      </c>
      <c r="H273" s="38">
        <f>'GF + UG Iteration 13'!H273</f>
        <v>2015</v>
      </c>
      <c r="I273" s="35">
        <f t="shared" si="30"/>
        <v>75</v>
      </c>
      <c r="J273" s="36">
        <f t="shared" si="31"/>
        <v>29.561564722846761</v>
      </c>
      <c r="K273" s="38">
        <f t="shared" si="32"/>
        <v>2015</v>
      </c>
      <c r="M273" s="21">
        <f t="shared" si="33"/>
        <v>4.3174881135363101</v>
      </c>
      <c r="N273" s="21">
        <f t="shared" si="34"/>
        <v>3.3864750284695431</v>
      </c>
    </row>
    <row r="274" spans="1:14" x14ac:dyDescent="0.2">
      <c r="A274" s="33">
        <f>'GF + UG Iteration 13'!A274</f>
        <v>409</v>
      </c>
      <c r="B274" s="34" t="str">
        <f>'GF + UG Iteration 13'!B274</f>
        <v>UG</v>
      </c>
      <c r="C274" s="35">
        <f>'GF + UG Iteration 13'!C274</f>
        <v>50.9</v>
      </c>
      <c r="D274" s="36">
        <f>'GF + UG Iteration 13'!P$16*(C274^'GF + UG Iteration 13'!P$15)</f>
        <v>24.239995742589642</v>
      </c>
      <c r="E274" s="37" t="str">
        <f>'GF + UG Iteration 13'!E274</f>
        <v>unknown</v>
      </c>
      <c r="F274" s="35">
        <f>'GF + UG Iteration 13'!F274</f>
        <v>0</v>
      </c>
      <c r="G274" s="36">
        <f>'GF + UG Iteration 13'!G274</f>
        <v>6.9500275644125207</v>
      </c>
      <c r="H274" s="38">
        <f>'GF + UG Iteration 13'!H274</f>
        <v>2004</v>
      </c>
      <c r="I274" s="35">
        <f t="shared" si="30"/>
        <v>50.9</v>
      </c>
      <c r="J274" s="36">
        <f t="shared" si="31"/>
        <v>31.190023307002164</v>
      </c>
      <c r="K274" s="38">
        <f t="shared" si="32"/>
        <v>2004</v>
      </c>
      <c r="M274" s="21">
        <f t="shared" si="33"/>
        <v>3.929862923556477</v>
      </c>
      <c r="N274" s="21">
        <f t="shared" si="34"/>
        <v>3.440098277878239</v>
      </c>
    </row>
    <row r="275" spans="1:14" x14ac:dyDescent="0.2">
      <c r="A275" s="33">
        <f>'GF + UG Iteration 13'!A275</f>
        <v>620</v>
      </c>
      <c r="B275" s="34" t="str">
        <f>'GF + UG Iteration 13'!B275</f>
        <v>UG</v>
      </c>
      <c r="C275" s="35">
        <f>'GF + UG Iteration 13'!C275</f>
        <v>66.040000000000006</v>
      </c>
      <c r="D275" s="36">
        <f>'GF + UG Iteration 13'!P$16*(C275^'GF + UG Iteration 13'!P$15)</f>
        <v>28.137637395074922</v>
      </c>
      <c r="E275" s="37" t="str">
        <f>'GF + UG Iteration 13'!E275</f>
        <v>unknown</v>
      </c>
      <c r="F275" s="35">
        <f>'GF + UG Iteration 13'!F275</f>
        <v>1</v>
      </c>
      <c r="G275" s="36">
        <f>'GF + UG Iteration 13'!G275</f>
        <v>5.2327101351069411E-2</v>
      </c>
      <c r="H275" s="38">
        <f>'GF + UG Iteration 13'!H275</f>
        <v>2006</v>
      </c>
      <c r="I275" s="35">
        <f t="shared" si="30"/>
        <v>67.040000000000006</v>
      </c>
      <c r="J275" s="36">
        <f t="shared" si="31"/>
        <v>28.18996449642599</v>
      </c>
      <c r="K275" s="38">
        <f t="shared" si="32"/>
        <v>2006</v>
      </c>
      <c r="M275" s="21">
        <f t="shared" si="33"/>
        <v>4.2052894561738281</v>
      </c>
      <c r="N275" s="21">
        <f t="shared" si="34"/>
        <v>3.3389660456866324</v>
      </c>
    </row>
    <row r="276" spans="1:14" x14ac:dyDescent="0.2">
      <c r="A276" s="33">
        <f>'GF + UG Iteration 13'!A276</f>
        <v>1085</v>
      </c>
      <c r="B276" s="34" t="str">
        <f>'GF + UG Iteration 13'!B276</f>
        <v>UG</v>
      </c>
      <c r="C276" s="35">
        <f>'GF + UG Iteration 13'!C276</f>
        <v>67.040000000000006</v>
      </c>
      <c r="D276" s="36">
        <f>'GF + UG Iteration 13'!P$16*(C276^'GF + UG Iteration 13'!P$15)</f>
        <v>28.380821661979297</v>
      </c>
      <c r="E276" s="37" t="str">
        <f>'GF + UG Iteration 13'!E276</f>
        <v>unknown</v>
      </c>
      <c r="F276" s="35">
        <f>'GF + UG Iteration 13'!F276</f>
        <v>2</v>
      </c>
      <c r="G276" s="36">
        <f>'GF + UG Iteration 13'!G276</f>
        <v>7.9312358901564406E-2</v>
      </c>
      <c r="H276" s="38">
        <f>'GF + UG Iteration 13'!H276</f>
        <v>2010</v>
      </c>
      <c r="I276" s="35">
        <f t="shared" si="30"/>
        <v>69.040000000000006</v>
      </c>
      <c r="J276" s="36">
        <f t="shared" si="31"/>
        <v>28.460134020880862</v>
      </c>
      <c r="K276" s="38">
        <f t="shared" si="32"/>
        <v>2010</v>
      </c>
      <c r="M276" s="21">
        <f t="shared" si="33"/>
        <v>4.234686046775173</v>
      </c>
      <c r="N276" s="21">
        <f t="shared" si="34"/>
        <v>3.3485043017469245</v>
      </c>
    </row>
    <row r="277" spans="1:14" x14ac:dyDescent="0.2">
      <c r="A277" s="33">
        <f>'GF + UG Iteration 13'!A277</f>
        <v>589</v>
      </c>
      <c r="B277" s="34" t="str">
        <f>'GF + UG Iteration 13'!B277</f>
        <v>UG</v>
      </c>
      <c r="C277" s="35">
        <f>'GF + UG Iteration 13'!C277</f>
        <v>36.963000000000001</v>
      </c>
      <c r="D277" s="36">
        <f>'GF + UG Iteration 13'!P$16*(C277^'GF + UG Iteration 13'!P$15)</f>
        <v>20.182234050998737</v>
      </c>
      <c r="E277" s="37">
        <f>'GF + UG Iteration 13'!E277</f>
        <v>1974</v>
      </c>
      <c r="F277" s="35">
        <f>'GF + UG Iteration 13'!F277</f>
        <v>0</v>
      </c>
      <c r="G277" s="36">
        <f>'GF + UG Iteration 13'!G277</f>
        <v>3.2007376892660457E-2</v>
      </c>
      <c r="H277" s="38">
        <f>'GF + UG Iteration 13'!H277</f>
        <v>2005</v>
      </c>
      <c r="I277" s="35">
        <f t="shared" si="30"/>
        <v>36.963000000000001</v>
      </c>
      <c r="J277" s="36">
        <f t="shared" si="31"/>
        <v>20.214241427891398</v>
      </c>
      <c r="K277" s="38">
        <f t="shared" si="32"/>
        <v>2005</v>
      </c>
      <c r="M277" s="21">
        <f t="shared" si="33"/>
        <v>3.609917412310641</v>
      </c>
      <c r="N277" s="21">
        <f t="shared" si="34"/>
        <v>3.0063873771792173</v>
      </c>
    </row>
    <row r="278" spans="1:14" x14ac:dyDescent="0.2">
      <c r="A278" s="33">
        <f>'GF + UG Iteration 13'!A278</f>
        <v>836</v>
      </c>
      <c r="B278" s="34" t="str">
        <f>'GF + UG Iteration 13'!B278</f>
        <v>UG</v>
      </c>
      <c r="C278" s="35">
        <f>'GF + UG Iteration 13'!C278</f>
        <v>33.963000000000001</v>
      </c>
      <c r="D278" s="36">
        <f>'GF + UG Iteration 13'!P$16*(C278^'GF + UG Iteration 13'!P$15)</f>
        <v>19.227363634361623</v>
      </c>
      <c r="E278" s="37">
        <f>'GF + UG Iteration 13'!E278</f>
        <v>1974</v>
      </c>
      <c r="F278" s="35">
        <f>'GF + UG Iteration 13'!F278</f>
        <v>10.036999999999999</v>
      </c>
      <c r="G278" s="36">
        <f>'GF + UG Iteration 13'!G278</f>
        <v>0.20824846319974696</v>
      </c>
      <c r="H278" s="38">
        <f>'GF + UG Iteration 13'!H278</f>
        <v>2008</v>
      </c>
      <c r="I278" s="35">
        <f t="shared" si="30"/>
        <v>44</v>
      </c>
      <c r="J278" s="36">
        <f t="shared" si="31"/>
        <v>19.435612097561371</v>
      </c>
      <c r="K278" s="38">
        <f t="shared" si="32"/>
        <v>2008</v>
      </c>
      <c r="M278" s="21">
        <f t="shared" si="33"/>
        <v>3.784189633918261</v>
      </c>
      <c r="N278" s="21">
        <f t="shared" si="34"/>
        <v>2.9671070584087755</v>
      </c>
    </row>
    <row r="279" spans="1:14" x14ac:dyDescent="0.2">
      <c r="A279" s="33">
        <f>'GF + UG Iteration 13'!A279</f>
        <v>1417</v>
      </c>
      <c r="B279" s="34" t="str">
        <f>'GF + UG Iteration 13'!B279</f>
        <v>UG</v>
      </c>
      <c r="C279" s="35">
        <f>'GF + UG Iteration 13'!C279</f>
        <v>53.176000000000002</v>
      </c>
      <c r="D279" s="36">
        <f>'GF + UG Iteration 13'!P$16*(C279^'GF + UG Iteration 13'!P$15)</f>
        <v>24.854827607299551</v>
      </c>
      <c r="E279" s="37">
        <f>'GF + UG Iteration 13'!E279</f>
        <v>0</v>
      </c>
      <c r="F279" s="35">
        <f>'GF + UG Iteration 13'!F279</f>
        <v>2.8239999999999981</v>
      </c>
      <c r="G279" s="36">
        <f>'GF + UG Iteration 13'!G279</f>
        <v>0.36631755287404399</v>
      </c>
      <c r="H279" s="38">
        <f>'GF + UG Iteration 13'!H279</f>
        <v>2013</v>
      </c>
      <c r="I279" s="35">
        <f t="shared" si="30"/>
        <v>56</v>
      </c>
      <c r="J279" s="36">
        <f t="shared" si="31"/>
        <v>25.221145160173595</v>
      </c>
      <c r="K279" s="38">
        <f t="shared" si="32"/>
        <v>2013</v>
      </c>
      <c r="M279" s="21">
        <f t="shared" si="33"/>
        <v>4.0253516907351496</v>
      </c>
      <c r="N279" s="21">
        <f t="shared" si="34"/>
        <v>3.227682736332782</v>
      </c>
    </row>
    <row r="280" spans="1:14" x14ac:dyDescent="0.2">
      <c r="A280" s="33">
        <f>'GF + UG Iteration 13'!A280</f>
        <v>1575</v>
      </c>
      <c r="B280" s="34" t="str">
        <f>'GF + UG Iteration 13'!B280</f>
        <v>UG</v>
      </c>
      <c r="C280" s="35">
        <f>'GF + UG Iteration 13'!C280</f>
        <v>107.8</v>
      </c>
      <c r="D280" s="36">
        <f>'GF + UG Iteration 13'!P$16*(C280^'GF + UG Iteration 13'!P$15)</f>
        <v>37.251513210258757</v>
      </c>
      <c r="E280" s="37">
        <f>'GF + UG Iteration 13'!E280</f>
        <v>0</v>
      </c>
      <c r="F280" s="35">
        <f>'GF + UG Iteration 13'!F280</f>
        <v>2.2000000000000028</v>
      </c>
      <c r="G280" s="36">
        <f>'GF + UG Iteration 13'!G280</f>
        <v>8.4606138058298655E-2</v>
      </c>
      <c r="H280" s="38">
        <f>'GF + UG Iteration 13'!H280</f>
        <v>2014</v>
      </c>
      <c r="I280" s="35">
        <f t="shared" si="30"/>
        <v>110</v>
      </c>
      <c r="J280" s="36">
        <f t="shared" si="31"/>
        <v>37.336119348317055</v>
      </c>
      <c r="K280" s="38">
        <f t="shared" si="32"/>
        <v>2014</v>
      </c>
      <c r="M280" s="21">
        <f t="shared" si="33"/>
        <v>4.7004803657924166</v>
      </c>
      <c r="N280" s="21">
        <f t="shared" si="34"/>
        <v>3.6199612052439978</v>
      </c>
    </row>
    <row r="281" spans="1:14" x14ac:dyDescent="0.2">
      <c r="A281" s="33">
        <f>'GF + UG Iteration 13'!A281</f>
        <v>1480</v>
      </c>
      <c r="B281" s="34" t="str">
        <f>'GF + UG Iteration 13'!B281</f>
        <v>UG</v>
      </c>
      <c r="C281" s="35">
        <f>'GF + UG Iteration 13'!C281</f>
        <v>92</v>
      </c>
      <c r="D281" s="36">
        <f>'GF + UG Iteration 13'!P$16*(C281^'GF + UG Iteration 13'!P$15)</f>
        <v>34.019758420380519</v>
      </c>
      <c r="E281" s="37">
        <f>'GF + UG Iteration 13'!E281</f>
        <v>0</v>
      </c>
      <c r="F281" s="35">
        <f>'GF + UG Iteration 13'!F281</f>
        <v>9</v>
      </c>
      <c r="G281" s="36">
        <f>'GF + UG Iteration 13'!G281</f>
        <v>1.4186292000498641</v>
      </c>
      <c r="H281" s="38">
        <f>'GF + UG Iteration 13'!H281</f>
        <v>2015</v>
      </c>
      <c r="I281" s="35">
        <f t="shared" si="30"/>
        <v>101</v>
      </c>
      <c r="J281" s="36">
        <f t="shared" si="31"/>
        <v>35.438387620430383</v>
      </c>
      <c r="K281" s="38">
        <f t="shared" si="32"/>
        <v>2015</v>
      </c>
      <c r="M281" s="21">
        <f t="shared" si="33"/>
        <v>4.6151205168412597</v>
      </c>
      <c r="N281" s="21">
        <f t="shared" si="34"/>
        <v>3.5677956286643866</v>
      </c>
    </row>
    <row r="282" spans="1:14" x14ac:dyDescent="0.2">
      <c r="A282" s="33">
        <f>'GF + UG Iteration 13'!A282</f>
        <v>1644</v>
      </c>
      <c r="B282" s="34" t="str">
        <f>'GF + UG Iteration 13'!B282</f>
        <v>UG</v>
      </c>
      <c r="C282" s="35">
        <f>'GF + UG Iteration 13'!C282</f>
        <v>25</v>
      </c>
      <c r="D282" s="36">
        <f>'GF + UG Iteration 13'!P$16*(C282^'GF + UG Iteration 13'!P$15)</f>
        <v>16.133401117819428</v>
      </c>
      <c r="E282" s="37">
        <f>'GF + UG Iteration 13'!E282</f>
        <v>0</v>
      </c>
      <c r="F282" s="35">
        <f>'GF + UG Iteration 13'!F282</f>
        <v>14</v>
      </c>
      <c r="G282" s="36">
        <f>'GF + UG Iteration 13'!G282</f>
        <v>6.4881768587089867</v>
      </c>
      <c r="H282" s="38">
        <f>'GF + UG Iteration 13'!H282</f>
        <v>2016</v>
      </c>
      <c r="I282" s="35">
        <f t="shared" si="30"/>
        <v>39</v>
      </c>
      <c r="J282" s="36">
        <f t="shared" si="31"/>
        <v>22.621577976528414</v>
      </c>
      <c r="K282" s="38">
        <f t="shared" si="32"/>
        <v>2016</v>
      </c>
      <c r="M282" s="21">
        <f t="shared" si="33"/>
        <v>3.6635616461296463</v>
      </c>
      <c r="N282" s="21">
        <f t="shared" si="34"/>
        <v>3.1189042284904045</v>
      </c>
    </row>
    <row r="283" spans="1:14" x14ac:dyDescent="0.2">
      <c r="A283" s="33">
        <f>'GF + UG Iteration 13'!A283</f>
        <v>1276</v>
      </c>
      <c r="B283" s="34" t="str">
        <f>'GF + UG Iteration 13'!B283</f>
        <v>UG</v>
      </c>
      <c r="C283" s="35">
        <f>'GF + UG Iteration 13'!C283</f>
        <v>34</v>
      </c>
      <c r="D283" s="36">
        <f>'GF + UG Iteration 13'!P$16*(C283^'GF + UG Iteration 13'!P$15)</f>
        <v>19.239354949369289</v>
      </c>
      <c r="E283" s="37" t="str">
        <f>'GF + UG Iteration 13'!E283</f>
        <v>unknown</v>
      </c>
      <c r="F283" s="35">
        <f>'GF + UG Iteration 13'!F283</f>
        <v>4</v>
      </c>
      <c r="G283" s="36">
        <f>'GF + UG Iteration 13'!G283</f>
        <v>0.69755192087391271</v>
      </c>
      <c r="H283" s="38">
        <f>'GF + UG Iteration 13'!H283</f>
        <v>2012</v>
      </c>
      <c r="I283" s="35">
        <f t="shared" si="30"/>
        <v>38</v>
      </c>
      <c r="J283" s="36">
        <f t="shared" si="31"/>
        <v>19.936906870243202</v>
      </c>
      <c r="K283" s="38">
        <f t="shared" si="32"/>
        <v>2012</v>
      </c>
      <c r="M283" s="21">
        <f t="shared" si="33"/>
        <v>3.6375861597263857</v>
      </c>
      <c r="N283" s="21">
        <f t="shared" si="34"/>
        <v>2.9925726306476532</v>
      </c>
    </row>
    <row r="284" spans="1:14" x14ac:dyDescent="0.2">
      <c r="A284" s="33">
        <f>'GF + UG Iteration 13'!A284</f>
        <v>823</v>
      </c>
      <c r="B284" s="34" t="str">
        <f>'GF + UG Iteration 13'!B284</f>
        <v>UG</v>
      </c>
      <c r="C284" s="35">
        <f>'GF + UG Iteration 13'!C284</f>
        <v>10</v>
      </c>
      <c r="D284" s="36">
        <f>'GF + UG Iteration 13'!P$16*(C284^'GF + UG Iteration 13'!P$15)</f>
        <v>9.5469554734416082</v>
      </c>
      <c r="E284" s="37" t="str">
        <f>'GF + UG Iteration 13'!E284</f>
        <v>unknown</v>
      </c>
      <c r="F284" s="35">
        <f>'GF + UG Iteration 13'!F284</f>
        <v>25</v>
      </c>
      <c r="G284" s="36">
        <f>'GF + UG Iteration 13'!G284</f>
        <v>8.3156614233786232</v>
      </c>
      <c r="H284" s="38">
        <f>'GF + UG Iteration 13'!H284</f>
        <v>2009</v>
      </c>
      <c r="I284" s="35">
        <f t="shared" si="30"/>
        <v>35</v>
      </c>
      <c r="J284" s="36">
        <f t="shared" si="31"/>
        <v>17.862616896820231</v>
      </c>
      <c r="K284" s="38">
        <f t="shared" si="32"/>
        <v>2009</v>
      </c>
      <c r="M284" s="21">
        <f t="shared" si="33"/>
        <v>3.5553480614894135</v>
      </c>
      <c r="N284" s="21">
        <f t="shared" si="34"/>
        <v>2.8827100874932277</v>
      </c>
    </row>
    <row r="285" spans="1:14" x14ac:dyDescent="0.2">
      <c r="A285" s="33">
        <f>'GF + UG Iteration 13'!A285</f>
        <v>1601</v>
      </c>
      <c r="B285" s="34" t="str">
        <f>'GF + UG Iteration 13'!B285</f>
        <v>UG</v>
      </c>
      <c r="C285" s="35">
        <f>'GF + UG Iteration 13'!C285</f>
        <v>77</v>
      </c>
      <c r="D285" s="36">
        <f>'GF + UG Iteration 13'!P$16*(C285^'GF + UG Iteration 13'!P$15)</f>
        <v>30.72350722522679</v>
      </c>
      <c r="E285" s="37">
        <f>'GF + UG Iteration 13'!E285</f>
        <v>0</v>
      </c>
      <c r="F285" s="35">
        <f>'GF + UG Iteration 13'!F285</f>
        <v>0</v>
      </c>
      <c r="G285" s="36">
        <f>'GF + UG Iteration 13'!G285</f>
        <v>4.0094648670350015</v>
      </c>
      <c r="H285" s="38">
        <f>'GF + UG Iteration 13'!H285</f>
        <v>2015</v>
      </c>
      <c r="I285" s="35">
        <f t="shared" si="30"/>
        <v>77</v>
      </c>
      <c r="J285" s="36">
        <f t="shared" si="31"/>
        <v>34.732972092261789</v>
      </c>
      <c r="K285" s="38">
        <f t="shared" si="32"/>
        <v>2015</v>
      </c>
      <c r="M285" s="21">
        <f t="shared" si="33"/>
        <v>4.3438054218536841</v>
      </c>
      <c r="N285" s="21">
        <f t="shared" si="34"/>
        <v>3.5476894401823444</v>
      </c>
    </row>
    <row r="286" spans="1:14" x14ac:dyDescent="0.2">
      <c r="A286" s="33">
        <f>'GF + UG Iteration 13'!A286</f>
        <v>1046</v>
      </c>
      <c r="B286" s="34" t="str">
        <f>'GF + UG Iteration 13'!B286</f>
        <v>UG</v>
      </c>
      <c r="C286" s="35">
        <f>'GF + UG Iteration 13'!C286</f>
        <v>33</v>
      </c>
      <c r="D286" s="36">
        <f>'GF + UG Iteration 13'!P$16*(C286^'GF + UG Iteration 13'!P$15)</f>
        <v>18.913275208807111</v>
      </c>
      <c r="E286" s="37" t="str">
        <f>'GF + UG Iteration 13'!E286</f>
        <v>unknown</v>
      </c>
      <c r="F286" s="35">
        <f>'GF + UG Iteration 13'!F286</f>
        <v>17</v>
      </c>
      <c r="G286" s="36">
        <f>'GF + UG Iteration 13'!G286</f>
        <v>13.838101419471103</v>
      </c>
      <c r="H286" s="38">
        <f>'GF + UG Iteration 13'!H286</f>
        <v>2011</v>
      </c>
      <c r="I286" s="35">
        <f t="shared" si="30"/>
        <v>50</v>
      </c>
      <c r="J286" s="36">
        <f t="shared" si="31"/>
        <v>32.751376628278216</v>
      </c>
      <c r="K286" s="38">
        <f t="shared" si="32"/>
        <v>2011</v>
      </c>
      <c r="M286" s="21">
        <f t="shared" si="33"/>
        <v>3.912023005428146</v>
      </c>
      <c r="N286" s="21">
        <f t="shared" si="34"/>
        <v>3.4889449956490814</v>
      </c>
    </row>
    <row r="287" spans="1:14" x14ac:dyDescent="0.2">
      <c r="A287" s="33">
        <f>'GF + UG Iteration 13'!A287</f>
        <v>873</v>
      </c>
      <c r="B287" s="34" t="str">
        <f>'GF + UG Iteration 13'!B287</f>
        <v>UG</v>
      </c>
      <c r="C287" s="35">
        <f>'GF + UG Iteration 13'!C287</f>
        <v>38</v>
      </c>
      <c r="D287" s="36">
        <f>'GF + UG Iteration 13'!P$16*(C287^'GF + UG Iteration 13'!P$15)</f>
        <v>20.504530884510626</v>
      </c>
      <c r="E287" s="37" t="str">
        <f>'GF + UG Iteration 13'!E287</f>
        <v>unknown</v>
      </c>
      <c r="F287" s="35">
        <f>'GF + UG Iteration 13'!F287</f>
        <v>10</v>
      </c>
      <c r="G287" s="36">
        <f>'GF + UG Iteration 13'!G287</f>
        <v>10.835025062169574</v>
      </c>
      <c r="H287" s="38">
        <f>'GF + UG Iteration 13'!H287</f>
        <v>2011</v>
      </c>
      <c r="I287" s="35">
        <f t="shared" si="30"/>
        <v>48</v>
      </c>
      <c r="J287" s="36">
        <f t="shared" si="31"/>
        <v>31.3395559466802</v>
      </c>
      <c r="K287" s="38">
        <f t="shared" si="32"/>
        <v>2011</v>
      </c>
      <c r="M287" s="21">
        <f t="shared" si="33"/>
        <v>3.8712010109078911</v>
      </c>
      <c r="N287" s="21">
        <f t="shared" si="34"/>
        <v>3.4448810679276929</v>
      </c>
    </row>
    <row r="288" spans="1:14" x14ac:dyDescent="0.2">
      <c r="A288" s="33">
        <f>'GF + UG Iteration 13'!A288</f>
        <v>630</v>
      </c>
      <c r="B288" s="34" t="str">
        <f>'GF + UG Iteration 13'!B288</f>
        <v>UG</v>
      </c>
      <c r="C288" s="35">
        <f>'GF + UG Iteration 13'!C288</f>
        <v>36.4</v>
      </c>
      <c r="D288" s="36">
        <f>'GF + UG Iteration 13'!P$16*(C288^'GF + UG Iteration 13'!P$15)</f>
        <v>20.00563657257187</v>
      </c>
      <c r="E288" s="37" t="str">
        <f>'GF + UG Iteration 13'!E288</f>
        <v>unknown</v>
      </c>
      <c r="F288" s="35">
        <f>'GF + UG Iteration 13'!F288</f>
        <v>3.6000000000000014</v>
      </c>
      <c r="G288" s="36">
        <f>'GF + UG Iteration 13'!G288</f>
        <v>0.76181860016629799</v>
      </c>
      <c r="H288" s="38">
        <f>'GF + UG Iteration 13'!H288</f>
        <v>2007</v>
      </c>
      <c r="I288" s="35">
        <f t="shared" si="30"/>
        <v>40</v>
      </c>
      <c r="J288" s="36">
        <f t="shared" si="31"/>
        <v>20.767455172738167</v>
      </c>
      <c r="K288" s="38">
        <f t="shared" si="32"/>
        <v>2007</v>
      </c>
      <c r="M288" s="21">
        <f t="shared" si="33"/>
        <v>3.6888794541139363</v>
      </c>
      <c r="N288" s="21">
        <f t="shared" si="34"/>
        <v>3.0333871061992386</v>
      </c>
    </row>
    <row r="289" spans="1:20" x14ac:dyDescent="0.2">
      <c r="A289" s="33">
        <f>'GF + UG Iteration 13'!A289</f>
        <v>1107</v>
      </c>
      <c r="B289" s="34" t="str">
        <f>'GF + UG Iteration 13'!B289</f>
        <v>UG</v>
      </c>
      <c r="C289" s="35">
        <f>'GF + UG Iteration 13'!C289</f>
        <v>16</v>
      </c>
      <c r="D289" s="36">
        <f>'GF + UG Iteration 13'!P$16*(C289^'GF + UG Iteration 13'!P$15)</f>
        <v>12.495231291494642</v>
      </c>
      <c r="E289" s="37">
        <f>'GF + UG Iteration 13'!E289</f>
        <v>2010</v>
      </c>
      <c r="F289" s="35">
        <f>'GF + UG Iteration 13'!F289</f>
        <v>24</v>
      </c>
      <c r="G289" s="36">
        <f>'GF + UG Iteration 13'!G289</f>
        <v>7.7000094501504579</v>
      </c>
      <c r="H289" s="38">
        <f>'GF + UG Iteration 13'!H289</f>
        <v>2014</v>
      </c>
      <c r="I289" s="35">
        <f t="shared" si="30"/>
        <v>40</v>
      </c>
      <c r="J289" s="36">
        <f t="shared" si="31"/>
        <v>20.195240741645101</v>
      </c>
      <c r="K289" s="38">
        <f t="shared" si="32"/>
        <v>2014</v>
      </c>
      <c r="M289" s="21">
        <f t="shared" si="33"/>
        <v>3.6888794541139363</v>
      </c>
      <c r="N289" s="21">
        <f t="shared" si="34"/>
        <v>3.0054469697982524</v>
      </c>
    </row>
    <row r="290" spans="1:20" x14ac:dyDescent="0.2">
      <c r="A290" s="33">
        <f>'GF + UG Iteration 13'!A290</f>
        <v>682</v>
      </c>
      <c r="B290" s="34" t="str">
        <f>'GF + UG Iteration 13'!B290</f>
        <v>UG</v>
      </c>
      <c r="C290" s="35">
        <f>'GF + UG Iteration 13'!C290</f>
        <v>12</v>
      </c>
      <c r="D290" s="36">
        <f>'GF + UG Iteration 13'!P$16*(C290^'GF + UG Iteration 13'!P$15)</f>
        <v>10.597518784659478</v>
      </c>
      <c r="E290" s="37">
        <f>'GF + UG Iteration 13'!E290</f>
        <v>2005</v>
      </c>
      <c r="F290" s="35">
        <f>'GF + UG Iteration 13'!F290</f>
        <v>18</v>
      </c>
      <c r="G290" s="36">
        <f>'GF + UG Iteration 13'!G290</f>
        <v>4.2252233548626927</v>
      </c>
      <c r="H290" s="38">
        <f>'GF + UG Iteration 13'!H290</f>
        <v>2009</v>
      </c>
      <c r="I290" s="35">
        <f t="shared" ref="I290:I291" si="35">C290+F290</f>
        <v>30</v>
      </c>
      <c r="J290" s="36">
        <f t="shared" ref="J290:J291" si="36">D290+G290</f>
        <v>14.82274213952217</v>
      </c>
      <c r="K290" s="38">
        <f t="shared" ref="K290:K291" si="37">MAX(E290,H290)</f>
        <v>2009</v>
      </c>
      <c r="M290" s="21">
        <f t="shared" ref="M290:M291" si="38">LN(I290)</f>
        <v>3.4011973816621555</v>
      </c>
      <c r="N290" s="21">
        <f t="shared" ref="N290:N291" si="39">LN(J290)</f>
        <v>2.6961626324094312</v>
      </c>
    </row>
    <row r="291" spans="1:20" x14ac:dyDescent="0.2">
      <c r="A291" s="33">
        <f>'GF + UG Iteration 13'!A291</f>
        <v>677</v>
      </c>
      <c r="B291" s="34" t="str">
        <f>'GF + UG Iteration 13'!B291</f>
        <v>UG</v>
      </c>
      <c r="C291" s="35">
        <f>'GF + UG Iteration 13'!C291</f>
        <v>117</v>
      </c>
      <c r="D291" s="36">
        <f>'GF + UG Iteration 13'!P$16*(C291^'GF + UG Iteration 13'!P$15)</f>
        <v>39.03998961111845</v>
      </c>
      <c r="E291" s="37" t="str">
        <f>'GF + UG Iteration 13'!E291</f>
        <v>unknown</v>
      </c>
      <c r="F291" s="35">
        <f>'GF + UG Iteration 13'!F291</f>
        <v>0</v>
      </c>
      <c r="G291" s="36">
        <f>'GF + UG Iteration 13'!G291</f>
        <v>5.9672660834890454</v>
      </c>
      <c r="H291" s="38">
        <f>'GF + UG Iteration 13'!H291</f>
        <v>2009</v>
      </c>
      <c r="I291" s="35">
        <f t="shared" si="35"/>
        <v>117</v>
      </c>
      <c r="J291" s="36">
        <f t="shared" si="36"/>
        <v>45.007255694607494</v>
      </c>
      <c r="K291" s="38">
        <f t="shared" si="37"/>
        <v>2009</v>
      </c>
      <c r="M291" s="21">
        <f t="shared" si="38"/>
        <v>4.7621739347977563</v>
      </c>
      <c r="N291" s="21">
        <f t="shared" si="39"/>
        <v>3.8068237144308701</v>
      </c>
    </row>
    <row r="292" spans="1:20" x14ac:dyDescent="0.2">
      <c r="A292" s="33">
        <f>'GF + UG Iteration 13'!A292</f>
        <v>643</v>
      </c>
      <c r="B292" s="34" t="str">
        <f>'GF + UG Iteration 13'!B292</f>
        <v>UG</v>
      </c>
      <c r="C292" s="35">
        <f>'GF + UG Iteration 13'!C292</f>
        <v>53.37</v>
      </c>
      <c r="D292" s="36">
        <f>'GF + UG Iteration 13'!P$16*(C292^'GF + UG Iteration 13'!P$15)</f>
        <v>24.906708942526741</v>
      </c>
      <c r="E292" s="37" t="str">
        <f>'GF + UG Iteration 13'!E292</f>
        <v>unknown</v>
      </c>
      <c r="F292" s="35">
        <f>'GF + UG Iteration 13'!F292</f>
        <v>0.5</v>
      </c>
      <c r="G292" s="36">
        <f>'GF + UG Iteration 13'!G292</f>
        <v>4.4086715648995529</v>
      </c>
      <c r="H292" s="38">
        <f>'GF + UG Iteration 13'!H292</f>
        <v>2009</v>
      </c>
      <c r="I292" s="35">
        <f t="shared" si="30"/>
        <v>53.87</v>
      </c>
      <c r="J292" s="36">
        <f t="shared" si="31"/>
        <v>29.315380507426294</v>
      </c>
      <c r="K292" s="38">
        <f t="shared" si="32"/>
        <v>2009</v>
      </c>
      <c r="M292" s="21">
        <f t="shared" si="33"/>
        <v>3.9865737366924425</v>
      </c>
      <c r="N292" s="21">
        <f t="shared" si="34"/>
        <v>3.3781123102884907</v>
      </c>
    </row>
    <row r="294" spans="1:20" s="9" customFormat="1" x14ac:dyDescent="0.2">
      <c r="A294" s="26" t="s">
        <v>29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49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8" activePane="bottomLeft" state="frozen"/>
      <selection activeCell="A4" sqref="A4"/>
      <selection pane="bottomLeft" activeCell="A8" sqref="A8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54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G - Point of Delivery Cost Function Workbook</v>
      </c>
    </row>
    <row r="4" spans="1:20" s="1" customFormat="1" x14ac:dyDescent="0.2">
      <c r="A4" s="1" t="s">
        <v>983</v>
      </c>
      <c r="B4" s="42"/>
    </row>
    <row r="5" spans="1:20" s="1" customFormat="1" x14ac:dyDescent="0.2">
      <c r="A5" s="43" t="str">
        <f>TableDate</f>
        <v>August 17, 2018</v>
      </c>
      <c r="B5" s="44"/>
    </row>
    <row r="6" spans="1:20" x14ac:dyDescent="0.2">
      <c r="E6" s="28"/>
    </row>
    <row r="7" spans="1:20" ht="25.5" x14ac:dyDescent="0.2">
      <c r="A7" s="10" t="s">
        <v>0</v>
      </c>
      <c r="B7" s="11" t="s">
        <v>7</v>
      </c>
      <c r="C7" s="12" t="s">
        <v>8</v>
      </c>
      <c r="D7" s="13" t="s">
        <v>30</v>
      </c>
      <c r="E7" s="14" t="s">
        <v>10</v>
      </c>
      <c r="F7" s="12" t="s">
        <v>11</v>
      </c>
      <c r="G7" s="13" t="s">
        <v>12</v>
      </c>
      <c r="H7" s="14" t="s">
        <v>13</v>
      </c>
      <c r="I7" s="12" t="s">
        <v>2</v>
      </c>
      <c r="J7" s="13" t="s">
        <v>14</v>
      </c>
      <c r="K7" s="14" t="s">
        <v>15</v>
      </c>
      <c r="M7" s="11" t="s">
        <v>16</v>
      </c>
      <c r="N7" s="11" t="s">
        <v>17</v>
      </c>
      <c r="P7" s="41" t="s">
        <v>53</v>
      </c>
      <c r="Q7" s="15"/>
      <c r="T7" s="3"/>
    </row>
    <row r="8" spans="1:20" x14ac:dyDescent="0.2">
      <c r="A8" s="25">
        <f>'GF + UG Iteration 14'!A8</f>
        <v>476</v>
      </c>
      <c r="B8" s="25" t="str">
        <f>'GF + UG Iteration 14'!B8</f>
        <v>GF</v>
      </c>
      <c r="C8" s="18">
        <f>'GF + UG Iteration 14'!C8</f>
        <v>14</v>
      </c>
      <c r="D8" s="19">
        <f>'GF + UG Iteration 14'!D8</f>
        <v>16.861812370959647</v>
      </c>
      <c r="E8" s="30">
        <f>'GF + UG Iteration 14'!E8</f>
        <v>2003</v>
      </c>
      <c r="F8" s="18"/>
      <c r="G8" s="19"/>
      <c r="H8" s="20"/>
      <c r="I8" s="18">
        <f>C8+F8</f>
        <v>14</v>
      </c>
      <c r="J8" s="19">
        <f>D8+G8</f>
        <v>16.861812370959647</v>
      </c>
      <c r="K8" s="20">
        <f>MAX(E8,H8)</f>
        <v>2003</v>
      </c>
      <c r="M8" s="21">
        <f>LN(I8)</f>
        <v>2.6390573296152584</v>
      </c>
      <c r="N8" s="21">
        <f>LN(J8)</f>
        <v>2.8250514421084625</v>
      </c>
      <c r="O8" s="3" t="s">
        <v>19</v>
      </c>
      <c r="P8" s="22">
        <f t="array" ref="P8:Q12">LINEST(N8:N292,M8:M292,TRUE,TRUE)</f>
        <v>0.57260154336561142</v>
      </c>
      <c r="Q8" s="22">
        <v>0.93775705494000561</v>
      </c>
      <c r="R8" s="5" t="s">
        <v>20</v>
      </c>
    </row>
    <row r="9" spans="1:20" x14ac:dyDescent="0.2">
      <c r="A9" s="25">
        <f>'GF + UG Iteration 14'!A9</f>
        <v>478</v>
      </c>
      <c r="B9" s="25" t="str">
        <f>'GF + UG Iteration 14'!B9</f>
        <v>GF</v>
      </c>
      <c r="C9" s="18">
        <f>'GF + UG Iteration 14'!C9</f>
        <v>8.5</v>
      </c>
      <c r="D9" s="19">
        <f>'GF + UG Iteration 14'!D9</f>
        <v>6.0182252638842719</v>
      </c>
      <c r="E9" s="30">
        <f>'GF + UG Iteration 14'!E9</f>
        <v>2003</v>
      </c>
      <c r="F9" s="18"/>
      <c r="G9" s="19"/>
      <c r="H9" s="20"/>
      <c r="I9" s="18">
        <f t="shared" ref="I9:I71" si="0">C9+F9</f>
        <v>8.5</v>
      </c>
      <c r="J9" s="19">
        <f t="shared" ref="J9:J71" si="1">D9+G9</f>
        <v>6.0182252638842719</v>
      </c>
      <c r="K9" s="20">
        <f t="shared" ref="K9:K71" si="2">MAX(E9,H9)</f>
        <v>2003</v>
      </c>
      <c r="M9" s="21">
        <f t="shared" ref="M9:M71" si="3">LN(I9)</f>
        <v>2.1400661634962708</v>
      </c>
      <c r="N9" s="21">
        <f t="shared" ref="N9:N71" si="4">LN(J9)</f>
        <v>1.7947924091929603</v>
      </c>
      <c r="O9" s="3" t="s">
        <v>21</v>
      </c>
      <c r="P9" s="22">
        <v>3.2094366624906549E-2</v>
      </c>
      <c r="Q9" s="22">
        <v>0.10233991860350504</v>
      </c>
      <c r="R9" s="5" t="s">
        <v>22</v>
      </c>
    </row>
    <row r="10" spans="1:20" x14ac:dyDescent="0.2">
      <c r="A10" s="25">
        <f>'GF + UG Iteration 14'!A10</f>
        <v>473</v>
      </c>
      <c r="B10" s="25" t="str">
        <f>'GF + UG Iteration 14'!B10</f>
        <v>GF</v>
      </c>
      <c r="C10" s="18">
        <f>'GF + UG Iteration 14'!C10</f>
        <v>30</v>
      </c>
      <c r="D10" s="19">
        <f>'GF + UG Iteration 14'!D10</f>
        <v>14.998991377977235</v>
      </c>
      <c r="E10" s="30">
        <f>'GF + UG Iteration 14'!E10</f>
        <v>2003</v>
      </c>
      <c r="F10" s="18"/>
      <c r="G10" s="19"/>
      <c r="H10" s="20"/>
      <c r="I10" s="18">
        <f t="shared" si="0"/>
        <v>30</v>
      </c>
      <c r="J10" s="19">
        <f t="shared" si="1"/>
        <v>14.998991377977235</v>
      </c>
      <c r="K10" s="20">
        <f t="shared" si="2"/>
        <v>2003</v>
      </c>
      <c r="M10" s="21">
        <f t="shared" si="3"/>
        <v>3.4011973816621555</v>
      </c>
      <c r="N10" s="21">
        <f t="shared" si="4"/>
        <v>2.707982957373217</v>
      </c>
      <c r="O10" s="3" t="s">
        <v>1</v>
      </c>
      <c r="P10" s="22">
        <v>0.52935924732690065</v>
      </c>
      <c r="Q10" s="22">
        <v>0.39316156618409415</v>
      </c>
      <c r="R10" s="5" t="s">
        <v>23</v>
      </c>
    </row>
    <row r="11" spans="1:20" x14ac:dyDescent="0.2">
      <c r="A11" s="25">
        <f>'GF + UG Iteration 14'!A11</f>
        <v>1042</v>
      </c>
      <c r="B11" s="25" t="str">
        <f>'GF + UG Iteration 14'!B11</f>
        <v>GF</v>
      </c>
      <c r="C11" s="18">
        <f>'GF + UG Iteration 14'!C11</f>
        <v>13</v>
      </c>
      <c r="D11" s="19">
        <f>'GF + UG Iteration 14'!D11</f>
        <v>11.164764224012115</v>
      </c>
      <c r="E11" s="30">
        <f>'GF + UG Iteration 14'!E11</f>
        <v>2011</v>
      </c>
      <c r="F11" s="18"/>
      <c r="G11" s="19"/>
      <c r="H11" s="20"/>
      <c r="I11" s="18">
        <f t="shared" si="0"/>
        <v>13</v>
      </c>
      <c r="J11" s="19">
        <f t="shared" si="1"/>
        <v>11.164764224012115</v>
      </c>
      <c r="K11" s="20">
        <f t="shared" si="2"/>
        <v>2011</v>
      </c>
      <c r="M11" s="21">
        <f t="shared" si="3"/>
        <v>2.5649493574615367</v>
      </c>
      <c r="N11" s="21">
        <f t="shared" si="4"/>
        <v>2.4127627676497201</v>
      </c>
      <c r="O11" s="3" t="s">
        <v>24</v>
      </c>
      <c r="P11" s="22">
        <v>318.30789438153039</v>
      </c>
      <c r="Q11" s="22">
        <v>283</v>
      </c>
      <c r="R11" s="5" t="s">
        <v>25</v>
      </c>
    </row>
    <row r="12" spans="1:20" x14ac:dyDescent="0.2">
      <c r="A12" s="25">
        <f>'GF + UG Iteration 14'!A12</f>
        <v>443</v>
      </c>
      <c r="B12" s="25" t="str">
        <f>'GF + UG Iteration 14'!B12</f>
        <v>GF</v>
      </c>
      <c r="C12" s="18">
        <f>'GF + UG Iteration 14'!C12</f>
        <v>24.3</v>
      </c>
      <c r="D12" s="19">
        <f>'GF + UG Iteration 14'!D12</f>
        <v>11.705577131494863</v>
      </c>
      <c r="E12" s="30">
        <f>'GF + UG Iteration 14'!E12</f>
        <v>2006</v>
      </c>
      <c r="F12" s="18"/>
      <c r="G12" s="19"/>
      <c r="H12" s="20"/>
      <c r="I12" s="18">
        <f t="shared" si="0"/>
        <v>24.3</v>
      </c>
      <c r="J12" s="19">
        <f t="shared" si="1"/>
        <v>11.705577131494863</v>
      </c>
      <c r="K12" s="20">
        <f t="shared" si="2"/>
        <v>2006</v>
      </c>
      <c r="M12" s="21">
        <f t="shared" si="3"/>
        <v>3.1904763503465028</v>
      </c>
      <c r="N12" s="21">
        <f t="shared" si="4"/>
        <v>2.4600654061344325</v>
      </c>
      <c r="O12" s="3" t="s">
        <v>26</v>
      </c>
      <c r="P12" s="22">
        <v>49.202766532728823</v>
      </c>
      <c r="Q12" s="22">
        <v>43.745012846185354</v>
      </c>
      <c r="R12" s="5" t="s">
        <v>27</v>
      </c>
    </row>
    <row r="13" spans="1:20" x14ac:dyDescent="0.2">
      <c r="A13" s="25">
        <f>'GF + UG Iteration 14'!A13</f>
        <v>1195</v>
      </c>
      <c r="B13" s="25" t="str">
        <f>'GF + UG Iteration 14'!B13</f>
        <v>GF</v>
      </c>
      <c r="C13" s="18">
        <f>'GF + UG Iteration 14'!C13</f>
        <v>18</v>
      </c>
      <c r="D13" s="19">
        <f>'GF + UG Iteration 14'!D13</f>
        <v>31.659927445331629</v>
      </c>
      <c r="E13" s="30">
        <f>'GF + UG Iteration 14'!E13</f>
        <v>2011</v>
      </c>
      <c r="F13" s="18"/>
      <c r="G13" s="19"/>
      <c r="H13" s="20"/>
      <c r="I13" s="18">
        <f t="shared" si="0"/>
        <v>18</v>
      </c>
      <c r="J13" s="19">
        <f t="shared" si="1"/>
        <v>31.659927445331629</v>
      </c>
      <c r="K13" s="20">
        <f t="shared" si="2"/>
        <v>2011</v>
      </c>
      <c r="M13" s="21">
        <f t="shared" si="3"/>
        <v>2.8903717578961645</v>
      </c>
      <c r="N13" s="21">
        <f t="shared" si="4"/>
        <v>3.4550517627677269</v>
      </c>
    </row>
    <row r="14" spans="1:20" x14ac:dyDescent="0.2">
      <c r="A14" s="25">
        <f>'GF + UG Iteration 14'!A14</f>
        <v>420</v>
      </c>
      <c r="B14" s="25" t="str">
        <f>'GF + UG Iteration 14'!B14</f>
        <v>GF</v>
      </c>
      <c r="C14" s="18">
        <f>'GF + UG Iteration 14'!C14</f>
        <v>6</v>
      </c>
      <c r="D14" s="19">
        <f>'GF + UG Iteration 14'!D14</f>
        <v>9.6396451057157435</v>
      </c>
      <c r="E14" s="30">
        <f>'GF + UG Iteration 14'!E14</f>
        <v>2007</v>
      </c>
      <c r="F14" s="18"/>
      <c r="G14" s="19"/>
      <c r="H14" s="20"/>
      <c r="I14" s="18">
        <f t="shared" si="0"/>
        <v>6</v>
      </c>
      <c r="J14" s="19">
        <f t="shared" si="1"/>
        <v>9.6396451057157435</v>
      </c>
      <c r="K14" s="20">
        <f t="shared" si="2"/>
        <v>2007</v>
      </c>
      <c r="M14" s="21">
        <f t="shared" si="3"/>
        <v>1.791759469228055</v>
      </c>
      <c r="N14" s="21">
        <f t="shared" si="4"/>
        <v>2.2658842931849965</v>
      </c>
      <c r="P14" s="15" t="s">
        <v>6</v>
      </c>
      <c r="Q14" s="15"/>
    </row>
    <row r="15" spans="1:20" x14ac:dyDescent="0.2">
      <c r="A15" s="25">
        <f>'GF + UG Iteration 14'!A15</f>
        <v>440</v>
      </c>
      <c r="B15" s="25" t="str">
        <f>'GF + UG Iteration 14'!B15</f>
        <v>GF</v>
      </c>
      <c r="C15" s="18">
        <f>'GF + UG Iteration 14'!C15</f>
        <v>10</v>
      </c>
      <c r="D15" s="19">
        <f>'GF + UG Iteration 14'!D15</f>
        <v>16.009559216092757</v>
      </c>
      <c r="E15" s="30">
        <f>'GF + UG Iteration 14'!E15</f>
        <v>2006</v>
      </c>
      <c r="F15" s="18"/>
      <c r="G15" s="19"/>
      <c r="H15" s="20"/>
      <c r="I15" s="18">
        <f t="shared" si="0"/>
        <v>10</v>
      </c>
      <c r="J15" s="19">
        <f t="shared" si="1"/>
        <v>16.009559216092757</v>
      </c>
      <c r="K15" s="20">
        <f t="shared" si="2"/>
        <v>2006</v>
      </c>
      <c r="M15" s="21">
        <f t="shared" si="3"/>
        <v>2.3025850929940459</v>
      </c>
      <c r="N15" s="21">
        <f t="shared" si="4"/>
        <v>2.7731859948427808</v>
      </c>
      <c r="O15" s="3" t="s">
        <v>19</v>
      </c>
      <c r="P15" s="23">
        <f>P8</f>
        <v>0.57260154336561142</v>
      </c>
      <c r="Q15" s="31">
        <f>(P15-'GF + UG Iteration 14'!P15)/'GF + UG Iteration 14'!P15</f>
        <v>-2.0789363033483242E-7</v>
      </c>
      <c r="R15" s="32" t="s">
        <v>31</v>
      </c>
    </row>
    <row r="16" spans="1:20" x14ac:dyDescent="0.2">
      <c r="A16" s="25">
        <f>'GF + UG Iteration 14'!A16</f>
        <v>1102</v>
      </c>
      <c r="B16" s="25" t="str">
        <f>'GF + UG Iteration 14'!B16</f>
        <v>GF</v>
      </c>
      <c r="C16" s="18">
        <f>'GF + UG Iteration 14'!C16</f>
        <v>20</v>
      </c>
      <c r="D16" s="19">
        <f>'GF + UG Iteration 14'!D16</f>
        <v>16.293644713264708</v>
      </c>
      <c r="E16" s="30">
        <f>'GF + UG Iteration 14'!E16</f>
        <v>2011</v>
      </c>
      <c r="F16" s="18"/>
      <c r="G16" s="19"/>
      <c r="H16" s="20"/>
      <c r="I16" s="18">
        <f t="shared" si="0"/>
        <v>20</v>
      </c>
      <c r="J16" s="19">
        <f t="shared" si="1"/>
        <v>16.293644713264708</v>
      </c>
      <c r="K16" s="20">
        <f t="shared" si="2"/>
        <v>2011</v>
      </c>
      <c r="M16" s="21">
        <f t="shared" si="3"/>
        <v>2.9957322735539909</v>
      </c>
      <c r="N16" s="21">
        <f t="shared" si="4"/>
        <v>2.7907751368922047</v>
      </c>
      <c r="O16" s="3" t="s">
        <v>28</v>
      </c>
      <c r="P16" s="23">
        <f>EXP(Q8)</f>
        <v>2.5542459552221723</v>
      </c>
      <c r="Q16" s="31">
        <f>(P16-'GF + UG Iteration 14'!P16)/'GF + UG Iteration 14'!P16</f>
        <v>-9.9931957784755922E-8</v>
      </c>
      <c r="R16" s="32" t="s">
        <v>32</v>
      </c>
    </row>
    <row r="17" spans="1:18" x14ac:dyDescent="0.2">
      <c r="A17" s="25">
        <f>'GF + UG Iteration 14'!A17</f>
        <v>324</v>
      </c>
      <c r="B17" s="25" t="str">
        <f>'GF + UG Iteration 14'!B17</f>
        <v>GF</v>
      </c>
      <c r="C17" s="18">
        <f>'GF + UG Iteration 14'!C17</f>
        <v>17.2</v>
      </c>
      <c r="D17" s="19">
        <f>'GF + UG Iteration 14'!D17</f>
        <v>8.9094125785416409</v>
      </c>
      <c r="E17" s="30">
        <f>'GF + UG Iteration 14'!E17</f>
        <v>2003</v>
      </c>
      <c r="F17" s="18"/>
      <c r="G17" s="19"/>
      <c r="H17" s="20"/>
      <c r="I17" s="18">
        <f t="shared" si="0"/>
        <v>17.2</v>
      </c>
      <c r="J17" s="19">
        <f t="shared" si="1"/>
        <v>8.9094125785416409</v>
      </c>
      <c r="K17" s="20">
        <f t="shared" si="2"/>
        <v>2003</v>
      </c>
      <c r="M17" s="21">
        <f t="shared" si="3"/>
        <v>2.8449093838194073</v>
      </c>
      <c r="N17" s="21">
        <f t="shared" si="4"/>
        <v>2.1871083109750784</v>
      </c>
      <c r="O17" s="3"/>
      <c r="P17" s="24"/>
      <c r="R17" s="32" t="s">
        <v>33</v>
      </c>
    </row>
    <row r="18" spans="1:18" x14ac:dyDescent="0.2">
      <c r="A18" s="25">
        <f>'GF + UG Iteration 14'!A18</f>
        <v>1103</v>
      </c>
      <c r="B18" s="25" t="str">
        <f>'GF + UG Iteration 14'!B18</f>
        <v>GF</v>
      </c>
      <c r="C18" s="18">
        <f>'GF + UG Iteration 14'!C18</f>
        <v>20</v>
      </c>
      <c r="D18" s="19">
        <f>'GF + UG Iteration 14'!D18</f>
        <v>17.299482978955592</v>
      </c>
      <c r="E18" s="30">
        <f>'GF + UG Iteration 14'!E18</f>
        <v>2011</v>
      </c>
      <c r="F18" s="18"/>
      <c r="G18" s="19"/>
      <c r="H18" s="20"/>
      <c r="I18" s="18">
        <f t="shared" si="0"/>
        <v>20</v>
      </c>
      <c r="J18" s="19">
        <f t="shared" si="1"/>
        <v>17.299482978955592</v>
      </c>
      <c r="K18" s="20">
        <f t="shared" si="2"/>
        <v>2011</v>
      </c>
      <c r="M18" s="21">
        <f t="shared" si="3"/>
        <v>2.9957322735539909</v>
      </c>
      <c r="N18" s="21">
        <f t="shared" si="4"/>
        <v>2.8506766154476462</v>
      </c>
      <c r="P18"/>
      <c r="Q18"/>
      <c r="R18" s="32" t="s">
        <v>34</v>
      </c>
    </row>
    <row r="19" spans="1:18" x14ac:dyDescent="0.2">
      <c r="A19" s="25">
        <f>'GF + UG Iteration 14'!A19</f>
        <v>386</v>
      </c>
      <c r="B19" s="25" t="str">
        <f>'GF + UG Iteration 14'!B19</f>
        <v>GF</v>
      </c>
      <c r="C19" s="18">
        <f>'GF + UG Iteration 14'!C19</f>
        <v>9</v>
      </c>
      <c r="D19" s="19">
        <f>'GF + UG Iteration 14'!D19</f>
        <v>9.9511250787738224</v>
      </c>
      <c r="E19" s="30">
        <f>'GF + UG Iteration 14'!E19</f>
        <v>2003</v>
      </c>
      <c r="F19" s="18"/>
      <c r="G19" s="19"/>
      <c r="H19" s="20"/>
      <c r="I19" s="18">
        <f t="shared" si="0"/>
        <v>9</v>
      </c>
      <c r="J19" s="19">
        <f t="shared" si="1"/>
        <v>9.9511250787738224</v>
      </c>
      <c r="K19" s="20">
        <f t="shared" si="2"/>
        <v>2003</v>
      </c>
      <c r="M19" s="21">
        <f t="shared" si="3"/>
        <v>2.1972245773362196</v>
      </c>
      <c r="N19" s="21">
        <f t="shared" si="4"/>
        <v>2.2976856180218044</v>
      </c>
      <c r="P19"/>
      <c r="Q19"/>
    </row>
    <row r="20" spans="1:18" x14ac:dyDescent="0.2">
      <c r="A20" s="25">
        <f>'GF + UG Iteration 14'!A20</f>
        <v>80</v>
      </c>
      <c r="B20" s="25" t="str">
        <f>'GF + UG Iteration 14'!B20</f>
        <v>GF</v>
      </c>
      <c r="C20" s="18">
        <f>'GF + UG Iteration 14'!C20</f>
        <v>8</v>
      </c>
      <c r="D20" s="19">
        <f>'GF + UG Iteration 14'!D20</f>
        <v>6.0754029342110369</v>
      </c>
      <c r="E20" s="30">
        <f>'GF + UG Iteration 14'!E20</f>
        <v>2001</v>
      </c>
      <c r="F20" s="18"/>
      <c r="G20" s="19"/>
      <c r="H20" s="20"/>
      <c r="I20" s="18">
        <f t="shared" si="0"/>
        <v>8</v>
      </c>
      <c r="J20" s="19">
        <f t="shared" si="1"/>
        <v>6.0754029342110369</v>
      </c>
      <c r="K20" s="20">
        <f t="shared" si="2"/>
        <v>2001</v>
      </c>
      <c r="M20" s="21">
        <f t="shared" si="3"/>
        <v>2.0794415416798357</v>
      </c>
      <c r="N20" s="21">
        <f t="shared" si="4"/>
        <v>1.8042483136462</v>
      </c>
      <c r="P20"/>
      <c r="Q20"/>
    </row>
    <row r="21" spans="1:18" x14ac:dyDescent="0.2">
      <c r="A21" s="25">
        <f>'GF + UG Iteration 14'!A21</f>
        <v>1052</v>
      </c>
      <c r="B21" s="25" t="str">
        <f>'GF + UG Iteration 14'!B21</f>
        <v>GF</v>
      </c>
      <c r="C21" s="18">
        <f>'GF + UG Iteration 14'!C21</f>
        <v>13.6</v>
      </c>
      <c r="D21" s="19">
        <f>'GF + UG Iteration 14'!D21</f>
        <v>10.90270245998838</v>
      </c>
      <c r="E21" s="30">
        <f>'GF + UG Iteration 14'!E21</f>
        <v>2011</v>
      </c>
      <c r="F21" s="18"/>
      <c r="G21" s="19"/>
      <c r="H21" s="20"/>
      <c r="I21" s="18">
        <f t="shared" si="0"/>
        <v>13.6</v>
      </c>
      <c r="J21" s="19">
        <f t="shared" si="1"/>
        <v>10.90270245998838</v>
      </c>
      <c r="K21" s="20">
        <f t="shared" si="2"/>
        <v>2011</v>
      </c>
      <c r="M21" s="21">
        <f t="shared" si="3"/>
        <v>2.6100697927420065</v>
      </c>
      <c r="N21" s="21">
        <f t="shared" si="4"/>
        <v>2.3890106906140374</v>
      </c>
      <c r="P21"/>
      <c r="Q21"/>
    </row>
    <row r="22" spans="1:18" x14ac:dyDescent="0.2">
      <c r="A22" s="25">
        <f>'GF + UG Iteration 14'!A22</f>
        <v>347</v>
      </c>
      <c r="B22" s="25" t="str">
        <f>'GF + UG Iteration 14'!B22</f>
        <v>GF</v>
      </c>
      <c r="C22" s="18">
        <f>'GF + UG Iteration 14'!C22</f>
        <v>10.548</v>
      </c>
      <c r="D22" s="19">
        <f>'GF + UG Iteration 14'!D22</f>
        <v>9.3004925979781259</v>
      </c>
      <c r="E22" s="30">
        <f>'GF + UG Iteration 14'!E22</f>
        <v>2003</v>
      </c>
      <c r="F22" s="18"/>
      <c r="G22" s="19"/>
      <c r="H22" s="20"/>
      <c r="I22" s="18">
        <f t="shared" si="0"/>
        <v>10.548</v>
      </c>
      <c r="J22" s="19">
        <f t="shared" si="1"/>
        <v>9.3004925979781259</v>
      </c>
      <c r="K22" s="20">
        <f t="shared" si="2"/>
        <v>2003</v>
      </c>
      <c r="M22" s="21">
        <f t="shared" si="3"/>
        <v>2.3559362684910403</v>
      </c>
      <c r="N22" s="21">
        <f t="shared" si="4"/>
        <v>2.23006736628101</v>
      </c>
    </row>
    <row r="23" spans="1:18" x14ac:dyDescent="0.2">
      <c r="A23" s="25">
        <f>'GF + UG Iteration 14'!A23</f>
        <v>1358</v>
      </c>
      <c r="B23" s="25" t="str">
        <f>'GF + UG Iteration 14'!B23</f>
        <v>GF</v>
      </c>
      <c r="C23" s="18">
        <f>'GF + UG Iteration 14'!C23</f>
        <v>27</v>
      </c>
      <c r="D23" s="19">
        <f>'GF + UG Iteration 14'!D23</f>
        <v>13.07265503282744</v>
      </c>
      <c r="E23" s="30">
        <f>'GF + UG Iteration 14'!E23</f>
        <v>2011</v>
      </c>
      <c r="F23" s="18"/>
      <c r="G23" s="19"/>
      <c r="H23" s="20"/>
      <c r="I23" s="18">
        <f t="shared" si="0"/>
        <v>27</v>
      </c>
      <c r="J23" s="19">
        <f t="shared" si="1"/>
        <v>13.07265503282744</v>
      </c>
      <c r="K23" s="20">
        <f t="shared" si="2"/>
        <v>2011</v>
      </c>
      <c r="M23" s="21">
        <f t="shared" si="3"/>
        <v>3.2958368660043291</v>
      </c>
      <c r="N23" s="21">
        <f t="shared" si="4"/>
        <v>2.5705226464726247</v>
      </c>
    </row>
    <row r="24" spans="1:18" x14ac:dyDescent="0.2">
      <c r="A24" s="25">
        <f>'GF + UG Iteration 14'!A24</f>
        <v>584</v>
      </c>
      <c r="B24" s="25" t="str">
        <f>'GF + UG Iteration 14'!B24</f>
        <v>GF</v>
      </c>
      <c r="C24" s="18">
        <f>'GF + UG Iteration 14'!C24</f>
        <v>28</v>
      </c>
      <c r="D24" s="19">
        <f>'GF + UG Iteration 14'!D24</f>
        <v>34.903749706800433</v>
      </c>
      <c r="E24" s="30">
        <f>'GF + UG Iteration 14'!E24</f>
        <v>2011</v>
      </c>
      <c r="F24" s="18"/>
      <c r="G24" s="19"/>
      <c r="H24" s="20"/>
      <c r="I24" s="18">
        <f t="shared" si="0"/>
        <v>28</v>
      </c>
      <c r="J24" s="19">
        <f t="shared" si="1"/>
        <v>34.903749706800433</v>
      </c>
      <c r="K24" s="20">
        <f t="shared" si="2"/>
        <v>2011</v>
      </c>
      <c r="M24" s="21">
        <f t="shared" si="3"/>
        <v>3.3322045101752038</v>
      </c>
      <c r="N24" s="21">
        <f t="shared" si="4"/>
        <v>3.5525942648925612</v>
      </c>
    </row>
    <row r="25" spans="1:18" x14ac:dyDescent="0.2">
      <c r="A25" s="25">
        <f>'GF + UG Iteration 14'!A25</f>
        <v>422</v>
      </c>
      <c r="B25" s="25" t="str">
        <f>'GF + UG Iteration 14'!B25</f>
        <v>GF</v>
      </c>
      <c r="C25" s="18">
        <f>'GF + UG Iteration 14'!C25</f>
        <v>24</v>
      </c>
      <c r="D25" s="19">
        <f>'GF + UG Iteration 14'!D25</f>
        <v>13.650794587226329</v>
      </c>
      <c r="E25" s="30">
        <f>'GF + UG Iteration 14'!E25</f>
        <v>2003</v>
      </c>
      <c r="F25" s="18"/>
      <c r="G25" s="19"/>
      <c r="H25" s="20"/>
      <c r="I25" s="18">
        <f t="shared" si="0"/>
        <v>24</v>
      </c>
      <c r="J25" s="19">
        <f t="shared" si="1"/>
        <v>13.650794587226329</v>
      </c>
      <c r="K25" s="20">
        <f t="shared" si="2"/>
        <v>2003</v>
      </c>
      <c r="M25" s="21">
        <f t="shared" si="3"/>
        <v>3.1780538303479458</v>
      </c>
      <c r="N25" s="21">
        <f t="shared" si="4"/>
        <v>2.6137977314551564</v>
      </c>
    </row>
    <row r="26" spans="1:18" x14ac:dyDescent="0.2">
      <c r="A26" s="25">
        <f>'GF + UG Iteration 14'!A26</f>
        <v>944</v>
      </c>
      <c r="B26" s="25" t="str">
        <f>'GF + UG Iteration 14'!B26</f>
        <v>GF</v>
      </c>
      <c r="C26" s="18">
        <f>'GF + UG Iteration 14'!C26</f>
        <v>43</v>
      </c>
      <c r="D26" s="19">
        <f>'GF + UG Iteration 14'!D26</f>
        <v>26.816090615909914</v>
      </c>
      <c r="E26" s="30">
        <f>'GF + UG Iteration 14'!E26</f>
        <v>2010</v>
      </c>
      <c r="F26" s="18"/>
      <c r="G26" s="19"/>
      <c r="H26" s="20"/>
      <c r="I26" s="18">
        <f t="shared" si="0"/>
        <v>43</v>
      </c>
      <c r="J26" s="19">
        <f t="shared" si="1"/>
        <v>26.816090615909914</v>
      </c>
      <c r="K26" s="20">
        <f t="shared" si="2"/>
        <v>2010</v>
      </c>
      <c r="M26" s="21">
        <f t="shared" si="3"/>
        <v>3.7612001156935624</v>
      </c>
      <c r="N26" s="21">
        <f t="shared" si="4"/>
        <v>3.2890021034672148</v>
      </c>
    </row>
    <row r="27" spans="1:18" x14ac:dyDescent="0.2">
      <c r="A27" s="25">
        <f>'GF + UG Iteration 14'!A27</f>
        <v>387</v>
      </c>
      <c r="B27" s="25" t="str">
        <f>'GF + UG Iteration 14'!B27</f>
        <v>GF</v>
      </c>
      <c r="C27" s="18">
        <f>'GF + UG Iteration 14'!C27</f>
        <v>7.5</v>
      </c>
      <c r="D27" s="19">
        <f>'GF + UG Iteration 14'!D27</f>
        <v>9.5130592102135658</v>
      </c>
      <c r="E27" s="30">
        <f>'GF + UG Iteration 14'!E27</f>
        <v>2003</v>
      </c>
      <c r="F27" s="18"/>
      <c r="G27" s="19"/>
      <c r="H27" s="20"/>
      <c r="I27" s="18">
        <f t="shared" si="0"/>
        <v>7.5</v>
      </c>
      <c r="J27" s="19">
        <f t="shared" si="1"/>
        <v>9.5130592102135658</v>
      </c>
      <c r="K27" s="20">
        <f t="shared" si="2"/>
        <v>2003</v>
      </c>
      <c r="M27" s="21">
        <f t="shared" si="3"/>
        <v>2.0149030205422647</v>
      </c>
      <c r="N27" s="21">
        <f t="shared" si="4"/>
        <v>2.2526655083417699</v>
      </c>
    </row>
    <row r="28" spans="1:18" x14ac:dyDescent="0.2">
      <c r="A28" s="25">
        <f>'GF + UG Iteration 14'!A28</f>
        <v>587</v>
      </c>
      <c r="B28" s="25" t="str">
        <f>'GF + UG Iteration 14'!B28</f>
        <v>GF</v>
      </c>
      <c r="C28" s="18">
        <f>'GF + UG Iteration 14'!C28</f>
        <v>17.8</v>
      </c>
      <c r="D28" s="19">
        <f>'GF + UG Iteration 14'!D28</f>
        <v>13.152201549137706</v>
      </c>
      <c r="E28" s="30">
        <f>'GF + UG Iteration 14'!E28</f>
        <v>2006</v>
      </c>
      <c r="F28" s="18"/>
      <c r="G28" s="19"/>
      <c r="H28" s="20"/>
      <c r="I28" s="18">
        <f t="shared" si="0"/>
        <v>17.8</v>
      </c>
      <c r="J28" s="19">
        <f t="shared" si="1"/>
        <v>13.152201549137706</v>
      </c>
      <c r="K28" s="20">
        <f t="shared" si="2"/>
        <v>2006</v>
      </c>
      <c r="M28" s="21">
        <f t="shared" si="3"/>
        <v>2.8791984572980396</v>
      </c>
      <c r="N28" s="21">
        <f t="shared" si="4"/>
        <v>2.57658916279629</v>
      </c>
    </row>
    <row r="29" spans="1:18" x14ac:dyDescent="0.2">
      <c r="A29" s="25">
        <f>'GF + UG Iteration 14'!A29</f>
        <v>585</v>
      </c>
      <c r="B29" s="25" t="str">
        <f>'GF + UG Iteration 14'!B29</f>
        <v>GF</v>
      </c>
      <c r="C29" s="18">
        <f>'GF + UG Iteration 14'!C29</f>
        <v>20.6</v>
      </c>
      <c r="D29" s="19">
        <f>'GF + UG Iteration 14'!D29</f>
        <v>11.291169205189183</v>
      </c>
      <c r="E29" s="30">
        <f>'GF + UG Iteration 14'!E29</f>
        <v>2007</v>
      </c>
      <c r="F29" s="18"/>
      <c r="G29" s="19"/>
      <c r="H29" s="20"/>
      <c r="I29" s="18">
        <f t="shared" si="0"/>
        <v>20.6</v>
      </c>
      <c r="J29" s="19">
        <f t="shared" si="1"/>
        <v>11.291169205189183</v>
      </c>
      <c r="K29" s="20">
        <f t="shared" si="2"/>
        <v>2007</v>
      </c>
      <c r="M29" s="21">
        <f t="shared" si="3"/>
        <v>3.0252910757955354</v>
      </c>
      <c r="N29" s="21">
        <f t="shared" si="4"/>
        <v>2.4240209339322751</v>
      </c>
    </row>
    <row r="30" spans="1:18" x14ac:dyDescent="0.2">
      <c r="A30" s="25">
        <f>'GF + UG Iteration 14'!A30</f>
        <v>831</v>
      </c>
      <c r="B30" s="25" t="str">
        <f>'GF + UG Iteration 14'!B30</f>
        <v>GF</v>
      </c>
      <c r="C30" s="18">
        <f>'GF + UG Iteration 14'!C30</f>
        <v>19.600000000000001</v>
      </c>
      <c r="D30" s="19">
        <f>'GF + UG Iteration 14'!D30</f>
        <v>20.965601428070691</v>
      </c>
      <c r="E30" s="30">
        <f>'GF + UG Iteration 14'!E30</f>
        <v>2011</v>
      </c>
      <c r="F30" s="18"/>
      <c r="G30" s="19"/>
      <c r="H30" s="20"/>
      <c r="I30" s="18">
        <f t="shared" si="0"/>
        <v>19.600000000000001</v>
      </c>
      <c r="J30" s="19">
        <f t="shared" si="1"/>
        <v>20.965601428070691</v>
      </c>
      <c r="K30" s="20">
        <f t="shared" si="2"/>
        <v>2011</v>
      </c>
      <c r="M30" s="21">
        <f t="shared" si="3"/>
        <v>2.9755295662364718</v>
      </c>
      <c r="N30" s="21">
        <f t="shared" si="4"/>
        <v>3.042883067455266</v>
      </c>
    </row>
    <row r="31" spans="1:18" x14ac:dyDescent="0.2">
      <c r="A31" s="25">
        <f>'GF + UG Iteration 14'!A31</f>
        <v>340</v>
      </c>
      <c r="B31" s="25" t="str">
        <f>'GF + UG Iteration 14'!B31</f>
        <v>GF</v>
      </c>
      <c r="C31" s="18">
        <f>'GF + UG Iteration 14'!C31</f>
        <v>22</v>
      </c>
      <c r="D31" s="19">
        <f>'GF + UG Iteration 14'!D31</f>
        <v>13.309615571039751</v>
      </c>
      <c r="E31" s="30">
        <f>'GF + UG Iteration 14'!E31</f>
        <v>2003</v>
      </c>
      <c r="F31" s="18"/>
      <c r="G31" s="19"/>
      <c r="H31" s="20"/>
      <c r="I31" s="18">
        <f t="shared" si="0"/>
        <v>22</v>
      </c>
      <c r="J31" s="19">
        <f t="shared" si="1"/>
        <v>13.309615571039751</v>
      </c>
      <c r="K31" s="20">
        <f t="shared" si="2"/>
        <v>2003</v>
      </c>
      <c r="M31" s="21">
        <f t="shared" si="3"/>
        <v>3.0910424533583161</v>
      </c>
      <c r="N31" s="21">
        <f t="shared" si="4"/>
        <v>2.5884867492731334</v>
      </c>
    </row>
    <row r="32" spans="1:18" x14ac:dyDescent="0.2">
      <c r="A32" s="25">
        <f>'GF + UG Iteration 14'!A32</f>
        <v>334</v>
      </c>
      <c r="B32" s="25" t="str">
        <f>'GF + UG Iteration 14'!B32</f>
        <v>GF</v>
      </c>
      <c r="C32" s="18">
        <f>'GF + UG Iteration 14'!C32</f>
        <v>18.8</v>
      </c>
      <c r="D32" s="19">
        <f>'GF + UG Iteration 14'!D32</f>
        <v>7.9463711126733889</v>
      </c>
      <c r="E32" s="30">
        <f>'GF + UG Iteration 14'!E32</f>
        <v>2003</v>
      </c>
      <c r="F32" s="18"/>
      <c r="G32" s="19"/>
      <c r="H32" s="20"/>
      <c r="I32" s="18">
        <f t="shared" si="0"/>
        <v>18.8</v>
      </c>
      <c r="J32" s="19">
        <f t="shared" si="1"/>
        <v>7.9463711126733889</v>
      </c>
      <c r="K32" s="20">
        <f t="shared" si="2"/>
        <v>2003</v>
      </c>
      <c r="M32" s="21">
        <f t="shared" si="3"/>
        <v>2.9338568698359038</v>
      </c>
      <c r="N32" s="21">
        <f t="shared" si="4"/>
        <v>2.072715360640252</v>
      </c>
    </row>
    <row r="33" spans="1:14" x14ac:dyDescent="0.2">
      <c r="A33" s="25">
        <f>'GF + UG Iteration 14'!A33</f>
        <v>343</v>
      </c>
      <c r="B33" s="25" t="str">
        <f>'GF + UG Iteration 14'!B33</f>
        <v>GF</v>
      </c>
      <c r="C33" s="18">
        <f>'GF + UG Iteration 14'!C33</f>
        <v>15.6</v>
      </c>
      <c r="D33" s="19">
        <f>'GF + UG Iteration 14'!D33</f>
        <v>13.99971574022935</v>
      </c>
      <c r="E33" s="30">
        <f>'GF + UG Iteration 14'!E33</f>
        <v>2003</v>
      </c>
      <c r="F33" s="18"/>
      <c r="G33" s="19"/>
      <c r="H33" s="20"/>
      <c r="I33" s="18">
        <f t="shared" si="0"/>
        <v>15.6</v>
      </c>
      <c r="J33" s="19">
        <f t="shared" si="1"/>
        <v>13.99971574022935</v>
      </c>
      <c r="K33" s="20">
        <f t="shared" si="2"/>
        <v>2003</v>
      </c>
      <c r="M33" s="21">
        <f t="shared" si="3"/>
        <v>2.7472709142554912</v>
      </c>
      <c r="N33" s="21">
        <f t="shared" si="4"/>
        <v>2.6390370251397921</v>
      </c>
    </row>
    <row r="34" spans="1:14" x14ac:dyDescent="0.2">
      <c r="A34" s="25">
        <f>'GF + UG Iteration 14'!A34</f>
        <v>358</v>
      </c>
      <c r="B34" s="25" t="str">
        <f>'GF + UG Iteration 14'!B34</f>
        <v>GF</v>
      </c>
      <c r="C34" s="18">
        <f>'GF + UG Iteration 14'!C34</f>
        <v>19.8</v>
      </c>
      <c r="D34" s="19">
        <f>'GF + UG Iteration 14'!D34</f>
        <v>7.2248521864398549</v>
      </c>
      <c r="E34" s="30">
        <f>'GF + UG Iteration 14'!E34</f>
        <v>2003</v>
      </c>
      <c r="F34" s="18"/>
      <c r="G34" s="19"/>
      <c r="H34" s="20"/>
      <c r="I34" s="18">
        <f t="shared" si="0"/>
        <v>19.8</v>
      </c>
      <c r="J34" s="19">
        <f t="shared" si="1"/>
        <v>7.2248521864398549</v>
      </c>
      <c r="K34" s="20">
        <f t="shared" si="2"/>
        <v>2003</v>
      </c>
      <c r="M34" s="21">
        <f t="shared" si="3"/>
        <v>2.9856819377004897</v>
      </c>
      <c r="N34" s="21">
        <f t="shared" si="4"/>
        <v>1.9775267751649739</v>
      </c>
    </row>
    <row r="35" spans="1:14" x14ac:dyDescent="0.2">
      <c r="A35" s="25">
        <f>'GF + UG Iteration 14'!A35</f>
        <v>702</v>
      </c>
      <c r="B35" s="25" t="str">
        <f>'GF + UG Iteration 14'!B35</f>
        <v>GF</v>
      </c>
      <c r="C35" s="18">
        <f>'GF + UG Iteration 14'!C35</f>
        <v>28.4</v>
      </c>
      <c r="D35" s="19">
        <f>'GF + UG Iteration 14'!D35</f>
        <v>5.2101531080390755</v>
      </c>
      <c r="E35" s="30">
        <f>'GF + UG Iteration 14'!E35</f>
        <v>2007</v>
      </c>
      <c r="F35" s="18"/>
      <c r="G35" s="19"/>
      <c r="H35" s="20"/>
      <c r="I35" s="18">
        <f t="shared" si="0"/>
        <v>28.4</v>
      </c>
      <c r="J35" s="19">
        <f t="shared" si="1"/>
        <v>5.2101531080390755</v>
      </c>
      <c r="K35" s="20">
        <f t="shared" si="2"/>
        <v>2007</v>
      </c>
      <c r="M35" s="21">
        <f t="shared" si="3"/>
        <v>3.3463891451671604</v>
      </c>
      <c r="N35" s="21">
        <f t="shared" si="4"/>
        <v>1.6506092426730299</v>
      </c>
    </row>
    <row r="36" spans="1:14" x14ac:dyDescent="0.2">
      <c r="A36" s="25">
        <f>'GF + UG Iteration 14'!A36</f>
        <v>526</v>
      </c>
      <c r="B36" s="25" t="str">
        <f>'GF + UG Iteration 14'!B36</f>
        <v>GF</v>
      </c>
      <c r="C36" s="18">
        <f>'GF + UG Iteration 14'!C36</f>
        <v>19</v>
      </c>
      <c r="D36" s="19">
        <f>'GF + UG Iteration 14'!D36</f>
        <v>13.758834109767626</v>
      </c>
      <c r="E36" s="30">
        <f>'GF + UG Iteration 14'!E36</f>
        <v>2007</v>
      </c>
      <c r="F36" s="18"/>
      <c r="G36" s="19"/>
      <c r="H36" s="20"/>
      <c r="I36" s="18">
        <f t="shared" si="0"/>
        <v>19</v>
      </c>
      <c r="J36" s="19">
        <f t="shared" si="1"/>
        <v>13.758834109767626</v>
      </c>
      <c r="K36" s="20">
        <f t="shared" si="2"/>
        <v>2007</v>
      </c>
      <c r="M36" s="21">
        <f t="shared" si="3"/>
        <v>2.9444389791664403</v>
      </c>
      <c r="N36" s="21">
        <f t="shared" si="4"/>
        <v>2.6216810985205803</v>
      </c>
    </row>
    <row r="37" spans="1:14" x14ac:dyDescent="0.2">
      <c r="A37" s="25">
        <f>'GF + UG Iteration 14'!A37</f>
        <v>288</v>
      </c>
      <c r="B37" s="25" t="str">
        <f>'GF + UG Iteration 14'!B37</f>
        <v>GF</v>
      </c>
      <c r="C37" s="18">
        <f>'GF + UG Iteration 14'!C37</f>
        <v>12</v>
      </c>
      <c r="D37" s="19">
        <f>'GF + UG Iteration 14'!D37</f>
        <v>4.4533584840568787</v>
      </c>
      <c r="E37" s="30">
        <f>'GF + UG Iteration 14'!E37</f>
        <v>2001</v>
      </c>
      <c r="F37" s="18"/>
      <c r="G37" s="19"/>
      <c r="H37" s="20"/>
      <c r="I37" s="18">
        <f t="shared" si="0"/>
        <v>12</v>
      </c>
      <c r="J37" s="19">
        <f t="shared" si="1"/>
        <v>4.4533584840568787</v>
      </c>
      <c r="K37" s="20">
        <f t="shared" si="2"/>
        <v>2001</v>
      </c>
      <c r="M37" s="21">
        <f t="shared" si="3"/>
        <v>2.4849066497880004</v>
      </c>
      <c r="N37" s="21">
        <f t="shared" si="4"/>
        <v>1.4936585270420049</v>
      </c>
    </row>
    <row r="38" spans="1:14" x14ac:dyDescent="0.2">
      <c r="A38" s="25">
        <f>'GF + UG Iteration 14'!A38</f>
        <v>851</v>
      </c>
      <c r="B38" s="25" t="str">
        <f>'GF + UG Iteration 14'!B38</f>
        <v>GF</v>
      </c>
      <c r="C38" s="18">
        <f>'GF + UG Iteration 14'!C38</f>
        <v>25</v>
      </c>
      <c r="D38" s="19">
        <f>'GF + UG Iteration 14'!D38</f>
        <v>12.931754132918639</v>
      </c>
      <c r="E38" s="30">
        <f>'GF + UG Iteration 14'!E38</f>
        <v>2007</v>
      </c>
      <c r="F38" s="18"/>
      <c r="G38" s="19"/>
      <c r="H38" s="20"/>
      <c r="I38" s="18">
        <f t="shared" si="0"/>
        <v>25</v>
      </c>
      <c r="J38" s="19">
        <f t="shared" si="1"/>
        <v>12.931754132918639</v>
      </c>
      <c r="K38" s="20">
        <f t="shared" si="2"/>
        <v>2007</v>
      </c>
      <c r="M38" s="21">
        <f t="shared" si="3"/>
        <v>3.2188758248682006</v>
      </c>
      <c r="N38" s="21">
        <f t="shared" si="4"/>
        <v>2.5596858473810773</v>
      </c>
    </row>
    <row r="39" spans="1:14" x14ac:dyDescent="0.2">
      <c r="A39" s="25">
        <f>'GF + UG Iteration 14'!A39</f>
        <v>648</v>
      </c>
      <c r="B39" s="25" t="str">
        <f>'GF + UG Iteration 14'!B39</f>
        <v>GF</v>
      </c>
      <c r="C39" s="18">
        <f>'GF + UG Iteration 14'!C39</f>
        <v>15</v>
      </c>
      <c r="D39" s="19">
        <f>'GF + UG Iteration 14'!D39</f>
        <v>14.973718181093032</v>
      </c>
      <c r="E39" s="30">
        <f>'GF + UG Iteration 14'!E39</f>
        <v>2007</v>
      </c>
      <c r="F39" s="18"/>
      <c r="G39" s="19"/>
      <c r="H39" s="20"/>
      <c r="I39" s="18">
        <f t="shared" si="0"/>
        <v>15</v>
      </c>
      <c r="J39" s="19">
        <f t="shared" si="1"/>
        <v>14.973718181093032</v>
      </c>
      <c r="K39" s="20">
        <f t="shared" si="2"/>
        <v>2007</v>
      </c>
      <c r="M39" s="21">
        <f t="shared" si="3"/>
        <v>2.7080502011022101</v>
      </c>
      <c r="N39" s="21">
        <f t="shared" si="4"/>
        <v>2.7062965430819679</v>
      </c>
    </row>
    <row r="40" spans="1:14" x14ac:dyDescent="0.2">
      <c r="A40" s="25">
        <f>'GF + UG Iteration 14'!A40</f>
        <v>855</v>
      </c>
      <c r="B40" s="25" t="str">
        <f>'GF + UG Iteration 14'!B40</f>
        <v>GF</v>
      </c>
      <c r="C40" s="18">
        <f>'GF + UG Iteration 14'!C40</f>
        <v>23</v>
      </c>
      <c r="D40" s="19">
        <f>'GF + UG Iteration 14'!D40</f>
        <v>28.66706963950903</v>
      </c>
      <c r="E40" s="30">
        <f>'GF + UG Iteration 14'!E40</f>
        <v>2011</v>
      </c>
      <c r="F40" s="18"/>
      <c r="G40" s="19"/>
      <c r="H40" s="20"/>
      <c r="I40" s="18">
        <f t="shared" si="0"/>
        <v>23</v>
      </c>
      <c r="J40" s="19">
        <f t="shared" si="1"/>
        <v>28.66706963950903</v>
      </c>
      <c r="K40" s="20">
        <f t="shared" si="2"/>
        <v>2011</v>
      </c>
      <c r="M40" s="21">
        <f t="shared" si="3"/>
        <v>3.1354942159291497</v>
      </c>
      <c r="N40" s="21">
        <f t="shared" si="4"/>
        <v>3.355749064678772</v>
      </c>
    </row>
    <row r="41" spans="1:14" x14ac:dyDescent="0.2">
      <c r="A41" s="25">
        <f>'GF + UG Iteration 14'!A41</f>
        <v>700</v>
      </c>
      <c r="B41" s="25" t="str">
        <f>'GF + UG Iteration 14'!B41</f>
        <v>GF</v>
      </c>
      <c r="C41" s="18">
        <f>'GF + UG Iteration 14'!C41</f>
        <v>9.8000000000000007</v>
      </c>
      <c r="D41" s="19">
        <f>'GF + UG Iteration 14'!D41</f>
        <v>7.0657947644327148</v>
      </c>
      <c r="E41" s="30">
        <f>'GF + UG Iteration 14'!E41</f>
        <v>2007</v>
      </c>
      <c r="F41" s="18"/>
      <c r="G41" s="19"/>
      <c r="H41" s="20"/>
      <c r="I41" s="18">
        <f t="shared" si="0"/>
        <v>9.8000000000000007</v>
      </c>
      <c r="J41" s="19">
        <f t="shared" si="1"/>
        <v>7.0657947644327148</v>
      </c>
      <c r="K41" s="20">
        <f t="shared" si="2"/>
        <v>2007</v>
      </c>
      <c r="M41" s="21">
        <f t="shared" si="3"/>
        <v>2.2823823856765264</v>
      </c>
      <c r="N41" s="21">
        <f t="shared" si="4"/>
        <v>1.9552655030060266</v>
      </c>
    </row>
    <row r="42" spans="1:14" x14ac:dyDescent="0.2">
      <c r="A42" s="25">
        <f>'GF + UG Iteration 14'!A42</f>
        <v>683</v>
      </c>
      <c r="B42" s="25" t="str">
        <f>'GF + UG Iteration 14'!B42</f>
        <v>GF</v>
      </c>
      <c r="C42" s="18">
        <f>'GF + UG Iteration 14'!C42</f>
        <v>30</v>
      </c>
      <c r="D42" s="19">
        <f>'GF + UG Iteration 14'!D42</f>
        <v>16.03232257186292</v>
      </c>
      <c r="E42" s="30">
        <f>'GF + UG Iteration 14'!E42</f>
        <v>2011</v>
      </c>
      <c r="F42" s="18"/>
      <c r="G42" s="19"/>
      <c r="H42" s="20"/>
      <c r="I42" s="18">
        <f t="shared" si="0"/>
        <v>30</v>
      </c>
      <c r="J42" s="19">
        <f t="shared" si="1"/>
        <v>16.03232257186292</v>
      </c>
      <c r="K42" s="20">
        <f t="shared" si="2"/>
        <v>2011</v>
      </c>
      <c r="M42" s="21">
        <f t="shared" si="3"/>
        <v>3.4011973816621555</v>
      </c>
      <c r="N42" s="21">
        <f t="shared" si="4"/>
        <v>2.7746068452004713</v>
      </c>
    </row>
    <row r="43" spans="1:14" x14ac:dyDescent="0.2">
      <c r="A43" s="25">
        <f>'GF + UG Iteration 14'!A43</f>
        <v>559</v>
      </c>
      <c r="B43" s="25" t="str">
        <f>'GF + UG Iteration 14'!B43</f>
        <v>GF</v>
      </c>
      <c r="C43" s="18">
        <f>'GF + UG Iteration 14'!C43</f>
        <v>115</v>
      </c>
      <c r="D43" s="19">
        <f>'GF + UG Iteration 14'!D43</f>
        <v>56.859498956472109</v>
      </c>
      <c r="E43" s="30">
        <f>'GF + UG Iteration 14'!E43</f>
        <v>2011</v>
      </c>
      <c r="F43" s="18"/>
      <c r="G43" s="19"/>
      <c r="H43" s="20"/>
      <c r="I43" s="18">
        <f t="shared" si="0"/>
        <v>115</v>
      </c>
      <c r="J43" s="19">
        <f t="shared" si="1"/>
        <v>56.859498956472109</v>
      </c>
      <c r="K43" s="20">
        <f t="shared" si="2"/>
        <v>2011</v>
      </c>
      <c r="M43" s="21">
        <f t="shared" si="3"/>
        <v>4.7449321283632502</v>
      </c>
      <c r="N43" s="21">
        <f t="shared" si="4"/>
        <v>4.0405832943034818</v>
      </c>
    </row>
    <row r="44" spans="1:14" x14ac:dyDescent="0.2">
      <c r="A44" s="25">
        <f>'GF + UG Iteration 14'!A44</f>
        <v>1074</v>
      </c>
      <c r="B44" s="25" t="str">
        <f>'GF + UG Iteration 14'!B44</f>
        <v>GF</v>
      </c>
      <c r="C44" s="18">
        <f>'GF + UG Iteration 14'!C44</f>
        <v>67</v>
      </c>
      <c r="D44" s="19">
        <f>'GF + UG Iteration 14'!D44</f>
        <v>43.13883453102715</v>
      </c>
      <c r="E44" s="30">
        <f>'GF + UG Iteration 14'!E44</f>
        <v>2011</v>
      </c>
      <c r="F44" s="18"/>
      <c r="G44" s="19"/>
      <c r="H44" s="20"/>
      <c r="I44" s="18">
        <f t="shared" si="0"/>
        <v>67</v>
      </c>
      <c r="J44" s="19">
        <f t="shared" si="1"/>
        <v>43.13883453102715</v>
      </c>
      <c r="K44" s="20">
        <f t="shared" si="2"/>
        <v>2011</v>
      </c>
      <c r="M44" s="21">
        <f t="shared" si="3"/>
        <v>4.2046926193909657</v>
      </c>
      <c r="N44" s="21">
        <f t="shared" si="4"/>
        <v>3.7644236246254454</v>
      </c>
    </row>
    <row r="45" spans="1:14" x14ac:dyDescent="0.2">
      <c r="A45" s="25">
        <f>'GF + UG Iteration 14'!A45</f>
        <v>34</v>
      </c>
      <c r="B45" s="25" t="str">
        <f>'GF + UG Iteration 14'!B45</f>
        <v>GF</v>
      </c>
      <c r="C45" s="18">
        <f>'GF + UG Iteration 14'!C45</f>
        <v>16</v>
      </c>
      <c r="D45" s="19">
        <f>'GF + UG Iteration 14'!D45</f>
        <v>7.5134124542159286</v>
      </c>
      <c r="E45" s="30">
        <f>'GF + UG Iteration 14'!E45</f>
        <v>2000</v>
      </c>
      <c r="F45" s="18"/>
      <c r="G45" s="19"/>
      <c r="H45" s="20"/>
      <c r="I45" s="18">
        <f t="shared" si="0"/>
        <v>16</v>
      </c>
      <c r="J45" s="19">
        <f t="shared" si="1"/>
        <v>7.5134124542159286</v>
      </c>
      <c r="K45" s="20">
        <f t="shared" si="2"/>
        <v>2000</v>
      </c>
      <c r="M45" s="21">
        <f t="shared" si="3"/>
        <v>2.7725887222397811</v>
      </c>
      <c r="N45" s="21">
        <f t="shared" si="4"/>
        <v>2.0166897506177883</v>
      </c>
    </row>
    <row r="46" spans="1:14" x14ac:dyDescent="0.2">
      <c r="A46" s="25">
        <f>'GF + UG Iteration 14'!A46</f>
        <v>433</v>
      </c>
      <c r="B46" s="25" t="str">
        <f>'GF + UG Iteration 14'!B46</f>
        <v>GF</v>
      </c>
      <c r="C46" s="18">
        <f>'GF + UG Iteration 14'!C46</f>
        <v>25</v>
      </c>
      <c r="D46" s="19">
        <f>'GF + UG Iteration 14'!D46</f>
        <v>22.308265318441425</v>
      </c>
      <c r="E46" s="30">
        <f>'GF + UG Iteration 14'!E46</f>
        <v>2003</v>
      </c>
      <c r="F46" s="18"/>
      <c r="G46" s="19"/>
      <c r="H46" s="20"/>
      <c r="I46" s="18">
        <f t="shared" si="0"/>
        <v>25</v>
      </c>
      <c r="J46" s="19">
        <f t="shared" si="1"/>
        <v>22.308265318441425</v>
      </c>
      <c r="K46" s="20">
        <f t="shared" si="2"/>
        <v>2003</v>
      </c>
      <c r="M46" s="21">
        <f t="shared" si="3"/>
        <v>3.2188758248682006</v>
      </c>
      <c r="N46" s="21">
        <f t="shared" si="4"/>
        <v>3.1049572518778392</v>
      </c>
    </row>
    <row r="47" spans="1:14" x14ac:dyDescent="0.2">
      <c r="A47" s="25" t="str">
        <f>'GF + UG Iteration 14'!A47</f>
        <v>79A</v>
      </c>
      <c r="B47" s="25" t="str">
        <f>'GF + UG Iteration 14'!B47</f>
        <v>GF</v>
      </c>
      <c r="C47" s="18">
        <f>'GF + UG Iteration 14'!C47</f>
        <v>8</v>
      </c>
      <c r="D47" s="19">
        <f>'GF + UG Iteration 14'!D47</f>
        <v>5.0823375539699818</v>
      </c>
      <c r="E47" s="30">
        <f>'GF + UG Iteration 14'!E47</f>
        <v>2000</v>
      </c>
      <c r="F47" s="18"/>
      <c r="G47" s="19"/>
      <c r="H47" s="20"/>
      <c r="I47" s="18">
        <f t="shared" si="0"/>
        <v>8</v>
      </c>
      <c r="J47" s="19">
        <f t="shared" si="1"/>
        <v>5.0823375539699818</v>
      </c>
      <c r="K47" s="20">
        <f t="shared" si="2"/>
        <v>2000</v>
      </c>
      <c r="M47" s="21">
        <f t="shared" si="3"/>
        <v>2.0794415416798357</v>
      </c>
      <c r="N47" s="21">
        <f t="shared" si="4"/>
        <v>1.62577130417386</v>
      </c>
    </row>
    <row r="48" spans="1:14" x14ac:dyDescent="0.2">
      <c r="A48" s="25" t="str">
        <f>'GF + UG Iteration 14'!A48</f>
        <v>10A</v>
      </c>
      <c r="B48" s="25" t="str">
        <f>'GF + UG Iteration 14'!B48</f>
        <v>GF</v>
      </c>
      <c r="C48" s="18">
        <f>'GF + UG Iteration 14'!C48</f>
        <v>6.2</v>
      </c>
      <c r="D48" s="19">
        <f>'GF + UG Iteration 14'!D48</f>
        <v>8.9160103759227685</v>
      </c>
      <c r="E48" s="30">
        <f>'GF + UG Iteration 14'!E48</f>
        <v>2001</v>
      </c>
      <c r="F48" s="18"/>
      <c r="G48" s="19"/>
      <c r="H48" s="20"/>
      <c r="I48" s="18">
        <f t="shared" si="0"/>
        <v>6.2</v>
      </c>
      <c r="J48" s="19">
        <f t="shared" si="1"/>
        <v>8.9160103759227685</v>
      </c>
      <c r="K48" s="20">
        <f t="shared" si="2"/>
        <v>2001</v>
      </c>
      <c r="M48" s="21">
        <f t="shared" si="3"/>
        <v>1.824549292051046</v>
      </c>
      <c r="N48" s="21">
        <f t="shared" si="4"/>
        <v>2.1878485792648439</v>
      </c>
    </row>
    <row r="49" spans="1:14" x14ac:dyDescent="0.2">
      <c r="A49" s="25">
        <f>'GF + UG Iteration 14'!A49</f>
        <v>345</v>
      </c>
      <c r="B49" s="25" t="str">
        <f>'GF + UG Iteration 14'!B49</f>
        <v>GF</v>
      </c>
      <c r="C49" s="18">
        <f>'GF + UG Iteration 14'!C49</f>
        <v>35</v>
      </c>
      <c r="D49" s="19">
        <f>'GF + UG Iteration 14'!D49</f>
        <v>8.3689831482940882</v>
      </c>
      <c r="E49" s="30">
        <f>'GF + UG Iteration 14'!E49</f>
        <v>2003</v>
      </c>
      <c r="F49" s="18"/>
      <c r="G49" s="19"/>
      <c r="H49" s="20"/>
      <c r="I49" s="18">
        <f t="shared" si="0"/>
        <v>35</v>
      </c>
      <c r="J49" s="19">
        <f t="shared" si="1"/>
        <v>8.3689831482940882</v>
      </c>
      <c r="K49" s="20">
        <f t="shared" si="2"/>
        <v>2003</v>
      </c>
      <c r="M49" s="21">
        <f t="shared" si="3"/>
        <v>3.5553480614894135</v>
      </c>
      <c r="N49" s="21">
        <f t="shared" si="4"/>
        <v>2.1245323894621508</v>
      </c>
    </row>
    <row r="50" spans="1:14" x14ac:dyDescent="0.2">
      <c r="A50" s="25">
        <f>'GF + UG Iteration 14'!A50</f>
        <v>1049</v>
      </c>
      <c r="B50" s="25" t="str">
        <f>'GF + UG Iteration 14'!B50</f>
        <v>GF</v>
      </c>
      <c r="C50" s="18">
        <f>'GF + UG Iteration 14'!C50</f>
        <v>15.2</v>
      </c>
      <c r="D50" s="19">
        <f>'GF + UG Iteration 14'!D50</f>
        <v>54.551770509232071</v>
      </c>
      <c r="E50" s="30">
        <f>'GF + UG Iteration 14'!E50</f>
        <v>2011</v>
      </c>
      <c r="F50" s="18"/>
      <c r="G50" s="19"/>
      <c r="H50" s="20"/>
      <c r="I50" s="18">
        <f t="shared" si="0"/>
        <v>15.2</v>
      </c>
      <c r="J50" s="19">
        <f t="shared" si="1"/>
        <v>54.551770509232071</v>
      </c>
      <c r="K50" s="20">
        <f t="shared" si="2"/>
        <v>2011</v>
      </c>
      <c r="M50" s="21">
        <f t="shared" si="3"/>
        <v>2.7212954278522306</v>
      </c>
      <c r="N50" s="21">
        <f t="shared" si="4"/>
        <v>3.9991501683835766</v>
      </c>
    </row>
    <row r="51" spans="1:14" x14ac:dyDescent="0.2">
      <c r="A51" s="25">
        <f>'GF + UG Iteration 14'!A51</f>
        <v>230</v>
      </c>
      <c r="B51" s="25" t="str">
        <f>'GF + UG Iteration 14'!B51</f>
        <v>GF</v>
      </c>
      <c r="C51" s="18">
        <f>'GF + UG Iteration 14'!C51</f>
        <v>17</v>
      </c>
      <c r="D51" s="19">
        <f>'GF + UG Iteration 14'!D51</f>
        <v>10.739901169983137</v>
      </c>
      <c r="E51" s="30">
        <f>'GF + UG Iteration 14'!E51</f>
        <v>2003</v>
      </c>
      <c r="F51" s="18"/>
      <c r="G51" s="19"/>
      <c r="H51" s="20"/>
      <c r="I51" s="18">
        <f t="shared" si="0"/>
        <v>17</v>
      </c>
      <c r="J51" s="19">
        <f t="shared" si="1"/>
        <v>10.739901169983137</v>
      </c>
      <c r="K51" s="20">
        <f t="shared" si="2"/>
        <v>2003</v>
      </c>
      <c r="M51" s="21">
        <f t="shared" si="3"/>
        <v>2.8332133440562162</v>
      </c>
      <c r="N51" s="21">
        <f t="shared" si="4"/>
        <v>2.3739658869883922</v>
      </c>
    </row>
    <row r="52" spans="1:14" x14ac:dyDescent="0.2">
      <c r="A52" s="25" t="str">
        <f>'GF + UG Iteration 14'!A52</f>
        <v>79B</v>
      </c>
      <c r="B52" s="25" t="str">
        <f>'GF + UG Iteration 14'!B52</f>
        <v>GF</v>
      </c>
      <c r="C52" s="18">
        <f>'GF + UG Iteration 14'!C52</f>
        <v>8</v>
      </c>
      <c r="D52" s="19">
        <f>'GF + UG Iteration 14'!D52</f>
        <v>3.3788339951362953</v>
      </c>
      <c r="E52" s="30">
        <f>'GF + UG Iteration 14'!E52</f>
        <v>2000</v>
      </c>
      <c r="F52" s="18"/>
      <c r="G52" s="19"/>
      <c r="H52" s="20"/>
      <c r="I52" s="18">
        <f t="shared" si="0"/>
        <v>8</v>
      </c>
      <c r="J52" s="19">
        <f t="shared" si="1"/>
        <v>3.3788339951362953</v>
      </c>
      <c r="K52" s="20">
        <f t="shared" si="2"/>
        <v>2000</v>
      </c>
      <c r="M52" s="21">
        <f t="shared" si="3"/>
        <v>2.0794415416798357</v>
      </c>
      <c r="N52" s="21">
        <f t="shared" si="4"/>
        <v>1.2175306781252826</v>
      </c>
    </row>
    <row r="53" spans="1:14" x14ac:dyDescent="0.2">
      <c r="A53" s="25" t="str">
        <f>'GF + UG Iteration 14'!A53</f>
        <v>10B</v>
      </c>
      <c r="B53" s="25" t="str">
        <f>'GF + UG Iteration 14'!B53</f>
        <v>GF</v>
      </c>
      <c r="C53" s="18">
        <f>'GF + UG Iteration 14'!C53</f>
        <v>9.4060000000000006</v>
      </c>
      <c r="D53" s="19">
        <f>'GF + UG Iteration 14'!D53</f>
        <v>9.7991326901064184</v>
      </c>
      <c r="E53" s="30">
        <f>'GF + UG Iteration 14'!E53</f>
        <v>2001</v>
      </c>
      <c r="F53" s="18"/>
      <c r="G53" s="19"/>
      <c r="H53" s="20"/>
      <c r="I53" s="18">
        <f t="shared" si="0"/>
        <v>9.4060000000000006</v>
      </c>
      <c r="J53" s="19">
        <f t="shared" si="1"/>
        <v>9.7991326901064184</v>
      </c>
      <c r="K53" s="20">
        <f t="shared" si="2"/>
        <v>2001</v>
      </c>
      <c r="M53" s="21">
        <f t="shared" si="3"/>
        <v>2.2413477835228561</v>
      </c>
      <c r="N53" s="21">
        <f t="shared" si="4"/>
        <v>2.2822938807505317</v>
      </c>
    </row>
    <row r="54" spans="1:14" x14ac:dyDescent="0.2">
      <c r="A54" s="25">
        <f>'GF + UG Iteration 14'!A54</f>
        <v>8</v>
      </c>
      <c r="B54" s="25" t="str">
        <f>'GF + UG Iteration 14'!B54</f>
        <v>GF</v>
      </c>
      <c r="C54" s="18">
        <f>'GF + UG Iteration 14'!C54</f>
        <v>18</v>
      </c>
      <c r="D54" s="19">
        <f>'GF + UG Iteration 14'!D54</f>
        <v>11.984110505191126</v>
      </c>
      <c r="E54" s="30">
        <f>'GF + UG Iteration 14'!E54</f>
        <v>2000</v>
      </c>
      <c r="F54" s="18"/>
      <c r="G54" s="19"/>
      <c r="H54" s="20"/>
      <c r="I54" s="18">
        <f t="shared" si="0"/>
        <v>18</v>
      </c>
      <c r="J54" s="19">
        <f t="shared" si="1"/>
        <v>11.984110505191126</v>
      </c>
      <c r="K54" s="20">
        <f t="shared" si="2"/>
        <v>2000</v>
      </c>
      <c r="M54" s="21">
        <f t="shared" si="3"/>
        <v>2.8903717578961645</v>
      </c>
      <c r="N54" s="21">
        <f t="shared" si="4"/>
        <v>2.4835816477930246</v>
      </c>
    </row>
    <row r="55" spans="1:14" x14ac:dyDescent="0.2">
      <c r="A55" s="25">
        <f>'GF + UG Iteration 14'!A55</f>
        <v>487</v>
      </c>
      <c r="B55" s="25" t="str">
        <f>'GF + UG Iteration 14'!B55</f>
        <v>GF</v>
      </c>
      <c r="C55" s="18">
        <f>'GF + UG Iteration 14'!C55</f>
        <v>22</v>
      </c>
      <c r="D55" s="19">
        <f>'GF + UG Iteration 14'!D55</f>
        <v>16.606728766354362</v>
      </c>
      <c r="E55" s="30">
        <f>'GF + UG Iteration 14'!E55</f>
        <v>2007</v>
      </c>
      <c r="F55" s="18"/>
      <c r="G55" s="19"/>
      <c r="H55" s="20"/>
      <c r="I55" s="18">
        <f t="shared" si="0"/>
        <v>22</v>
      </c>
      <c r="J55" s="19">
        <f t="shared" si="1"/>
        <v>16.606728766354362</v>
      </c>
      <c r="K55" s="20">
        <f t="shared" si="2"/>
        <v>2007</v>
      </c>
      <c r="M55" s="21">
        <f t="shared" si="3"/>
        <v>3.0910424533583161</v>
      </c>
      <c r="N55" s="21">
        <f t="shared" si="4"/>
        <v>2.8098079606021904</v>
      </c>
    </row>
    <row r="56" spans="1:14" x14ac:dyDescent="0.2">
      <c r="A56" s="25">
        <f>'GF + UG Iteration 14'!A56</f>
        <v>385</v>
      </c>
      <c r="B56" s="25" t="str">
        <f>'GF + UG Iteration 14'!B56</f>
        <v>GF</v>
      </c>
      <c r="C56" s="18">
        <f>'GF + UG Iteration 14'!C56</f>
        <v>7.5</v>
      </c>
      <c r="D56" s="19">
        <f>'GF + UG Iteration 14'!D56</f>
        <v>8.5880709825089685</v>
      </c>
      <c r="E56" s="30">
        <f>'GF + UG Iteration 14'!E56</f>
        <v>2003</v>
      </c>
      <c r="F56" s="18"/>
      <c r="G56" s="19"/>
      <c r="H56" s="20"/>
      <c r="I56" s="18">
        <f t="shared" si="0"/>
        <v>7.5</v>
      </c>
      <c r="J56" s="19">
        <f t="shared" si="1"/>
        <v>8.5880709825089685</v>
      </c>
      <c r="K56" s="20">
        <f t="shared" si="2"/>
        <v>2003</v>
      </c>
      <c r="M56" s="21">
        <f t="shared" si="3"/>
        <v>2.0149030205422647</v>
      </c>
      <c r="N56" s="21">
        <f t="shared" si="4"/>
        <v>2.1503741452954848</v>
      </c>
    </row>
    <row r="57" spans="1:14" x14ac:dyDescent="0.2">
      <c r="A57" s="25">
        <f>'GF + UG Iteration 14'!A57</f>
        <v>865</v>
      </c>
      <c r="B57" s="25" t="str">
        <f>'GF + UG Iteration 14'!B57</f>
        <v>GF</v>
      </c>
      <c r="C57" s="18">
        <f>'GF + UG Iteration 14'!C57</f>
        <v>25</v>
      </c>
      <c r="D57" s="19">
        <f>'GF + UG Iteration 14'!D57</f>
        <v>8.6091983279462436</v>
      </c>
      <c r="E57" s="30">
        <f>'GF + UG Iteration 14'!E57</f>
        <v>2007</v>
      </c>
      <c r="F57" s="18"/>
      <c r="G57" s="19"/>
      <c r="H57" s="20"/>
      <c r="I57" s="18">
        <f t="shared" si="0"/>
        <v>25</v>
      </c>
      <c r="J57" s="19">
        <f t="shared" si="1"/>
        <v>8.6091983279462436</v>
      </c>
      <c r="K57" s="20">
        <f t="shared" si="2"/>
        <v>2007</v>
      </c>
      <c r="M57" s="21">
        <f t="shared" si="3"/>
        <v>3.2188758248682006</v>
      </c>
      <c r="N57" s="21">
        <f t="shared" si="4"/>
        <v>2.1528312046907798</v>
      </c>
    </row>
    <row r="58" spans="1:14" x14ac:dyDescent="0.2">
      <c r="A58" s="25">
        <f>'GF + UG Iteration 14'!A58</f>
        <v>863</v>
      </c>
      <c r="B58" s="25" t="str">
        <f>'GF + UG Iteration 14'!B58</f>
        <v>GF</v>
      </c>
      <c r="C58" s="18">
        <f>'GF + UG Iteration 14'!C58</f>
        <v>25</v>
      </c>
      <c r="D58" s="19">
        <f>'GF + UG Iteration 14'!D58</f>
        <v>8.2434360504581008</v>
      </c>
      <c r="E58" s="30">
        <f>'GF + UG Iteration 14'!E58</f>
        <v>2007</v>
      </c>
      <c r="F58" s="18"/>
      <c r="G58" s="19"/>
      <c r="H58" s="20"/>
      <c r="I58" s="18">
        <f t="shared" si="0"/>
        <v>25</v>
      </c>
      <c r="J58" s="19">
        <f t="shared" si="1"/>
        <v>8.2434360504581008</v>
      </c>
      <c r="K58" s="20">
        <f t="shared" si="2"/>
        <v>2007</v>
      </c>
      <c r="M58" s="21">
        <f t="shared" si="3"/>
        <v>3.2188758248682006</v>
      </c>
      <c r="N58" s="21">
        <f t="shared" si="4"/>
        <v>2.1094172534173556</v>
      </c>
    </row>
    <row r="59" spans="1:14" x14ac:dyDescent="0.2">
      <c r="A59" s="25">
        <f>'GF + UG Iteration 14'!A59</f>
        <v>527</v>
      </c>
      <c r="B59" s="25" t="str">
        <f>'GF + UG Iteration 14'!B59</f>
        <v>GF</v>
      </c>
      <c r="C59" s="18">
        <f>'GF + UG Iteration 14'!C59</f>
        <v>17</v>
      </c>
      <c r="D59" s="19">
        <f>'GF + UG Iteration 14'!D59</f>
        <v>6.9318595783251213</v>
      </c>
      <c r="E59" s="30">
        <f>'GF + UG Iteration 14'!E59</f>
        <v>2007</v>
      </c>
      <c r="F59" s="18"/>
      <c r="G59" s="19"/>
      <c r="H59" s="20"/>
      <c r="I59" s="18">
        <f t="shared" si="0"/>
        <v>17</v>
      </c>
      <c r="J59" s="19">
        <f t="shared" si="1"/>
        <v>6.9318595783251213</v>
      </c>
      <c r="K59" s="20">
        <f t="shared" si="2"/>
        <v>2007</v>
      </c>
      <c r="M59" s="21">
        <f t="shared" si="3"/>
        <v>2.8332133440562162</v>
      </c>
      <c r="N59" s="21">
        <f t="shared" si="4"/>
        <v>1.936128114626418</v>
      </c>
    </row>
    <row r="60" spans="1:14" x14ac:dyDescent="0.2">
      <c r="A60" s="25">
        <f>'GF + UG Iteration 14'!A60</f>
        <v>595</v>
      </c>
      <c r="B60" s="25" t="str">
        <f>'GF + UG Iteration 14'!B60</f>
        <v>GF</v>
      </c>
      <c r="C60" s="18">
        <f>'GF + UG Iteration 14'!C60</f>
        <v>11</v>
      </c>
      <c r="D60" s="19">
        <f>'GF + UG Iteration 14'!D60</f>
        <v>19.087371326529755</v>
      </c>
      <c r="E60" s="30">
        <f>'GF + UG Iteration 14'!E60</f>
        <v>2007</v>
      </c>
      <c r="F60" s="18"/>
      <c r="G60" s="19"/>
      <c r="H60" s="20"/>
      <c r="I60" s="18">
        <f t="shared" si="0"/>
        <v>11</v>
      </c>
      <c r="J60" s="19">
        <f t="shared" si="1"/>
        <v>19.087371326529755</v>
      </c>
      <c r="K60" s="20">
        <f t="shared" si="2"/>
        <v>2007</v>
      </c>
      <c r="M60" s="21">
        <f t="shared" si="3"/>
        <v>2.3978952727983707</v>
      </c>
      <c r="N60" s="21">
        <f t="shared" si="4"/>
        <v>2.9490269292793174</v>
      </c>
    </row>
    <row r="61" spans="1:14" x14ac:dyDescent="0.2">
      <c r="A61" s="25">
        <f>'GF + UG Iteration 14'!A61</f>
        <v>528</v>
      </c>
      <c r="B61" s="25" t="str">
        <f>'GF + UG Iteration 14'!B61</f>
        <v>GF</v>
      </c>
      <c r="C61" s="18">
        <f>'GF + UG Iteration 14'!C61</f>
        <v>17</v>
      </c>
      <c r="D61" s="19">
        <f>'GF + UG Iteration 14'!D61</f>
        <v>5.2657663175025586</v>
      </c>
      <c r="E61" s="30">
        <f>'GF + UG Iteration 14'!E61</f>
        <v>2007</v>
      </c>
      <c r="F61" s="18"/>
      <c r="G61" s="19"/>
      <c r="H61" s="20"/>
      <c r="I61" s="18">
        <f t="shared" si="0"/>
        <v>17</v>
      </c>
      <c r="J61" s="19">
        <f t="shared" si="1"/>
        <v>5.2657663175025586</v>
      </c>
      <c r="K61" s="20">
        <f t="shared" si="2"/>
        <v>2007</v>
      </c>
      <c r="M61" s="21">
        <f t="shared" si="3"/>
        <v>2.8332133440562162</v>
      </c>
      <c r="N61" s="21">
        <f t="shared" si="4"/>
        <v>1.6612266843778571</v>
      </c>
    </row>
    <row r="62" spans="1:14" x14ac:dyDescent="0.2">
      <c r="A62" s="25">
        <f>'GF + UG Iteration 14'!A62</f>
        <v>529</v>
      </c>
      <c r="B62" s="25" t="str">
        <f>'GF + UG Iteration 14'!B62</f>
        <v>GF</v>
      </c>
      <c r="C62" s="18">
        <f>'GF + UG Iteration 14'!C62</f>
        <v>17</v>
      </c>
      <c r="D62" s="19">
        <f>'GF + UG Iteration 14'!D62</f>
        <v>7.7921694439597555</v>
      </c>
      <c r="E62" s="30">
        <f>'GF + UG Iteration 14'!E62</f>
        <v>2007</v>
      </c>
      <c r="F62" s="18"/>
      <c r="G62" s="19"/>
      <c r="H62" s="20"/>
      <c r="I62" s="18">
        <f t="shared" si="0"/>
        <v>17</v>
      </c>
      <c r="J62" s="19">
        <f t="shared" si="1"/>
        <v>7.7921694439597555</v>
      </c>
      <c r="K62" s="20">
        <f t="shared" si="2"/>
        <v>2007</v>
      </c>
      <c r="M62" s="21">
        <f t="shared" si="3"/>
        <v>2.8332133440562162</v>
      </c>
      <c r="N62" s="21">
        <f t="shared" si="4"/>
        <v>2.0531193119918547</v>
      </c>
    </row>
    <row r="63" spans="1:14" x14ac:dyDescent="0.2">
      <c r="A63" s="25">
        <f>'GF + UG Iteration 14'!A63</f>
        <v>1095</v>
      </c>
      <c r="B63" s="25" t="str">
        <f>'GF + UG Iteration 14'!B63</f>
        <v>GF</v>
      </c>
      <c r="C63" s="18">
        <f>'GF + UG Iteration 14'!C63</f>
        <v>18</v>
      </c>
      <c r="D63" s="19">
        <f>'GF + UG Iteration 14'!D63</f>
        <v>11.923356574074873</v>
      </c>
      <c r="E63" s="30">
        <f>'GF + UG Iteration 14'!E63</f>
        <v>2011</v>
      </c>
      <c r="F63" s="18"/>
      <c r="G63" s="19"/>
      <c r="H63" s="20"/>
      <c r="I63" s="18">
        <f t="shared" si="0"/>
        <v>18</v>
      </c>
      <c r="J63" s="19">
        <f t="shared" si="1"/>
        <v>11.923356574074873</v>
      </c>
      <c r="K63" s="20">
        <f t="shared" si="2"/>
        <v>2011</v>
      </c>
      <c r="M63" s="21">
        <f t="shared" si="3"/>
        <v>2.8903717578961645</v>
      </c>
      <c r="N63" s="21">
        <f t="shared" si="4"/>
        <v>2.4784992137824831</v>
      </c>
    </row>
    <row r="64" spans="1:14" x14ac:dyDescent="0.2">
      <c r="A64" s="25">
        <f>'GF + UG Iteration 14'!A64</f>
        <v>561</v>
      </c>
      <c r="B64" s="25" t="str">
        <f>'GF + UG Iteration 14'!B64</f>
        <v>GF</v>
      </c>
      <c r="C64" s="18">
        <f>'GF + UG Iteration 14'!C64</f>
        <v>46</v>
      </c>
      <c r="D64" s="19">
        <f>'GF + UG Iteration 14'!D64</f>
        <v>58.100097147658744</v>
      </c>
      <c r="E64" s="30">
        <f>'GF + UG Iteration 14'!E64</f>
        <v>2011</v>
      </c>
      <c r="F64" s="18"/>
      <c r="G64" s="19"/>
      <c r="H64" s="20"/>
      <c r="I64" s="18">
        <f t="shared" si="0"/>
        <v>46</v>
      </c>
      <c r="J64" s="19">
        <f t="shared" si="1"/>
        <v>58.100097147658744</v>
      </c>
      <c r="K64" s="20">
        <f t="shared" si="2"/>
        <v>2011</v>
      </c>
      <c r="M64" s="21">
        <f t="shared" si="3"/>
        <v>3.8286413964890951</v>
      </c>
      <c r="N64" s="21">
        <f t="shared" si="4"/>
        <v>4.0621673359332098</v>
      </c>
    </row>
    <row r="65" spans="1:14" x14ac:dyDescent="0.2">
      <c r="A65" s="25">
        <f>'GF + UG Iteration 14'!A65</f>
        <v>1018</v>
      </c>
      <c r="B65" s="25" t="str">
        <f>'GF + UG Iteration 14'!B65</f>
        <v>GF</v>
      </c>
      <c r="C65" s="18">
        <f>'GF + UG Iteration 14'!C65</f>
        <v>3</v>
      </c>
      <c r="D65" s="19">
        <f>'GF + UG Iteration 14'!D65</f>
        <v>10.634643135603309</v>
      </c>
      <c r="E65" s="30">
        <f>'GF + UG Iteration 14'!E65</f>
        <v>2011</v>
      </c>
      <c r="F65" s="18"/>
      <c r="G65" s="19"/>
      <c r="H65" s="20"/>
      <c r="I65" s="18">
        <f t="shared" si="0"/>
        <v>3</v>
      </c>
      <c r="J65" s="19">
        <f t="shared" si="1"/>
        <v>10.634643135603309</v>
      </c>
      <c r="K65" s="20">
        <f t="shared" si="2"/>
        <v>2011</v>
      </c>
      <c r="M65" s="21">
        <f t="shared" si="3"/>
        <v>1.0986122886681098</v>
      </c>
      <c r="N65" s="21">
        <f t="shared" si="4"/>
        <v>2.3641168924336546</v>
      </c>
    </row>
    <row r="66" spans="1:14" x14ac:dyDescent="0.2">
      <c r="A66" s="25">
        <f>'GF + UG Iteration 14'!A66</f>
        <v>360</v>
      </c>
      <c r="B66" s="25" t="str">
        <f>'GF + UG Iteration 14'!B66</f>
        <v>GF</v>
      </c>
      <c r="C66" s="18">
        <f>'GF + UG Iteration 14'!C66</f>
        <v>22</v>
      </c>
      <c r="D66" s="19">
        <f>'GF + UG Iteration 14'!D66</f>
        <v>7.1174715515965792</v>
      </c>
      <c r="E66" s="30">
        <f>'GF + UG Iteration 14'!E66</f>
        <v>2003</v>
      </c>
      <c r="F66" s="18"/>
      <c r="G66" s="19"/>
      <c r="H66" s="20"/>
      <c r="I66" s="18">
        <f t="shared" si="0"/>
        <v>22</v>
      </c>
      <c r="J66" s="19">
        <f t="shared" si="1"/>
        <v>7.1174715515965792</v>
      </c>
      <c r="K66" s="20">
        <f t="shared" si="2"/>
        <v>2003</v>
      </c>
      <c r="M66" s="21">
        <f t="shared" si="3"/>
        <v>3.0910424533583161</v>
      </c>
      <c r="N66" s="21">
        <f t="shared" si="4"/>
        <v>1.9625525431963604</v>
      </c>
    </row>
    <row r="67" spans="1:14" x14ac:dyDescent="0.2">
      <c r="A67" s="25">
        <f>'GF + UG Iteration 14'!A67</f>
        <v>1106</v>
      </c>
      <c r="B67" s="25" t="str">
        <f>'GF + UG Iteration 14'!B67</f>
        <v>GF</v>
      </c>
      <c r="C67" s="18">
        <f>'GF + UG Iteration 14'!C67</f>
        <v>12</v>
      </c>
      <c r="D67" s="19">
        <f>'GF + UG Iteration 14'!D67</f>
        <v>20.217898457447252</v>
      </c>
      <c r="E67" s="30">
        <f>'GF + UG Iteration 14'!E67</f>
        <v>2011</v>
      </c>
      <c r="F67" s="18"/>
      <c r="G67" s="19"/>
      <c r="H67" s="20"/>
      <c r="I67" s="18">
        <f t="shared" si="0"/>
        <v>12</v>
      </c>
      <c r="J67" s="19">
        <f t="shared" si="1"/>
        <v>20.217898457447252</v>
      </c>
      <c r="K67" s="20">
        <f t="shared" si="2"/>
        <v>2011</v>
      </c>
      <c r="M67" s="21">
        <f t="shared" si="3"/>
        <v>2.4849066497880004</v>
      </c>
      <c r="N67" s="21">
        <f t="shared" si="4"/>
        <v>3.0065682743355979</v>
      </c>
    </row>
    <row r="68" spans="1:14" x14ac:dyDescent="0.2">
      <c r="A68" s="25">
        <f>'GF + UG Iteration 14'!A68</f>
        <v>899</v>
      </c>
      <c r="B68" s="25" t="str">
        <f>'GF + UG Iteration 14'!B68</f>
        <v>GF</v>
      </c>
      <c r="C68" s="18">
        <f>'GF + UG Iteration 14'!C68</f>
        <v>25</v>
      </c>
      <c r="D68" s="19">
        <f>'GF + UG Iteration 14'!D68</f>
        <v>15.17251837286627</v>
      </c>
      <c r="E68" s="30">
        <f>'GF + UG Iteration 14'!E68</f>
        <v>2010</v>
      </c>
      <c r="F68" s="18"/>
      <c r="G68" s="19"/>
      <c r="H68" s="20"/>
      <c r="I68" s="18">
        <f t="shared" si="0"/>
        <v>25</v>
      </c>
      <c r="J68" s="19">
        <f t="shared" si="1"/>
        <v>15.17251837286627</v>
      </c>
      <c r="K68" s="20">
        <f t="shared" si="2"/>
        <v>2010</v>
      </c>
      <c r="M68" s="21">
        <f t="shared" si="3"/>
        <v>3.2188758248682006</v>
      </c>
      <c r="N68" s="21">
        <f t="shared" si="4"/>
        <v>2.7194857896591729</v>
      </c>
    </row>
    <row r="69" spans="1:14" x14ac:dyDescent="0.2">
      <c r="A69" s="25">
        <f>'GF + UG Iteration 14'!A69</f>
        <v>1191</v>
      </c>
      <c r="B69" s="25" t="str">
        <f>'GF + UG Iteration 14'!B69</f>
        <v>GF</v>
      </c>
      <c r="C69" s="18">
        <f>'GF + UG Iteration 14'!C69</f>
        <v>11</v>
      </c>
      <c r="D69" s="19">
        <f>'GF + UG Iteration 14'!D69</f>
        <v>12.628076471206382</v>
      </c>
      <c r="E69" s="30">
        <f>'GF + UG Iteration 14'!E69</f>
        <v>2011</v>
      </c>
      <c r="F69" s="18"/>
      <c r="G69" s="19"/>
      <c r="H69" s="20"/>
      <c r="I69" s="18">
        <f t="shared" si="0"/>
        <v>11</v>
      </c>
      <c r="J69" s="19">
        <f t="shared" si="1"/>
        <v>12.628076471206382</v>
      </c>
      <c r="K69" s="20">
        <f t="shared" si="2"/>
        <v>2011</v>
      </c>
      <c r="M69" s="21">
        <f t="shared" si="3"/>
        <v>2.3978952727983707</v>
      </c>
      <c r="N69" s="21">
        <f t="shared" si="4"/>
        <v>2.5359226263636927</v>
      </c>
    </row>
    <row r="70" spans="1:14" x14ac:dyDescent="0.2">
      <c r="A70" s="25">
        <f>'GF + UG Iteration 14'!A70</f>
        <v>1115</v>
      </c>
      <c r="B70" s="25" t="str">
        <f>'GF + UG Iteration 14'!B70</f>
        <v>GF</v>
      </c>
      <c r="C70" s="18">
        <f>'GF + UG Iteration 14'!C70</f>
        <v>10</v>
      </c>
      <c r="D70" s="19">
        <f>'GF + UG Iteration 14'!D70</f>
        <v>24.362790290493837</v>
      </c>
      <c r="E70" s="30">
        <f>'GF + UG Iteration 14'!E70</f>
        <v>2011</v>
      </c>
      <c r="F70" s="18"/>
      <c r="G70" s="19"/>
      <c r="H70" s="20"/>
      <c r="I70" s="18">
        <f t="shared" si="0"/>
        <v>10</v>
      </c>
      <c r="J70" s="19">
        <f t="shared" si="1"/>
        <v>24.362790290493837</v>
      </c>
      <c r="K70" s="20">
        <f t="shared" si="2"/>
        <v>2011</v>
      </c>
      <c r="M70" s="21">
        <f t="shared" si="3"/>
        <v>2.3025850929940459</v>
      </c>
      <c r="N70" s="21">
        <f t="shared" si="4"/>
        <v>3.1930569802267783</v>
      </c>
    </row>
    <row r="71" spans="1:14" x14ac:dyDescent="0.2">
      <c r="A71" s="25">
        <f>'GF + UG Iteration 14'!A71</f>
        <v>1053</v>
      </c>
      <c r="B71" s="25" t="str">
        <f>'GF + UG Iteration 14'!B71</f>
        <v>GF</v>
      </c>
      <c r="C71" s="18">
        <f>'GF + UG Iteration 14'!C71</f>
        <v>9</v>
      </c>
      <c r="D71" s="19">
        <f>'GF + UG Iteration 14'!D71</f>
        <v>14.71443826778331</v>
      </c>
      <c r="E71" s="30">
        <f>'GF + UG Iteration 14'!E71</f>
        <v>2011</v>
      </c>
      <c r="F71" s="18"/>
      <c r="G71" s="19"/>
      <c r="H71" s="20"/>
      <c r="I71" s="18">
        <f t="shared" si="0"/>
        <v>9</v>
      </c>
      <c r="J71" s="19">
        <f t="shared" si="1"/>
        <v>14.71443826778331</v>
      </c>
      <c r="K71" s="20">
        <f t="shared" si="2"/>
        <v>2011</v>
      </c>
      <c r="M71" s="21">
        <f t="shared" si="3"/>
        <v>2.1972245773362196</v>
      </c>
      <c r="N71" s="21">
        <f t="shared" si="4"/>
        <v>2.6888292068340069</v>
      </c>
    </row>
    <row r="72" spans="1:14" x14ac:dyDescent="0.2">
      <c r="A72" s="25">
        <f>'GF + UG Iteration 14'!A72</f>
        <v>864</v>
      </c>
      <c r="B72" s="25" t="str">
        <f>'GF + UG Iteration 14'!B72</f>
        <v>GF</v>
      </c>
      <c r="C72" s="18">
        <f>'GF + UG Iteration 14'!C72</f>
        <v>25</v>
      </c>
      <c r="D72" s="19">
        <f>'GF + UG Iteration 14'!D72</f>
        <v>9.825778201045452</v>
      </c>
      <c r="E72" s="30">
        <f>'GF + UG Iteration 14'!E72</f>
        <v>2007</v>
      </c>
      <c r="F72" s="18"/>
      <c r="G72" s="19"/>
      <c r="H72" s="20"/>
      <c r="I72" s="18">
        <f t="shared" ref="I72:I117" si="5">C72+F72</f>
        <v>25</v>
      </c>
      <c r="J72" s="19">
        <f t="shared" ref="J72:J117" si="6">D72+G72</f>
        <v>9.825778201045452</v>
      </c>
      <c r="K72" s="20">
        <f t="shared" ref="K72:K117" si="7">MAX(E72,H72)</f>
        <v>2007</v>
      </c>
      <c r="M72" s="21">
        <f t="shared" ref="M72:M135" si="8">LN(I72)</f>
        <v>3.2188758248682006</v>
      </c>
      <c r="N72" s="21">
        <f t="shared" ref="N72:N135" si="9">LN(J72)</f>
        <v>2.2850093608319559</v>
      </c>
    </row>
    <row r="73" spans="1:14" x14ac:dyDescent="0.2">
      <c r="A73" s="25">
        <f>'GF + UG Iteration 14'!A73</f>
        <v>834</v>
      </c>
      <c r="B73" s="25" t="str">
        <f>'GF + UG Iteration 14'!B73</f>
        <v>GF</v>
      </c>
      <c r="C73" s="18">
        <f>'GF + UG Iteration 14'!C73</f>
        <v>45</v>
      </c>
      <c r="D73" s="19">
        <f>'GF + UG Iteration 14'!D73</f>
        <v>25.798393978216257</v>
      </c>
      <c r="E73" s="30">
        <f>'GF + UG Iteration 14'!E73</f>
        <v>2010</v>
      </c>
      <c r="F73" s="18"/>
      <c r="G73" s="19"/>
      <c r="H73" s="20"/>
      <c r="I73" s="18">
        <f t="shared" si="5"/>
        <v>45</v>
      </c>
      <c r="J73" s="19">
        <f t="shared" si="6"/>
        <v>25.798393978216257</v>
      </c>
      <c r="K73" s="20">
        <f t="shared" si="7"/>
        <v>2010</v>
      </c>
      <c r="M73" s="21">
        <f t="shared" si="8"/>
        <v>3.8066624897703196</v>
      </c>
      <c r="N73" s="21">
        <f t="shared" si="9"/>
        <v>3.2503122410836816</v>
      </c>
    </row>
    <row r="74" spans="1:14" x14ac:dyDescent="0.2">
      <c r="A74" s="25">
        <f>'GF + UG Iteration 14'!A74</f>
        <v>722</v>
      </c>
      <c r="B74" s="25" t="str">
        <f>'GF + UG Iteration 14'!B74</f>
        <v>GF</v>
      </c>
      <c r="C74" s="18">
        <f>'GF + UG Iteration 14'!C74</f>
        <v>10.5</v>
      </c>
      <c r="D74" s="19">
        <f>'GF + UG Iteration 14'!D74</f>
        <v>13.501544643115857</v>
      </c>
      <c r="E74" s="30">
        <f>'GF + UG Iteration 14'!E74</f>
        <v>2010</v>
      </c>
      <c r="F74" s="18"/>
      <c r="G74" s="19"/>
      <c r="H74" s="20"/>
      <c r="I74" s="18">
        <f t="shared" si="5"/>
        <v>10.5</v>
      </c>
      <c r="J74" s="19">
        <f t="shared" si="6"/>
        <v>13.501544643115857</v>
      </c>
      <c r="K74" s="20">
        <f t="shared" si="7"/>
        <v>2010</v>
      </c>
      <c r="M74" s="21">
        <f t="shared" si="8"/>
        <v>2.3513752571634776</v>
      </c>
      <c r="N74" s="21">
        <f t="shared" si="9"/>
        <v>2.6028040969077249</v>
      </c>
    </row>
    <row r="75" spans="1:14" x14ac:dyDescent="0.2">
      <c r="A75" s="25">
        <f>'GF + UG Iteration 14'!A75</f>
        <v>927</v>
      </c>
      <c r="B75" s="25" t="str">
        <f>'GF + UG Iteration 14'!B75</f>
        <v>GF</v>
      </c>
      <c r="C75" s="18">
        <f>'GF + UG Iteration 14'!C75</f>
        <v>60</v>
      </c>
      <c r="D75" s="19">
        <f>'GF + UG Iteration 14'!D75</f>
        <v>25.887106037100622</v>
      </c>
      <c r="E75" s="30">
        <f>'GF + UG Iteration 14'!E75</f>
        <v>2011</v>
      </c>
      <c r="F75" s="18"/>
      <c r="G75" s="19"/>
      <c r="H75" s="20"/>
      <c r="I75" s="18">
        <f t="shared" si="5"/>
        <v>60</v>
      </c>
      <c r="J75" s="19">
        <f t="shared" si="6"/>
        <v>25.887106037100622</v>
      </c>
      <c r="K75" s="20">
        <f t="shared" si="7"/>
        <v>2011</v>
      </c>
      <c r="M75" s="21">
        <f t="shared" si="8"/>
        <v>4.0943445622221004</v>
      </c>
      <c r="N75" s="21">
        <f t="shared" si="9"/>
        <v>3.2537450083384241</v>
      </c>
    </row>
    <row r="76" spans="1:14" x14ac:dyDescent="0.2">
      <c r="A76" s="25">
        <f>'GF + UG Iteration 14'!A76</f>
        <v>1068</v>
      </c>
      <c r="B76" s="25" t="str">
        <f>'GF + UG Iteration 14'!B76</f>
        <v>GF</v>
      </c>
      <c r="C76" s="18">
        <f>'GF + UG Iteration 14'!C76</f>
        <v>11.2</v>
      </c>
      <c r="D76" s="19">
        <f>'GF + UG Iteration 14'!D76</f>
        <v>26.918199168374588</v>
      </c>
      <c r="E76" s="30">
        <f>'GF + UG Iteration 14'!E76</f>
        <v>2011</v>
      </c>
      <c r="F76" s="18"/>
      <c r="G76" s="19"/>
      <c r="H76" s="20"/>
      <c r="I76" s="18">
        <f t="shared" si="5"/>
        <v>11.2</v>
      </c>
      <c r="J76" s="19">
        <f t="shared" si="6"/>
        <v>26.918199168374588</v>
      </c>
      <c r="K76" s="20">
        <f t="shared" si="7"/>
        <v>2011</v>
      </c>
      <c r="M76" s="21">
        <f t="shared" si="8"/>
        <v>2.4159137783010487</v>
      </c>
      <c r="N76" s="21">
        <f t="shared" si="9"/>
        <v>3.2928026068618901</v>
      </c>
    </row>
    <row r="77" spans="1:14" x14ac:dyDescent="0.2">
      <c r="A77" s="25">
        <f>'GF + UG Iteration 14'!A77</f>
        <v>506</v>
      </c>
      <c r="B77" s="25" t="str">
        <f>'GF + UG Iteration 14'!B77</f>
        <v>GF</v>
      </c>
      <c r="C77" s="18">
        <f>'GF + UG Iteration 14'!C77</f>
        <v>20</v>
      </c>
      <c r="D77" s="19">
        <f>'GF + UG Iteration 14'!D77</f>
        <v>13.969254162639503</v>
      </c>
      <c r="E77" s="30">
        <f>'GF + UG Iteration 14'!E77</f>
        <v>2003</v>
      </c>
      <c r="F77" s="18"/>
      <c r="G77" s="19"/>
      <c r="H77" s="20"/>
      <c r="I77" s="18">
        <f t="shared" si="5"/>
        <v>20</v>
      </c>
      <c r="J77" s="19">
        <f t="shared" si="6"/>
        <v>13.969254162639503</v>
      </c>
      <c r="K77" s="20">
        <f t="shared" si="7"/>
        <v>2003</v>
      </c>
      <c r="M77" s="21">
        <f t="shared" si="8"/>
        <v>2.9957322735539909</v>
      </c>
      <c r="N77" s="21">
        <f t="shared" si="9"/>
        <v>2.6368587833425443</v>
      </c>
    </row>
    <row r="78" spans="1:14" x14ac:dyDescent="0.2">
      <c r="A78" s="25">
        <f>'GF + UG Iteration 14'!A78</f>
        <v>456</v>
      </c>
      <c r="B78" s="25" t="str">
        <f>'GF + UG Iteration 14'!B78</f>
        <v>GF</v>
      </c>
      <c r="C78" s="18">
        <f>'GF + UG Iteration 14'!C78</f>
        <v>16</v>
      </c>
      <c r="D78" s="19">
        <f>'GF + UG Iteration 14'!D78</f>
        <v>17.647037003819346</v>
      </c>
      <c r="E78" s="30">
        <f>'GF + UG Iteration 14'!E78</f>
        <v>2007</v>
      </c>
      <c r="F78" s="18"/>
      <c r="G78" s="19"/>
      <c r="H78" s="20"/>
      <c r="I78" s="18">
        <f t="shared" si="5"/>
        <v>16</v>
      </c>
      <c r="J78" s="19">
        <f t="shared" si="6"/>
        <v>17.647037003819346</v>
      </c>
      <c r="K78" s="20">
        <f t="shared" si="7"/>
        <v>2007</v>
      </c>
      <c r="M78" s="21">
        <f t="shared" si="8"/>
        <v>2.7725887222397811</v>
      </c>
      <c r="N78" s="21">
        <f t="shared" si="9"/>
        <v>2.8705678941489836</v>
      </c>
    </row>
    <row r="79" spans="1:14" x14ac:dyDescent="0.2">
      <c r="A79" s="25">
        <f>'GF + UG Iteration 14'!A79</f>
        <v>130</v>
      </c>
      <c r="B79" s="25" t="str">
        <f>'GF + UG Iteration 14'!B79</f>
        <v>GF</v>
      </c>
      <c r="C79" s="18">
        <f>'GF + UG Iteration 14'!C79</f>
        <v>18</v>
      </c>
      <c r="D79" s="19">
        <f>'GF + UG Iteration 14'!D79</f>
        <v>8.4369732753123952</v>
      </c>
      <c r="E79" s="30">
        <f>'GF + UG Iteration 14'!E79</f>
        <v>2001</v>
      </c>
      <c r="F79" s="18"/>
      <c r="G79" s="19"/>
      <c r="H79" s="20"/>
      <c r="I79" s="18">
        <f t="shared" si="5"/>
        <v>18</v>
      </c>
      <c r="J79" s="19">
        <f t="shared" si="6"/>
        <v>8.4369732753123952</v>
      </c>
      <c r="K79" s="20">
        <f t="shared" si="7"/>
        <v>2001</v>
      </c>
      <c r="M79" s="21">
        <f t="shared" si="8"/>
        <v>2.8903717578961645</v>
      </c>
      <c r="N79" s="21">
        <f t="shared" si="9"/>
        <v>2.1326236276203829</v>
      </c>
    </row>
    <row r="80" spans="1:14" x14ac:dyDescent="0.2">
      <c r="A80" s="25">
        <f>'GF + UG Iteration 14'!A80</f>
        <v>308</v>
      </c>
      <c r="B80" s="25" t="str">
        <f>'GF + UG Iteration 14'!B80</f>
        <v>GF</v>
      </c>
      <c r="C80" s="18">
        <f>'GF + UG Iteration 14'!C80</f>
        <v>10</v>
      </c>
      <c r="D80" s="19">
        <f>'GF + UG Iteration 14'!D80</f>
        <v>8.8753762889293544</v>
      </c>
      <c r="E80" s="30">
        <f>'GF + UG Iteration 14'!E80</f>
        <v>2003</v>
      </c>
      <c r="F80" s="18"/>
      <c r="G80" s="19"/>
      <c r="H80" s="20"/>
      <c r="I80" s="18">
        <f t="shared" si="5"/>
        <v>10</v>
      </c>
      <c r="J80" s="19">
        <f t="shared" si="6"/>
        <v>8.8753762889293544</v>
      </c>
      <c r="K80" s="20">
        <f t="shared" si="7"/>
        <v>2003</v>
      </c>
      <c r="M80" s="21">
        <f t="shared" si="8"/>
        <v>2.3025850929940459</v>
      </c>
      <c r="N80" s="21">
        <f t="shared" si="9"/>
        <v>2.1832807332152813</v>
      </c>
    </row>
    <row r="81" spans="1:14" x14ac:dyDescent="0.2">
      <c r="A81" s="25">
        <f>'GF + UG Iteration 14'!A81</f>
        <v>829</v>
      </c>
      <c r="B81" s="25" t="str">
        <f>'GF + UG Iteration 14'!B81</f>
        <v>GF</v>
      </c>
      <c r="C81" s="18">
        <f>'GF + UG Iteration 14'!C81</f>
        <v>20</v>
      </c>
      <c r="D81" s="19">
        <f>'GF + UG Iteration 14'!D81</f>
        <v>27.761077137379147</v>
      </c>
      <c r="E81" s="30">
        <f>'GF + UG Iteration 14'!E81</f>
        <v>2011</v>
      </c>
      <c r="F81" s="18"/>
      <c r="G81" s="19"/>
      <c r="H81" s="20"/>
      <c r="I81" s="18">
        <f t="shared" si="5"/>
        <v>20</v>
      </c>
      <c r="J81" s="19">
        <f t="shared" si="6"/>
        <v>27.761077137379147</v>
      </c>
      <c r="K81" s="20">
        <f t="shared" si="7"/>
        <v>2011</v>
      </c>
      <c r="M81" s="21">
        <f t="shared" si="8"/>
        <v>2.9957322735539909</v>
      </c>
      <c r="N81" s="21">
        <f t="shared" si="9"/>
        <v>3.3236349366646221</v>
      </c>
    </row>
    <row r="82" spans="1:14" x14ac:dyDescent="0.2">
      <c r="A82" s="25">
        <f>'GF + UG Iteration 14'!A82</f>
        <v>425</v>
      </c>
      <c r="B82" s="25" t="str">
        <f>'GF + UG Iteration 14'!B82</f>
        <v>GF</v>
      </c>
      <c r="C82" s="18">
        <f>'GF + UG Iteration 14'!C82</f>
        <v>17</v>
      </c>
      <c r="D82" s="19">
        <f>'GF + UG Iteration 14'!D82</f>
        <v>11.725448588458148</v>
      </c>
      <c r="E82" s="30">
        <f>'GF + UG Iteration 14'!E82</f>
        <v>2006</v>
      </c>
      <c r="F82" s="18"/>
      <c r="G82" s="19"/>
      <c r="H82" s="20"/>
      <c r="I82" s="18">
        <f t="shared" si="5"/>
        <v>17</v>
      </c>
      <c r="J82" s="19">
        <f t="shared" si="6"/>
        <v>11.725448588458148</v>
      </c>
      <c r="K82" s="20">
        <f t="shared" si="7"/>
        <v>2006</v>
      </c>
      <c r="M82" s="21">
        <f t="shared" si="8"/>
        <v>2.8332133440562162</v>
      </c>
      <c r="N82" s="21">
        <f t="shared" si="9"/>
        <v>2.4617615727440327</v>
      </c>
    </row>
    <row r="83" spans="1:14" x14ac:dyDescent="0.2">
      <c r="A83" s="25">
        <f>'GF + UG Iteration 14'!A83</f>
        <v>333</v>
      </c>
      <c r="B83" s="25" t="str">
        <f>'GF + UG Iteration 14'!B83</f>
        <v>GF</v>
      </c>
      <c r="C83" s="18">
        <f>'GF + UG Iteration 14'!C83</f>
        <v>12</v>
      </c>
      <c r="D83" s="19">
        <f>'GF + UG Iteration 14'!D83</f>
        <v>7.5607136656563343</v>
      </c>
      <c r="E83" s="30">
        <f>'GF + UG Iteration 14'!E83</f>
        <v>2003</v>
      </c>
      <c r="F83" s="18"/>
      <c r="G83" s="19"/>
      <c r="H83" s="20"/>
      <c r="I83" s="18">
        <f t="shared" si="5"/>
        <v>12</v>
      </c>
      <c r="J83" s="19">
        <f t="shared" si="6"/>
        <v>7.5607136656563343</v>
      </c>
      <c r="K83" s="20">
        <f t="shared" si="7"/>
        <v>2003</v>
      </c>
      <c r="M83" s="21">
        <f t="shared" si="8"/>
        <v>2.4849066497880004</v>
      </c>
      <c r="N83" s="21">
        <f t="shared" si="9"/>
        <v>2.022965585955113</v>
      </c>
    </row>
    <row r="84" spans="1:14" x14ac:dyDescent="0.2">
      <c r="A84" s="25">
        <f>'GF + UG Iteration 14'!A84</f>
        <v>769</v>
      </c>
      <c r="B84" s="25" t="str">
        <f>'GF + UG Iteration 14'!B84</f>
        <v>GF</v>
      </c>
      <c r="C84" s="18">
        <f>'GF + UG Iteration 14'!C84</f>
        <v>40</v>
      </c>
      <c r="D84" s="19">
        <f>'GF + UG Iteration 14'!D84</f>
        <v>26.381292343151443</v>
      </c>
      <c r="E84" s="30">
        <f>'GF + UG Iteration 14'!E84</f>
        <v>2007</v>
      </c>
      <c r="F84" s="18"/>
      <c r="G84" s="19"/>
      <c r="H84" s="20"/>
      <c r="I84" s="18">
        <f t="shared" si="5"/>
        <v>40</v>
      </c>
      <c r="J84" s="19">
        <f t="shared" si="6"/>
        <v>26.381292343151443</v>
      </c>
      <c r="K84" s="20">
        <f t="shared" si="7"/>
        <v>2007</v>
      </c>
      <c r="M84" s="21">
        <f t="shared" si="8"/>
        <v>3.6888794541139363</v>
      </c>
      <c r="N84" s="21">
        <f t="shared" si="9"/>
        <v>3.2726551355945839</v>
      </c>
    </row>
    <row r="85" spans="1:14" x14ac:dyDescent="0.2">
      <c r="A85" s="25">
        <f>'GF + UG Iteration 14'!A85</f>
        <v>948</v>
      </c>
      <c r="B85" s="25" t="str">
        <f>'GF + UG Iteration 14'!B85</f>
        <v>GF</v>
      </c>
      <c r="C85" s="18">
        <f>'GF + UG Iteration 14'!C85</f>
        <v>57</v>
      </c>
      <c r="D85" s="19">
        <f>'GF + UG Iteration 14'!D85</f>
        <v>12.653662771089085</v>
      </c>
      <c r="E85" s="30">
        <f>'GF + UG Iteration 14'!E85</f>
        <v>2014</v>
      </c>
      <c r="F85" s="18"/>
      <c r="G85" s="19"/>
      <c r="H85" s="20"/>
      <c r="I85" s="18">
        <f t="shared" si="5"/>
        <v>57</v>
      </c>
      <c r="J85" s="19">
        <f t="shared" si="6"/>
        <v>12.653662771089085</v>
      </c>
      <c r="K85" s="20">
        <f t="shared" si="7"/>
        <v>2014</v>
      </c>
      <c r="M85" s="21">
        <f t="shared" si="8"/>
        <v>4.0430512678345503</v>
      </c>
      <c r="N85" s="21">
        <f t="shared" si="9"/>
        <v>2.5379467203845181</v>
      </c>
    </row>
    <row r="86" spans="1:14" x14ac:dyDescent="0.2">
      <c r="A86" s="25">
        <f>'GF + UG Iteration 14'!A86</f>
        <v>1128</v>
      </c>
      <c r="B86" s="25" t="str">
        <f>'GF + UG Iteration 14'!B86</f>
        <v>GF</v>
      </c>
      <c r="C86" s="18">
        <f>'GF + UG Iteration 14'!C86</f>
        <v>45</v>
      </c>
      <c r="D86" s="19">
        <f>'GF + UG Iteration 14'!D86</f>
        <v>63.556235718349399</v>
      </c>
      <c r="E86" s="30">
        <f>'GF + UG Iteration 14'!E86</f>
        <v>2013</v>
      </c>
      <c r="F86" s="18"/>
      <c r="G86" s="19"/>
      <c r="H86" s="20"/>
      <c r="I86" s="18">
        <f t="shared" si="5"/>
        <v>45</v>
      </c>
      <c r="J86" s="19">
        <f t="shared" si="6"/>
        <v>63.556235718349399</v>
      </c>
      <c r="K86" s="20">
        <f t="shared" si="7"/>
        <v>2013</v>
      </c>
      <c r="M86" s="21">
        <f t="shared" si="8"/>
        <v>3.8066624897703196</v>
      </c>
      <c r="N86" s="21">
        <f t="shared" si="9"/>
        <v>4.1519251158484547</v>
      </c>
    </row>
    <row r="87" spans="1:14" x14ac:dyDescent="0.2">
      <c r="A87" s="25">
        <f>'GF + UG Iteration 14'!A87</f>
        <v>1214</v>
      </c>
      <c r="B87" s="25" t="str">
        <f>'GF + UG Iteration 14'!B87</f>
        <v>GF</v>
      </c>
      <c r="C87" s="18">
        <f>'GF + UG Iteration 14'!C87</f>
        <v>52</v>
      </c>
      <c r="D87" s="19">
        <f>'GF + UG Iteration 14'!D87</f>
        <v>22.631695273294461</v>
      </c>
      <c r="E87" s="30">
        <f>'GF + UG Iteration 14'!E87</f>
        <v>2013</v>
      </c>
      <c r="F87" s="18"/>
      <c r="G87" s="19"/>
      <c r="H87" s="20"/>
      <c r="I87" s="18">
        <f t="shared" si="5"/>
        <v>52</v>
      </c>
      <c r="J87" s="19">
        <f t="shared" si="6"/>
        <v>22.631695273294461</v>
      </c>
      <c r="K87" s="20">
        <f t="shared" si="7"/>
        <v>2013</v>
      </c>
      <c r="M87" s="21">
        <f t="shared" si="8"/>
        <v>3.9512437185814275</v>
      </c>
      <c r="N87" s="21">
        <f t="shared" si="9"/>
        <v>3.1193513694907367</v>
      </c>
    </row>
    <row r="88" spans="1:14" x14ac:dyDescent="0.2">
      <c r="A88" s="25">
        <f>'GF + UG Iteration 14'!A88</f>
        <v>1225</v>
      </c>
      <c r="B88" s="25" t="str">
        <f>'GF + UG Iteration 14'!B88</f>
        <v>GF</v>
      </c>
      <c r="C88" s="18">
        <f>'GF + UG Iteration 14'!C88</f>
        <v>20</v>
      </c>
      <c r="D88" s="19">
        <f>'GF + UG Iteration 14'!D88</f>
        <v>18.636695744675041</v>
      </c>
      <c r="E88" s="30">
        <f>'GF + UG Iteration 14'!E88</f>
        <v>2013</v>
      </c>
      <c r="F88" s="18"/>
      <c r="G88" s="19"/>
      <c r="H88" s="20"/>
      <c r="I88" s="18">
        <f t="shared" si="5"/>
        <v>20</v>
      </c>
      <c r="J88" s="19">
        <f t="shared" si="6"/>
        <v>18.636695744675041</v>
      </c>
      <c r="K88" s="20">
        <f t="shared" si="7"/>
        <v>2013</v>
      </c>
      <c r="M88" s="21">
        <f t="shared" si="8"/>
        <v>2.9957322735539909</v>
      </c>
      <c r="N88" s="21">
        <f t="shared" si="9"/>
        <v>2.925132526627233</v>
      </c>
    </row>
    <row r="89" spans="1:14" x14ac:dyDescent="0.2">
      <c r="A89" s="25">
        <f>'GF + UG Iteration 14'!A89</f>
        <v>1263</v>
      </c>
      <c r="B89" s="25" t="str">
        <f>'GF + UG Iteration 14'!B89</f>
        <v>GF</v>
      </c>
      <c r="C89" s="18">
        <f>'GF + UG Iteration 14'!C89</f>
        <v>8</v>
      </c>
      <c r="D89" s="19">
        <f>'GF + UG Iteration 14'!D89</f>
        <v>19.611656992669992</v>
      </c>
      <c r="E89" s="30">
        <f>'GF + UG Iteration 14'!E89</f>
        <v>2013</v>
      </c>
      <c r="F89" s="18"/>
      <c r="G89" s="19"/>
      <c r="H89" s="20"/>
      <c r="I89" s="18">
        <f t="shared" si="5"/>
        <v>8</v>
      </c>
      <c r="J89" s="19">
        <f t="shared" si="6"/>
        <v>19.611656992669992</v>
      </c>
      <c r="K89" s="20">
        <f t="shared" si="7"/>
        <v>2013</v>
      </c>
      <c r="M89" s="21">
        <f t="shared" si="8"/>
        <v>2.0794415416798357</v>
      </c>
      <c r="N89" s="21">
        <f t="shared" si="9"/>
        <v>2.9761241339700195</v>
      </c>
    </row>
    <row r="90" spans="1:14" x14ac:dyDescent="0.2">
      <c r="A90" s="25">
        <f>'GF + UG Iteration 14'!A90</f>
        <v>1309</v>
      </c>
      <c r="B90" s="25" t="str">
        <f>'GF + UG Iteration 14'!B90</f>
        <v>GF</v>
      </c>
      <c r="C90" s="18">
        <f>'GF + UG Iteration 14'!C90</f>
        <v>15</v>
      </c>
      <c r="D90" s="19">
        <f>'GF + UG Iteration 14'!D90</f>
        <v>16.109333942693336</v>
      </c>
      <c r="E90" s="30">
        <f>'GF + UG Iteration 14'!E90</f>
        <v>2013</v>
      </c>
      <c r="F90" s="18"/>
      <c r="G90" s="19"/>
      <c r="H90" s="20"/>
      <c r="I90" s="18">
        <f t="shared" si="5"/>
        <v>15</v>
      </c>
      <c r="J90" s="19">
        <f t="shared" si="6"/>
        <v>16.109333942693336</v>
      </c>
      <c r="K90" s="20">
        <f t="shared" si="7"/>
        <v>2013</v>
      </c>
      <c r="M90" s="21">
        <f t="shared" si="8"/>
        <v>2.7080502011022101</v>
      </c>
      <c r="N90" s="21">
        <f t="shared" si="9"/>
        <v>2.7793988519948485</v>
      </c>
    </row>
    <row r="91" spans="1:14" x14ac:dyDescent="0.2">
      <c r="A91" s="25">
        <f>'GF + UG Iteration 14'!A91</f>
        <v>1349</v>
      </c>
      <c r="B91" s="25" t="str">
        <f>'GF + UG Iteration 14'!B91</f>
        <v>GF</v>
      </c>
      <c r="C91" s="18">
        <f>'GF + UG Iteration 14'!C91</f>
        <v>34</v>
      </c>
      <c r="D91" s="19">
        <f>'GF + UG Iteration 14'!D91</f>
        <v>8.9679522578977586</v>
      </c>
      <c r="E91" s="30">
        <f>'GF + UG Iteration 14'!E91</f>
        <v>2013</v>
      </c>
      <c r="F91" s="18"/>
      <c r="G91" s="19"/>
      <c r="H91" s="20"/>
      <c r="I91" s="18">
        <f t="shared" si="5"/>
        <v>34</v>
      </c>
      <c r="J91" s="19">
        <f t="shared" si="6"/>
        <v>8.9679522578977586</v>
      </c>
      <c r="K91" s="20">
        <f t="shared" si="7"/>
        <v>2013</v>
      </c>
      <c r="M91" s="21">
        <f t="shared" si="8"/>
        <v>3.5263605246161616</v>
      </c>
      <c r="N91" s="21">
        <f t="shared" si="9"/>
        <v>2.193657362149283</v>
      </c>
    </row>
    <row r="92" spans="1:14" x14ac:dyDescent="0.2">
      <c r="A92" s="25">
        <f>'GF + UG Iteration 14'!A92</f>
        <v>1358</v>
      </c>
      <c r="B92" s="25" t="str">
        <f>'GF + UG Iteration 14'!B92</f>
        <v>GF</v>
      </c>
      <c r="C92" s="18">
        <f>'GF + UG Iteration 14'!C92</f>
        <v>27</v>
      </c>
      <c r="D92" s="19">
        <f>'GF + UG Iteration 14'!D92</f>
        <v>13.07265503282744</v>
      </c>
      <c r="E92" s="30">
        <f>'GF + UG Iteration 14'!E92</f>
        <v>2013</v>
      </c>
      <c r="F92" s="18"/>
      <c r="G92" s="19"/>
      <c r="H92" s="20"/>
      <c r="I92" s="18">
        <f t="shared" si="5"/>
        <v>27</v>
      </c>
      <c r="J92" s="19">
        <f t="shared" si="6"/>
        <v>13.07265503282744</v>
      </c>
      <c r="K92" s="20">
        <f t="shared" si="7"/>
        <v>2013</v>
      </c>
      <c r="M92" s="21">
        <f t="shared" si="8"/>
        <v>3.2958368660043291</v>
      </c>
      <c r="N92" s="21">
        <f t="shared" si="9"/>
        <v>2.5705226464726247</v>
      </c>
    </row>
    <row r="93" spans="1:14" x14ac:dyDescent="0.2">
      <c r="A93" s="25">
        <f>'GF + UG Iteration 14'!A93</f>
        <v>1404</v>
      </c>
      <c r="B93" s="25" t="str">
        <f>'GF + UG Iteration 14'!B93</f>
        <v>GF</v>
      </c>
      <c r="C93" s="18">
        <f>'GF + UG Iteration 14'!C93</f>
        <v>35</v>
      </c>
      <c r="D93" s="19">
        <f>'GF + UG Iteration 14'!D93</f>
        <v>35.276341164894447</v>
      </c>
      <c r="E93" s="30">
        <f>'GF + UG Iteration 14'!E93</f>
        <v>2013</v>
      </c>
      <c r="F93" s="18"/>
      <c r="G93" s="19"/>
      <c r="H93" s="20"/>
      <c r="I93" s="18">
        <f t="shared" si="5"/>
        <v>35</v>
      </c>
      <c r="J93" s="19">
        <f t="shared" si="6"/>
        <v>35.276341164894447</v>
      </c>
      <c r="K93" s="20">
        <f t="shared" si="7"/>
        <v>2013</v>
      </c>
      <c r="M93" s="21">
        <f t="shared" si="8"/>
        <v>3.5553480614894135</v>
      </c>
      <c r="N93" s="21">
        <f t="shared" si="9"/>
        <v>3.5632125172824458</v>
      </c>
    </row>
    <row r="94" spans="1:14" x14ac:dyDescent="0.2">
      <c r="A94" s="25">
        <f>'GF + UG Iteration 14'!A94</f>
        <v>1482</v>
      </c>
      <c r="B94" s="25" t="str">
        <f>'GF + UG Iteration 14'!B94</f>
        <v>GF</v>
      </c>
      <c r="C94" s="18">
        <f>'GF + UG Iteration 14'!C94</f>
        <v>18.399999999999999</v>
      </c>
      <c r="D94" s="19">
        <f>'GF + UG Iteration 14'!D94</f>
        <v>18.765793673519447</v>
      </c>
      <c r="E94" s="30">
        <f>'GF + UG Iteration 14'!E94</f>
        <v>2013</v>
      </c>
      <c r="F94" s="18"/>
      <c r="G94" s="19"/>
      <c r="H94" s="20"/>
      <c r="I94" s="18">
        <f t="shared" si="5"/>
        <v>18.399999999999999</v>
      </c>
      <c r="J94" s="19">
        <f t="shared" si="6"/>
        <v>18.765793673519447</v>
      </c>
      <c r="K94" s="20">
        <f t="shared" si="7"/>
        <v>2013</v>
      </c>
      <c r="M94" s="21">
        <f t="shared" si="8"/>
        <v>2.91235066461494</v>
      </c>
      <c r="N94" s="21">
        <f t="shared" si="9"/>
        <v>2.9320357271105943</v>
      </c>
    </row>
    <row r="95" spans="1:14" x14ac:dyDescent="0.2">
      <c r="A95" s="25">
        <f>'GF + UG Iteration 14'!A95</f>
        <v>1515</v>
      </c>
      <c r="B95" s="25" t="str">
        <f>'GF + UG Iteration 14'!B95</f>
        <v>GF</v>
      </c>
      <c r="C95" s="18">
        <f>'GF + UG Iteration 14'!C95</f>
        <v>7.2</v>
      </c>
      <c r="D95" s="19">
        <f>'GF + UG Iteration 14'!D95</f>
        <v>12.99271394051414</v>
      </c>
      <c r="E95" s="30">
        <f>'GF + UG Iteration 14'!E95</f>
        <v>2013</v>
      </c>
      <c r="F95" s="18"/>
      <c r="G95" s="19"/>
      <c r="H95" s="20"/>
      <c r="I95" s="18">
        <f t="shared" si="5"/>
        <v>7.2</v>
      </c>
      <c r="J95" s="19">
        <f t="shared" si="6"/>
        <v>12.99271394051414</v>
      </c>
      <c r="K95" s="20">
        <f t="shared" si="7"/>
        <v>2013</v>
      </c>
      <c r="M95" s="21">
        <f t="shared" si="8"/>
        <v>1.9740810260220096</v>
      </c>
      <c r="N95" s="21">
        <f t="shared" si="9"/>
        <v>2.5643887342273977</v>
      </c>
    </row>
    <row r="96" spans="1:14" x14ac:dyDescent="0.2">
      <c r="A96" s="25">
        <f>'GF + UG Iteration 14'!A96</f>
        <v>1618</v>
      </c>
      <c r="B96" s="25" t="str">
        <f>'GF + UG Iteration 14'!B96</f>
        <v>GF</v>
      </c>
      <c r="C96" s="18">
        <f>'GF + UG Iteration 14'!C96</f>
        <v>21</v>
      </c>
      <c r="D96" s="19">
        <f>'GF + UG Iteration 14'!D96</f>
        <v>15.965955598995766</v>
      </c>
      <c r="E96" s="30">
        <f>'GF + UG Iteration 14'!E96</f>
        <v>2016</v>
      </c>
      <c r="F96" s="18"/>
      <c r="G96" s="19"/>
      <c r="H96" s="20"/>
      <c r="I96" s="18">
        <f t="shared" si="5"/>
        <v>21</v>
      </c>
      <c r="J96" s="19">
        <f t="shared" si="6"/>
        <v>15.965955598995766</v>
      </c>
      <c r="K96" s="20">
        <f t="shared" si="7"/>
        <v>2016</v>
      </c>
      <c r="M96" s="21">
        <f t="shared" si="8"/>
        <v>3.044522437723423</v>
      </c>
      <c r="N96" s="21">
        <f t="shared" si="9"/>
        <v>2.7704586802474096</v>
      </c>
    </row>
    <row r="97" spans="1:14" x14ac:dyDescent="0.2">
      <c r="A97" s="25">
        <f>'GF + UG Iteration 14'!A97</f>
        <v>1634</v>
      </c>
      <c r="B97" s="25" t="str">
        <f>'GF + UG Iteration 14'!B97</f>
        <v>GF</v>
      </c>
      <c r="C97" s="18">
        <f>'GF + UG Iteration 14'!C97</f>
        <v>17.899999999999999</v>
      </c>
      <c r="D97" s="19">
        <f>'GF + UG Iteration 14'!D97</f>
        <v>17.172783979023848</v>
      </c>
      <c r="E97" s="30">
        <f>'GF + UG Iteration 14'!E97</f>
        <v>2015</v>
      </c>
      <c r="F97" s="18"/>
      <c r="G97" s="19"/>
      <c r="H97" s="20"/>
      <c r="I97" s="18">
        <f t="shared" si="5"/>
        <v>17.899999999999999</v>
      </c>
      <c r="J97" s="19">
        <f t="shared" si="6"/>
        <v>17.172783979023848</v>
      </c>
      <c r="K97" s="20">
        <f t="shared" si="7"/>
        <v>2015</v>
      </c>
      <c r="M97" s="21">
        <f t="shared" si="8"/>
        <v>2.884800712846709</v>
      </c>
      <c r="N97" s="21">
        <f t="shared" si="9"/>
        <v>2.8433258038172586</v>
      </c>
    </row>
    <row r="98" spans="1:14" x14ac:dyDescent="0.2">
      <c r="A98" s="25">
        <f>'GF + UG Iteration 14'!A98</f>
        <v>1258</v>
      </c>
      <c r="B98" s="25" t="str">
        <f>'GF + UG Iteration 14'!B98</f>
        <v>GF</v>
      </c>
      <c r="C98" s="18">
        <f>'GF + UG Iteration 14'!C98</f>
        <v>46</v>
      </c>
      <c r="D98" s="19">
        <f>'GF + UG Iteration 14'!D98</f>
        <v>53.518330212347877</v>
      </c>
      <c r="E98" s="30">
        <f>'GF + UG Iteration 14'!E98</f>
        <v>2017</v>
      </c>
      <c r="F98" s="18"/>
      <c r="G98" s="19"/>
      <c r="H98" s="20"/>
      <c r="I98" s="18">
        <f t="shared" si="5"/>
        <v>46</v>
      </c>
      <c r="J98" s="19">
        <f t="shared" si="6"/>
        <v>53.518330212347877</v>
      </c>
      <c r="K98" s="20">
        <f t="shared" si="7"/>
        <v>2017</v>
      </c>
      <c r="M98" s="21">
        <f t="shared" si="8"/>
        <v>3.8286413964890951</v>
      </c>
      <c r="N98" s="21">
        <f t="shared" si="9"/>
        <v>3.98002421601241</v>
      </c>
    </row>
    <row r="99" spans="1:14" x14ac:dyDescent="0.2">
      <c r="A99" s="25">
        <f>'GF + UG Iteration 14'!A99</f>
        <v>1284</v>
      </c>
      <c r="B99" s="25" t="str">
        <f>'GF + UG Iteration 14'!B99</f>
        <v>GF</v>
      </c>
      <c r="C99" s="18">
        <f>'GF + UG Iteration 14'!C99</f>
        <v>24.1</v>
      </c>
      <c r="D99" s="19">
        <f>'GF + UG Iteration 14'!D99</f>
        <v>7.0843108002972475</v>
      </c>
      <c r="E99" s="30">
        <f>'GF + UG Iteration 14'!E99</f>
        <v>2013</v>
      </c>
      <c r="F99" s="18"/>
      <c r="G99" s="19"/>
      <c r="H99" s="20"/>
      <c r="I99" s="18">
        <f t="shared" si="5"/>
        <v>24.1</v>
      </c>
      <c r="J99" s="19">
        <f t="shared" si="6"/>
        <v>7.0843108002972475</v>
      </c>
      <c r="K99" s="20">
        <f t="shared" si="7"/>
        <v>2013</v>
      </c>
      <c r="M99" s="21">
        <f t="shared" si="8"/>
        <v>3.1822118404966093</v>
      </c>
      <c r="N99" s="21">
        <f t="shared" si="9"/>
        <v>1.9578825925179175</v>
      </c>
    </row>
    <row r="100" spans="1:14" x14ac:dyDescent="0.2">
      <c r="A100" s="25" t="str">
        <f>'GF + UG Iteration 14'!A100</f>
        <v>Pre-01</v>
      </c>
      <c r="B100" s="25" t="str">
        <f>'GF + UG Iteration 14'!B100</f>
        <v>GF</v>
      </c>
      <c r="C100" s="18">
        <f>'GF + UG Iteration 14'!C100</f>
        <v>2.2000000000000002</v>
      </c>
      <c r="D100" s="19">
        <f>'GF + UG Iteration 14'!D100</f>
        <v>2.4933711786255444</v>
      </c>
      <c r="E100" s="30">
        <f>'GF + UG Iteration 14'!E100</f>
        <v>1990</v>
      </c>
      <c r="F100" s="18"/>
      <c r="G100" s="19"/>
      <c r="H100" s="20"/>
      <c r="I100" s="18">
        <f t="shared" si="5"/>
        <v>2.2000000000000002</v>
      </c>
      <c r="J100" s="19">
        <f t="shared" si="6"/>
        <v>2.4933711786255444</v>
      </c>
      <c r="K100" s="20">
        <f t="shared" si="7"/>
        <v>1990</v>
      </c>
      <c r="M100" s="21">
        <f t="shared" si="8"/>
        <v>0.78845736036427028</v>
      </c>
      <c r="N100" s="21">
        <f t="shared" si="9"/>
        <v>0.91363568179621524</v>
      </c>
    </row>
    <row r="101" spans="1:14" x14ac:dyDescent="0.2">
      <c r="A101" s="25" t="str">
        <f>'GF + UG Iteration 14'!A101</f>
        <v>Pre-02</v>
      </c>
      <c r="B101" s="25" t="str">
        <f>'GF + UG Iteration 14'!B101</f>
        <v>GF</v>
      </c>
      <c r="C101" s="18">
        <f>'GF + UG Iteration 14'!C101</f>
        <v>1.464</v>
      </c>
      <c r="D101" s="19">
        <f>'GF + UG Iteration 14'!D101</f>
        <v>1.4940223849019025</v>
      </c>
      <c r="E101" s="30">
        <f>'GF + UG Iteration 14'!E101</f>
        <v>1987</v>
      </c>
      <c r="F101" s="18"/>
      <c r="G101" s="19"/>
      <c r="H101" s="20"/>
      <c r="I101" s="18">
        <f t="shared" si="5"/>
        <v>1.464</v>
      </c>
      <c r="J101" s="19">
        <f t="shared" si="6"/>
        <v>1.4940223849019025</v>
      </c>
      <c r="K101" s="20">
        <f t="shared" si="7"/>
        <v>1987</v>
      </c>
      <c r="M101" s="21">
        <f t="shared" si="8"/>
        <v>0.38117241553911979</v>
      </c>
      <c r="N101" s="21">
        <f t="shared" si="9"/>
        <v>0.40147206979911648</v>
      </c>
    </row>
    <row r="102" spans="1:14" x14ac:dyDescent="0.2">
      <c r="A102" s="25" t="str">
        <f>'GF + UG Iteration 14'!A102</f>
        <v>Pre-03</v>
      </c>
      <c r="B102" s="25" t="str">
        <f>'GF + UG Iteration 14'!B102</f>
        <v>GF</v>
      </c>
      <c r="C102" s="18">
        <f>'GF + UG Iteration 14'!C102</f>
        <v>4.0750000000000002</v>
      </c>
      <c r="D102" s="19">
        <f>'GF + UG Iteration 14'!D102</f>
        <v>1.9369408873503524</v>
      </c>
      <c r="E102" s="30">
        <f>'GF + UG Iteration 14'!E102</f>
        <v>1990</v>
      </c>
      <c r="F102" s="18"/>
      <c r="G102" s="19"/>
      <c r="H102" s="20"/>
      <c r="I102" s="18">
        <f t="shared" si="5"/>
        <v>4.0750000000000002</v>
      </c>
      <c r="J102" s="19">
        <f t="shared" si="6"/>
        <v>1.9369408873503524</v>
      </c>
      <c r="K102" s="20">
        <f t="shared" si="7"/>
        <v>1990</v>
      </c>
      <c r="M102" s="21">
        <f t="shared" si="8"/>
        <v>1.4048707466928261</v>
      </c>
      <c r="N102" s="21">
        <f t="shared" si="9"/>
        <v>0.66110986632901214</v>
      </c>
    </row>
    <row r="103" spans="1:14" x14ac:dyDescent="0.2">
      <c r="A103" s="25" t="str">
        <f>'GF + UG Iteration 14'!A103</f>
        <v>Pre-04</v>
      </c>
      <c r="B103" s="25" t="str">
        <f>'GF + UG Iteration 14'!B103</f>
        <v>GF</v>
      </c>
      <c r="C103" s="18">
        <f>'GF + UG Iteration 14'!C103</f>
        <v>10</v>
      </c>
      <c r="D103" s="19">
        <f>'GF + UG Iteration 14'!D103</f>
        <v>8.526519330793306</v>
      </c>
      <c r="E103" s="30">
        <f>'GF + UG Iteration 14'!E103</f>
        <v>1991</v>
      </c>
      <c r="F103" s="18"/>
      <c r="G103" s="19"/>
      <c r="H103" s="20"/>
      <c r="I103" s="18">
        <f t="shared" si="5"/>
        <v>10</v>
      </c>
      <c r="J103" s="19">
        <f t="shared" si="6"/>
        <v>8.526519330793306</v>
      </c>
      <c r="K103" s="20">
        <f t="shared" si="7"/>
        <v>1991</v>
      </c>
      <c r="M103" s="21">
        <f t="shared" si="8"/>
        <v>2.3025850929940459</v>
      </c>
      <c r="N103" s="21">
        <f t="shared" si="9"/>
        <v>2.143181227911088</v>
      </c>
    </row>
    <row r="104" spans="1:14" x14ac:dyDescent="0.2">
      <c r="A104" s="25" t="str">
        <f>'GF + UG Iteration 14'!A104</f>
        <v>Pre-05</v>
      </c>
      <c r="B104" s="25" t="str">
        <f>'GF + UG Iteration 14'!B104</f>
        <v>GF</v>
      </c>
      <c r="C104" s="18">
        <f>'GF + UG Iteration 14'!C104</f>
        <v>4.8</v>
      </c>
      <c r="D104" s="19">
        <f>'GF + UG Iteration 14'!D104</f>
        <v>4.0521826998299986</v>
      </c>
      <c r="E104" s="30">
        <f>'GF + UG Iteration 14'!E104</f>
        <v>1988</v>
      </c>
      <c r="F104" s="18"/>
      <c r="G104" s="19"/>
      <c r="H104" s="20"/>
      <c r="I104" s="18">
        <f t="shared" si="5"/>
        <v>4.8</v>
      </c>
      <c r="J104" s="19">
        <f t="shared" si="6"/>
        <v>4.0521826998299986</v>
      </c>
      <c r="K104" s="20">
        <f t="shared" si="7"/>
        <v>1988</v>
      </c>
      <c r="M104" s="21">
        <f t="shared" si="8"/>
        <v>1.5686159179138452</v>
      </c>
      <c r="N104" s="21">
        <f t="shared" si="9"/>
        <v>1.3992556741730273</v>
      </c>
    </row>
    <row r="105" spans="1:14" x14ac:dyDescent="0.2">
      <c r="A105" s="25" t="str">
        <f>'GF + UG Iteration 14'!A105</f>
        <v>Pre-06</v>
      </c>
      <c r="B105" s="25" t="str">
        <f>'GF + UG Iteration 14'!B105</f>
        <v>GF</v>
      </c>
      <c r="C105" s="18">
        <f>'GF + UG Iteration 14'!C105</f>
        <v>5.0999999999999996</v>
      </c>
      <c r="D105" s="19">
        <f>'GF + UG Iteration 14'!D105</f>
        <v>9.6482174286466869</v>
      </c>
      <c r="E105" s="30">
        <f>'GF + UG Iteration 14'!E105</f>
        <v>1989</v>
      </c>
      <c r="F105" s="18"/>
      <c r="G105" s="19"/>
      <c r="H105" s="20"/>
      <c r="I105" s="18">
        <f t="shared" si="5"/>
        <v>5.0999999999999996</v>
      </c>
      <c r="J105" s="19">
        <f t="shared" si="6"/>
        <v>9.6482174286466869</v>
      </c>
      <c r="K105" s="20">
        <f t="shared" si="7"/>
        <v>1989</v>
      </c>
      <c r="M105" s="21">
        <f t="shared" si="8"/>
        <v>1.62924053973028</v>
      </c>
      <c r="N105" s="21">
        <f t="shared" si="9"/>
        <v>2.2667731758675744</v>
      </c>
    </row>
    <row r="106" spans="1:14" x14ac:dyDescent="0.2">
      <c r="A106" s="25" t="str">
        <f>'GF + UG Iteration 14'!A106</f>
        <v>Pre-07</v>
      </c>
      <c r="B106" s="25" t="str">
        <f>'GF + UG Iteration 14'!B106</f>
        <v>GF</v>
      </c>
      <c r="C106" s="18">
        <f>'GF + UG Iteration 14'!C106</f>
        <v>6.9</v>
      </c>
      <c r="D106" s="19">
        <f>'GF + UG Iteration 14'!D106</f>
        <v>5.029432718717521</v>
      </c>
      <c r="E106" s="30">
        <f>'GF + UG Iteration 14'!E106</f>
        <v>1997</v>
      </c>
      <c r="F106" s="18"/>
      <c r="G106" s="19"/>
      <c r="H106" s="20"/>
      <c r="I106" s="18">
        <f t="shared" si="5"/>
        <v>6.9</v>
      </c>
      <c r="J106" s="19">
        <f t="shared" si="6"/>
        <v>5.029432718717521</v>
      </c>
      <c r="K106" s="20">
        <f t="shared" si="7"/>
        <v>1997</v>
      </c>
      <c r="M106" s="21">
        <f t="shared" si="8"/>
        <v>1.9315214116032138</v>
      </c>
      <c r="N106" s="21">
        <f t="shared" si="9"/>
        <v>1.6153071981725313</v>
      </c>
    </row>
    <row r="107" spans="1:14" x14ac:dyDescent="0.2">
      <c r="A107" s="25" t="str">
        <f>'GF + UG Iteration 14'!A107</f>
        <v>Pre-08</v>
      </c>
      <c r="B107" s="25" t="str">
        <f>'GF + UG Iteration 14'!B107</f>
        <v>GF</v>
      </c>
      <c r="C107" s="18">
        <f>'GF + UG Iteration 14'!C107</f>
        <v>11.8</v>
      </c>
      <c r="D107" s="19">
        <f>'GF + UG Iteration 14'!D107</f>
        <v>6.372939235597177</v>
      </c>
      <c r="E107" s="30">
        <f>'GF + UG Iteration 14'!E107</f>
        <v>1987</v>
      </c>
      <c r="F107" s="18"/>
      <c r="G107" s="19"/>
      <c r="H107" s="20"/>
      <c r="I107" s="18">
        <f t="shared" si="5"/>
        <v>11.8</v>
      </c>
      <c r="J107" s="19">
        <f t="shared" si="6"/>
        <v>6.372939235597177</v>
      </c>
      <c r="K107" s="20">
        <f t="shared" si="7"/>
        <v>1987</v>
      </c>
      <c r="M107" s="21">
        <f t="shared" si="8"/>
        <v>2.4680995314716192</v>
      </c>
      <c r="N107" s="21">
        <f t="shared" si="9"/>
        <v>1.8520607816244041</v>
      </c>
    </row>
    <row r="108" spans="1:14" x14ac:dyDescent="0.2">
      <c r="A108" s="25" t="str">
        <f>'GF + UG Iteration 14'!A108</f>
        <v>Pre-09</v>
      </c>
      <c r="B108" s="25" t="str">
        <f>'GF + UG Iteration 14'!B108</f>
        <v>GF</v>
      </c>
      <c r="C108" s="18">
        <f>'GF + UG Iteration 14'!C108</f>
        <v>9.6999999999999993</v>
      </c>
      <c r="D108" s="19">
        <f>'GF + UG Iteration 14'!D108</f>
        <v>2.9443376052628771</v>
      </c>
      <c r="E108" s="30">
        <f>'GF + UG Iteration 14'!E108</f>
        <v>1997</v>
      </c>
      <c r="F108" s="18"/>
      <c r="G108" s="19"/>
      <c r="H108" s="20"/>
      <c r="I108" s="18">
        <f t="shared" si="5"/>
        <v>9.6999999999999993</v>
      </c>
      <c r="J108" s="19">
        <f t="shared" si="6"/>
        <v>2.9443376052628771</v>
      </c>
      <c r="K108" s="20">
        <f t="shared" si="7"/>
        <v>1997</v>
      </c>
      <c r="M108" s="21">
        <f t="shared" si="8"/>
        <v>2.2721258855093369</v>
      </c>
      <c r="N108" s="21">
        <f t="shared" si="9"/>
        <v>1.0798838699925799</v>
      </c>
    </row>
    <row r="109" spans="1:14" x14ac:dyDescent="0.2">
      <c r="A109" s="25" t="str">
        <f>'GF + UG Iteration 14'!A109</f>
        <v>Pre-10</v>
      </c>
      <c r="B109" s="25" t="str">
        <f>'GF + UG Iteration 14'!B109</f>
        <v>GF</v>
      </c>
      <c r="C109" s="18">
        <f>'GF + UG Iteration 14'!C109</f>
        <v>6.12</v>
      </c>
      <c r="D109" s="19">
        <f>'GF + UG Iteration 14'!D109</f>
        <v>13.481108575958453</v>
      </c>
      <c r="E109" s="30">
        <f>'GF + UG Iteration 14'!E109</f>
        <v>1990</v>
      </c>
      <c r="F109" s="18"/>
      <c r="G109" s="19"/>
      <c r="H109" s="20"/>
      <c r="I109" s="18">
        <f t="shared" si="5"/>
        <v>6.12</v>
      </c>
      <c r="J109" s="19">
        <f t="shared" si="6"/>
        <v>13.481108575958453</v>
      </c>
      <c r="K109" s="20">
        <f t="shared" si="7"/>
        <v>1990</v>
      </c>
      <c r="M109" s="21">
        <f t="shared" si="8"/>
        <v>1.8115620965242347</v>
      </c>
      <c r="N109" s="21">
        <f t="shared" si="9"/>
        <v>2.6012893406753403</v>
      </c>
    </row>
    <row r="110" spans="1:14" x14ac:dyDescent="0.2">
      <c r="A110" s="25" t="str">
        <f>'GF + UG Iteration 14'!A110</f>
        <v>Pre-11</v>
      </c>
      <c r="B110" s="25" t="str">
        <f>'GF + UG Iteration 14'!B110</f>
        <v>GF</v>
      </c>
      <c r="C110" s="18">
        <f>'GF + UG Iteration 14'!C110</f>
        <v>6.2671999999999999</v>
      </c>
      <c r="D110" s="19">
        <f>'GF + UG Iteration 14'!D110</f>
        <v>2.9102311039234974</v>
      </c>
      <c r="E110" s="30">
        <f>'GF + UG Iteration 14'!E110</f>
        <v>1987</v>
      </c>
      <c r="F110" s="18"/>
      <c r="G110" s="19"/>
      <c r="H110" s="20"/>
      <c r="I110" s="18">
        <f t="shared" si="5"/>
        <v>6.2671999999999999</v>
      </c>
      <c r="J110" s="19">
        <f t="shared" si="6"/>
        <v>2.9102311039234974</v>
      </c>
      <c r="K110" s="20">
        <f t="shared" si="7"/>
        <v>1987</v>
      </c>
      <c r="M110" s="21">
        <f t="shared" si="8"/>
        <v>1.8353296839294297</v>
      </c>
      <c r="N110" s="21">
        <f t="shared" si="9"/>
        <v>1.0682324951858668</v>
      </c>
    </row>
    <row r="111" spans="1:14" x14ac:dyDescent="0.2">
      <c r="A111" s="25" t="str">
        <f>'GF + UG Iteration 14'!A111</f>
        <v>Pre-12</v>
      </c>
      <c r="B111" s="25" t="str">
        <f>'GF + UG Iteration 14'!B111</f>
        <v>GF</v>
      </c>
      <c r="C111" s="18">
        <f>'GF + UG Iteration 14'!C111</f>
        <v>6.3659999999999997</v>
      </c>
      <c r="D111" s="19">
        <f>'GF + UG Iteration 14'!D111</f>
        <v>9.8906921245327926</v>
      </c>
      <c r="E111" s="30">
        <f>'GF + UG Iteration 14'!E111</f>
        <v>1993</v>
      </c>
      <c r="F111" s="18"/>
      <c r="G111" s="19"/>
      <c r="H111" s="20"/>
      <c r="I111" s="18">
        <f t="shared" si="5"/>
        <v>6.3659999999999997</v>
      </c>
      <c r="J111" s="19">
        <f t="shared" si="6"/>
        <v>9.8906921245327926</v>
      </c>
      <c r="K111" s="20">
        <f t="shared" si="7"/>
        <v>1993</v>
      </c>
      <c r="M111" s="21">
        <f t="shared" si="8"/>
        <v>1.850971328859901</v>
      </c>
      <c r="N111" s="21">
        <f t="shared" si="9"/>
        <v>2.2915941254440955</v>
      </c>
    </row>
    <row r="112" spans="1:14" x14ac:dyDescent="0.2">
      <c r="A112" s="25" t="str">
        <f>'GF + UG Iteration 14'!A112</f>
        <v>Pre-13</v>
      </c>
      <c r="B112" s="25" t="str">
        <f>'GF + UG Iteration 14'!B112</f>
        <v>GF</v>
      </c>
      <c r="C112" s="18">
        <f>'GF + UG Iteration 14'!C112</f>
        <v>8.5</v>
      </c>
      <c r="D112" s="19">
        <f>'GF + UG Iteration 14'!D112</f>
        <v>5.9446476688134462</v>
      </c>
      <c r="E112" s="30">
        <f>'GF + UG Iteration 14'!E112</f>
        <v>1990</v>
      </c>
      <c r="F112" s="18"/>
      <c r="G112" s="19"/>
      <c r="H112" s="20"/>
      <c r="I112" s="18">
        <f t="shared" si="5"/>
        <v>8.5</v>
      </c>
      <c r="J112" s="19">
        <f t="shared" si="6"/>
        <v>5.9446476688134462</v>
      </c>
      <c r="K112" s="20">
        <f t="shared" si="7"/>
        <v>1990</v>
      </c>
      <c r="M112" s="21">
        <f t="shared" si="8"/>
        <v>2.1400661634962708</v>
      </c>
      <c r="N112" s="21">
        <f t="shared" si="9"/>
        <v>1.7824912632583982</v>
      </c>
    </row>
    <row r="113" spans="1:14" x14ac:dyDescent="0.2">
      <c r="A113" s="25" t="str">
        <f>'GF + UG Iteration 14'!A113</f>
        <v>Pre-14</v>
      </c>
      <c r="B113" s="25" t="str">
        <f>'GF + UG Iteration 14'!B113</f>
        <v>GF</v>
      </c>
      <c r="C113" s="18">
        <f>'GF + UG Iteration 14'!C113</f>
        <v>46.55</v>
      </c>
      <c r="D113" s="19">
        <f>'GF + UG Iteration 14'!D113</f>
        <v>7.1936227504100643</v>
      </c>
      <c r="E113" s="30">
        <f>'GF + UG Iteration 14'!E113</f>
        <v>1991</v>
      </c>
      <c r="F113" s="18"/>
      <c r="G113" s="19"/>
      <c r="H113" s="20"/>
      <c r="I113" s="18">
        <f t="shared" si="5"/>
        <v>46.55</v>
      </c>
      <c r="J113" s="19">
        <f t="shared" si="6"/>
        <v>7.1936227504100643</v>
      </c>
      <c r="K113" s="20">
        <f t="shared" si="7"/>
        <v>1991</v>
      </c>
      <c r="M113" s="21">
        <f t="shared" si="8"/>
        <v>3.8405270037230759</v>
      </c>
      <c r="N113" s="21">
        <f t="shared" si="9"/>
        <v>1.9731949044224915</v>
      </c>
    </row>
    <row r="114" spans="1:14" x14ac:dyDescent="0.2">
      <c r="A114" s="25" t="str">
        <f>'GF + UG Iteration 14'!A114</f>
        <v>Pre-15</v>
      </c>
      <c r="B114" s="25" t="str">
        <f>'GF + UG Iteration 14'!B114</f>
        <v>GF</v>
      </c>
      <c r="C114" s="18">
        <f>'GF + UG Iteration 14'!C114</f>
        <v>56.8</v>
      </c>
      <c r="D114" s="19">
        <f>'GF + UG Iteration 14'!D114</f>
        <v>17.594466678549747</v>
      </c>
      <c r="E114" s="30">
        <f>'GF + UG Iteration 14'!E114</f>
        <v>1990</v>
      </c>
      <c r="F114" s="18"/>
      <c r="G114" s="19"/>
      <c r="H114" s="20"/>
      <c r="I114" s="18">
        <f t="shared" si="5"/>
        <v>56.8</v>
      </c>
      <c r="J114" s="19">
        <f t="shared" si="6"/>
        <v>17.594466678549747</v>
      </c>
      <c r="K114" s="20">
        <f t="shared" si="7"/>
        <v>1990</v>
      </c>
      <c r="M114" s="21">
        <f t="shared" si="8"/>
        <v>4.0395363257271057</v>
      </c>
      <c r="N114" s="21">
        <f t="shared" si="9"/>
        <v>2.867584459347964</v>
      </c>
    </row>
    <row r="115" spans="1:14" x14ac:dyDescent="0.2">
      <c r="A115" s="25" t="str">
        <f>'GF + UG Iteration 14'!A115</f>
        <v>Pre-16</v>
      </c>
      <c r="B115" s="25" t="str">
        <f>'GF + UG Iteration 14'!B115</f>
        <v>GF</v>
      </c>
      <c r="C115" s="18">
        <f>'GF + UG Iteration 14'!C115</f>
        <v>81.575999999999993</v>
      </c>
      <c r="D115" s="19">
        <f>'GF + UG Iteration 14'!D115</f>
        <v>14.026199251012313</v>
      </c>
      <c r="E115" s="30">
        <f>'GF + UG Iteration 14'!E115</f>
        <v>1988</v>
      </c>
      <c r="F115" s="18"/>
      <c r="G115" s="19"/>
      <c r="H115" s="20"/>
      <c r="I115" s="18">
        <f t="shared" si="5"/>
        <v>81.575999999999993</v>
      </c>
      <c r="J115" s="19">
        <f t="shared" si="6"/>
        <v>14.026199251012313</v>
      </c>
      <c r="K115" s="20">
        <f t="shared" si="7"/>
        <v>1988</v>
      </c>
      <c r="M115" s="21">
        <f t="shared" si="8"/>
        <v>4.4015351010619241</v>
      </c>
      <c r="N115" s="21">
        <f t="shared" si="9"/>
        <v>2.6409269558467208</v>
      </c>
    </row>
    <row r="116" spans="1:14" x14ac:dyDescent="0.2">
      <c r="A116" s="25" t="str">
        <f>'GF + UG Iteration 14'!A116</f>
        <v>Pre-17</v>
      </c>
      <c r="B116" s="25" t="str">
        <f>'GF + UG Iteration 14'!B116</f>
        <v>GF</v>
      </c>
      <c r="C116" s="18">
        <f>'GF + UG Iteration 14'!C116</f>
        <v>95.2</v>
      </c>
      <c r="D116" s="19">
        <f>'GF + UG Iteration 14'!D116</f>
        <v>14.219904176944949</v>
      </c>
      <c r="E116" s="30">
        <f>'GF + UG Iteration 14'!E116</f>
        <v>1999</v>
      </c>
      <c r="F116" s="18"/>
      <c r="G116" s="19"/>
      <c r="H116" s="20"/>
      <c r="I116" s="18">
        <f t="shared" si="5"/>
        <v>95.2</v>
      </c>
      <c r="J116" s="19">
        <f t="shared" si="6"/>
        <v>14.219904176944949</v>
      </c>
      <c r="K116" s="20">
        <f t="shared" si="7"/>
        <v>1999</v>
      </c>
      <c r="M116" s="21">
        <f t="shared" si="8"/>
        <v>4.5559799417973199</v>
      </c>
      <c r="N116" s="21">
        <f t="shared" si="9"/>
        <v>2.654642685740924</v>
      </c>
    </row>
    <row r="117" spans="1:14" x14ac:dyDescent="0.2">
      <c r="A117" s="25" t="str">
        <f>'GF + UG Iteration 14'!A117</f>
        <v>Pre-18</v>
      </c>
      <c r="B117" s="25" t="str">
        <f>'GF + UG Iteration 14'!B117</f>
        <v>GF</v>
      </c>
      <c r="C117" s="18">
        <f>'GF + UG Iteration 14'!C117</f>
        <v>122.77200000000001</v>
      </c>
      <c r="D117" s="19">
        <f>'GF + UG Iteration 14'!D117</f>
        <v>23.447549869052086</v>
      </c>
      <c r="E117" s="30">
        <f>'GF + UG Iteration 14'!E117</f>
        <v>1990</v>
      </c>
      <c r="F117" s="18"/>
      <c r="G117" s="19"/>
      <c r="H117" s="20"/>
      <c r="I117" s="18">
        <f t="shared" si="5"/>
        <v>122.77200000000001</v>
      </c>
      <c r="J117" s="19">
        <f t="shared" si="6"/>
        <v>23.447549869052086</v>
      </c>
      <c r="K117" s="20">
        <f t="shared" si="7"/>
        <v>1990</v>
      </c>
      <c r="M117" s="21">
        <f t="shared" si="8"/>
        <v>4.8103289766848034</v>
      </c>
      <c r="N117" s="21">
        <f t="shared" si="9"/>
        <v>3.1547660062374661</v>
      </c>
    </row>
    <row r="118" spans="1:14" x14ac:dyDescent="0.2">
      <c r="A118" s="33">
        <f>'GF + UG Iteration 14'!A118</f>
        <v>1184</v>
      </c>
      <c r="B118" s="34" t="str">
        <f>'GF + UG Iteration 14'!B118</f>
        <v>UG</v>
      </c>
      <c r="C118" s="35">
        <f>'GF + UG Iteration 14'!C118</f>
        <v>30</v>
      </c>
      <c r="D118" s="36">
        <f>'GF + UG Iteration 14'!P$16*(C118^'GF + UG Iteration 14'!P$15)</f>
        <v>17.908732262407284</v>
      </c>
      <c r="E118" s="37">
        <f>'GF + UG Iteration 14'!E118</f>
        <v>2013</v>
      </c>
      <c r="F118" s="35">
        <f>'GF + UG Iteration 14'!F118</f>
        <v>18.200000000000003</v>
      </c>
      <c r="G118" s="36">
        <f>'GF + UG Iteration 14'!G118</f>
        <v>18.869341885211266</v>
      </c>
      <c r="H118" s="38">
        <f>'GF + UG Iteration 14'!H118</f>
        <v>2012</v>
      </c>
      <c r="I118" s="35">
        <f>C118+F118</f>
        <v>48.2</v>
      </c>
      <c r="J118" s="36">
        <f>D118+G118</f>
        <v>36.778074147618554</v>
      </c>
      <c r="K118" s="38">
        <f>MAX(E118,H118)</f>
        <v>2013</v>
      </c>
      <c r="M118" s="21">
        <f t="shared" si="8"/>
        <v>3.8753590210565547</v>
      </c>
      <c r="N118" s="21">
        <f t="shared" si="9"/>
        <v>3.604901856402837</v>
      </c>
    </row>
    <row r="119" spans="1:14" x14ac:dyDescent="0.2">
      <c r="A119" s="33">
        <f>'GF + UG Iteration 14'!A119</f>
        <v>1481</v>
      </c>
      <c r="B119" s="34" t="str">
        <f>'GF + UG Iteration 14'!B119</f>
        <v>UG</v>
      </c>
      <c r="C119" s="35">
        <f>'GF + UG Iteration 14'!C119</f>
        <v>48.2</v>
      </c>
      <c r="D119" s="36">
        <f>'GF + UG Iteration 14'!P$16*(C119^'GF + UG Iteration 14'!P$15)</f>
        <v>23.495153662352983</v>
      </c>
      <c r="E119" s="37">
        <f>'GF + UG Iteration 14'!E119</f>
        <v>2013</v>
      </c>
      <c r="F119" s="35">
        <f>'GF + UG Iteration 14'!F119</f>
        <v>0</v>
      </c>
      <c r="G119" s="36">
        <f>'GF + UG Iteration 14'!G119</f>
        <v>1.1114331301697908</v>
      </c>
      <c r="H119" s="38">
        <f>'GF + UG Iteration 14'!H119</f>
        <v>2014</v>
      </c>
      <c r="I119" s="35">
        <f t="shared" ref="I119:I183" si="10">C119+F119</f>
        <v>48.2</v>
      </c>
      <c r="J119" s="36">
        <f t="shared" ref="J119:J183" si="11">D119+G119</f>
        <v>24.606586792522773</v>
      </c>
      <c r="K119" s="38">
        <f t="shared" ref="K119:K183" si="12">MAX(E119,H119)</f>
        <v>2014</v>
      </c>
      <c r="M119" s="21">
        <f t="shared" si="8"/>
        <v>3.8753590210565547</v>
      </c>
      <c r="N119" s="21">
        <f t="shared" si="9"/>
        <v>3.2030141628917406</v>
      </c>
    </row>
    <row r="120" spans="1:14" x14ac:dyDescent="0.2">
      <c r="A120" s="33">
        <f>'GF + UG Iteration 14'!A120</f>
        <v>457</v>
      </c>
      <c r="B120" s="34" t="str">
        <f>'GF + UG Iteration 14'!B120</f>
        <v>UG</v>
      </c>
      <c r="C120" s="35">
        <f>'GF + UG Iteration 14'!C120</f>
        <v>10.77</v>
      </c>
      <c r="D120" s="36">
        <f>'GF + UG Iteration 14'!P$16*(C120^'GF + UG Iteration 14'!P$15)</f>
        <v>9.9611891163517665</v>
      </c>
      <c r="E120" s="37">
        <f>'GF + UG Iteration 14'!E120</f>
        <v>1990</v>
      </c>
      <c r="F120" s="35">
        <f>'GF + UG Iteration 14'!F120</f>
        <v>10</v>
      </c>
      <c r="G120" s="36">
        <f>'GF + UG Iteration 14'!G120</f>
        <v>3.289132084924363</v>
      </c>
      <c r="H120" s="38">
        <f>'GF + UG Iteration 14'!H120</f>
        <v>2006</v>
      </c>
      <c r="I120" s="35">
        <f t="shared" si="10"/>
        <v>20.77</v>
      </c>
      <c r="J120" s="36">
        <f t="shared" si="11"/>
        <v>13.25032120127613</v>
      </c>
      <c r="K120" s="38">
        <f t="shared" si="12"/>
        <v>2006</v>
      </c>
      <c r="M120" s="21">
        <f t="shared" si="8"/>
        <v>3.0335096378880211</v>
      </c>
      <c r="N120" s="21">
        <f t="shared" si="9"/>
        <v>2.5840217937441539</v>
      </c>
    </row>
    <row r="121" spans="1:14" x14ac:dyDescent="0.2">
      <c r="A121" s="33">
        <f>'GF + UG Iteration 14'!A121</f>
        <v>407</v>
      </c>
      <c r="B121" s="34" t="str">
        <f>'GF + UG Iteration 14'!B121</f>
        <v>UG</v>
      </c>
      <c r="C121" s="35">
        <f>'GF + UG Iteration 14'!C121</f>
        <v>25.4</v>
      </c>
      <c r="D121" s="36">
        <f>'GF + UG Iteration 14'!P$16*(C121^'GF + UG Iteration 14'!P$15)</f>
        <v>16.280692709362814</v>
      </c>
      <c r="E121" s="37">
        <f>'GF + UG Iteration 14'!E121</f>
        <v>1982</v>
      </c>
      <c r="F121" s="35">
        <f>'GF + UG Iteration 14'!F121</f>
        <v>2</v>
      </c>
      <c r="G121" s="36">
        <f>'GF + UG Iteration 14'!G121</f>
        <v>0.60106525862386018</v>
      </c>
      <c r="H121" s="38">
        <f>'GF + UG Iteration 14'!H121</f>
        <v>2004</v>
      </c>
      <c r="I121" s="35">
        <f t="shared" si="10"/>
        <v>27.4</v>
      </c>
      <c r="J121" s="36">
        <f t="shared" si="11"/>
        <v>16.881757967986672</v>
      </c>
      <c r="K121" s="38">
        <f t="shared" si="12"/>
        <v>2004</v>
      </c>
      <c r="M121" s="21">
        <f t="shared" si="8"/>
        <v>3.3105430133940246</v>
      </c>
      <c r="N121" s="21">
        <f t="shared" si="9"/>
        <v>2.8262336287680019</v>
      </c>
    </row>
    <row r="122" spans="1:14" x14ac:dyDescent="0.2">
      <c r="A122" s="33">
        <f>'GF + UG Iteration 14'!A122</f>
        <v>706</v>
      </c>
      <c r="B122" s="34" t="str">
        <f>'GF + UG Iteration 14'!B122</f>
        <v>UG</v>
      </c>
      <c r="C122" s="35">
        <f>'GF + UG Iteration 14'!C122</f>
        <v>14.85</v>
      </c>
      <c r="D122" s="36">
        <f>'GF + UG Iteration 14'!P$16*(C122^'GF + UG Iteration 14'!P$15)</f>
        <v>11.972787458979642</v>
      </c>
      <c r="E122" s="37">
        <f>'GF + UG Iteration 14'!E122</f>
        <v>1984</v>
      </c>
      <c r="F122" s="35">
        <f>'GF + UG Iteration 14'!F122</f>
        <v>14.250000000000002</v>
      </c>
      <c r="G122" s="36">
        <f>'GF + UG Iteration 14'!G122</f>
        <v>5.8346214151737739</v>
      </c>
      <c r="H122" s="38">
        <f>'GF + UG Iteration 14'!H122</f>
        <v>2008</v>
      </c>
      <c r="I122" s="35">
        <f t="shared" si="10"/>
        <v>29.1</v>
      </c>
      <c r="J122" s="36">
        <f t="shared" si="11"/>
        <v>17.807408874153417</v>
      </c>
      <c r="K122" s="38">
        <f t="shared" si="12"/>
        <v>2008</v>
      </c>
      <c r="M122" s="21">
        <f t="shared" si="8"/>
        <v>3.3707381741774469</v>
      </c>
      <c r="N122" s="21">
        <f t="shared" si="9"/>
        <v>2.8796145995838498</v>
      </c>
    </row>
    <row r="123" spans="1:14" x14ac:dyDescent="0.2">
      <c r="A123" s="33">
        <f>'GF + UG Iteration 14'!A123</f>
        <v>1070</v>
      </c>
      <c r="B123" s="34" t="str">
        <f>'GF + UG Iteration 14'!B123</f>
        <v>UG</v>
      </c>
      <c r="C123" s="35">
        <f>'GF + UG Iteration 14'!C123</f>
        <v>34</v>
      </c>
      <c r="D123" s="36">
        <f>'GF + UG Iteration 14'!P$16*(C123^'GF + UG Iteration 14'!P$15)</f>
        <v>19.239338314531341</v>
      </c>
      <c r="E123" s="37">
        <f>'GF + UG Iteration 14'!E123</f>
        <v>1984</v>
      </c>
      <c r="F123" s="35">
        <f>'GF + UG Iteration 14'!F123</f>
        <v>4.8999999999999986</v>
      </c>
      <c r="G123" s="36">
        <f>'GF + UG Iteration 14'!G123</f>
        <v>0.83607952853202894</v>
      </c>
      <c r="H123" s="38">
        <f>'GF + UG Iteration 14'!H123</f>
        <v>2011</v>
      </c>
      <c r="I123" s="35">
        <f t="shared" si="10"/>
        <v>38.9</v>
      </c>
      <c r="J123" s="36">
        <f t="shared" si="11"/>
        <v>20.07541784306337</v>
      </c>
      <c r="K123" s="38">
        <f t="shared" si="12"/>
        <v>2011</v>
      </c>
      <c r="M123" s="21">
        <f t="shared" si="8"/>
        <v>3.6609942506244004</v>
      </c>
      <c r="N123" s="21">
        <f t="shared" si="9"/>
        <v>2.9994960737165073</v>
      </c>
    </row>
    <row r="124" spans="1:14" x14ac:dyDescent="0.2">
      <c r="A124" s="33">
        <f>'GF + UG Iteration 14'!A124</f>
        <v>1264</v>
      </c>
      <c r="B124" s="34" t="str">
        <f>'GF + UG Iteration 14'!B124</f>
        <v>UG</v>
      </c>
      <c r="C124" s="35">
        <f>'GF + UG Iteration 14'!C124</f>
        <v>38.9</v>
      </c>
      <c r="D124" s="36">
        <f>'GF + UG Iteration 14'!P$16*(C124^'GF + UG Iteration 14'!P$15)</f>
        <v>20.781196197031662</v>
      </c>
      <c r="E124" s="37">
        <f>'GF + UG Iteration 14'!E124</f>
        <v>1984</v>
      </c>
      <c r="F124" s="35">
        <f>'GF + UG Iteration 14'!F124</f>
        <v>7.2000000000000028</v>
      </c>
      <c r="G124" s="36">
        <f>'GF + UG Iteration 14'!G124</f>
        <v>8.0578720930203094</v>
      </c>
      <c r="H124" s="38">
        <f>'GF + UG Iteration 14'!H124</f>
        <v>2013</v>
      </c>
      <c r="I124" s="35">
        <f t="shared" si="10"/>
        <v>46.1</v>
      </c>
      <c r="J124" s="36">
        <f t="shared" si="11"/>
        <v>28.839068290051969</v>
      </c>
      <c r="K124" s="38">
        <f t="shared" si="12"/>
        <v>2013</v>
      </c>
      <c r="M124" s="21">
        <f t="shared" si="8"/>
        <v>3.8308129500026027</v>
      </c>
      <c r="N124" s="21">
        <f t="shared" si="9"/>
        <v>3.3617310057247116</v>
      </c>
    </row>
    <row r="125" spans="1:14" x14ac:dyDescent="0.2">
      <c r="A125" s="33">
        <f>'GF + UG Iteration 14'!A125</f>
        <v>1208</v>
      </c>
      <c r="B125" s="34" t="str">
        <f>'GF + UG Iteration 14'!B125</f>
        <v>UG</v>
      </c>
      <c r="C125" s="35">
        <f>'GF + UG Iteration 14'!C125</f>
        <v>14.1</v>
      </c>
      <c r="D125" s="36">
        <f>'GF + UG Iteration 14'!P$16*(C125^'GF + UG Iteration 14'!P$15)</f>
        <v>11.622713487387706</v>
      </c>
      <c r="E125" s="37">
        <f>'GF + UG Iteration 14'!E125</f>
        <v>1961</v>
      </c>
      <c r="F125" s="35">
        <f>'GF + UG Iteration 14'!F125</f>
        <v>11.500000000000002</v>
      </c>
      <c r="G125" s="36">
        <f>'GF + UG Iteration 14'!G125</f>
        <v>2.7992110812000917</v>
      </c>
      <c r="H125" s="38">
        <f>'GF + UG Iteration 14'!H125</f>
        <v>2012</v>
      </c>
      <c r="I125" s="35">
        <f t="shared" si="10"/>
        <v>25.6</v>
      </c>
      <c r="J125" s="36">
        <f t="shared" si="11"/>
        <v>14.421924568587798</v>
      </c>
      <c r="K125" s="38">
        <f t="shared" si="12"/>
        <v>2012</v>
      </c>
      <c r="M125" s="21">
        <f t="shared" si="8"/>
        <v>3.2425923514855168</v>
      </c>
      <c r="N125" s="21">
        <f t="shared" si="9"/>
        <v>2.6687495881791143</v>
      </c>
    </row>
    <row r="126" spans="1:14" x14ac:dyDescent="0.2">
      <c r="A126" s="33">
        <f>'GF + UG Iteration 14'!A126</f>
        <v>655</v>
      </c>
      <c r="B126" s="34" t="str">
        <f>'GF + UG Iteration 14'!B126</f>
        <v>UG</v>
      </c>
      <c r="C126" s="35">
        <f>'GF + UG Iteration 14'!C126</f>
        <v>12.052999999999999</v>
      </c>
      <c r="D126" s="36">
        <f>'GF + UG Iteration 14'!P$16*(C126^'GF + UG Iteration 14'!P$15)</f>
        <v>10.624283270862442</v>
      </c>
      <c r="E126" s="37">
        <f>'GF + UG Iteration 14'!E126</f>
        <v>1974</v>
      </c>
      <c r="F126" s="35">
        <f>'GF + UG Iteration 14'!F126</f>
        <v>2.3390000000000004</v>
      </c>
      <c r="G126" s="36">
        <f>'GF + UG Iteration 14'!G126</f>
        <v>0.59464786373478107</v>
      </c>
      <c r="H126" s="38">
        <f>'GF + UG Iteration 14'!H126</f>
        <v>2007</v>
      </c>
      <c r="I126" s="35">
        <f t="shared" si="10"/>
        <v>14.391999999999999</v>
      </c>
      <c r="J126" s="36">
        <f t="shared" si="11"/>
        <v>11.218931134597224</v>
      </c>
      <c r="K126" s="38">
        <f t="shared" si="12"/>
        <v>2007</v>
      </c>
      <c r="M126" s="21">
        <f t="shared" si="8"/>
        <v>2.666672496648232</v>
      </c>
      <c r="N126" s="21">
        <f t="shared" si="9"/>
        <v>2.4176026312604715</v>
      </c>
    </row>
    <row r="127" spans="1:14" x14ac:dyDescent="0.2">
      <c r="A127" s="33">
        <f>'GF + UG Iteration 14'!A127</f>
        <v>733</v>
      </c>
      <c r="B127" s="34" t="str">
        <f>'GF + UG Iteration 14'!B127</f>
        <v>UG</v>
      </c>
      <c r="C127" s="35">
        <f>'GF + UG Iteration 14'!C127</f>
        <v>24.3</v>
      </c>
      <c r="D127" s="36">
        <f>'GF + UG Iteration 14'!P$16*(C127^'GF + UG Iteration 14'!P$15)</f>
        <v>15.873153403077074</v>
      </c>
      <c r="E127" s="37">
        <f>'GF + UG Iteration 14'!E127</f>
        <v>2007</v>
      </c>
      <c r="F127" s="35">
        <f>'GF + UG Iteration 14'!F127</f>
        <v>17.099999999999998</v>
      </c>
      <c r="G127" s="36">
        <f>'GF + UG Iteration 14'!G127</f>
        <v>6.7726080218724345</v>
      </c>
      <c r="H127" s="38">
        <f>'GF + UG Iteration 14'!H127</f>
        <v>2009</v>
      </c>
      <c r="I127" s="35">
        <f t="shared" si="10"/>
        <v>41.4</v>
      </c>
      <c r="J127" s="36">
        <f t="shared" si="11"/>
        <v>22.645761424949509</v>
      </c>
      <c r="K127" s="38">
        <f t="shared" si="12"/>
        <v>2009</v>
      </c>
      <c r="M127" s="21">
        <f t="shared" si="8"/>
        <v>3.7232808808312687</v>
      </c>
      <c r="N127" s="21">
        <f t="shared" si="9"/>
        <v>3.1199727008610614</v>
      </c>
    </row>
    <row r="128" spans="1:14" x14ac:dyDescent="0.2">
      <c r="A128" s="33">
        <f>'GF + UG Iteration 14'!A128</f>
        <v>1700</v>
      </c>
      <c r="B128" s="34" t="str">
        <f>'GF + UG Iteration 14'!B128</f>
        <v>UG</v>
      </c>
      <c r="C128" s="35">
        <f>'GF + UG Iteration 14'!C128</f>
        <v>13.4</v>
      </c>
      <c r="D128" s="36">
        <f>'GF + UG Iteration 14'!P$16*(C128^'GF + UG Iteration 14'!P$15)</f>
        <v>11.288723582766506</v>
      </c>
      <c r="E128" s="37">
        <f>'GF + UG Iteration 14'!E128</f>
        <v>0</v>
      </c>
      <c r="F128" s="35">
        <f>'GF + UG Iteration 14'!F128</f>
        <v>0</v>
      </c>
      <c r="G128" s="36">
        <f>'GF + UG Iteration 14'!G128</f>
        <v>4.0238803148956235</v>
      </c>
      <c r="H128" s="38">
        <f>'GF + UG Iteration 14'!H128</f>
        <v>2016</v>
      </c>
      <c r="I128" s="35">
        <f t="shared" ref="I128" si="13">C128+F128</f>
        <v>13.4</v>
      </c>
      <c r="J128" s="36">
        <f t="shared" ref="J128" si="14">D128+G128</f>
        <v>15.312603897662129</v>
      </c>
      <c r="K128" s="38">
        <f t="shared" ref="K128" si="15">MAX(E128,H128)</f>
        <v>2016</v>
      </c>
      <c r="M128" s="21">
        <f t="shared" ref="M128" si="16">LN(I128)</f>
        <v>2.5952547069568657</v>
      </c>
      <c r="N128" s="21">
        <f t="shared" ref="N128" si="17">LN(J128)</f>
        <v>2.7286762734353718</v>
      </c>
    </row>
    <row r="129" spans="1:14" x14ac:dyDescent="0.2">
      <c r="A129" s="33">
        <f>'GF + UG Iteration 14'!A129</f>
        <v>1569</v>
      </c>
      <c r="B129" s="34" t="str">
        <f>'GF + UG Iteration 14'!B129</f>
        <v>UG</v>
      </c>
      <c r="C129" s="35">
        <f>'GF + UG Iteration 14'!C129</f>
        <v>17.7</v>
      </c>
      <c r="D129" s="36">
        <f>'GF + UG Iteration 14'!P$16*(C129^'GF + UG Iteration 14'!P$15)</f>
        <v>13.238973860553642</v>
      </c>
      <c r="E129" s="37">
        <f>'GF + UG Iteration 14'!E129</f>
        <v>1997</v>
      </c>
      <c r="F129" s="35">
        <f>'GF + UG Iteration 14'!F129</f>
        <v>0</v>
      </c>
      <c r="G129" s="36">
        <f>'GF + UG Iteration 14'!G129</f>
        <v>3.7372730134616279</v>
      </c>
      <c r="H129" s="38">
        <f>'GF + UG Iteration 14'!H129</f>
        <v>2015</v>
      </c>
      <c r="I129" s="35">
        <f t="shared" si="10"/>
        <v>17.7</v>
      </c>
      <c r="J129" s="36">
        <f t="shared" si="11"/>
        <v>16.976246874015271</v>
      </c>
      <c r="K129" s="38">
        <f t="shared" si="12"/>
        <v>2015</v>
      </c>
      <c r="M129" s="21">
        <f t="shared" si="8"/>
        <v>2.8735646395797834</v>
      </c>
      <c r="N129" s="21">
        <f t="shared" si="9"/>
        <v>2.8318151242974166</v>
      </c>
    </row>
    <row r="130" spans="1:14" x14ac:dyDescent="0.2">
      <c r="A130" s="33">
        <f>'GF + UG Iteration 14'!A130</f>
        <v>401</v>
      </c>
      <c r="B130" s="34" t="str">
        <f>'GF + UG Iteration 14'!B130</f>
        <v>UG</v>
      </c>
      <c r="C130" s="35">
        <f>'GF + UG Iteration 14'!C130</f>
        <v>2</v>
      </c>
      <c r="D130" s="36">
        <f>'GF + UG Iteration 14'!P$16*(C130^'GF + UG Iteration 14'!P$15)</f>
        <v>3.7986828292108847</v>
      </c>
      <c r="E130" s="37">
        <f>'GF + UG Iteration 14'!E130</f>
        <v>1986</v>
      </c>
      <c r="F130" s="35">
        <f>'GF + UG Iteration 14'!F130</f>
        <v>1.5</v>
      </c>
      <c r="G130" s="36">
        <f>'GF + UG Iteration 14'!G130</f>
        <v>0.36204281296556784</v>
      </c>
      <c r="H130" s="38">
        <f>'GF + UG Iteration 14'!H130</f>
        <v>2004</v>
      </c>
      <c r="I130" s="35">
        <f t="shared" si="10"/>
        <v>3.5</v>
      </c>
      <c r="J130" s="36">
        <f t="shared" si="11"/>
        <v>4.1607256421764527</v>
      </c>
      <c r="K130" s="38">
        <f t="shared" si="12"/>
        <v>2004</v>
      </c>
      <c r="M130" s="21">
        <f t="shared" si="8"/>
        <v>1.2527629684953681</v>
      </c>
      <c r="N130" s="21">
        <f t="shared" si="9"/>
        <v>1.425689492276961</v>
      </c>
    </row>
    <row r="131" spans="1:14" x14ac:dyDescent="0.2">
      <c r="A131" s="33">
        <f>'GF + UG Iteration 14'!A131</f>
        <v>1412</v>
      </c>
      <c r="B131" s="34" t="str">
        <f>'GF + UG Iteration 14'!B131</f>
        <v>UG</v>
      </c>
      <c r="C131" s="35">
        <f>'GF + UG Iteration 14'!C131</f>
        <v>3.5</v>
      </c>
      <c r="D131" s="36">
        <f>'GF + UG Iteration 14'!P$16*(C131^'GF + UG Iteration 14'!P$15)</f>
        <v>5.2335577934414577</v>
      </c>
      <c r="E131" s="37">
        <f>'GF + UG Iteration 14'!E131</f>
        <v>1986</v>
      </c>
      <c r="F131" s="35">
        <f>'GF + UG Iteration 14'!F131</f>
        <v>11</v>
      </c>
      <c r="G131" s="36">
        <f>'GF + UG Iteration 14'!G131</f>
        <v>4.3574845496482366</v>
      </c>
      <c r="H131" s="38">
        <f>'GF + UG Iteration 14'!H131</f>
        <v>2015</v>
      </c>
      <c r="I131" s="35">
        <f t="shared" si="10"/>
        <v>14.5</v>
      </c>
      <c r="J131" s="36">
        <f t="shared" si="11"/>
        <v>9.5910423430896934</v>
      </c>
      <c r="K131" s="38">
        <f t="shared" si="12"/>
        <v>2015</v>
      </c>
      <c r="M131" s="21">
        <f t="shared" si="8"/>
        <v>2.6741486494265287</v>
      </c>
      <c r="N131" s="21">
        <f t="shared" si="9"/>
        <v>2.2608295736135258</v>
      </c>
    </row>
    <row r="132" spans="1:14" x14ac:dyDescent="0.2">
      <c r="A132" s="33">
        <f>'GF + UG Iteration 14'!A132</f>
        <v>1318</v>
      </c>
      <c r="B132" s="34" t="str">
        <f>'GF + UG Iteration 14'!B132</f>
        <v>UG</v>
      </c>
      <c r="C132" s="35">
        <f>'GF + UG Iteration 14'!C132</f>
        <v>22.3</v>
      </c>
      <c r="D132" s="36">
        <f>'GF + UG Iteration 14'!P$16*(C132^'GF + UG Iteration 14'!P$15)</f>
        <v>15.111388246063669</v>
      </c>
      <c r="E132" s="37">
        <f>'GF + UG Iteration 14'!E132</f>
        <v>1997</v>
      </c>
      <c r="F132" s="35">
        <f>'GF + UG Iteration 14'!F132</f>
        <v>28.900000000000002</v>
      </c>
      <c r="G132" s="36">
        <f>'GF + UG Iteration 14'!G132</f>
        <v>1.6878206182928517</v>
      </c>
      <c r="H132" s="38">
        <f>'GF + UG Iteration 14'!H132</f>
        <v>2013</v>
      </c>
      <c r="I132" s="35">
        <f t="shared" si="10"/>
        <v>51.2</v>
      </c>
      <c r="J132" s="36">
        <f t="shared" si="11"/>
        <v>16.799208864356519</v>
      </c>
      <c r="K132" s="38">
        <f t="shared" si="12"/>
        <v>2013</v>
      </c>
      <c r="M132" s="21">
        <f t="shared" si="8"/>
        <v>3.9357395320454622</v>
      </c>
      <c r="N132" s="21">
        <f t="shared" si="9"/>
        <v>2.821331793893028</v>
      </c>
    </row>
    <row r="133" spans="1:14" x14ac:dyDescent="0.2">
      <c r="A133" s="33">
        <f>'GF + UG Iteration 14'!A133</f>
        <v>1194</v>
      </c>
      <c r="B133" s="34" t="str">
        <f>'GF + UG Iteration 14'!B133</f>
        <v>UG</v>
      </c>
      <c r="C133" s="35">
        <f>'GF + UG Iteration 14'!C133</f>
        <v>5.8</v>
      </c>
      <c r="D133" s="36">
        <f>'GF + UG Iteration 14'!P$16*(C133^'GF + UG Iteration 14'!P$15)</f>
        <v>6.9888045640191825</v>
      </c>
      <c r="E133" s="37">
        <f>'GF + UG Iteration 14'!E133</f>
        <v>1980</v>
      </c>
      <c r="F133" s="35">
        <f>'GF + UG Iteration 14'!F133</f>
        <v>9.6000000000000014</v>
      </c>
      <c r="G133" s="36">
        <f>'GF + UG Iteration 14'!G133</f>
        <v>1.6086060831571487</v>
      </c>
      <c r="H133" s="38">
        <f>'GF + UG Iteration 14'!H133</f>
        <v>2011</v>
      </c>
      <c r="I133" s="35">
        <f t="shared" si="10"/>
        <v>15.400000000000002</v>
      </c>
      <c r="J133" s="36">
        <f t="shared" si="11"/>
        <v>8.5974106471763321</v>
      </c>
      <c r="K133" s="38">
        <f t="shared" si="12"/>
        <v>2011</v>
      </c>
      <c r="M133" s="21">
        <f t="shared" si="8"/>
        <v>2.7343675094195836</v>
      </c>
      <c r="N133" s="21">
        <f t="shared" si="9"/>
        <v>2.1514610703858734</v>
      </c>
    </row>
    <row r="134" spans="1:14" x14ac:dyDescent="0.2">
      <c r="A134" s="33">
        <f>'GF + UG Iteration 14'!A134</f>
        <v>801</v>
      </c>
      <c r="B134" s="34" t="str">
        <f>'GF + UG Iteration 14'!B134</f>
        <v>UG</v>
      </c>
      <c r="C134" s="35">
        <f>'GF + UG Iteration 14'!C134</f>
        <v>10</v>
      </c>
      <c r="D134" s="36">
        <f>'GF + UG Iteration 14'!P$16*(C134^'GF + UG Iteration 14'!P$15)</f>
        <v>9.5469449897276668</v>
      </c>
      <c r="E134" s="37">
        <f>'GF + UG Iteration 14'!E134</f>
        <v>2008</v>
      </c>
      <c r="F134" s="35">
        <f>'GF + UG Iteration 14'!F134</f>
        <v>0</v>
      </c>
      <c r="G134" s="36">
        <f>'GF + UG Iteration 14'!G134</f>
        <v>6.3106495854024782</v>
      </c>
      <c r="H134" s="38">
        <f>'GF + UG Iteration 14'!H134</f>
        <v>2009</v>
      </c>
      <c r="I134" s="35">
        <f t="shared" si="10"/>
        <v>10</v>
      </c>
      <c r="J134" s="36">
        <f t="shared" si="11"/>
        <v>15.857594575130145</v>
      </c>
      <c r="K134" s="38">
        <f t="shared" si="12"/>
        <v>2009</v>
      </c>
      <c r="M134" s="21">
        <f t="shared" si="8"/>
        <v>2.3025850929940459</v>
      </c>
      <c r="N134" s="21">
        <f t="shared" si="9"/>
        <v>2.7636485385712009</v>
      </c>
    </row>
    <row r="135" spans="1:14" x14ac:dyDescent="0.2">
      <c r="A135" s="33">
        <f>'GF + UG Iteration 14'!A135</f>
        <v>804</v>
      </c>
      <c r="B135" s="34" t="str">
        <f>'GF + UG Iteration 14'!B135</f>
        <v>UG</v>
      </c>
      <c r="C135" s="35">
        <f>'GF + UG Iteration 14'!C135</f>
        <v>14.429</v>
      </c>
      <c r="D135" s="36">
        <f>'GF + UG Iteration 14'!P$16*(C135^'GF + UG Iteration 14'!P$15)</f>
        <v>11.777235302515566</v>
      </c>
      <c r="E135" s="37">
        <f>'GF + UG Iteration 14'!E135</f>
        <v>1982</v>
      </c>
      <c r="F135" s="35">
        <f>'GF + UG Iteration 14'!F135</f>
        <v>9.8710000000000004</v>
      </c>
      <c r="G135" s="36">
        <f>'GF + UG Iteration 14'!G135</f>
        <v>9.1566982400815444</v>
      </c>
      <c r="H135" s="38">
        <f>'GF + UG Iteration 14'!H135</f>
        <v>2009</v>
      </c>
      <c r="I135" s="35">
        <f t="shared" si="10"/>
        <v>24.3</v>
      </c>
      <c r="J135" s="36">
        <f t="shared" si="11"/>
        <v>20.93393354259711</v>
      </c>
      <c r="K135" s="38">
        <f t="shared" si="12"/>
        <v>2009</v>
      </c>
      <c r="M135" s="21">
        <f t="shared" si="8"/>
        <v>3.1904763503465028</v>
      </c>
      <c r="N135" s="21">
        <f t="shared" si="9"/>
        <v>3.0413714568120569</v>
      </c>
    </row>
    <row r="136" spans="1:14" x14ac:dyDescent="0.2">
      <c r="A136" s="33">
        <f>'GF + UG Iteration 14'!A136</f>
        <v>365</v>
      </c>
      <c r="B136" s="34" t="str">
        <f>'GF + UG Iteration 14'!B136</f>
        <v>UG</v>
      </c>
      <c r="C136" s="35">
        <f>'GF + UG Iteration 14'!C136</f>
        <v>15.9</v>
      </c>
      <c r="D136" s="36">
        <f>'GF + UG Iteration 14'!P$16*(C136^'GF + UG Iteration 14'!P$15)</f>
        <v>12.450441393307216</v>
      </c>
      <c r="E136" s="37">
        <f>'GF + UG Iteration 14'!E136</f>
        <v>1982</v>
      </c>
      <c r="F136" s="35">
        <f>'GF + UG Iteration 14'!F136</f>
        <v>0.26900000000000013</v>
      </c>
      <c r="G136" s="36">
        <f>'GF + UG Iteration 14'!G136</f>
        <v>0.59607313292480213</v>
      </c>
      <c r="H136" s="38">
        <f>'GF + UG Iteration 14'!H136</f>
        <v>2003</v>
      </c>
      <c r="I136" s="35">
        <f t="shared" si="10"/>
        <v>16.169</v>
      </c>
      <c r="J136" s="36">
        <f t="shared" si="11"/>
        <v>13.046514526232018</v>
      </c>
      <c r="K136" s="38">
        <f t="shared" si="12"/>
        <v>2003</v>
      </c>
      <c r="M136" s="21">
        <f t="shared" ref="M136:M183" si="18">LN(I136)</f>
        <v>2.7830958287576775</v>
      </c>
      <c r="N136" s="21">
        <f t="shared" ref="N136:N183" si="19">LN(J136)</f>
        <v>2.5685210119823654</v>
      </c>
    </row>
    <row r="137" spans="1:14" x14ac:dyDescent="0.2">
      <c r="A137" s="33">
        <f>'GF + UG Iteration 14'!A137</f>
        <v>708</v>
      </c>
      <c r="B137" s="34" t="str">
        <f>'GF + UG Iteration 14'!B137</f>
        <v>UG</v>
      </c>
      <c r="C137" s="35">
        <f>'GF + UG Iteration 14'!C137</f>
        <v>16.2</v>
      </c>
      <c r="D137" s="36">
        <f>'GF + UG Iteration 14'!P$16*(C137^'GF + UG Iteration 14'!P$15)</f>
        <v>12.584415986607715</v>
      </c>
      <c r="E137" s="37">
        <f>'GF + UG Iteration 14'!E137</f>
        <v>1982</v>
      </c>
      <c r="F137" s="35">
        <f>'GF + UG Iteration 14'!F137</f>
        <v>11.5</v>
      </c>
      <c r="G137" s="36">
        <f>'GF + UG Iteration 14'!G137</f>
        <v>6.8374623210633541</v>
      </c>
      <c r="H137" s="38">
        <f>'GF + UG Iteration 14'!H137</f>
        <v>2007</v>
      </c>
      <c r="I137" s="35">
        <f t="shared" si="10"/>
        <v>27.7</v>
      </c>
      <c r="J137" s="36">
        <f t="shared" si="11"/>
        <v>19.421878307671069</v>
      </c>
      <c r="K137" s="38">
        <f t="shared" si="12"/>
        <v>2007</v>
      </c>
      <c r="M137" s="21">
        <f t="shared" si="18"/>
        <v>3.3214324131932926</v>
      </c>
      <c r="N137" s="21">
        <f t="shared" si="19"/>
        <v>2.9664001784574996</v>
      </c>
    </row>
    <row r="138" spans="1:14" x14ac:dyDescent="0.2">
      <c r="A138" s="33">
        <f>'GF + UG Iteration 14'!A138</f>
        <v>1568</v>
      </c>
      <c r="B138" s="34" t="str">
        <f>'GF + UG Iteration 14'!B138</f>
        <v>UG</v>
      </c>
      <c r="C138" s="35">
        <f>'GF + UG Iteration 14'!C138</f>
        <v>27.7</v>
      </c>
      <c r="D138" s="36">
        <f>'GF + UG Iteration 14'!P$16*(C138^'GF + UG Iteration 14'!P$15)</f>
        <v>17.109175118228361</v>
      </c>
      <c r="E138" s="37">
        <f>'GF + UG Iteration 14'!E138</f>
        <v>1997</v>
      </c>
      <c r="F138" s="35">
        <f>'GF + UG Iteration 14'!F138</f>
        <v>8.0999999999999979</v>
      </c>
      <c r="G138" s="36">
        <f>'GF + UG Iteration 14'!G138</f>
        <v>3.5848996641236104</v>
      </c>
      <c r="H138" s="38">
        <f>'GF + UG Iteration 14'!H138</f>
        <v>2015</v>
      </c>
      <c r="I138" s="35">
        <f t="shared" si="10"/>
        <v>35.799999999999997</v>
      </c>
      <c r="J138" s="36">
        <f t="shared" si="11"/>
        <v>20.694074782351972</v>
      </c>
      <c r="K138" s="38">
        <f t="shared" si="12"/>
        <v>2015</v>
      </c>
      <c r="M138" s="21">
        <f t="shared" si="18"/>
        <v>3.5779478934066544</v>
      </c>
      <c r="N138" s="21">
        <f t="shared" si="19"/>
        <v>3.029847416897693</v>
      </c>
    </row>
    <row r="139" spans="1:14" x14ac:dyDescent="0.2">
      <c r="A139" s="33">
        <f>'GF + UG Iteration 14'!A139</f>
        <v>398</v>
      </c>
      <c r="B139" s="34" t="str">
        <f>'GF + UG Iteration 14'!B139</f>
        <v>UG</v>
      </c>
      <c r="C139" s="35">
        <f>'GF + UG Iteration 14'!C139</f>
        <v>27.329000000000001</v>
      </c>
      <c r="D139" s="36">
        <f>'GF + UG Iteration 14'!P$16*(C139^'GF + UG Iteration 14'!P$15)</f>
        <v>16.977584467784148</v>
      </c>
      <c r="E139" s="37">
        <f>'GF + UG Iteration 14'!E139</f>
        <v>1981</v>
      </c>
      <c r="F139" s="35">
        <f>'GF + UG Iteration 14'!F139</f>
        <v>2</v>
      </c>
      <c r="G139" s="36">
        <f>'GF + UG Iteration 14'!G139</f>
        <v>1.454685054931611</v>
      </c>
      <c r="H139" s="38">
        <f>'GF + UG Iteration 14'!H139</f>
        <v>2004</v>
      </c>
      <c r="I139" s="35">
        <f t="shared" si="10"/>
        <v>29.329000000000001</v>
      </c>
      <c r="J139" s="36">
        <f t="shared" si="11"/>
        <v>18.43226952271576</v>
      </c>
      <c r="K139" s="38">
        <f t="shared" si="12"/>
        <v>2004</v>
      </c>
      <c r="M139" s="21">
        <f t="shared" si="18"/>
        <v>3.3785767876246213</v>
      </c>
      <c r="N139" s="21">
        <f t="shared" si="19"/>
        <v>2.9141029069497453</v>
      </c>
    </row>
    <row r="140" spans="1:14" x14ac:dyDescent="0.2">
      <c r="A140" s="33">
        <f>'GF + UG Iteration 14'!A140</f>
        <v>1642</v>
      </c>
      <c r="B140" s="34" t="str">
        <f>'GF + UG Iteration 14'!B140</f>
        <v>UG</v>
      </c>
      <c r="C140" s="35">
        <f>'GF + UG Iteration 14'!C140</f>
        <v>16.12</v>
      </c>
      <c r="D140" s="36">
        <f>'GF + UG Iteration 14'!P$16*(C140^'GF + UG Iteration 14'!P$15)</f>
        <v>12.548793864090991</v>
      </c>
      <c r="E140" s="37" t="str">
        <f>'GF + UG Iteration 14'!E140</f>
        <v>unknown</v>
      </c>
      <c r="F140" s="35">
        <f>'GF + UG Iteration 14'!F140</f>
        <v>2.7799999999999976</v>
      </c>
      <c r="G140" s="36">
        <f>'GF + UG Iteration 14'!G140</f>
        <v>10.134123990225088</v>
      </c>
      <c r="H140" s="38">
        <f>'GF + UG Iteration 14'!H140</f>
        <v>2015</v>
      </c>
      <c r="I140" s="35">
        <f t="shared" si="10"/>
        <v>18.899999999999999</v>
      </c>
      <c r="J140" s="36">
        <f t="shared" si="11"/>
        <v>22.682917854316081</v>
      </c>
      <c r="K140" s="38">
        <f t="shared" si="12"/>
        <v>2015</v>
      </c>
      <c r="M140" s="21">
        <f t="shared" si="18"/>
        <v>2.9391619220655967</v>
      </c>
      <c r="N140" s="21">
        <f t="shared" si="19"/>
        <v>3.1216121237729793</v>
      </c>
    </row>
    <row r="141" spans="1:14" x14ac:dyDescent="0.2">
      <c r="A141" s="33">
        <f>'GF + UG Iteration 14'!A141</f>
        <v>522</v>
      </c>
      <c r="B141" s="34" t="str">
        <f>'GF + UG Iteration 14'!B141</f>
        <v>UG</v>
      </c>
      <c r="C141" s="35">
        <f>'GF + UG Iteration 14'!C141</f>
        <v>38.700000000000003</v>
      </c>
      <c r="D141" s="36">
        <f>'GF + UG Iteration 14'!P$16*(C141^'GF + UG Iteration 14'!P$15)</f>
        <v>20.719949649431094</v>
      </c>
      <c r="E141" s="37">
        <f>'GF + UG Iteration 14'!E141</f>
        <v>1981</v>
      </c>
      <c r="F141" s="35">
        <f>'GF + UG Iteration 14'!F141</f>
        <v>2.2999999999999972</v>
      </c>
      <c r="G141" s="36">
        <f>'GF + UG Iteration 14'!G141</f>
        <v>0.49326793696611254</v>
      </c>
      <c r="H141" s="38">
        <f>'GF + UG Iteration 14'!H141</f>
        <v>2006</v>
      </c>
      <c r="I141" s="35">
        <f t="shared" si="10"/>
        <v>41</v>
      </c>
      <c r="J141" s="36">
        <f t="shared" si="11"/>
        <v>21.213217586397207</v>
      </c>
      <c r="K141" s="38">
        <f t="shared" si="12"/>
        <v>2006</v>
      </c>
      <c r="M141" s="21">
        <f t="shared" si="18"/>
        <v>3.713572066704308</v>
      </c>
      <c r="N141" s="21">
        <f t="shared" si="19"/>
        <v>3.0546244584571065</v>
      </c>
    </row>
    <row r="142" spans="1:14" x14ac:dyDescent="0.2">
      <c r="A142" s="33">
        <f>'GF + UG Iteration 14'!A142</f>
        <v>170</v>
      </c>
      <c r="B142" s="34" t="str">
        <f>'GF + UG Iteration 14'!B142</f>
        <v>UG</v>
      </c>
      <c r="C142" s="35">
        <f>'GF + UG Iteration 14'!C142</f>
        <v>20.399999999999999</v>
      </c>
      <c r="D142" s="36">
        <f>'GF + UG Iteration 14'!P$16*(C142^'GF + UG Iteration 14'!P$15)</f>
        <v>14.360156360020827</v>
      </c>
      <c r="E142" s="37" t="str">
        <f>'GF + UG Iteration 14'!E142</f>
        <v>unknown</v>
      </c>
      <c r="F142" s="35">
        <f>'GF + UG Iteration 14'!F142</f>
        <v>5.6000000000000014</v>
      </c>
      <c r="G142" s="36">
        <f>'GF + UG Iteration 14'!G142</f>
        <v>4.433742547698083</v>
      </c>
      <c r="H142" s="38">
        <f>'GF + UG Iteration 14'!H142</f>
        <v>2001</v>
      </c>
      <c r="I142" s="35">
        <f t="shared" si="10"/>
        <v>26</v>
      </c>
      <c r="J142" s="36">
        <f t="shared" si="11"/>
        <v>18.793898907718912</v>
      </c>
      <c r="K142" s="38">
        <f t="shared" si="12"/>
        <v>2001</v>
      </c>
      <c r="M142" s="21">
        <f t="shared" si="18"/>
        <v>3.2580965380214821</v>
      </c>
      <c r="N142" s="21">
        <f t="shared" si="19"/>
        <v>2.9335322909807213</v>
      </c>
    </row>
    <row r="143" spans="1:14" x14ac:dyDescent="0.2">
      <c r="A143" s="33">
        <f>'GF + UG Iteration 14'!A143</f>
        <v>1312</v>
      </c>
      <c r="B143" s="34" t="str">
        <f>'GF + UG Iteration 14'!B143</f>
        <v>UG</v>
      </c>
      <c r="C143" s="35">
        <f>'GF + UG Iteration 14'!C143</f>
        <v>23.63</v>
      </c>
      <c r="D143" s="36">
        <f>'GF + UG Iteration 14'!P$16*(C143^'GF + UG Iteration 14'!P$15)</f>
        <v>15.62105523330513</v>
      </c>
      <c r="E143" s="37" t="str">
        <f>'GF + UG Iteration 14'!E143</f>
        <v>unknown</v>
      </c>
      <c r="F143" s="35">
        <f>'GF + UG Iteration 14'!F143</f>
        <v>0</v>
      </c>
      <c r="G143" s="36">
        <f>'GF + UG Iteration 14'!G143</f>
        <v>6.0245111186360631</v>
      </c>
      <c r="H143" s="38">
        <f>'GF + UG Iteration 14'!H143</f>
        <v>2013</v>
      </c>
      <c r="I143" s="35">
        <f t="shared" si="10"/>
        <v>23.63</v>
      </c>
      <c r="J143" s="36">
        <f t="shared" si="11"/>
        <v>21.645566351941191</v>
      </c>
      <c r="K143" s="38">
        <f t="shared" si="12"/>
        <v>2013</v>
      </c>
      <c r="M143" s="21">
        <f t="shared" si="18"/>
        <v>3.1625170911988163</v>
      </c>
      <c r="N143" s="21">
        <f t="shared" si="19"/>
        <v>3.0748006460374819</v>
      </c>
    </row>
    <row r="144" spans="1:14" x14ac:dyDescent="0.2">
      <c r="A144" s="33">
        <f>'GF + UG Iteration 14'!A144</f>
        <v>170</v>
      </c>
      <c r="B144" s="34" t="str">
        <f>'GF + UG Iteration 14'!B144</f>
        <v>UG</v>
      </c>
      <c r="C144" s="35">
        <f>'GF + UG Iteration 14'!C144</f>
        <v>21.6</v>
      </c>
      <c r="D144" s="36">
        <f>'GF + UG Iteration 14'!P$16*(C144^'GF + UG Iteration 14'!P$15)</f>
        <v>14.837925768038904</v>
      </c>
      <c r="E144" s="37" t="str">
        <f>'GF + UG Iteration 14'!E144</f>
        <v>unknown</v>
      </c>
      <c r="F144" s="35">
        <f>'GF + UG Iteration 14'!F144</f>
        <v>1</v>
      </c>
      <c r="G144" s="36">
        <f>'GF + UG Iteration 14'!G144</f>
        <v>4.8829870198591019</v>
      </c>
      <c r="H144" s="38">
        <f>'GF + UG Iteration 14'!H144</f>
        <v>2001</v>
      </c>
      <c r="I144" s="35">
        <f t="shared" si="10"/>
        <v>22.6</v>
      </c>
      <c r="J144" s="36">
        <f t="shared" si="11"/>
        <v>19.720912787898005</v>
      </c>
      <c r="K144" s="38">
        <f t="shared" si="12"/>
        <v>2001</v>
      </c>
      <c r="M144" s="21">
        <f t="shared" si="18"/>
        <v>3.1179499062782403</v>
      </c>
      <c r="N144" s="21">
        <f t="shared" si="19"/>
        <v>2.9816796355220228</v>
      </c>
    </row>
    <row r="145" spans="1:14" x14ac:dyDescent="0.2">
      <c r="A145" s="33">
        <f>'GF + UG Iteration 14'!A145</f>
        <v>1366</v>
      </c>
      <c r="B145" s="34" t="str">
        <f>'GF + UG Iteration 14'!B145</f>
        <v>UG</v>
      </c>
      <c r="C145" s="35">
        <f>'GF + UG Iteration 14'!C145</f>
        <v>25.5</v>
      </c>
      <c r="D145" s="36">
        <f>'GF + UG Iteration 14'!P$16*(C145^'GF + UG Iteration 14'!P$15)</f>
        <v>16.317364060323268</v>
      </c>
      <c r="E145" s="37">
        <f>'GF + UG Iteration 14'!E145</f>
        <v>0</v>
      </c>
      <c r="F145" s="35">
        <f>'GF + UG Iteration 14'!F145</f>
        <v>14</v>
      </c>
      <c r="G145" s="36">
        <f>'GF + UG Iteration 14'!G145</f>
        <v>5.5737060104438019</v>
      </c>
      <c r="H145" s="38">
        <f>'GF + UG Iteration 14'!H145</f>
        <v>2013</v>
      </c>
      <c r="I145" s="35">
        <f t="shared" si="10"/>
        <v>39.5</v>
      </c>
      <c r="J145" s="36">
        <f t="shared" si="11"/>
        <v>21.891070070767071</v>
      </c>
      <c r="K145" s="38">
        <f t="shared" si="12"/>
        <v>2013</v>
      </c>
      <c r="M145" s="21">
        <f t="shared" si="18"/>
        <v>3.6763006719070761</v>
      </c>
      <c r="N145" s="21">
        <f t="shared" si="19"/>
        <v>3.086078794340311</v>
      </c>
    </row>
    <row r="146" spans="1:14" x14ac:dyDescent="0.2">
      <c r="A146" s="33">
        <f>'GF + UG Iteration 14'!A146</f>
        <v>170</v>
      </c>
      <c r="B146" s="34" t="str">
        <f>'GF + UG Iteration 14'!B146</f>
        <v>UG</v>
      </c>
      <c r="C146" s="35">
        <f>'GF + UG Iteration 14'!C146</f>
        <v>5.4</v>
      </c>
      <c r="D146" s="36">
        <f>'GF + UG Iteration 14'!P$16*(C146^'GF + UG Iteration 14'!P$15)</f>
        <v>6.7086114969839707</v>
      </c>
      <c r="E146" s="37" t="str">
        <f>'GF + UG Iteration 14'!E146</f>
        <v>unknown</v>
      </c>
      <c r="F146" s="35">
        <f>'GF + UG Iteration 14'!F146</f>
        <v>10.6</v>
      </c>
      <c r="G146" s="36">
        <f>'GF + UG Iteration 14'!G146</f>
        <v>5.2097107088088661</v>
      </c>
      <c r="H146" s="38">
        <f>'GF + UG Iteration 14'!H146</f>
        <v>2001</v>
      </c>
      <c r="I146" s="35">
        <f t="shared" si="10"/>
        <v>16</v>
      </c>
      <c r="J146" s="36">
        <f t="shared" si="11"/>
        <v>11.918322205792837</v>
      </c>
      <c r="K146" s="38">
        <f t="shared" si="12"/>
        <v>2001</v>
      </c>
      <c r="M146" s="21">
        <f t="shared" si="18"/>
        <v>2.7725887222397811</v>
      </c>
      <c r="N146" s="21">
        <f t="shared" si="19"/>
        <v>2.4780768971827718</v>
      </c>
    </row>
    <row r="147" spans="1:14" x14ac:dyDescent="0.2">
      <c r="A147" s="33">
        <f>'GF + UG Iteration 14'!A147</f>
        <v>1350</v>
      </c>
      <c r="B147" s="34" t="str">
        <f>'GF + UG Iteration 14'!B147</f>
        <v>UG</v>
      </c>
      <c r="C147" s="35">
        <f>'GF + UG Iteration 14'!C147</f>
        <v>16</v>
      </c>
      <c r="D147" s="36">
        <f>'GF + UG Iteration 14'!P$16*(C147^'GF + UG Iteration 14'!P$15)</f>
        <v>12.495218690744011</v>
      </c>
      <c r="E147" s="37">
        <f>'GF + UG Iteration 14'!E147</f>
        <v>0</v>
      </c>
      <c r="F147" s="35">
        <f>'GF + UG Iteration 14'!F147</f>
        <v>20</v>
      </c>
      <c r="G147" s="36">
        <f>'GF + UG Iteration 14'!G147</f>
        <v>6.5300342953877131</v>
      </c>
      <c r="H147" s="38">
        <f>'GF + UG Iteration 14'!H147</f>
        <v>2013</v>
      </c>
      <c r="I147" s="35">
        <f t="shared" si="10"/>
        <v>36</v>
      </c>
      <c r="J147" s="36">
        <f t="shared" si="11"/>
        <v>19.025252986131726</v>
      </c>
      <c r="K147" s="38">
        <f t="shared" si="12"/>
        <v>2013</v>
      </c>
      <c r="M147" s="21">
        <f t="shared" si="18"/>
        <v>3.5835189384561099</v>
      </c>
      <c r="N147" s="21">
        <f t="shared" si="19"/>
        <v>2.9457672012221092</v>
      </c>
    </row>
    <row r="148" spans="1:14" x14ac:dyDescent="0.2">
      <c r="A148" s="33">
        <f>'GF + UG Iteration 14'!A148</f>
        <v>658</v>
      </c>
      <c r="B148" s="34" t="str">
        <f>'GF + UG Iteration 14'!B148</f>
        <v>UG</v>
      </c>
      <c r="C148" s="35">
        <f>'GF + UG Iteration 14'!C148</f>
        <v>1.6</v>
      </c>
      <c r="D148" s="36">
        <f>'GF + UG Iteration 14'!P$16*(C148^'GF + UG Iteration 14'!P$15)</f>
        <v>3.3430448194899132</v>
      </c>
      <c r="E148" s="37">
        <f>'GF + UG Iteration 14'!E148</f>
        <v>1996</v>
      </c>
      <c r="F148" s="35">
        <f>'GF + UG Iteration 14'!F148</f>
        <v>13.200000000000001</v>
      </c>
      <c r="G148" s="36">
        <f>'GF + UG Iteration 14'!G148</f>
        <v>7.1146692323992218</v>
      </c>
      <c r="H148" s="38">
        <f>'GF + UG Iteration 14'!H148</f>
        <v>2008</v>
      </c>
      <c r="I148" s="35">
        <f t="shared" si="10"/>
        <v>14.8</v>
      </c>
      <c r="J148" s="36">
        <f t="shared" si="11"/>
        <v>10.457714051889134</v>
      </c>
      <c r="K148" s="38">
        <f t="shared" si="12"/>
        <v>2008</v>
      </c>
      <c r="M148" s="21">
        <f t="shared" si="18"/>
        <v>2.6946271807700692</v>
      </c>
      <c r="N148" s="21">
        <f t="shared" si="19"/>
        <v>2.3473398928686153</v>
      </c>
    </row>
    <row r="149" spans="1:14" x14ac:dyDescent="0.2">
      <c r="A149" s="33">
        <f>'GF + UG Iteration 14'!A149</f>
        <v>897</v>
      </c>
      <c r="B149" s="34" t="str">
        <f>'GF + UG Iteration 14'!B149</f>
        <v>UG</v>
      </c>
      <c r="C149" s="35">
        <f>'GF + UG Iteration 14'!C149</f>
        <v>14.8</v>
      </c>
      <c r="D149" s="36">
        <f>'GF + UG Iteration 14'!P$16*(C149^'GF + UG Iteration 14'!P$15)</f>
        <v>11.949687867296683</v>
      </c>
      <c r="E149" s="37">
        <f>'GF + UG Iteration 14'!E149</f>
        <v>1996</v>
      </c>
      <c r="F149" s="35">
        <f>'GF + UG Iteration 14'!F149</f>
        <v>3</v>
      </c>
      <c r="G149" s="36">
        <f>'GF + UG Iteration 14'!G149</f>
        <v>6.2372112776035529</v>
      </c>
      <c r="H149" s="38">
        <f>'GF + UG Iteration 14'!H149</f>
        <v>2010</v>
      </c>
      <c r="I149" s="35">
        <f t="shared" si="10"/>
        <v>17.8</v>
      </c>
      <c r="J149" s="36">
        <f t="shared" si="11"/>
        <v>18.186899144900238</v>
      </c>
      <c r="K149" s="38">
        <f t="shared" si="12"/>
        <v>2010</v>
      </c>
      <c r="M149" s="21">
        <f t="shared" si="18"/>
        <v>2.8791984572980396</v>
      </c>
      <c r="N149" s="21">
        <f t="shared" si="19"/>
        <v>2.9007015076794711</v>
      </c>
    </row>
    <row r="150" spans="1:14" x14ac:dyDescent="0.2">
      <c r="A150" s="33">
        <f>'GF + UG Iteration 14'!A150</f>
        <v>483</v>
      </c>
      <c r="B150" s="34" t="str">
        <f>'GF + UG Iteration 14'!B150</f>
        <v>UG</v>
      </c>
      <c r="C150" s="35">
        <f>'GF + UG Iteration 14'!C150</f>
        <v>20.7</v>
      </c>
      <c r="D150" s="36">
        <f>'GF + UG Iteration 14'!P$16*(C150^'GF + UG Iteration 14'!P$15)</f>
        <v>14.480700298719078</v>
      </c>
      <c r="E150" s="37">
        <f>'GF + UG Iteration 14'!E150</f>
        <v>1986</v>
      </c>
      <c r="F150" s="35">
        <f>'GF + UG Iteration 14'!F150</f>
        <v>18.099999999999998</v>
      </c>
      <c r="G150" s="36">
        <f>'GF + UG Iteration 14'!G150</f>
        <v>3.6200694377675466</v>
      </c>
      <c r="H150" s="38">
        <f>'GF + UG Iteration 14'!H150</f>
        <v>2005</v>
      </c>
      <c r="I150" s="35">
        <f t="shared" si="10"/>
        <v>38.799999999999997</v>
      </c>
      <c r="J150" s="36">
        <f t="shared" si="11"/>
        <v>18.100769736486626</v>
      </c>
      <c r="K150" s="38">
        <f t="shared" si="12"/>
        <v>2005</v>
      </c>
      <c r="M150" s="21">
        <f t="shared" si="18"/>
        <v>3.6584202466292277</v>
      </c>
      <c r="N150" s="21">
        <f t="shared" si="19"/>
        <v>2.8959544642452522</v>
      </c>
    </row>
    <row r="151" spans="1:14" x14ac:dyDescent="0.2">
      <c r="A151" s="33">
        <f>'GF + UG Iteration 14'!A151</f>
        <v>1494</v>
      </c>
      <c r="B151" s="34" t="str">
        <f>'GF + UG Iteration 14'!B151</f>
        <v>UG</v>
      </c>
      <c r="C151" s="35">
        <f>'GF + UG Iteration 14'!C151</f>
        <v>13.3</v>
      </c>
      <c r="D151" s="36">
        <f>'GF + UG Iteration 14'!P$16*(C151^'GF + UG Iteration 14'!P$15)</f>
        <v>11.240408006949776</v>
      </c>
      <c r="E151" s="37">
        <f>'GF + UG Iteration 14'!E151</f>
        <v>0</v>
      </c>
      <c r="F151" s="35">
        <f>'GF + UG Iteration 14'!F151</f>
        <v>6</v>
      </c>
      <c r="G151" s="36">
        <f>'GF + UG Iteration 14'!G151</f>
        <v>6.4297485673579153</v>
      </c>
      <c r="H151" s="38">
        <f>'GF + UG Iteration 14'!H151</f>
        <v>2014</v>
      </c>
      <c r="I151" s="35">
        <f t="shared" si="10"/>
        <v>19.3</v>
      </c>
      <c r="J151" s="36">
        <f t="shared" si="11"/>
        <v>17.67015657430769</v>
      </c>
      <c r="K151" s="38">
        <f t="shared" si="12"/>
        <v>2014</v>
      </c>
      <c r="M151" s="21">
        <f t="shared" si="18"/>
        <v>2.9601050959108397</v>
      </c>
      <c r="N151" s="21">
        <f t="shared" si="19"/>
        <v>2.8718771473171167</v>
      </c>
    </row>
    <row r="152" spans="1:14" x14ac:dyDescent="0.2">
      <c r="A152" s="33">
        <f>'GF + UG Iteration 14'!A152</f>
        <v>488</v>
      </c>
      <c r="B152" s="34" t="str">
        <f>'GF + UG Iteration 14'!B152</f>
        <v>UG</v>
      </c>
      <c r="C152" s="35">
        <f>'GF + UG Iteration 14'!C152</f>
        <v>41.3</v>
      </c>
      <c r="D152" s="36">
        <f>'GF + UG Iteration 14'!P$16*(C152^'GF + UG Iteration 14'!P$15)</f>
        <v>21.505940685852412</v>
      </c>
      <c r="E152" s="37">
        <f>'GF + UG Iteration 14'!E152</f>
        <v>1982</v>
      </c>
      <c r="F152" s="35">
        <f>'GF + UG Iteration 14'!F152</f>
        <v>24.200000000000003</v>
      </c>
      <c r="G152" s="36">
        <f>'GF + UG Iteration 14'!G152</f>
        <v>0.40462675342078769</v>
      </c>
      <c r="H152" s="38">
        <f>'GF + UG Iteration 14'!H152</f>
        <v>2006</v>
      </c>
      <c r="I152" s="35">
        <f t="shared" si="10"/>
        <v>65.5</v>
      </c>
      <c r="J152" s="36">
        <f t="shared" si="11"/>
        <v>21.910567439273201</v>
      </c>
      <c r="K152" s="38">
        <f t="shared" si="12"/>
        <v>2006</v>
      </c>
      <c r="M152" s="21">
        <f t="shared" si="18"/>
        <v>4.1820501426412067</v>
      </c>
      <c r="N152" s="21">
        <f t="shared" si="19"/>
        <v>3.0869690519152426</v>
      </c>
    </row>
    <row r="153" spans="1:14" x14ac:dyDescent="0.2">
      <c r="A153" s="33">
        <f>'GF + UG Iteration 14'!A153</f>
        <v>1692</v>
      </c>
      <c r="B153" s="34" t="str">
        <f>'GF + UG Iteration 14'!B153</f>
        <v>UG</v>
      </c>
      <c r="C153" s="35">
        <f>'GF + UG Iteration 14'!C153</f>
        <v>65.5</v>
      </c>
      <c r="D153" s="36">
        <f>'GF + UG Iteration 14'!P$16*(C153^'GF + UG Iteration 14'!P$15)</f>
        <v>28.005642810375164</v>
      </c>
      <c r="E153" s="37">
        <f>'GF + UG Iteration 14'!E153</f>
        <v>0</v>
      </c>
      <c r="F153" s="35">
        <f>'GF + UG Iteration 14'!F153</f>
        <v>0</v>
      </c>
      <c r="G153" s="36">
        <f>'GF + UG Iteration 14'!G153</f>
        <v>2.2188176481219593</v>
      </c>
      <c r="H153" s="38">
        <f>'GF + UG Iteration 14'!H153</f>
        <v>2016</v>
      </c>
      <c r="I153" s="35">
        <f t="shared" si="10"/>
        <v>65.5</v>
      </c>
      <c r="J153" s="36">
        <f t="shared" si="11"/>
        <v>30.224460458497123</v>
      </c>
      <c r="K153" s="38">
        <f t="shared" si="12"/>
        <v>2016</v>
      </c>
      <c r="M153" s="21">
        <f t="shared" si="18"/>
        <v>4.1820501426412067</v>
      </c>
      <c r="N153" s="21">
        <f t="shared" si="19"/>
        <v>3.4086515455060318</v>
      </c>
    </row>
    <row r="154" spans="1:14" x14ac:dyDescent="0.2">
      <c r="A154" s="33">
        <f>'GF + UG Iteration 14'!A154</f>
        <v>318</v>
      </c>
      <c r="B154" s="34" t="str">
        <f>'GF + UG Iteration 14'!B154</f>
        <v>UG</v>
      </c>
      <c r="C154" s="35">
        <f>'GF + UG Iteration 14'!C154</f>
        <v>22.87</v>
      </c>
      <c r="D154" s="36">
        <f>'GF + UG Iteration 14'!P$16*(C154^'GF + UG Iteration 14'!P$15)</f>
        <v>15.331365001502569</v>
      </c>
      <c r="E154" s="37">
        <f>'GF + UG Iteration 14'!E154</f>
        <v>1996</v>
      </c>
      <c r="F154" s="35">
        <f>'GF + UG Iteration 14'!F154</f>
        <v>1</v>
      </c>
      <c r="G154" s="36">
        <f>'GF + UG Iteration 14'!G154</f>
        <v>0.76702040063252341</v>
      </c>
      <c r="H154" s="38">
        <f>'GF + UG Iteration 14'!H154</f>
        <v>2001</v>
      </c>
      <c r="I154" s="35">
        <f t="shared" si="10"/>
        <v>23.87</v>
      </c>
      <c r="J154" s="36">
        <f t="shared" si="11"/>
        <v>16.098385402135094</v>
      </c>
      <c r="K154" s="38">
        <f t="shared" si="12"/>
        <v>2001</v>
      </c>
      <c r="M154" s="21">
        <f t="shared" si="18"/>
        <v>3.1726224403507386</v>
      </c>
      <c r="N154" s="21">
        <f t="shared" si="19"/>
        <v>2.7787189813798108</v>
      </c>
    </row>
    <row r="155" spans="1:14" x14ac:dyDescent="0.2">
      <c r="A155" s="33">
        <f>'GF + UG Iteration 14'!A155</f>
        <v>806</v>
      </c>
      <c r="B155" s="34" t="str">
        <f>'GF + UG Iteration 14'!B155</f>
        <v>UG</v>
      </c>
      <c r="C155" s="35">
        <f>'GF + UG Iteration 14'!C155</f>
        <v>23.867000000000001</v>
      </c>
      <c r="D155" s="36">
        <f>'GF + UG Iteration 14'!P$16*(C155^'GF + UG Iteration 14'!P$15)</f>
        <v>15.710575257229474</v>
      </c>
      <c r="E155" s="37">
        <f>'GF + UG Iteration 14'!E155</f>
        <v>1996</v>
      </c>
      <c r="F155" s="35">
        <f>'GF + UG Iteration 14'!F155</f>
        <v>5.4329999999999998</v>
      </c>
      <c r="G155" s="36">
        <f>'GF + UG Iteration 14'!G155</f>
        <v>0.68947713107767894</v>
      </c>
      <c r="H155" s="38">
        <f>'GF + UG Iteration 14'!H155</f>
        <v>2008</v>
      </c>
      <c r="I155" s="35">
        <f t="shared" si="10"/>
        <v>29.3</v>
      </c>
      <c r="J155" s="36">
        <f t="shared" si="11"/>
        <v>16.400052388307152</v>
      </c>
      <c r="K155" s="38">
        <f t="shared" si="12"/>
        <v>2008</v>
      </c>
      <c r="M155" s="21">
        <f t="shared" si="18"/>
        <v>3.3775875160230218</v>
      </c>
      <c r="N155" s="21">
        <f t="shared" si="19"/>
        <v>2.7972845292340232</v>
      </c>
    </row>
    <row r="156" spans="1:14" x14ac:dyDescent="0.2">
      <c r="A156" s="33">
        <f>'GF + UG Iteration 14'!A156</f>
        <v>1495</v>
      </c>
      <c r="B156" s="34" t="str">
        <f>'GF + UG Iteration 14'!B156</f>
        <v>UG</v>
      </c>
      <c r="C156" s="35">
        <f>'GF + UG Iteration 14'!C156</f>
        <v>29.3</v>
      </c>
      <c r="D156" s="36">
        <f>'GF + UG Iteration 14'!P$16*(C156^'GF + UG Iteration 14'!P$15)</f>
        <v>17.668252437482657</v>
      </c>
      <c r="E156" s="37">
        <f>'GF + UG Iteration 14'!E156</f>
        <v>1996</v>
      </c>
      <c r="F156" s="35">
        <f>'GF + UG Iteration 14'!F156</f>
        <v>0</v>
      </c>
      <c r="G156" s="36">
        <f>'GF + UG Iteration 14'!G156</f>
        <v>5.142810508174632</v>
      </c>
      <c r="H156" s="38">
        <f>'GF + UG Iteration 14'!H156</f>
        <v>2014</v>
      </c>
      <c r="I156" s="35">
        <f t="shared" si="10"/>
        <v>29.3</v>
      </c>
      <c r="J156" s="36">
        <f t="shared" si="11"/>
        <v>22.811062945657291</v>
      </c>
      <c r="K156" s="38">
        <f t="shared" si="12"/>
        <v>2014</v>
      </c>
      <c r="M156" s="21">
        <f t="shared" si="18"/>
        <v>3.3775875160230218</v>
      </c>
      <c r="N156" s="21">
        <f t="shared" si="19"/>
        <v>3.1272456351955267</v>
      </c>
    </row>
    <row r="157" spans="1:14" x14ac:dyDescent="0.2">
      <c r="A157" s="33">
        <f>'GF + UG Iteration 14'!A157</f>
        <v>1386</v>
      </c>
      <c r="B157" s="34" t="str">
        <f>'GF + UG Iteration 14'!B157</f>
        <v>UG</v>
      </c>
      <c r="C157" s="35">
        <f>'GF + UG Iteration 14'!C157</f>
        <v>32.700000000000003</v>
      </c>
      <c r="D157" s="36">
        <f>'GF + UG Iteration 14'!P$16*(C157^'GF + UG Iteration 14'!P$15)</f>
        <v>18.814614256315778</v>
      </c>
      <c r="E157" s="37">
        <f>'GF + UG Iteration 14'!E157</f>
        <v>0</v>
      </c>
      <c r="F157" s="35">
        <f>'GF + UG Iteration 14'!F157</f>
        <v>13.5</v>
      </c>
      <c r="G157" s="36">
        <f>'GF + UG Iteration 14'!G157</f>
        <v>0.85934464632152285</v>
      </c>
      <c r="H157" s="38">
        <f>'GF + UG Iteration 14'!H157</f>
        <v>2013</v>
      </c>
      <c r="I157" s="35">
        <f t="shared" si="10"/>
        <v>46.2</v>
      </c>
      <c r="J157" s="36">
        <f t="shared" si="11"/>
        <v>19.673958902637303</v>
      </c>
      <c r="K157" s="38">
        <f t="shared" si="12"/>
        <v>2013</v>
      </c>
      <c r="M157" s="21">
        <f t="shared" si="18"/>
        <v>3.8329797980876932</v>
      </c>
      <c r="N157" s="21">
        <f t="shared" si="19"/>
        <v>2.9792958781708943</v>
      </c>
    </row>
    <row r="158" spans="1:14" x14ac:dyDescent="0.2">
      <c r="A158" s="33">
        <f>'GF + UG Iteration 14'!A158</f>
        <v>928</v>
      </c>
      <c r="B158" s="34" t="str">
        <f>'GF + UG Iteration 14'!B158</f>
        <v>UG</v>
      </c>
      <c r="C158" s="35">
        <f>'GF + UG Iteration 14'!C158</f>
        <v>18.02</v>
      </c>
      <c r="D158" s="36">
        <f>'GF + UG Iteration 14'!P$16*(C158^'GF + UG Iteration 14'!P$15)</f>
        <v>13.375500321365786</v>
      </c>
      <c r="E158" s="37">
        <f>'GF + UG Iteration 14'!E158</f>
        <v>1992</v>
      </c>
      <c r="F158" s="35">
        <f>'GF + UG Iteration 14'!F158</f>
        <v>3.4800000000000004</v>
      </c>
      <c r="G158" s="36">
        <f>'GF + UG Iteration 14'!G158</f>
        <v>10.364367944955573</v>
      </c>
      <c r="H158" s="38">
        <f>'GF + UG Iteration 14'!H158</f>
        <v>2010</v>
      </c>
      <c r="I158" s="35">
        <f t="shared" si="10"/>
        <v>21.5</v>
      </c>
      <c r="J158" s="36">
        <f t="shared" si="11"/>
        <v>23.739868266321359</v>
      </c>
      <c r="K158" s="38">
        <f t="shared" si="12"/>
        <v>2010</v>
      </c>
      <c r="M158" s="21">
        <f t="shared" si="18"/>
        <v>3.068052935133617</v>
      </c>
      <c r="N158" s="21">
        <f t="shared" si="19"/>
        <v>3.1671558401484918</v>
      </c>
    </row>
    <row r="159" spans="1:14" x14ac:dyDescent="0.2">
      <c r="A159" s="33">
        <f>'GF + UG Iteration 14'!A159</f>
        <v>1450</v>
      </c>
      <c r="B159" s="34" t="str">
        <f>'GF + UG Iteration 14'!B159</f>
        <v>UG</v>
      </c>
      <c r="C159" s="35">
        <f>'GF + UG Iteration 14'!C159</f>
        <v>21.5</v>
      </c>
      <c r="D159" s="36">
        <f>'GF + UG Iteration 14'!P$16*(C159^'GF + UG Iteration 14'!P$15)</f>
        <v>14.798552410405675</v>
      </c>
      <c r="E159" s="37">
        <f>'GF + UG Iteration 14'!E159</f>
        <v>1992</v>
      </c>
      <c r="F159" s="35">
        <f>'GF + UG Iteration 14'!F159</f>
        <v>16.299999999999997</v>
      </c>
      <c r="G159" s="36">
        <f>'GF + UG Iteration 14'!G159</f>
        <v>5.1529943993409928</v>
      </c>
      <c r="H159" s="38">
        <f>'GF + UG Iteration 14'!H159</f>
        <v>2014</v>
      </c>
      <c r="I159" s="35">
        <f t="shared" si="10"/>
        <v>37.799999999999997</v>
      </c>
      <c r="J159" s="36">
        <f t="shared" si="11"/>
        <v>19.951546809746667</v>
      </c>
      <c r="K159" s="38">
        <f t="shared" si="12"/>
        <v>2014</v>
      </c>
      <c r="M159" s="21">
        <f t="shared" si="18"/>
        <v>3.6323091026255421</v>
      </c>
      <c r="N159" s="21">
        <f t="shared" si="19"/>
        <v>2.9933066746533834</v>
      </c>
    </row>
    <row r="160" spans="1:14" x14ac:dyDescent="0.2">
      <c r="A160" s="33">
        <f>'GF + UG Iteration 14'!A160</f>
        <v>170</v>
      </c>
      <c r="B160" s="34" t="str">
        <f>'GF + UG Iteration 14'!B160</f>
        <v>UG</v>
      </c>
      <c r="C160" s="35">
        <f>'GF + UG Iteration 14'!C160</f>
        <v>17.7</v>
      </c>
      <c r="D160" s="36">
        <f>'GF + UG Iteration 14'!P$16*(C160^'GF + UG Iteration 14'!P$15)</f>
        <v>13.238973860553642</v>
      </c>
      <c r="E160" s="37" t="str">
        <f>'GF + UG Iteration 14'!E160</f>
        <v>unknown</v>
      </c>
      <c r="F160" s="35">
        <f>'GF + UG Iteration 14'!F160</f>
        <v>8.8000000000000007</v>
      </c>
      <c r="G160" s="36">
        <f>'GF + UG Iteration 14'!G160</f>
        <v>1.1342290648673055</v>
      </c>
      <c r="H160" s="38">
        <f>'GF + UG Iteration 14'!H160</f>
        <v>2001</v>
      </c>
      <c r="I160" s="35">
        <f t="shared" si="10"/>
        <v>26.5</v>
      </c>
      <c r="J160" s="36">
        <f t="shared" si="11"/>
        <v>14.373202925420948</v>
      </c>
      <c r="K160" s="38">
        <f t="shared" si="12"/>
        <v>2001</v>
      </c>
      <c r="M160" s="21">
        <f t="shared" si="18"/>
        <v>3.2771447329921766</v>
      </c>
      <c r="N160" s="21">
        <f t="shared" si="19"/>
        <v>2.665365564984767</v>
      </c>
    </row>
    <row r="161" spans="1:14" x14ac:dyDescent="0.2">
      <c r="A161" s="33">
        <f>'GF + UG Iteration 14'!A161</f>
        <v>649</v>
      </c>
      <c r="B161" s="34" t="str">
        <f>'GF + UG Iteration 14'!B161</f>
        <v>UG</v>
      </c>
      <c r="C161" s="35">
        <f>'GF + UG Iteration 14'!C161</f>
        <v>26.5</v>
      </c>
      <c r="D161" s="36">
        <f>'GF + UG Iteration 14'!P$16*(C161^'GF + UG Iteration 14'!P$15)</f>
        <v>16.68075528745392</v>
      </c>
      <c r="E161" s="37">
        <f>'GF + UG Iteration 14'!E161</f>
        <v>1997</v>
      </c>
      <c r="F161" s="35">
        <f>'GF + UG Iteration 14'!F161</f>
        <v>33.799999999999997</v>
      </c>
      <c r="G161" s="36">
        <f>'GF + UG Iteration 14'!G161</f>
        <v>5.0180795362586865</v>
      </c>
      <c r="H161" s="38">
        <f>'GF + UG Iteration 14'!H161</f>
        <v>2007</v>
      </c>
      <c r="I161" s="35">
        <f t="shared" si="10"/>
        <v>60.3</v>
      </c>
      <c r="J161" s="36">
        <f t="shared" si="11"/>
        <v>21.698834823712605</v>
      </c>
      <c r="K161" s="38">
        <f t="shared" si="12"/>
        <v>2007</v>
      </c>
      <c r="M161" s="21">
        <f t="shared" si="18"/>
        <v>4.0993321037331398</v>
      </c>
      <c r="N161" s="21">
        <f t="shared" si="19"/>
        <v>3.0772585643450108</v>
      </c>
    </row>
    <row r="162" spans="1:14" x14ac:dyDescent="0.2">
      <c r="A162" s="33">
        <f>'GF + UG Iteration 14'!A162</f>
        <v>1203</v>
      </c>
      <c r="B162" s="34" t="str">
        <f>'GF + UG Iteration 14'!B162</f>
        <v>UG</v>
      </c>
      <c r="C162" s="35">
        <f>'GF + UG Iteration 14'!C162</f>
        <v>20.5</v>
      </c>
      <c r="D162" s="36">
        <f>'GF + UG Iteration 14'!P$16*(C162^'GF + UG Iteration 14'!P$15)</f>
        <v>14.400421339627172</v>
      </c>
      <c r="E162" s="37">
        <f>'GF + UG Iteration 14'!E162</f>
        <v>1977</v>
      </c>
      <c r="F162" s="35">
        <f>'GF + UG Iteration 14'!F162</f>
        <v>4.1000000000000014</v>
      </c>
      <c r="G162" s="36">
        <f>'GF + UG Iteration 14'!G162</f>
        <v>12.443615523285567</v>
      </c>
      <c r="H162" s="38">
        <f>'GF + UG Iteration 14'!H162</f>
        <v>2012</v>
      </c>
      <c r="I162" s="35">
        <f t="shared" si="10"/>
        <v>24.6</v>
      </c>
      <c r="J162" s="36">
        <f t="shared" si="11"/>
        <v>26.844036862912738</v>
      </c>
      <c r="K162" s="38">
        <f t="shared" si="12"/>
        <v>2012</v>
      </c>
      <c r="M162" s="21">
        <f t="shared" si="18"/>
        <v>3.202746442938317</v>
      </c>
      <c r="N162" s="21">
        <f t="shared" si="19"/>
        <v>3.2900437055223164</v>
      </c>
    </row>
    <row r="163" spans="1:14" x14ac:dyDescent="0.2">
      <c r="A163" s="33">
        <f>'GF + UG Iteration 14'!A163</f>
        <v>170</v>
      </c>
      <c r="B163" s="34" t="str">
        <f>'GF + UG Iteration 14'!B163</f>
        <v>UG</v>
      </c>
      <c r="C163" s="35">
        <f>'GF + UG Iteration 14'!C163</f>
        <v>7.9</v>
      </c>
      <c r="D163" s="36">
        <f>'GF + UG Iteration 14'!P$16*(C163^'GF + UG Iteration 14'!P$15)</f>
        <v>8.3415262807491555</v>
      </c>
      <c r="E163" s="37">
        <f>'GF + UG Iteration 14'!E163</f>
        <v>1972</v>
      </c>
      <c r="F163" s="35">
        <f>'GF + UG Iteration 14'!F163</f>
        <v>6.1</v>
      </c>
      <c r="G163" s="36">
        <f>'GF + UG Iteration 14'!G163</f>
        <v>2.9004939377112939</v>
      </c>
      <c r="H163" s="38">
        <f>'GF + UG Iteration 14'!H163</f>
        <v>2001</v>
      </c>
      <c r="I163" s="35">
        <f t="shared" si="10"/>
        <v>14</v>
      </c>
      <c r="J163" s="36">
        <f t="shared" si="11"/>
        <v>11.24202021846045</v>
      </c>
      <c r="K163" s="38">
        <f t="shared" si="12"/>
        <v>2001</v>
      </c>
      <c r="M163" s="21">
        <f t="shared" si="18"/>
        <v>2.6390573296152584</v>
      </c>
      <c r="N163" s="21">
        <f t="shared" si="19"/>
        <v>2.4196585630536664</v>
      </c>
    </row>
    <row r="164" spans="1:14" x14ac:dyDescent="0.2">
      <c r="A164" s="33">
        <f>'GF + UG Iteration 14'!A164</f>
        <v>363</v>
      </c>
      <c r="B164" s="34" t="str">
        <f>'GF + UG Iteration 14'!B164</f>
        <v>UG</v>
      </c>
      <c r="C164" s="35">
        <f>'GF + UG Iteration 14'!C164</f>
        <v>21.225999999999999</v>
      </c>
      <c r="D164" s="36">
        <f>'GF + UG Iteration 14'!P$16*(C164^'GF + UG Iteration 14'!P$15)</f>
        <v>14.690266410775306</v>
      </c>
      <c r="E164" s="37">
        <f>'GF + UG Iteration 14'!E164</f>
        <v>1975</v>
      </c>
      <c r="F164" s="35">
        <f>'GF + UG Iteration 14'!F164</f>
        <v>4.1999999999999993</v>
      </c>
      <c r="G164" s="36">
        <f>'GF + UG Iteration 14'!G164</f>
        <v>0.82194253395528394</v>
      </c>
      <c r="H164" s="38">
        <f>'GF + UG Iteration 14'!H164</f>
        <v>2004</v>
      </c>
      <c r="I164" s="35">
        <f t="shared" si="10"/>
        <v>25.425999999999998</v>
      </c>
      <c r="J164" s="36">
        <f t="shared" si="11"/>
        <v>15.51220894473059</v>
      </c>
      <c r="K164" s="38">
        <f t="shared" si="12"/>
        <v>2004</v>
      </c>
      <c r="M164" s="21">
        <f t="shared" si="18"/>
        <v>3.2357722725279308</v>
      </c>
      <c r="N164" s="21">
        <f t="shared" si="19"/>
        <v>2.7416273877265405</v>
      </c>
    </row>
    <row r="165" spans="1:14" x14ac:dyDescent="0.2">
      <c r="A165" s="33">
        <f>'GF + UG Iteration 14'!A165</f>
        <v>493</v>
      </c>
      <c r="B165" s="34" t="str">
        <f>'GF + UG Iteration 14'!B165</f>
        <v>UG</v>
      </c>
      <c r="C165" s="35">
        <f>'GF + UG Iteration 14'!C165</f>
        <v>25.4</v>
      </c>
      <c r="D165" s="36">
        <f>'GF + UG Iteration 14'!P$16*(C165^'GF + UG Iteration 14'!P$15)</f>
        <v>16.280692709362814</v>
      </c>
      <c r="E165" s="37">
        <f>'GF + UG Iteration 14'!E165</f>
        <v>1975</v>
      </c>
      <c r="F165" s="35">
        <f>'GF + UG Iteration 14'!F165</f>
        <v>3.3000000000000007</v>
      </c>
      <c r="G165" s="36">
        <f>'GF + UG Iteration 14'!G165</f>
        <v>3.4002692913337142</v>
      </c>
      <c r="H165" s="38">
        <f>'GF + UG Iteration 14'!H165</f>
        <v>2006</v>
      </c>
      <c r="I165" s="35">
        <f t="shared" si="10"/>
        <v>28.7</v>
      </c>
      <c r="J165" s="36">
        <f t="shared" si="11"/>
        <v>19.680962000696528</v>
      </c>
      <c r="K165" s="38">
        <f t="shared" si="12"/>
        <v>2006</v>
      </c>
      <c r="M165" s="21">
        <f t="shared" si="18"/>
        <v>3.3568971227655755</v>
      </c>
      <c r="N165" s="21">
        <f t="shared" si="19"/>
        <v>2.9796517725786278</v>
      </c>
    </row>
    <row r="166" spans="1:14" x14ac:dyDescent="0.2">
      <c r="A166" s="33">
        <f>'GF + UG Iteration 14'!A166</f>
        <v>685</v>
      </c>
      <c r="B166" s="34" t="str">
        <f>'GF + UG Iteration 14'!B166</f>
        <v>UG</v>
      </c>
      <c r="C166" s="35">
        <f>'GF + UG Iteration 14'!C166</f>
        <v>28.7</v>
      </c>
      <c r="D166" s="36">
        <f>'GF + UG Iteration 14'!P$16*(C166^'GF + UG Iteration 14'!P$15)</f>
        <v>17.460165477611053</v>
      </c>
      <c r="E166" s="37">
        <f>'GF + UG Iteration 14'!E166</f>
        <v>1975</v>
      </c>
      <c r="F166" s="35">
        <f>'GF + UG Iteration 14'!F166</f>
        <v>4.1999999999999993</v>
      </c>
      <c r="G166" s="36">
        <f>'GF + UG Iteration 14'!G166</f>
        <v>0.94606982488538283</v>
      </c>
      <c r="H166" s="38">
        <f>'GF + UG Iteration 14'!H166</f>
        <v>2007</v>
      </c>
      <c r="I166" s="35">
        <f t="shared" si="10"/>
        <v>32.9</v>
      </c>
      <c r="J166" s="36">
        <f t="shared" si="11"/>
        <v>18.406235302496437</v>
      </c>
      <c r="K166" s="38">
        <f t="shared" si="12"/>
        <v>2007</v>
      </c>
      <c r="M166" s="21">
        <f t="shared" si="18"/>
        <v>3.493472657771326</v>
      </c>
      <c r="N166" s="21">
        <f t="shared" si="19"/>
        <v>2.9126894823454057</v>
      </c>
    </row>
    <row r="167" spans="1:14" x14ac:dyDescent="0.2">
      <c r="A167" s="33">
        <f>'GF + UG Iteration 14'!A167</f>
        <v>1574</v>
      </c>
      <c r="B167" s="34" t="str">
        <f>'GF + UG Iteration 14'!B167</f>
        <v>UG</v>
      </c>
      <c r="C167" s="35">
        <f>'GF + UG Iteration 14'!C167</f>
        <v>28</v>
      </c>
      <c r="D167" s="36">
        <f>'GF + UG Iteration 14'!P$16*(C167^'GF + UG Iteration 14'!P$15)</f>
        <v>17.215032709978399</v>
      </c>
      <c r="E167" s="37">
        <f>'GF + UG Iteration 14'!E167</f>
        <v>2013</v>
      </c>
      <c r="F167" s="35">
        <f>'GF + UG Iteration 14'!F167</f>
        <v>0</v>
      </c>
      <c r="G167" s="36">
        <f>'GF + UG Iteration 14'!G167</f>
        <v>6.2662260340537754</v>
      </c>
      <c r="H167" s="38">
        <f>'GF + UG Iteration 14'!H167</f>
        <v>2015</v>
      </c>
      <c r="I167" s="35">
        <f t="shared" si="10"/>
        <v>28</v>
      </c>
      <c r="J167" s="36">
        <f t="shared" si="11"/>
        <v>23.481258744032175</v>
      </c>
      <c r="K167" s="38">
        <f t="shared" si="12"/>
        <v>2015</v>
      </c>
      <c r="M167" s="21">
        <f t="shared" si="18"/>
        <v>3.3322045101752038</v>
      </c>
      <c r="N167" s="21">
        <f t="shared" si="19"/>
        <v>3.1562026027236629</v>
      </c>
    </row>
    <row r="168" spans="1:14" x14ac:dyDescent="0.2">
      <c r="A168" s="33">
        <f>'GF + UG Iteration 14'!A168</f>
        <v>435</v>
      </c>
      <c r="B168" s="34" t="str">
        <f>'GF + UG Iteration 14'!B168</f>
        <v>UG</v>
      </c>
      <c r="C168" s="35">
        <f>'GF + UG Iteration 14'!C168</f>
        <v>10.6</v>
      </c>
      <c r="D168" s="36">
        <f>'GF + UG Iteration 14'!P$16*(C168^'GF + UG Iteration 14'!P$15)</f>
        <v>9.8708510988046303</v>
      </c>
      <c r="E168" s="37">
        <f>'GF + UG Iteration 14'!E168</f>
        <v>1990</v>
      </c>
      <c r="F168" s="35">
        <f>'GF + UG Iteration 14'!F168</f>
        <v>8.4</v>
      </c>
      <c r="G168" s="36">
        <f>'GF + UG Iteration 14'!G168</f>
        <v>3.0773639102073269</v>
      </c>
      <c r="H168" s="38">
        <f>'GF + UG Iteration 14'!H168</f>
        <v>2004</v>
      </c>
      <c r="I168" s="35">
        <f t="shared" si="10"/>
        <v>19</v>
      </c>
      <c r="J168" s="36">
        <f t="shared" si="11"/>
        <v>12.948215009011957</v>
      </c>
      <c r="K168" s="38">
        <f t="shared" si="12"/>
        <v>2004</v>
      </c>
      <c r="M168" s="21">
        <f t="shared" si="18"/>
        <v>2.9444389791664403</v>
      </c>
      <c r="N168" s="21">
        <f t="shared" si="19"/>
        <v>2.5609579415032009</v>
      </c>
    </row>
    <row r="169" spans="1:14" x14ac:dyDescent="0.2">
      <c r="A169" s="33">
        <f>'GF + UG Iteration 14'!A169</f>
        <v>652</v>
      </c>
      <c r="B169" s="34" t="str">
        <f>'GF + UG Iteration 14'!B169</f>
        <v>UG</v>
      </c>
      <c r="C169" s="35">
        <f>'GF + UG Iteration 14'!C169</f>
        <v>10.195</v>
      </c>
      <c r="D169" s="36">
        <f>'GF + UG Iteration 14'!P$16*(C169^'GF + UG Iteration 14'!P$15)</f>
        <v>9.6531034854142153</v>
      </c>
      <c r="E169" s="37">
        <f>'GF + UG Iteration 14'!E169</f>
        <v>1986</v>
      </c>
      <c r="F169" s="35">
        <f>'GF + UG Iteration 14'!F169</f>
        <v>3.4049999999999994</v>
      </c>
      <c r="G169" s="36">
        <f>'GF + UG Iteration 14'!G169</f>
        <v>4.380227937072533</v>
      </c>
      <c r="H169" s="38">
        <f>'GF + UG Iteration 14'!H169</f>
        <v>2007</v>
      </c>
      <c r="I169" s="35">
        <f t="shared" si="10"/>
        <v>13.6</v>
      </c>
      <c r="J169" s="36">
        <f t="shared" si="11"/>
        <v>14.033331422486748</v>
      </c>
      <c r="K169" s="38">
        <f t="shared" si="12"/>
        <v>2007</v>
      </c>
      <c r="M169" s="21">
        <f t="shared" si="18"/>
        <v>2.6100697927420065</v>
      </c>
      <c r="N169" s="21">
        <f t="shared" si="19"/>
        <v>2.6414353158553769</v>
      </c>
    </row>
    <row r="170" spans="1:14" x14ac:dyDescent="0.2">
      <c r="A170" s="33">
        <f>'GF + UG Iteration 14'!A170</f>
        <v>366</v>
      </c>
      <c r="B170" s="34" t="str">
        <f>'GF + UG Iteration 14'!B170</f>
        <v>UG</v>
      </c>
      <c r="C170" s="35">
        <f>'GF + UG Iteration 14'!C170</f>
        <v>11.1</v>
      </c>
      <c r="D170" s="36">
        <f>'GF + UG Iteration 14'!P$16*(C170^'GF + UG Iteration 14'!P$15)</f>
        <v>10.134829179163365</v>
      </c>
      <c r="E170" s="37">
        <f>'GF + UG Iteration 14'!E170</f>
        <v>1981</v>
      </c>
      <c r="F170" s="35">
        <f>'GF + UG Iteration 14'!F170</f>
        <v>4.8000000000000007</v>
      </c>
      <c r="G170" s="36">
        <f>'GF + UG Iteration 14'!G170</f>
        <v>0.60207988766843201</v>
      </c>
      <c r="H170" s="38">
        <f>'GF + UG Iteration 14'!H170</f>
        <v>2003</v>
      </c>
      <c r="I170" s="35">
        <f t="shared" si="10"/>
        <v>15.9</v>
      </c>
      <c r="J170" s="36">
        <f t="shared" si="11"/>
        <v>10.736909066831798</v>
      </c>
      <c r="K170" s="38">
        <f t="shared" si="12"/>
        <v>2003</v>
      </c>
      <c r="M170" s="21">
        <f t="shared" si="18"/>
        <v>2.7663191092261861</v>
      </c>
      <c r="N170" s="21">
        <f t="shared" si="19"/>
        <v>2.3736872512750153</v>
      </c>
    </row>
    <row r="171" spans="1:14" x14ac:dyDescent="0.2">
      <c r="A171" s="33">
        <f>'GF + UG Iteration 14'!A171</f>
        <v>1640</v>
      </c>
      <c r="B171" s="34" t="str">
        <f>'GF + UG Iteration 14'!B171</f>
        <v>UG</v>
      </c>
      <c r="C171" s="35">
        <f>'GF + UG Iteration 14'!C171</f>
        <v>15.9</v>
      </c>
      <c r="D171" s="36">
        <f>'GF + UG Iteration 14'!P$16*(C171^'GF + UG Iteration 14'!P$15)</f>
        <v>12.450441393307216</v>
      </c>
      <c r="E171" s="37">
        <f>'GF + UG Iteration 14'!E171</f>
        <v>1981</v>
      </c>
      <c r="F171" s="35">
        <f>'GF + UG Iteration 14'!F171</f>
        <v>2.4999999999999982</v>
      </c>
      <c r="G171" s="36">
        <f>'GF + UG Iteration 14'!G171</f>
        <v>8.3244002844443177</v>
      </c>
      <c r="H171" s="38">
        <f>'GF + UG Iteration 14'!H171</f>
        <v>2015</v>
      </c>
      <c r="I171" s="35">
        <f t="shared" si="10"/>
        <v>18.399999999999999</v>
      </c>
      <c r="J171" s="36">
        <f t="shared" si="11"/>
        <v>20.774841677751532</v>
      </c>
      <c r="K171" s="38">
        <f t="shared" si="12"/>
        <v>2015</v>
      </c>
      <c r="M171" s="21">
        <f t="shared" si="18"/>
        <v>2.91235066461494</v>
      </c>
      <c r="N171" s="21">
        <f t="shared" si="19"/>
        <v>3.0337427199062894</v>
      </c>
    </row>
    <row r="172" spans="1:14" x14ac:dyDescent="0.2">
      <c r="A172" s="33">
        <f>'GF + UG Iteration 14'!A172</f>
        <v>367</v>
      </c>
      <c r="B172" s="34" t="str">
        <f>'GF + UG Iteration 14'!B172</f>
        <v>UG</v>
      </c>
      <c r="C172" s="35">
        <f>'GF + UG Iteration 14'!C172</f>
        <v>11.211</v>
      </c>
      <c r="D172" s="36">
        <f>'GF + UG Iteration 14'!P$16*(C172^'GF + UG Iteration 14'!P$15)</f>
        <v>10.192737951698527</v>
      </c>
      <c r="E172" s="37">
        <f>'GF + UG Iteration 14'!E172</f>
        <v>1988</v>
      </c>
      <c r="F172" s="35">
        <f>'GF + UG Iteration 14'!F172</f>
        <v>1</v>
      </c>
      <c r="G172" s="36">
        <f>'GF + UG Iteration 14'!G172</f>
        <v>0.55588557988620213</v>
      </c>
      <c r="H172" s="38">
        <f>'GF + UG Iteration 14'!H172</f>
        <v>2004</v>
      </c>
      <c r="I172" s="35">
        <f t="shared" si="10"/>
        <v>12.211</v>
      </c>
      <c r="J172" s="36">
        <f t="shared" si="11"/>
        <v>10.74862353158473</v>
      </c>
      <c r="K172" s="38">
        <f t="shared" si="12"/>
        <v>2004</v>
      </c>
      <c r="M172" s="21">
        <f t="shared" si="18"/>
        <v>2.5023371848508846</v>
      </c>
      <c r="N172" s="21">
        <f t="shared" si="19"/>
        <v>2.3747777028018802</v>
      </c>
    </row>
    <row r="173" spans="1:14" x14ac:dyDescent="0.2">
      <c r="A173" s="33">
        <f>'GF + UG Iteration 14'!A173</f>
        <v>650</v>
      </c>
      <c r="B173" s="34" t="str">
        <f>'GF + UG Iteration 14'!B173</f>
        <v>UG</v>
      </c>
      <c r="C173" s="35">
        <f>'GF + UG Iteration 14'!C173</f>
        <v>23</v>
      </c>
      <c r="D173" s="36">
        <f>'GF + UG Iteration 14'!P$16*(C173^'GF + UG Iteration 14'!P$15)</f>
        <v>15.381205705442992</v>
      </c>
      <c r="E173" s="37">
        <f>'GF + UG Iteration 14'!E173</f>
        <v>1981</v>
      </c>
      <c r="F173" s="35">
        <f>'GF + UG Iteration 14'!F173</f>
        <v>0</v>
      </c>
      <c r="G173" s="36">
        <f>'GF + UG Iteration 14'!G173</f>
        <v>5.9476879309059552</v>
      </c>
      <c r="H173" s="38">
        <f>'GF + UG Iteration 14'!H173</f>
        <v>2007</v>
      </c>
      <c r="I173" s="35">
        <f t="shared" si="10"/>
        <v>23</v>
      </c>
      <c r="J173" s="36">
        <f t="shared" si="11"/>
        <v>21.328893636348948</v>
      </c>
      <c r="K173" s="38">
        <f t="shared" si="12"/>
        <v>2007</v>
      </c>
      <c r="M173" s="21">
        <f t="shared" si="18"/>
        <v>3.1354942159291497</v>
      </c>
      <c r="N173" s="21">
        <f t="shared" si="19"/>
        <v>3.0600626622373626</v>
      </c>
    </row>
    <row r="174" spans="1:14" x14ac:dyDescent="0.2">
      <c r="A174" s="33">
        <f>'GF + UG Iteration 14'!A174</f>
        <v>902</v>
      </c>
      <c r="B174" s="34" t="str">
        <f>'GF + UG Iteration 14'!B174</f>
        <v>UG</v>
      </c>
      <c r="C174" s="35">
        <f>'GF + UG Iteration 14'!C174</f>
        <v>19.2</v>
      </c>
      <c r="D174" s="36">
        <f>'GF + UG Iteration 14'!P$16*(C174^'GF + UG Iteration 14'!P$15)</f>
        <v>13.870214412162944</v>
      </c>
      <c r="E174" s="37">
        <f>'GF + UG Iteration 14'!E174</f>
        <v>2002</v>
      </c>
      <c r="F174" s="35">
        <f>'GF + UG Iteration 14'!F174</f>
        <v>13.500000000000004</v>
      </c>
      <c r="G174" s="36">
        <f>'GF + UG Iteration 14'!G174</f>
        <v>0.54699963688402187</v>
      </c>
      <c r="H174" s="38">
        <f>'GF + UG Iteration 14'!H174</f>
        <v>2009</v>
      </c>
      <c r="I174" s="35">
        <f t="shared" si="10"/>
        <v>32.700000000000003</v>
      </c>
      <c r="J174" s="36">
        <f t="shared" si="11"/>
        <v>14.417214049046967</v>
      </c>
      <c r="K174" s="38">
        <f t="shared" si="12"/>
        <v>2009</v>
      </c>
      <c r="M174" s="21">
        <f t="shared" si="18"/>
        <v>3.487375077903208</v>
      </c>
      <c r="N174" s="21">
        <f t="shared" si="19"/>
        <v>2.6684229127090058</v>
      </c>
    </row>
    <row r="175" spans="1:14" x14ac:dyDescent="0.2">
      <c r="A175" s="33">
        <f>'GF + UG Iteration 14'!A175</f>
        <v>1202</v>
      </c>
      <c r="B175" s="34" t="str">
        <f>'GF + UG Iteration 14'!B175</f>
        <v>UG</v>
      </c>
      <c r="C175" s="35">
        <f>'GF + UG Iteration 14'!C175</f>
        <v>19.399999999999999</v>
      </c>
      <c r="D175" s="36">
        <f>'GF + UG Iteration 14'!P$16*(C175^'GF + UG Iteration 14'!P$15)</f>
        <v>13.952761448720922</v>
      </c>
      <c r="E175" s="37">
        <f>'GF + UG Iteration 14'!E175</f>
        <v>1989</v>
      </c>
      <c r="F175" s="35">
        <f>'GF + UG Iteration 14'!F175</f>
        <v>1.6000000000000014</v>
      </c>
      <c r="G175" s="36">
        <f>'GF + UG Iteration 14'!G175</f>
        <v>10.745042225505973</v>
      </c>
      <c r="H175" s="38">
        <f>'GF + UG Iteration 14'!H175</f>
        <v>2012</v>
      </c>
      <c r="I175" s="35">
        <f t="shared" si="10"/>
        <v>21</v>
      </c>
      <c r="J175" s="36">
        <f t="shared" si="11"/>
        <v>24.697803674226897</v>
      </c>
      <c r="K175" s="38">
        <f t="shared" si="12"/>
        <v>2012</v>
      </c>
      <c r="M175" s="21">
        <f t="shared" si="18"/>
        <v>3.044522437723423</v>
      </c>
      <c r="N175" s="21">
        <f t="shared" si="19"/>
        <v>3.2067143196085222</v>
      </c>
    </row>
    <row r="176" spans="1:14" x14ac:dyDescent="0.2">
      <c r="A176" s="33">
        <f>'GF + UG Iteration 14'!A176</f>
        <v>1338</v>
      </c>
      <c r="B176" s="34" t="str">
        <f>'GF + UG Iteration 14'!B176</f>
        <v>UG</v>
      </c>
      <c r="C176" s="35">
        <f>'GF + UG Iteration 14'!C176</f>
        <v>7.5</v>
      </c>
      <c r="D176" s="36">
        <f>'GF + UG Iteration 14'!P$16*(C176^'GF + UG Iteration 14'!P$15)</f>
        <v>8.0970028446147353</v>
      </c>
      <c r="E176" s="37" t="str">
        <f>'GF + UG Iteration 14'!E176</f>
        <v>unknown</v>
      </c>
      <c r="F176" s="35">
        <f>'GF + UG Iteration 14'!F176</f>
        <v>2</v>
      </c>
      <c r="G176" s="36">
        <f>'GF + UG Iteration 14'!G176</f>
        <v>6.6635813355623759</v>
      </c>
      <c r="H176" s="38">
        <f>'GF + UG Iteration 14'!H176</f>
        <v>2013</v>
      </c>
      <c r="I176" s="35">
        <f t="shared" si="10"/>
        <v>9.5</v>
      </c>
      <c r="J176" s="36">
        <f t="shared" si="11"/>
        <v>14.760584180177112</v>
      </c>
      <c r="K176" s="38">
        <f t="shared" si="12"/>
        <v>2013</v>
      </c>
      <c r="M176" s="21">
        <f t="shared" si="18"/>
        <v>2.2512917986064953</v>
      </c>
      <c r="N176" s="21">
        <f t="shared" si="19"/>
        <v>2.6919603969918997</v>
      </c>
    </row>
    <row r="177" spans="1:14" x14ac:dyDescent="0.2">
      <c r="A177" s="33">
        <f>'GF + UG Iteration 14'!A177</f>
        <v>212</v>
      </c>
      <c r="B177" s="34" t="str">
        <f>'GF + UG Iteration 14'!B177</f>
        <v>UG</v>
      </c>
      <c r="C177" s="35">
        <f>'GF + UG Iteration 14'!C177</f>
        <v>36.549999999999997</v>
      </c>
      <c r="D177" s="36">
        <f>'GF + UG Iteration 14'!P$16*(C177^'GF + UG Iteration 14'!P$15)</f>
        <v>20.052783750845965</v>
      </c>
      <c r="E177" s="37">
        <f>'GF + UG Iteration 14'!E177</f>
        <v>1978</v>
      </c>
      <c r="F177" s="35">
        <f>'GF + UG Iteration 14'!F177</f>
        <v>28</v>
      </c>
      <c r="G177" s="36">
        <f>'GF + UG Iteration 14'!G177</f>
        <v>4.6264535731184777</v>
      </c>
      <c r="H177" s="38">
        <f>'GF + UG Iteration 14'!H177</f>
        <v>2003</v>
      </c>
      <c r="I177" s="35">
        <f t="shared" si="10"/>
        <v>64.55</v>
      </c>
      <c r="J177" s="36">
        <f t="shared" si="11"/>
        <v>24.679237323964443</v>
      </c>
      <c r="K177" s="38">
        <f t="shared" si="12"/>
        <v>2003</v>
      </c>
      <c r="M177" s="21">
        <f t="shared" si="18"/>
        <v>4.1674401172926512</v>
      </c>
      <c r="N177" s="21">
        <f t="shared" si="19"/>
        <v>3.2059622959650587</v>
      </c>
    </row>
    <row r="178" spans="1:14" x14ac:dyDescent="0.2">
      <c r="A178" s="33">
        <f>'GF + UG Iteration 14'!A178</f>
        <v>653</v>
      </c>
      <c r="B178" s="34" t="str">
        <f>'GF + UG Iteration 14'!B178</f>
        <v>UG</v>
      </c>
      <c r="C178" s="35">
        <f>'GF + UG Iteration 14'!C178</f>
        <v>64.55</v>
      </c>
      <c r="D178" s="36">
        <f>'GF + UG Iteration 14'!P$16*(C178^'GF + UG Iteration 14'!P$15)</f>
        <v>27.772332575011262</v>
      </c>
      <c r="E178" s="37">
        <f>'GF + UG Iteration 14'!E178</f>
        <v>1977</v>
      </c>
      <c r="F178" s="35">
        <f>'GF + UG Iteration 14'!F178</f>
        <v>1.3200000000000074</v>
      </c>
      <c r="G178" s="36">
        <f>'GF + UG Iteration 14'!G178</f>
        <v>0.56894692945086811</v>
      </c>
      <c r="H178" s="38">
        <f>'GF + UG Iteration 14'!H178</f>
        <v>2007</v>
      </c>
      <c r="I178" s="35">
        <f t="shared" si="10"/>
        <v>65.87</v>
      </c>
      <c r="J178" s="36">
        <f t="shared" si="11"/>
        <v>28.341279504462129</v>
      </c>
      <c r="K178" s="38">
        <f t="shared" si="12"/>
        <v>2007</v>
      </c>
      <c r="M178" s="21">
        <f t="shared" si="18"/>
        <v>4.1876831026526018</v>
      </c>
      <c r="N178" s="21">
        <f t="shared" si="19"/>
        <v>3.3443193816012511</v>
      </c>
    </row>
    <row r="179" spans="1:14" x14ac:dyDescent="0.2">
      <c r="A179" s="33">
        <f>'GF + UG Iteration 14'!A179</f>
        <v>1679</v>
      </c>
      <c r="B179" s="34" t="str">
        <f>'GF + UG Iteration 14'!B179</f>
        <v>UG</v>
      </c>
      <c r="C179" s="35">
        <f>'GF + UG Iteration 14'!C179</f>
        <v>65.87</v>
      </c>
      <c r="D179" s="36">
        <f>'GF + UG Iteration 14'!P$16*(C179^'GF + UG Iteration 14'!P$15)</f>
        <v>28.096119229197985</v>
      </c>
      <c r="E179" s="37">
        <f>'GF + UG Iteration 14'!E179</f>
        <v>1977</v>
      </c>
      <c r="F179" s="35">
        <f>'GF + UG Iteration 14'!F179</f>
        <v>0</v>
      </c>
      <c r="G179" s="36">
        <f>'GF + UG Iteration 14'!G179</f>
        <v>3.0359489017822221</v>
      </c>
      <c r="H179" s="38">
        <f>'GF + UG Iteration 14'!H179</f>
        <v>2016</v>
      </c>
      <c r="I179" s="35">
        <f t="shared" si="10"/>
        <v>65.87</v>
      </c>
      <c r="J179" s="36">
        <f t="shared" si="11"/>
        <v>31.132068130980208</v>
      </c>
      <c r="K179" s="38">
        <f t="shared" si="12"/>
        <v>2016</v>
      </c>
      <c r="M179" s="21">
        <f t="shared" si="18"/>
        <v>4.1876831026526018</v>
      </c>
      <c r="N179" s="21">
        <f t="shared" si="19"/>
        <v>3.4382384175497198</v>
      </c>
    </row>
    <row r="180" spans="1:14" x14ac:dyDescent="0.2">
      <c r="A180" s="33">
        <f>'GF + UG Iteration 14'!A180</f>
        <v>1382</v>
      </c>
      <c r="B180" s="34" t="str">
        <f>'GF + UG Iteration 14'!B180</f>
        <v>UG</v>
      </c>
      <c r="C180" s="35">
        <f>'GF + UG Iteration 14'!C180</f>
        <v>24.2</v>
      </c>
      <c r="D180" s="36">
        <f>'GF + UG Iteration 14'!P$16*(C180^'GF + UG Iteration 14'!P$15)</f>
        <v>15.835717177714187</v>
      </c>
      <c r="E180" s="37" t="str">
        <f>'GF + UG Iteration 14'!E180</f>
        <v>unknown</v>
      </c>
      <c r="F180" s="35">
        <f>'GF + UG Iteration 14'!F180</f>
        <v>11.900000000000002</v>
      </c>
      <c r="G180" s="36">
        <f>'GF + UG Iteration 14'!G180</f>
        <v>2.4484361075925429</v>
      </c>
      <c r="H180" s="38">
        <f>'GF + UG Iteration 14'!H180</f>
        <v>2013</v>
      </c>
      <c r="I180" s="35">
        <f t="shared" si="10"/>
        <v>36.1</v>
      </c>
      <c r="J180" s="36">
        <f t="shared" si="11"/>
        <v>18.284153285306729</v>
      </c>
      <c r="K180" s="38">
        <f t="shared" si="12"/>
        <v>2013</v>
      </c>
      <c r="M180" s="21">
        <f t="shared" si="18"/>
        <v>3.5862928653388351</v>
      </c>
      <c r="N180" s="21">
        <f t="shared" si="19"/>
        <v>2.9060347440105279</v>
      </c>
    </row>
    <row r="181" spans="1:14" x14ac:dyDescent="0.2">
      <c r="A181" s="33">
        <f>'GF + UG Iteration 14'!A181</f>
        <v>1638</v>
      </c>
      <c r="B181" s="34" t="str">
        <f>'GF + UG Iteration 14'!B181</f>
        <v>UG</v>
      </c>
      <c r="C181" s="35">
        <f>'GF + UG Iteration 14'!C181</f>
        <v>36.1</v>
      </c>
      <c r="D181" s="36">
        <f>'GF + UG Iteration 14'!P$16*(C181^'GF + UG Iteration 14'!P$15)</f>
        <v>19.911041188083072</v>
      </c>
      <c r="E181" s="37" t="str">
        <f>'GF + UG Iteration 14'!E181</f>
        <v>unknown</v>
      </c>
      <c r="F181" s="35">
        <f>'GF + UG Iteration 14'!F181</f>
        <v>0</v>
      </c>
      <c r="G181" s="36">
        <f>'GF + UG Iteration 14'!G181</f>
        <v>1.4307693737810239</v>
      </c>
      <c r="H181" s="38">
        <f>'GF + UG Iteration 14'!H181</f>
        <v>2015</v>
      </c>
      <c r="I181" s="35">
        <f t="shared" si="10"/>
        <v>36.1</v>
      </c>
      <c r="J181" s="36">
        <f t="shared" si="11"/>
        <v>21.341810561864097</v>
      </c>
      <c r="K181" s="38">
        <f t="shared" si="12"/>
        <v>2015</v>
      </c>
      <c r="M181" s="21">
        <f t="shared" si="18"/>
        <v>3.5862928653388351</v>
      </c>
      <c r="N181" s="21">
        <f t="shared" si="19"/>
        <v>3.0606680858483575</v>
      </c>
    </row>
    <row r="182" spans="1:14" x14ac:dyDescent="0.2">
      <c r="A182" s="33">
        <f>'GF + UG Iteration 14'!A182</f>
        <v>874</v>
      </c>
      <c r="B182" s="34" t="str">
        <f>'GF + UG Iteration 14'!B182</f>
        <v>UG</v>
      </c>
      <c r="C182" s="35">
        <f>'GF + UG Iteration 14'!C182</f>
        <v>6.4</v>
      </c>
      <c r="D182" s="36">
        <f>'GF + UG Iteration 14'!P$16*(C182^'GF + UG Iteration 14'!P$15)</f>
        <v>7.3940562653119848</v>
      </c>
      <c r="E182" s="37">
        <f>'GF + UG Iteration 14'!E182</f>
        <v>1997</v>
      </c>
      <c r="F182" s="35">
        <f>'GF + UG Iteration 14'!F182</f>
        <v>0.5</v>
      </c>
      <c r="G182" s="36">
        <f>'GF + UG Iteration 14'!G182</f>
        <v>3.6333602061432981</v>
      </c>
      <c r="H182" s="38">
        <f>'GF + UG Iteration 14'!H182</f>
        <v>2009</v>
      </c>
      <c r="I182" s="35">
        <f t="shared" si="10"/>
        <v>6.9</v>
      </c>
      <c r="J182" s="36">
        <f t="shared" si="11"/>
        <v>11.027416471455282</v>
      </c>
      <c r="K182" s="38">
        <f t="shared" si="12"/>
        <v>2009</v>
      </c>
      <c r="M182" s="21">
        <f t="shared" si="18"/>
        <v>1.9315214116032138</v>
      </c>
      <c r="N182" s="21">
        <f t="shared" si="19"/>
        <v>2.4003845784006246</v>
      </c>
    </row>
    <row r="183" spans="1:14" x14ac:dyDescent="0.2">
      <c r="A183" s="33">
        <f>'GF + UG Iteration 14'!A183</f>
        <v>491</v>
      </c>
      <c r="B183" s="34" t="str">
        <f>'GF + UG Iteration 14'!B183</f>
        <v>UG</v>
      </c>
      <c r="C183" s="35">
        <f>'GF + UG Iteration 14'!C183</f>
        <v>27.9</v>
      </c>
      <c r="D183" s="36">
        <f>'GF + UG Iteration 14'!P$16*(C183^'GF + UG Iteration 14'!P$15)</f>
        <v>17.17980095138579</v>
      </c>
      <c r="E183" s="37">
        <f>'GF + UG Iteration 14'!E183</f>
        <v>1984</v>
      </c>
      <c r="F183" s="35">
        <f>'GF + UG Iteration 14'!F183</f>
        <v>1</v>
      </c>
      <c r="G183" s="36">
        <f>'GF + UG Iteration 14'!G183</f>
        <v>0.19252271805052243</v>
      </c>
      <c r="H183" s="38">
        <f>'GF + UG Iteration 14'!H183</f>
        <v>2006</v>
      </c>
      <c r="I183" s="35">
        <f t="shared" si="10"/>
        <v>28.9</v>
      </c>
      <c r="J183" s="36">
        <f t="shared" si="11"/>
        <v>17.372323669436312</v>
      </c>
      <c r="K183" s="38">
        <f t="shared" si="12"/>
        <v>2006</v>
      </c>
      <c r="M183" s="21">
        <f t="shared" si="18"/>
        <v>3.3638415951183864</v>
      </c>
      <c r="N183" s="21">
        <f t="shared" si="19"/>
        <v>2.8548783461727538</v>
      </c>
    </row>
    <row r="184" spans="1:14" x14ac:dyDescent="0.2">
      <c r="A184" s="33">
        <f>'GF + UG Iteration 14'!A184</f>
        <v>1396</v>
      </c>
      <c r="B184" s="34" t="str">
        <f>'GF + UG Iteration 14'!B184</f>
        <v>UG</v>
      </c>
      <c r="C184" s="35">
        <f>'GF + UG Iteration 14'!C184</f>
        <v>20.6</v>
      </c>
      <c r="D184" s="36">
        <f>'GF + UG Iteration 14'!P$16*(C184^'GF + UG Iteration 14'!P$15)</f>
        <v>14.44060245903345</v>
      </c>
      <c r="E184" s="37">
        <f>'GF + UG Iteration 14'!E184</f>
        <v>2009</v>
      </c>
      <c r="F184" s="35">
        <f>'GF + UG Iteration 14'!F184</f>
        <v>5.3999999999999986</v>
      </c>
      <c r="G184" s="36">
        <f>'GF + UG Iteration 14'!G184</f>
        <v>0.37351117224616898</v>
      </c>
      <c r="H184" s="38">
        <f>'GF + UG Iteration 14'!H184</f>
        <v>2013</v>
      </c>
      <c r="I184" s="35">
        <f t="shared" ref="I184:I246" si="20">C184+F184</f>
        <v>26</v>
      </c>
      <c r="J184" s="36">
        <f t="shared" ref="J184:J246" si="21">D184+G184</f>
        <v>14.814113631279618</v>
      </c>
      <c r="K184" s="38">
        <f t="shared" ref="K184:K246" si="22">MAX(E184,H184)</f>
        <v>2013</v>
      </c>
      <c r="M184" s="21">
        <f>LN(I184)</f>
        <v>3.2580965380214821</v>
      </c>
      <c r="N184" s="21">
        <f>LN(J184)</f>
        <v>2.6955803500949327</v>
      </c>
    </row>
    <row r="185" spans="1:14" x14ac:dyDescent="0.2">
      <c r="A185" s="33">
        <f>'GF + UG Iteration 14'!A185</f>
        <v>1597</v>
      </c>
      <c r="B185" s="34" t="str">
        <f>'GF + UG Iteration 14'!B185</f>
        <v>UG</v>
      </c>
      <c r="C185" s="35">
        <f>'GF + UG Iteration 14'!C185</f>
        <v>26</v>
      </c>
      <c r="D185" s="36">
        <f>'GF + UG Iteration 14'!P$16*(C185^'GF + UG Iteration 14'!P$15)</f>
        <v>16.499806421737631</v>
      </c>
      <c r="E185" s="37">
        <f>'GF + UG Iteration 14'!E185</f>
        <v>2009</v>
      </c>
      <c r="F185" s="35">
        <f>'GF + UG Iteration 14'!F185</f>
        <v>27.299999999999997</v>
      </c>
      <c r="G185" s="36">
        <f>'GF + UG Iteration 14'!G185</f>
        <v>4.2355817632178319</v>
      </c>
      <c r="H185" s="38">
        <f>'GF + UG Iteration 14'!H185</f>
        <v>2015</v>
      </c>
      <c r="I185" s="35">
        <f t="shared" si="20"/>
        <v>53.3</v>
      </c>
      <c r="J185" s="36">
        <f t="shared" si="21"/>
        <v>20.735388184955461</v>
      </c>
      <c r="K185" s="38">
        <f t="shared" si="22"/>
        <v>2015</v>
      </c>
      <c r="M185" s="21">
        <f t="shared" ref="M185:M247" si="23">LN(I185)</f>
        <v>3.9759363311717988</v>
      </c>
      <c r="N185" s="21">
        <f t="shared" ref="N185:N247" si="24">LN(J185)</f>
        <v>3.0318418147652295</v>
      </c>
    </row>
    <row r="186" spans="1:14" x14ac:dyDescent="0.2">
      <c r="A186" s="33">
        <f>'GF + UG Iteration 14'!A186</f>
        <v>1292</v>
      </c>
      <c r="B186" s="34" t="str">
        <f>'GF + UG Iteration 14'!B186</f>
        <v>UG</v>
      </c>
      <c r="C186" s="35">
        <f>'GF + UG Iteration 14'!C186</f>
        <v>30.3</v>
      </c>
      <c r="D186" s="36">
        <f>'GF + UG Iteration 14'!P$16*(C186^'GF + UG Iteration 14'!P$15)</f>
        <v>18.011059858131244</v>
      </c>
      <c r="E186" s="37" t="str">
        <f>'GF + UG Iteration 14'!E186</f>
        <v>unknown</v>
      </c>
      <c r="F186" s="35">
        <f>'GF + UG Iteration 14'!F186</f>
        <v>2.4999999999999964</v>
      </c>
      <c r="G186" s="36">
        <f>'GF + UG Iteration 14'!G186</f>
        <v>4.47116983018676</v>
      </c>
      <c r="H186" s="38">
        <f>'GF + UG Iteration 14'!H186</f>
        <v>2013</v>
      </c>
      <c r="I186" s="35">
        <f t="shared" si="20"/>
        <v>32.799999999999997</v>
      </c>
      <c r="J186" s="36">
        <f t="shared" si="21"/>
        <v>22.482229688318004</v>
      </c>
      <c r="K186" s="38">
        <f t="shared" si="22"/>
        <v>2013</v>
      </c>
      <c r="M186" s="21">
        <f t="shared" si="23"/>
        <v>3.4904285153900978</v>
      </c>
      <c r="N186" s="21">
        <f t="shared" si="24"/>
        <v>3.11272520553034</v>
      </c>
    </row>
    <row r="187" spans="1:14" x14ac:dyDescent="0.2">
      <c r="A187" s="33">
        <f>'GF + UG Iteration 14'!A187</f>
        <v>364</v>
      </c>
      <c r="B187" s="34" t="str">
        <f>'GF + UG Iteration 14'!B187</f>
        <v>UG</v>
      </c>
      <c r="C187" s="35">
        <f>'GF + UG Iteration 14'!C187</f>
        <v>44.904000000000003</v>
      </c>
      <c r="D187" s="36">
        <f>'GF + UG Iteration 14'!P$16*(C187^'GF + UG Iteration 14'!P$15)</f>
        <v>22.561289183961577</v>
      </c>
      <c r="E187" s="37">
        <f>'GF + UG Iteration 14'!E187</f>
        <v>1975</v>
      </c>
      <c r="F187" s="35">
        <f>'GF + UG Iteration 14'!F187</f>
        <v>2</v>
      </c>
      <c r="G187" s="36">
        <f>'GF + UG Iteration 14'!G187</f>
        <v>1.3174901179839253</v>
      </c>
      <c r="H187" s="38">
        <f>'GF + UG Iteration 14'!H187</f>
        <v>2004</v>
      </c>
      <c r="I187" s="35">
        <f t="shared" si="20"/>
        <v>46.904000000000003</v>
      </c>
      <c r="J187" s="36">
        <f t="shared" si="21"/>
        <v>23.878779301945503</v>
      </c>
      <c r="K187" s="38">
        <f t="shared" si="22"/>
        <v>2004</v>
      </c>
      <c r="M187" s="21">
        <f t="shared" si="23"/>
        <v>3.8481029596619138</v>
      </c>
      <c r="N187" s="21">
        <f t="shared" si="24"/>
        <v>3.1729901692088491</v>
      </c>
    </row>
    <row r="188" spans="1:14" x14ac:dyDescent="0.2">
      <c r="A188" s="33">
        <f>'GF + UG Iteration 14'!A188</f>
        <v>1306</v>
      </c>
      <c r="B188" s="34" t="str">
        <f>'GF + UG Iteration 14'!B188</f>
        <v>UG</v>
      </c>
      <c r="C188" s="35">
        <f>'GF + UG Iteration 14'!C188</f>
        <v>23.1</v>
      </c>
      <c r="D188" s="36">
        <f>'GF + UG Iteration 14'!P$16*(C188^'GF + UG Iteration 14'!P$15)</f>
        <v>15.419462826043922</v>
      </c>
      <c r="E188" s="37">
        <f>'GF + UG Iteration 14'!E188</f>
        <v>1985</v>
      </c>
      <c r="F188" s="35">
        <f>'GF + UG Iteration 14'!F188</f>
        <v>2.0999999999999979</v>
      </c>
      <c r="G188" s="36">
        <f>'GF + UG Iteration 14'!G188</f>
        <v>5.9848606370399509</v>
      </c>
      <c r="H188" s="38">
        <f>'GF + UG Iteration 14'!H188</f>
        <v>2013</v>
      </c>
      <c r="I188" s="35">
        <f t="shared" si="20"/>
        <v>25.2</v>
      </c>
      <c r="J188" s="36">
        <f t="shared" si="21"/>
        <v>21.404323463083873</v>
      </c>
      <c r="K188" s="38">
        <f t="shared" si="22"/>
        <v>2013</v>
      </c>
      <c r="M188" s="21">
        <f t="shared" si="23"/>
        <v>3.2268439945173775</v>
      </c>
      <c r="N188" s="21">
        <f t="shared" si="24"/>
        <v>3.0635929326075222</v>
      </c>
    </row>
    <row r="189" spans="1:14" x14ac:dyDescent="0.2">
      <c r="A189" s="33">
        <f>'GF + UG Iteration 14'!A189</f>
        <v>858</v>
      </c>
      <c r="B189" s="34" t="str">
        <f>'GF + UG Iteration 14'!B189</f>
        <v>UG</v>
      </c>
      <c r="C189" s="35">
        <f>'GF + UG Iteration 14'!C189</f>
        <v>28.4</v>
      </c>
      <c r="D189" s="36">
        <f>'GF + UG Iteration 14'!P$16*(C189^'GF + UG Iteration 14'!P$15)</f>
        <v>17.355425083612754</v>
      </c>
      <c r="E189" s="37">
        <f>'GF + UG Iteration 14'!E189</f>
        <v>2009</v>
      </c>
      <c r="F189" s="35">
        <f>'GF + UG Iteration 14'!F189</f>
        <v>13.300000000000004</v>
      </c>
      <c r="G189" s="36">
        <f>'GF + UG Iteration 14'!G189</f>
        <v>5.4358775042665943</v>
      </c>
      <c r="H189" s="38">
        <f>'GF + UG Iteration 14'!H189</f>
        <v>2010</v>
      </c>
      <c r="I189" s="35">
        <f t="shared" si="20"/>
        <v>41.7</v>
      </c>
      <c r="J189" s="36">
        <f t="shared" si="21"/>
        <v>22.79130258787935</v>
      </c>
      <c r="K189" s="38">
        <f t="shared" si="22"/>
        <v>2010</v>
      </c>
      <c r="M189" s="21">
        <f t="shared" si="23"/>
        <v>3.730501128804756</v>
      </c>
      <c r="N189" s="21">
        <f t="shared" si="24"/>
        <v>3.1263789977400562</v>
      </c>
    </row>
    <row r="190" spans="1:14" x14ac:dyDescent="0.2">
      <c r="A190" s="33">
        <f>'GF + UG Iteration 14'!A190</f>
        <v>1454</v>
      </c>
      <c r="B190" s="34" t="str">
        <f>'GF + UG Iteration 14'!B190</f>
        <v>UG</v>
      </c>
      <c r="C190" s="35">
        <f>'GF + UG Iteration 14'!C190</f>
        <v>41.7</v>
      </c>
      <c r="D190" s="36">
        <f>'GF + UG Iteration 14'!P$16*(C190^'GF + UG Iteration 14'!P$15)</f>
        <v>21.624962156597277</v>
      </c>
      <c r="E190" s="37">
        <f>'GF + UG Iteration 14'!E190</f>
        <v>2009</v>
      </c>
      <c r="F190" s="35">
        <f>'GF + UG Iteration 14'!F190</f>
        <v>5.6999999999999957</v>
      </c>
      <c r="G190" s="36">
        <f>'GF + UG Iteration 14'!G190</f>
        <v>0.45762240995573644</v>
      </c>
      <c r="H190" s="38">
        <f>'GF + UG Iteration 14'!H190</f>
        <v>2013</v>
      </c>
      <c r="I190" s="35">
        <f t="shared" si="20"/>
        <v>47.4</v>
      </c>
      <c r="J190" s="36">
        <f t="shared" si="21"/>
        <v>22.082584566553013</v>
      </c>
      <c r="K190" s="38">
        <f t="shared" si="22"/>
        <v>2013</v>
      </c>
      <c r="M190" s="21">
        <f t="shared" si="23"/>
        <v>3.858622228701031</v>
      </c>
      <c r="N190" s="21">
        <f t="shared" si="24"/>
        <v>3.0947892692031451</v>
      </c>
    </row>
    <row r="191" spans="1:14" x14ac:dyDescent="0.2">
      <c r="A191" s="33">
        <f>'GF + UG Iteration 14'!A191</f>
        <v>637</v>
      </c>
      <c r="B191" s="34" t="str">
        <f>'GF + UG Iteration 14'!B191</f>
        <v>UG</v>
      </c>
      <c r="C191" s="35">
        <f>'GF + UG Iteration 14'!C191</f>
        <v>15.499999999999998</v>
      </c>
      <c r="D191" s="36">
        <f>'GF + UG Iteration 14'!P$16*(C191^'GF + UG Iteration 14'!P$15)</f>
        <v>12.270115954958436</v>
      </c>
      <c r="E191" s="37">
        <f>'GF + UG Iteration 14'!E191</f>
        <v>1989</v>
      </c>
      <c r="F191" s="35">
        <f>'GF + UG Iteration 14'!F191</f>
        <v>8.4</v>
      </c>
      <c r="G191" s="36">
        <f>'GF + UG Iteration 14'!G191</f>
        <v>5.068859840469166</v>
      </c>
      <c r="H191" s="38">
        <f>'GF + UG Iteration 14'!H191</f>
        <v>2007</v>
      </c>
      <c r="I191" s="35">
        <f t="shared" si="20"/>
        <v>23.9</v>
      </c>
      <c r="J191" s="36">
        <f t="shared" si="21"/>
        <v>17.338975795427601</v>
      </c>
      <c r="K191" s="38">
        <f t="shared" si="22"/>
        <v>2007</v>
      </c>
      <c r="M191" s="21">
        <f t="shared" si="23"/>
        <v>3.1738784589374651</v>
      </c>
      <c r="N191" s="21">
        <f t="shared" si="24"/>
        <v>2.8529569036002949</v>
      </c>
    </row>
    <row r="192" spans="1:14" x14ac:dyDescent="0.2">
      <c r="A192" s="33">
        <f>'GF + UG Iteration 14'!A192</f>
        <v>1254</v>
      </c>
      <c r="B192" s="34" t="str">
        <f>'GF + UG Iteration 14'!B192</f>
        <v>UG</v>
      </c>
      <c r="C192" s="35">
        <f>'GF + UG Iteration 14'!C192</f>
        <v>23.9</v>
      </c>
      <c r="D192" s="36">
        <f>'GF + UG Iteration 14'!P$16*(C192^'GF + UG Iteration 14'!P$15)</f>
        <v>15.723009877907707</v>
      </c>
      <c r="E192" s="37">
        <f>'GF + UG Iteration 14'!E192</f>
        <v>1989</v>
      </c>
      <c r="F192" s="35">
        <f>'GF + UG Iteration 14'!F192</f>
        <v>15.399999999999999</v>
      </c>
      <c r="G192" s="36">
        <f>'GF + UG Iteration 14'!G192</f>
        <v>6.528436764593768</v>
      </c>
      <c r="H192" s="38">
        <f>'GF + UG Iteration 14'!H192</f>
        <v>2012</v>
      </c>
      <c r="I192" s="35">
        <f t="shared" si="20"/>
        <v>39.299999999999997</v>
      </c>
      <c r="J192" s="36">
        <f t="shared" si="21"/>
        <v>22.251446642501474</v>
      </c>
      <c r="K192" s="38">
        <f t="shared" si="22"/>
        <v>2012</v>
      </c>
      <c r="M192" s="21">
        <f t="shared" si="23"/>
        <v>3.6712245188752153</v>
      </c>
      <c r="N192" s="21">
        <f t="shared" si="24"/>
        <v>3.1024070241392097</v>
      </c>
    </row>
    <row r="193" spans="1:14" x14ac:dyDescent="0.2">
      <c r="A193" s="33">
        <f>'GF + UG Iteration 14'!A193</f>
        <v>734</v>
      </c>
      <c r="B193" s="34" t="str">
        <f>'GF + UG Iteration 14'!B193</f>
        <v>UG</v>
      </c>
      <c r="C193" s="35">
        <f>'GF + UG Iteration 14'!C193</f>
        <v>20</v>
      </c>
      <c r="D193" s="36">
        <f>'GF + UG Iteration 14'!P$16*(C193^'GF + UG Iteration 14'!P$15)</f>
        <v>14.198245985528404</v>
      </c>
      <c r="E193" s="37">
        <f>'GF + UG Iteration 14'!E193</f>
        <v>1974</v>
      </c>
      <c r="F193" s="35">
        <f>'GF + UG Iteration 14'!F193</f>
        <v>4.3999999999999986</v>
      </c>
      <c r="G193" s="36">
        <f>'GF + UG Iteration 14'!G193</f>
        <v>11.261124599264825</v>
      </c>
      <c r="H193" s="38">
        <f>'GF + UG Iteration 14'!H193</f>
        <v>2011</v>
      </c>
      <c r="I193" s="35">
        <f t="shared" ref="I193" si="25">C193+F193</f>
        <v>24.4</v>
      </c>
      <c r="J193" s="36">
        <f t="shared" ref="J193" si="26">D193+G193</f>
        <v>25.459370584793227</v>
      </c>
      <c r="K193" s="38">
        <f t="shared" ref="K193" si="27">MAX(E193,H193)</f>
        <v>2011</v>
      </c>
      <c r="M193" s="21">
        <f t="shared" ref="M193" si="28">LN(I193)</f>
        <v>3.1945831322991562</v>
      </c>
      <c r="N193" s="21">
        <f t="shared" ref="N193" si="29">LN(J193)</f>
        <v>3.2370838710952063</v>
      </c>
    </row>
    <row r="194" spans="1:14" x14ac:dyDescent="0.2">
      <c r="A194" s="33">
        <f>'GF + UG Iteration 14'!A194</f>
        <v>1594</v>
      </c>
      <c r="B194" s="34" t="str">
        <f>'GF + UG Iteration 14'!B194</f>
        <v>UG</v>
      </c>
      <c r="C194" s="35">
        <f>'GF + UG Iteration 14'!C194</f>
        <v>24.4</v>
      </c>
      <c r="D194" s="36">
        <f>'GF + UG Iteration 14'!P$16*(C194^'GF + UG Iteration 14'!P$15)</f>
        <v>15.910523841721599</v>
      </c>
      <c r="E194" s="37">
        <f>'GF + UG Iteration 14'!E194</f>
        <v>1974</v>
      </c>
      <c r="F194" s="35">
        <f>'GF + UG Iteration 14'!F194</f>
        <v>0</v>
      </c>
      <c r="G194" s="36">
        <f>'GF + UG Iteration 14'!G194</f>
        <v>17.2334453477478</v>
      </c>
      <c r="H194" s="38">
        <f>'GF + UG Iteration 14'!H194</f>
        <v>2017</v>
      </c>
      <c r="I194" s="35">
        <f t="shared" si="20"/>
        <v>24.4</v>
      </c>
      <c r="J194" s="36">
        <f t="shared" si="21"/>
        <v>33.143969189469402</v>
      </c>
      <c r="K194" s="38">
        <f t="shared" si="22"/>
        <v>2017</v>
      </c>
      <c r="M194" s="21">
        <f t="shared" si="23"/>
        <v>3.1945831322991562</v>
      </c>
      <c r="N194" s="21">
        <f t="shared" si="24"/>
        <v>3.5008607751786451</v>
      </c>
    </row>
    <row r="195" spans="1:14" x14ac:dyDescent="0.2">
      <c r="A195" s="33">
        <f>'GF + UG Iteration 14'!A195</f>
        <v>1674</v>
      </c>
      <c r="B195" s="34" t="str">
        <f>'GF + UG Iteration 14'!B195</f>
        <v>UG</v>
      </c>
      <c r="C195" s="35">
        <f>'GF + UG Iteration 14'!C195</f>
        <v>17.399999999999999</v>
      </c>
      <c r="D195" s="36">
        <f>'GF + UG Iteration 14'!P$16*(C195^'GF + UG Iteration 14'!P$15)</f>
        <v>13.110018954333569</v>
      </c>
      <c r="E195" s="37">
        <f>'GF + UG Iteration 14'!E195</f>
        <v>0</v>
      </c>
      <c r="F195" s="35">
        <f>'GF + UG Iteration 14'!F195</f>
        <v>3.7000000000000028</v>
      </c>
      <c r="G195" s="36">
        <f>'GF + UG Iteration 14'!G195</f>
        <v>10.327278566796926</v>
      </c>
      <c r="H195" s="38">
        <f>'GF + UG Iteration 14'!H195</f>
        <v>2016</v>
      </c>
      <c r="I195" s="35">
        <f t="shared" si="20"/>
        <v>21.1</v>
      </c>
      <c r="J195" s="36">
        <f t="shared" si="21"/>
        <v>23.437297521130496</v>
      </c>
      <c r="K195" s="38">
        <f t="shared" si="22"/>
        <v>2016</v>
      </c>
      <c r="M195" s="21">
        <f t="shared" si="23"/>
        <v>3.0492730404820207</v>
      </c>
      <c r="N195" s="21">
        <f t="shared" si="24"/>
        <v>3.15432866459488</v>
      </c>
    </row>
    <row r="196" spans="1:14" x14ac:dyDescent="0.2">
      <c r="A196" s="33">
        <f>'GF + UG Iteration 14'!A196</f>
        <v>711</v>
      </c>
      <c r="B196" s="34" t="str">
        <f>'GF + UG Iteration 14'!B196</f>
        <v>UG</v>
      </c>
      <c r="C196" s="35">
        <f>'GF + UG Iteration 14'!C196</f>
        <v>11.5</v>
      </c>
      <c r="D196" s="36">
        <f>'GF + UG Iteration 14'!P$16*(C196^'GF + UG Iteration 14'!P$15)</f>
        <v>10.342370803775351</v>
      </c>
      <c r="E196" s="37">
        <f>'GF + UG Iteration 14'!E196</f>
        <v>1976</v>
      </c>
      <c r="F196" s="35">
        <f>'GF + UG Iteration 14'!F196</f>
        <v>13.7</v>
      </c>
      <c r="G196" s="36">
        <f>'GF + UG Iteration 14'!G196</f>
        <v>9.2617881543087019</v>
      </c>
      <c r="H196" s="38">
        <f>'GF + UG Iteration 14'!H196</f>
        <v>2009</v>
      </c>
      <c r="I196" s="35">
        <f t="shared" si="20"/>
        <v>25.2</v>
      </c>
      <c r="J196" s="36">
        <f t="shared" si="21"/>
        <v>19.604158958084053</v>
      </c>
      <c r="K196" s="38">
        <f t="shared" si="22"/>
        <v>2009</v>
      </c>
      <c r="M196" s="21">
        <f t="shared" si="23"/>
        <v>3.2268439945173775</v>
      </c>
      <c r="N196" s="21">
        <f t="shared" si="24"/>
        <v>2.975741735465971</v>
      </c>
    </row>
    <row r="197" spans="1:14" x14ac:dyDescent="0.2">
      <c r="A197" s="33">
        <f>'GF + UG Iteration 14'!A197</f>
        <v>408</v>
      </c>
      <c r="B197" s="34" t="str">
        <f>'GF + UG Iteration 14'!B197</f>
        <v>UG</v>
      </c>
      <c r="C197" s="35">
        <f>'GF + UG Iteration 14'!C197</f>
        <v>37.700000000000003</v>
      </c>
      <c r="D197" s="36">
        <f>'GF + UG Iteration 14'!P$16*(C197^'GF + UG Iteration 14'!P$15)</f>
        <v>20.411665158639344</v>
      </c>
      <c r="E197" s="37">
        <f>'GF + UG Iteration 14'!E197</f>
        <v>1976</v>
      </c>
      <c r="F197" s="35">
        <f>'GF + UG Iteration 14'!F197</f>
        <v>2.0419999999999945</v>
      </c>
      <c r="G197" s="36">
        <f>'GF + UG Iteration 14'!G197</f>
        <v>0.58015876995711901</v>
      </c>
      <c r="H197" s="38">
        <f>'GF + UG Iteration 14'!H197</f>
        <v>2004</v>
      </c>
      <c r="I197" s="35">
        <f t="shared" si="20"/>
        <v>39.741999999999997</v>
      </c>
      <c r="J197" s="36">
        <f t="shared" si="21"/>
        <v>20.991823928596464</v>
      </c>
      <c r="K197" s="38">
        <f t="shared" si="22"/>
        <v>2004</v>
      </c>
      <c r="M197" s="21">
        <f t="shared" si="23"/>
        <v>3.6824085629836243</v>
      </c>
      <c r="N197" s="21">
        <f t="shared" si="24"/>
        <v>3.0441330251786973</v>
      </c>
    </row>
    <row r="198" spans="1:14" x14ac:dyDescent="0.2">
      <c r="A198" s="33">
        <f>'GF + UG Iteration 14'!A198</f>
        <v>698</v>
      </c>
      <c r="B198" s="34" t="str">
        <f>'GF + UG Iteration 14'!B198</f>
        <v>UG</v>
      </c>
      <c r="C198" s="35">
        <f>'GF + UG Iteration 14'!C198</f>
        <v>39.700000000000003</v>
      </c>
      <c r="D198" s="36">
        <f>'GF + UG Iteration 14'!P$16*(C198^'GF + UG Iteration 14'!P$15)</f>
        <v>21.024847758227658</v>
      </c>
      <c r="E198" s="37">
        <f>'GF + UG Iteration 14'!E198</f>
        <v>1976</v>
      </c>
      <c r="F198" s="35">
        <f>'GF + UG Iteration 14'!F198</f>
        <v>20.9</v>
      </c>
      <c r="G198" s="36">
        <f>'GF + UG Iteration 14'!G198</f>
        <v>1.4406821685518079</v>
      </c>
      <c r="H198" s="38">
        <f>'GF + UG Iteration 14'!H198</f>
        <v>2007</v>
      </c>
      <c r="I198" s="35">
        <f t="shared" si="20"/>
        <v>60.6</v>
      </c>
      <c r="J198" s="36">
        <f t="shared" si="21"/>
        <v>22.465529926779467</v>
      </c>
      <c r="K198" s="38">
        <f t="shared" si="22"/>
        <v>2007</v>
      </c>
      <c r="M198" s="21">
        <f t="shared" si="23"/>
        <v>4.1042948930752692</v>
      </c>
      <c r="N198" s="21">
        <f t="shared" si="24"/>
        <v>3.1119821312392095</v>
      </c>
    </row>
    <row r="199" spans="1:14" x14ac:dyDescent="0.2">
      <c r="A199" s="33">
        <f>'GF + UG Iteration 14'!A199</f>
        <v>696</v>
      </c>
      <c r="B199" s="34" t="str">
        <f>'GF + UG Iteration 14'!B199</f>
        <v>UG</v>
      </c>
      <c r="C199" s="35">
        <f>'GF + UG Iteration 14'!C199</f>
        <v>9.1370000000000005</v>
      </c>
      <c r="D199" s="36">
        <f>'GF + UG Iteration 14'!P$16*(C199^'GF + UG Iteration 14'!P$15)</f>
        <v>9.0661001155474708</v>
      </c>
      <c r="E199" s="37">
        <f>'GF + UG Iteration 14'!E199</f>
        <v>1981</v>
      </c>
      <c r="F199" s="35">
        <f>'GF + UG Iteration 14'!F199</f>
        <v>8.0629999999999988</v>
      </c>
      <c r="G199" s="36">
        <f>'GF + UG Iteration 14'!G199</f>
        <v>0.26810351472539734</v>
      </c>
      <c r="H199" s="38">
        <f>'GF + UG Iteration 14'!H199</f>
        <v>2007</v>
      </c>
      <c r="I199" s="35">
        <f t="shared" si="20"/>
        <v>17.2</v>
      </c>
      <c r="J199" s="36">
        <f t="shared" si="21"/>
        <v>9.3342036302728673</v>
      </c>
      <c r="K199" s="38">
        <f t="shared" si="22"/>
        <v>2007</v>
      </c>
      <c r="M199" s="21">
        <f t="shared" si="23"/>
        <v>2.8449093838194073</v>
      </c>
      <c r="N199" s="21">
        <f t="shared" si="24"/>
        <v>2.2336854632606111</v>
      </c>
    </row>
    <row r="200" spans="1:14" x14ac:dyDescent="0.2">
      <c r="A200" s="33">
        <f>'GF + UG Iteration 14'!A200</f>
        <v>1636</v>
      </c>
      <c r="B200" s="34" t="str">
        <f>'GF + UG Iteration 14'!B200</f>
        <v>UG</v>
      </c>
      <c r="C200" s="35">
        <f>'GF + UG Iteration 14'!C200</f>
        <v>17.2</v>
      </c>
      <c r="D200" s="36">
        <f>'GF + UG Iteration 14'!P$16*(C200^'GF + UG Iteration 14'!P$15)</f>
        <v>13.023520571690822</v>
      </c>
      <c r="E200" s="37">
        <f>'GF + UG Iteration 14'!E200</f>
        <v>1981</v>
      </c>
      <c r="F200" s="35">
        <f>'GF + UG Iteration 14'!F200</f>
        <v>0</v>
      </c>
      <c r="G200" s="36">
        <f>'GF + UG Iteration 14'!G200</f>
        <v>6.6058972937468434</v>
      </c>
      <c r="H200" s="38">
        <f>'GF + UG Iteration 14'!H200</f>
        <v>2015</v>
      </c>
      <c r="I200" s="35">
        <f t="shared" si="20"/>
        <v>17.2</v>
      </c>
      <c r="J200" s="36">
        <f t="shared" si="21"/>
        <v>19.629417865437667</v>
      </c>
      <c r="K200" s="38">
        <f t="shared" si="22"/>
        <v>2015</v>
      </c>
      <c r="M200" s="21">
        <f t="shared" si="23"/>
        <v>2.8449093838194073</v>
      </c>
      <c r="N200" s="21">
        <f t="shared" si="24"/>
        <v>2.9770293524965101</v>
      </c>
    </row>
    <row r="201" spans="1:14" x14ac:dyDescent="0.2">
      <c r="A201" s="33">
        <f>'GF + UG Iteration 14'!A201</f>
        <v>1185</v>
      </c>
      <c r="B201" s="34" t="str">
        <f>'GF + UG Iteration 14'!B201</f>
        <v>UG</v>
      </c>
      <c r="C201" s="35">
        <f>'GF + UG Iteration 14'!C201</f>
        <v>32.4</v>
      </c>
      <c r="D201" s="36">
        <f>'GF + UG Iteration 14'!P$16*(C201^'GF + UG Iteration 14'!P$15)</f>
        <v>18.715582205022155</v>
      </c>
      <c r="E201" s="37">
        <f>'GF + UG Iteration 14'!E201</f>
        <v>1988</v>
      </c>
      <c r="F201" s="35">
        <f>'GF + UG Iteration 14'!F201</f>
        <v>2.5</v>
      </c>
      <c r="G201" s="36">
        <f>'GF + UG Iteration 14'!G201</f>
        <v>2.8087836612562955</v>
      </c>
      <c r="H201" s="38">
        <f>'GF + UG Iteration 14'!H201</f>
        <v>2011</v>
      </c>
      <c r="I201" s="35">
        <f t="shared" si="20"/>
        <v>34.9</v>
      </c>
      <c r="J201" s="36">
        <f t="shared" si="21"/>
        <v>21.524365866278451</v>
      </c>
      <c r="K201" s="38">
        <f t="shared" si="22"/>
        <v>2011</v>
      </c>
      <c r="M201" s="21">
        <f t="shared" si="23"/>
        <v>3.5524868292083815</v>
      </c>
      <c r="N201" s="21">
        <f t="shared" si="24"/>
        <v>3.0691855895443343</v>
      </c>
    </row>
    <row r="202" spans="1:14" x14ac:dyDescent="0.2">
      <c r="A202" s="33">
        <f>'GF + UG Iteration 14'!A202</f>
        <v>568</v>
      </c>
      <c r="B202" s="34" t="str">
        <f>'GF + UG Iteration 14'!B202</f>
        <v>UG</v>
      </c>
      <c r="C202" s="35">
        <f>'GF + UG Iteration 14'!C202</f>
        <v>38.04</v>
      </c>
      <c r="D202" s="36">
        <f>'GF + UG Iteration 14'!P$16*(C202^'GF + UG Iteration 14'!P$15)</f>
        <v>20.516869673872478</v>
      </c>
      <c r="E202" s="37">
        <f>'GF + UG Iteration 14'!E202</f>
        <v>1978</v>
      </c>
      <c r="F202" s="35">
        <f>'GF + UG Iteration 14'!F202</f>
        <v>1</v>
      </c>
      <c r="G202" s="36">
        <f>'GF + UG Iteration 14'!G202</f>
        <v>2.8818936071529556E-2</v>
      </c>
      <c r="H202" s="38">
        <f>'GF + UG Iteration 14'!H202</f>
        <v>2006</v>
      </c>
      <c r="I202" s="35">
        <f t="shared" si="20"/>
        <v>39.04</v>
      </c>
      <c r="J202" s="36">
        <f t="shared" si="21"/>
        <v>20.545688609944008</v>
      </c>
      <c r="K202" s="38">
        <f t="shared" si="22"/>
        <v>2006</v>
      </c>
      <c r="M202" s="21">
        <f t="shared" si="23"/>
        <v>3.6645867615448919</v>
      </c>
      <c r="N202" s="21">
        <f t="shared" si="24"/>
        <v>3.0226511189284198</v>
      </c>
    </row>
    <row r="203" spans="1:14" x14ac:dyDescent="0.2">
      <c r="A203" s="33">
        <f>'GF + UG Iteration 14'!A203</f>
        <v>853</v>
      </c>
      <c r="B203" s="34" t="str">
        <f>'GF + UG Iteration 14'!B203</f>
        <v>UG</v>
      </c>
      <c r="C203" s="35">
        <f>'GF + UG Iteration 14'!C203</f>
        <v>20</v>
      </c>
      <c r="D203" s="36">
        <f>'GF + UG Iteration 14'!P$16*(C203^'GF + UG Iteration 14'!P$15)</f>
        <v>14.198245985528404</v>
      </c>
      <c r="E203" s="37">
        <f>'GF + UG Iteration 14'!E203</f>
        <v>1991</v>
      </c>
      <c r="F203" s="35">
        <f>'GF + UG Iteration 14'!F203</f>
        <v>21.700000000000003</v>
      </c>
      <c r="G203" s="36">
        <f>'GF + UG Iteration 14'!G203</f>
        <v>4.2556245512411124</v>
      </c>
      <c r="H203" s="38">
        <f>'GF + UG Iteration 14'!H203</f>
        <v>2009</v>
      </c>
      <c r="I203" s="35">
        <f t="shared" si="20"/>
        <v>41.7</v>
      </c>
      <c r="J203" s="36">
        <f t="shared" si="21"/>
        <v>18.453870536769514</v>
      </c>
      <c r="K203" s="38">
        <f t="shared" si="22"/>
        <v>2009</v>
      </c>
      <c r="M203" s="21">
        <f t="shared" si="23"/>
        <v>3.730501128804756</v>
      </c>
      <c r="N203" s="21">
        <f t="shared" si="24"/>
        <v>2.9152741336754597</v>
      </c>
    </row>
    <row r="204" spans="1:14" x14ac:dyDescent="0.2">
      <c r="A204" s="33">
        <f>'GF + UG Iteration 14'!A204</f>
        <v>1201</v>
      </c>
      <c r="B204" s="34" t="str">
        <f>'GF + UG Iteration 14'!B204</f>
        <v>UG</v>
      </c>
      <c r="C204" s="35">
        <f>'GF + UG Iteration 14'!C204</f>
        <v>13.3</v>
      </c>
      <c r="D204" s="36">
        <f>'GF + UG Iteration 14'!P$16*(C204^'GF + UG Iteration 14'!P$15)</f>
        <v>11.240408006949776</v>
      </c>
      <c r="E204" s="37" t="str">
        <f>'GF + UG Iteration 14'!E204</f>
        <v>unknown</v>
      </c>
      <c r="F204" s="35">
        <f>'GF + UG Iteration 14'!F204</f>
        <v>10.599999999999998</v>
      </c>
      <c r="G204" s="36">
        <f>'GF + UG Iteration 14'!G204</f>
        <v>7.6364894321569698</v>
      </c>
      <c r="H204" s="38">
        <f>'GF + UG Iteration 14'!H204</f>
        <v>2012</v>
      </c>
      <c r="I204" s="35">
        <f t="shared" si="20"/>
        <v>23.9</v>
      </c>
      <c r="J204" s="36">
        <f t="shared" si="21"/>
        <v>18.876897439106745</v>
      </c>
      <c r="K204" s="38">
        <f t="shared" si="22"/>
        <v>2012</v>
      </c>
      <c r="M204" s="21">
        <f t="shared" si="23"/>
        <v>3.1738784589374651</v>
      </c>
      <c r="N204" s="21">
        <f t="shared" si="24"/>
        <v>2.9379388166578226</v>
      </c>
    </row>
    <row r="205" spans="1:14" x14ac:dyDescent="0.2">
      <c r="A205" s="33">
        <f>'GF + UG Iteration 14'!A205</f>
        <v>654</v>
      </c>
      <c r="B205" s="34" t="str">
        <f>'GF + UG Iteration 14'!B205</f>
        <v>UG</v>
      </c>
      <c r="C205" s="35">
        <f>'GF + UG Iteration 14'!C205</f>
        <v>7.29</v>
      </c>
      <c r="D205" s="36">
        <f>'GF + UG Iteration 14'!P$16*(C205^'GF + UG Iteration 14'!P$15)</f>
        <v>7.9663975367311819</v>
      </c>
      <c r="E205" s="37">
        <f>'GF + UG Iteration 14'!E205</f>
        <v>1976</v>
      </c>
      <c r="F205" s="35">
        <f>'GF + UG Iteration 14'!F205</f>
        <v>4.4099999999999993</v>
      </c>
      <c r="G205" s="36">
        <f>'GF + UG Iteration 14'!G205</f>
        <v>0.73672544554632269</v>
      </c>
      <c r="H205" s="38">
        <f>'GF + UG Iteration 14'!H205</f>
        <v>2007</v>
      </c>
      <c r="I205" s="35">
        <f t="shared" si="20"/>
        <v>11.7</v>
      </c>
      <c r="J205" s="36">
        <f t="shared" si="21"/>
        <v>8.7031229822775042</v>
      </c>
      <c r="K205" s="38">
        <f t="shared" si="22"/>
        <v>2007</v>
      </c>
      <c r="M205" s="21">
        <f t="shared" si="23"/>
        <v>2.4595888418037104</v>
      </c>
      <c r="N205" s="21">
        <f t="shared" si="24"/>
        <v>2.1636819247287349</v>
      </c>
    </row>
    <row r="206" spans="1:14" x14ac:dyDescent="0.2">
      <c r="A206" s="33">
        <f>'GF + UG Iteration 14'!A206</f>
        <v>1394</v>
      </c>
      <c r="B206" s="34" t="str">
        <f>'GF + UG Iteration 14'!B206</f>
        <v>UG</v>
      </c>
      <c r="C206" s="35">
        <f>'GF + UG Iteration 14'!C206</f>
        <v>11.7</v>
      </c>
      <c r="D206" s="36">
        <f>'GF + UG Iteration 14'!P$16*(C206^'GF + UG Iteration 14'!P$15)</f>
        <v>10.444983491848502</v>
      </c>
      <c r="E206" s="37">
        <f>'GF + UG Iteration 14'!E206</f>
        <v>1976</v>
      </c>
      <c r="F206" s="35">
        <f>'GF + UG Iteration 14'!F206</f>
        <v>10</v>
      </c>
      <c r="G206" s="36">
        <f>'GF + UG Iteration 14'!G206</f>
        <v>5.0057806862702598</v>
      </c>
      <c r="H206" s="38">
        <f>'GF + UG Iteration 14'!H206</f>
        <v>2014</v>
      </c>
      <c r="I206" s="35">
        <f t="shared" si="20"/>
        <v>21.7</v>
      </c>
      <c r="J206" s="36">
        <f t="shared" si="21"/>
        <v>15.450764178118762</v>
      </c>
      <c r="K206" s="38">
        <f t="shared" si="22"/>
        <v>2014</v>
      </c>
      <c r="M206" s="21">
        <f t="shared" si="23"/>
        <v>3.0773122605464138</v>
      </c>
      <c r="N206" s="21">
        <f t="shared" si="24"/>
        <v>2.7376584634874916</v>
      </c>
    </row>
    <row r="207" spans="1:14" x14ac:dyDescent="0.2">
      <c r="A207" s="33">
        <f>'GF + UG Iteration 14'!A207</f>
        <v>1294</v>
      </c>
      <c r="B207" s="34" t="str">
        <f>'GF + UG Iteration 14'!B207</f>
        <v>UG</v>
      </c>
      <c r="C207" s="35">
        <f>'GF + UG Iteration 14'!C207</f>
        <v>8.5</v>
      </c>
      <c r="D207" s="36">
        <f>'GF + UG Iteration 14'!P$16*(C207^'GF + UG Iteration 14'!P$15)</f>
        <v>8.6986043891152303</v>
      </c>
      <c r="E207" s="37">
        <f>'GF + UG Iteration 14'!E207</f>
        <v>0</v>
      </c>
      <c r="F207" s="35">
        <f>'GF + UG Iteration 14'!F207</f>
        <v>1.5999999999999996</v>
      </c>
      <c r="G207" s="36">
        <f>'GF + UG Iteration 14'!G207</f>
        <v>4.5619922667121129</v>
      </c>
      <c r="H207" s="38">
        <f>'GF + UG Iteration 14'!H207</f>
        <v>2014</v>
      </c>
      <c r="I207" s="35">
        <f t="shared" si="20"/>
        <v>10.1</v>
      </c>
      <c r="J207" s="36">
        <f t="shared" si="21"/>
        <v>13.260596655827342</v>
      </c>
      <c r="K207" s="38">
        <f t="shared" si="22"/>
        <v>2014</v>
      </c>
      <c r="M207" s="21">
        <f t="shared" si="23"/>
        <v>2.3125354238472138</v>
      </c>
      <c r="N207" s="21">
        <f t="shared" si="24"/>
        <v>2.5847969804141253</v>
      </c>
    </row>
    <row r="208" spans="1:14" x14ac:dyDescent="0.2">
      <c r="A208" s="33">
        <f>'GF + UG Iteration 14'!A208</f>
        <v>1670</v>
      </c>
      <c r="B208" s="34" t="str">
        <f>'GF + UG Iteration 14'!B208</f>
        <v>UG</v>
      </c>
      <c r="C208" s="35">
        <f>'GF + UG Iteration 14'!C208</f>
        <v>31.45</v>
      </c>
      <c r="D208" s="36">
        <f>'GF + UG Iteration 14'!P$16*(C208^'GF + UG Iteration 14'!P$15)</f>
        <v>18.399364854836488</v>
      </c>
      <c r="E208" s="37">
        <f>'GF + UG Iteration 14'!E208</f>
        <v>0</v>
      </c>
      <c r="F208" s="35">
        <f>'GF + UG Iteration 14'!F208</f>
        <v>24.250000000000004</v>
      </c>
      <c r="G208" s="36">
        <f>'GF + UG Iteration 14'!G208</f>
        <v>2.7943521582603679</v>
      </c>
      <c r="H208" s="38">
        <f>'GF + UG Iteration 14'!H208</f>
        <v>2016</v>
      </c>
      <c r="I208" s="35">
        <f t="shared" si="20"/>
        <v>55.7</v>
      </c>
      <c r="J208" s="36">
        <f t="shared" si="21"/>
        <v>21.193717013096855</v>
      </c>
      <c r="K208" s="38">
        <f t="shared" si="22"/>
        <v>2016</v>
      </c>
      <c r="M208" s="21">
        <f t="shared" si="23"/>
        <v>4.0199801469332384</v>
      </c>
      <c r="N208" s="21">
        <f t="shared" si="24"/>
        <v>3.0537047704457456</v>
      </c>
    </row>
    <row r="209" spans="1:14" x14ac:dyDescent="0.2">
      <c r="A209" s="33">
        <f>'GF + UG Iteration 14'!A209</f>
        <v>579</v>
      </c>
      <c r="B209" s="34" t="str">
        <f>'GF + UG Iteration 14'!B209</f>
        <v>UG</v>
      </c>
      <c r="C209" s="35">
        <f>'GF + UG Iteration 14'!C209</f>
        <v>17.100000000000001</v>
      </c>
      <c r="D209" s="36">
        <f>'GF + UG Iteration 14'!P$16*(C209^'GF + UG Iteration 14'!P$15)</f>
        <v>12.98011022016007</v>
      </c>
      <c r="E209" s="37" t="str">
        <f>'GF + UG Iteration 14'!E209</f>
        <v>unknown</v>
      </c>
      <c r="F209" s="35">
        <f>'GF + UG Iteration 14'!F209</f>
        <v>11</v>
      </c>
      <c r="G209" s="36">
        <f>'GF + UG Iteration 14'!G209</f>
        <v>3.6516230200538073</v>
      </c>
      <c r="H209" s="38">
        <f>'GF + UG Iteration 14'!H209</f>
        <v>2008</v>
      </c>
      <c r="I209" s="35">
        <f t="shared" si="20"/>
        <v>28.1</v>
      </c>
      <c r="J209" s="36">
        <f t="shared" si="21"/>
        <v>16.631733240213876</v>
      </c>
      <c r="K209" s="38">
        <f t="shared" si="22"/>
        <v>2008</v>
      </c>
      <c r="M209" s="21">
        <f t="shared" si="23"/>
        <v>3.3357695763396999</v>
      </c>
      <c r="N209" s="21">
        <f t="shared" si="24"/>
        <v>2.8113125114789068</v>
      </c>
    </row>
    <row r="210" spans="1:14" x14ac:dyDescent="0.2">
      <c r="A210" s="33">
        <f>'GF + UG Iteration 14'!A210</f>
        <v>1670</v>
      </c>
      <c r="B210" s="34" t="str">
        <f>'GF + UG Iteration 14'!B210</f>
        <v>UG</v>
      </c>
      <c r="C210" s="35">
        <f>'GF + UG Iteration 14'!C210</f>
        <v>18.79</v>
      </c>
      <c r="D210" s="36">
        <f>'GF + UG Iteration 14'!P$16*(C210^'GF + UG Iteration 14'!P$15)</f>
        <v>13.699835417156351</v>
      </c>
      <c r="E210" s="37">
        <f>'GF + UG Iteration 14'!E210</f>
        <v>0</v>
      </c>
      <c r="F210" s="35">
        <f>'GF + UG Iteration 14'!F210</f>
        <v>30.509999999999998</v>
      </c>
      <c r="G210" s="36">
        <f>'GF + UG Iteration 14'!G210</f>
        <v>18.363697996227653</v>
      </c>
      <c r="H210" s="38">
        <f>'GF + UG Iteration 14'!H210</f>
        <v>2016</v>
      </c>
      <c r="I210" s="35">
        <f t="shared" si="20"/>
        <v>49.3</v>
      </c>
      <c r="J210" s="36">
        <f t="shared" si="21"/>
        <v>32.063533413384008</v>
      </c>
      <c r="K210" s="38">
        <f t="shared" si="22"/>
        <v>2016</v>
      </c>
      <c r="M210" s="21">
        <f t="shared" si="23"/>
        <v>3.8979240810486444</v>
      </c>
      <c r="N210" s="21">
        <f t="shared" si="24"/>
        <v>3.4677193536282291</v>
      </c>
    </row>
    <row r="211" spans="1:14" x14ac:dyDescent="0.2">
      <c r="A211" s="33">
        <f>'GF + UG Iteration 14'!A211</f>
        <v>1083</v>
      </c>
      <c r="B211" s="34" t="str">
        <f>'GF + UG Iteration 14'!B211</f>
        <v>UG</v>
      </c>
      <c r="C211" s="35">
        <f>'GF + UG Iteration 14'!C211</f>
        <v>7.53</v>
      </c>
      <c r="D211" s="36">
        <f>'GF + UG Iteration 14'!P$16*(C211^'GF + UG Iteration 14'!P$15)</f>
        <v>8.1155324512984173</v>
      </c>
      <c r="E211" s="37">
        <f>'GF + UG Iteration 14'!E211</f>
        <v>1981</v>
      </c>
      <c r="F211" s="35">
        <f>'GF + UG Iteration 14'!F211</f>
        <v>5.87</v>
      </c>
      <c r="G211" s="36">
        <f>'GF + UG Iteration 14'!G211</f>
        <v>7.4125108979310461</v>
      </c>
      <c r="H211" s="38">
        <f>'GF + UG Iteration 14'!H211</f>
        <v>2011</v>
      </c>
      <c r="I211" s="35">
        <f t="shared" si="20"/>
        <v>13.4</v>
      </c>
      <c r="J211" s="36">
        <f t="shared" si="21"/>
        <v>15.528043349229463</v>
      </c>
      <c r="K211" s="38">
        <f t="shared" si="22"/>
        <v>2011</v>
      </c>
      <c r="M211" s="21">
        <f t="shared" si="23"/>
        <v>2.5952547069568657</v>
      </c>
      <c r="N211" s="21">
        <f t="shared" si="24"/>
        <v>2.7426476375442563</v>
      </c>
    </row>
    <row r="212" spans="1:14" x14ac:dyDescent="0.2">
      <c r="A212" s="33">
        <f>'GF + UG Iteration 14'!A212</f>
        <v>552</v>
      </c>
      <c r="B212" s="34" t="str">
        <f>'GF + UG Iteration 14'!B212</f>
        <v>UG</v>
      </c>
      <c r="C212" s="35">
        <f>'GF + UG Iteration 14'!C212</f>
        <v>20.229999999999997</v>
      </c>
      <c r="D212" s="36">
        <f>'GF + UG Iteration 14'!P$16*(C212^'GF + UG Iteration 14'!P$15)</f>
        <v>14.291511769433187</v>
      </c>
      <c r="E212" s="37">
        <f>'GF + UG Iteration 14'!E212</f>
        <v>1991</v>
      </c>
      <c r="F212" s="35">
        <f>'GF + UG Iteration 14'!F212</f>
        <v>10.470000000000002</v>
      </c>
      <c r="G212" s="36">
        <f>'GF + UG Iteration 14'!G212</f>
        <v>1.1457716756011658</v>
      </c>
      <c r="H212" s="38">
        <f>'GF + UG Iteration 14'!H212</f>
        <v>2006</v>
      </c>
      <c r="I212" s="35">
        <f t="shared" si="20"/>
        <v>30.7</v>
      </c>
      <c r="J212" s="36">
        <f t="shared" si="21"/>
        <v>15.437283445034353</v>
      </c>
      <c r="K212" s="38">
        <f t="shared" si="22"/>
        <v>2006</v>
      </c>
      <c r="M212" s="21">
        <f t="shared" si="23"/>
        <v>3.4242626545931514</v>
      </c>
      <c r="N212" s="21">
        <f t="shared" si="24"/>
        <v>2.736785586437779</v>
      </c>
    </row>
    <row r="213" spans="1:14" x14ac:dyDescent="0.2">
      <c r="A213" s="33">
        <f>'GF + UG Iteration 14'!A213</f>
        <v>1311</v>
      </c>
      <c r="B213" s="34" t="str">
        <f>'GF + UG Iteration 14'!B213</f>
        <v>UG</v>
      </c>
      <c r="C213" s="35">
        <f>'GF + UG Iteration 14'!C213</f>
        <v>30.7</v>
      </c>
      <c r="D213" s="36">
        <f>'GF + UG Iteration 14'!P$16*(C213^'GF + UG Iteration 14'!P$15)</f>
        <v>18.146825528564875</v>
      </c>
      <c r="E213" s="37">
        <f>'GF + UG Iteration 14'!E213</f>
        <v>1991</v>
      </c>
      <c r="F213" s="35">
        <f>'GF + UG Iteration 14'!F213</f>
        <v>19.3</v>
      </c>
      <c r="G213" s="36">
        <f>'GF + UG Iteration 14'!G213</f>
        <v>5.9841430822776953</v>
      </c>
      <c r="H213" s="38">
        <f>'GF + UG Iteration 14'!H213</f>
        <v>2013</v>
      </c>
      <c r="I213" s="35">
        <f t="shared" si="20"/>
        <v>50</v>
      </c>
      <c r="J213" s="36">
        <f t="shared" si="21"/>
        <v>24.130968610842572</v>
      </c>
      <c r="K213" s="38">
        <f t="shared" si="22"/>
        <v>2013</v>
      </c>
      <c r="M213" s="21">
        <f t="shared" si="23"/>
        <v>3.912023005428146</v>
      </c>
      <c r="N213" s="21">
        <f t="shared" si="24"/>
        <v>3.1834960201840774</v>
      </c>
    </row>
    <row r="214" spans="1:14" x14ac:dyDescent="0.2">
      <c r="A214" s="33">
        <f>'GF + UG Iteration 14'!A214</f>
        <v>1078</v>
      </c>
      <c r="B214" s="34" t="str">
        <f>'GF + UG Iteration 14'!B214</f>
        <v>UG</v>
      </c>
      <c r="C214" s="35">
        <f>'GF + UG Iteration 14'!C214</f>
        <v>17.66</v>
      </c>
      <c r="D214" s="36">
        <f>'GF + UG Iteration 14'!P$16*(C214^'GF + UG Iteration 14'!P$15)</f>
        <v>13.221834146755556</v>
      </c>
      <c r="E214" s="37">
        <f>'GF + UG Iteration 14'!E214</f>
        <v>1957</v>
      </c>
      <c r="F214" s="35">
        <f>'GF + UG Iteration 14'!F214</f>
        <v>7.34</v>
      </c>
      <c r="G214" s="36">
        <f>'GF + UG Iteration 14'!G214</f>
        <v>1.0936387702296273</v>
      </c>
      <c r="H214" s="38">
        <f>'GF + UG Iteration 14'!H214</f>
        <v>2011</v>
      </c>
      <c r="I214" s="35">
        <f t="shared" si="20"/>
        <v>25</v>
      </c>
      <c r="J214" s="36">
        <f t="shared" si="21"/>
        <v>14.315472916985184</v>
      </c>
      <c r="K214" s="38">
        <f t="shared" si="22"/>
        <v>2011</v>
      </c>
      <c r="M214" s="21">
        <f t="shared" si="23"/>
        <v>3.2188758248682006</v>
      </c>
      <c r="N214" s="21">
        <f t="shared" si="24"/>
        <v>2.6613409744685979</v>
      </c>
    </row>
    <row r="215" spans="1:14" x14ac:dyDescent="0.2">
      <c r="A215" s="33">
        <f>'GF + UG Iteration 14'!A215</f>
        <v>495</v>
      </c>
      <c r="B215" s="34" t="str">
        <f>'GF + UG Iteration 14'!B215</f>
        <v>UG</v>
      </c>
      <c r="C215" s="35">
        <f>'GF + UG Iteration 14'!C215</f>
        <v>12.974</v>
      </c>
      <c r="D215" s="36">
        <f>'GF + UG Iteration 14'!P$16*(C215^'GF + UG Iteration 14'!P$15)</f>
        <v>11.081810504282206</v>
      </c>
      <c r="E215" s="37">
        <f>'GF + UG Iteration 14'!E215</f>
        <v>1982</v>
      </c>
      <c r="F215" s="35">
        <f>'GF + UG Iteration 14'!F215</f>
        <v>0</v>
      </c>
      <c r="G215" s="36">
        <f>'GF + UG Iteration 14'!G215</f>
        <v>3.5907902166068872</v>
      </c>
      <c r="H215" s="38">
        <f>'GF + UG Iteration 14'!H215</f>
        <v>2006</v>
      </c>
      <c r="I215" s="35">
        <f t="shared" si="20"/>
        <v>12.974</v>
      </c>
      <c r="J215" s="36">
        <f t="shared" si="21"/>
        <v>14.672600720889093</v>
      </c>
      <c r="K215" s="38">
        <f t="shared" si="22"/>
        <v>2006</v>
      </c>
      <c r="M215" s="21">
        <f t="shared" si="23"/>
        <v>2.5629473547908637</v>
      </c>
      <c r="N215" s="21">
        <f t="shared" si="24"/>
        <v>2.6859818580298986</v>
      </c>
    </row>
    <row r="216" spans="1:14" x14ac:dyDescent="0.2">
      <c r="A216" s="33">
        <f>'GF + UG Iteration 14'!A216</f>
        <v>383</v>
      </c>
      <c r="B216" s="34" t="str">
        <f>'GF + UG Iteration 14'!B216</f>
        <v>UG</v>
      </c>
      <c r="C216" s="35">
        <f>'GF + UG Iteration 14'!C216</f>
        <v>0.51</v>
      </c>
      <c r="D216" s="36">
        <f>'GF + UG Iteration 14'!P$16*(C216^'GF + UG Iteration 14'!P$15)</f>
        <v>1.7370685382345272</v>
      </c>
      <c r="E216" s="37">
        <f>'GF + UG Iteration 14'!E216</f>
        <v>1984</v>
      </c>
      <c r="F216" s="35">
        <f>'GF + UG Iteration 14'!F216</f>
        <v>8</v>
      </c>
      <c r="G216" s="36">
        <f>'GF + UG Iteration 14'!G216</f>
        <v>3.9501723720469593</v>
      </c>
      <c r="H216" s="38">
        <f>'GF + UG Iteration 14'!H216</f>
        <v>2005</v>
      </c>
      <c r="I216" s="35">
        <f t="shared" si="20"/>
        <v>8.51</v>
      </c>
      <c r="J216" s="36">
        <f t="shared" si="21"/>
        <v>5.6872409102814867</v>
      </c>
      <c r="K216" s="38">
        <f t="shared" si="22"/>
        <v>2005</v>
      </c>
      <c r="M216" s="21">
        <f t="shared" si="23"/>
        <v>2.1412419425852827</v>
      </c>
      <c r="N216" s="21">
        <f t="shared" si="24"/>
        <v>1.738225229003221</v>
      </c>
    </row>
    <row r="217" spans="1:14" x14ac:dyDescent="0.2">
      <c r="A217" s="33">
        <f>'GF + UG Iteration 14'!A217</f>
        <v>1020</v>
      </c>
      <c r="B217" s="34" t="str">
        <f>'GF + UG Iteration 14'!B217</f>
        <v>UG</v>
      </c>
      <c r="C217" s="35">
        <f>'GF + UG Iteration 14'!C217</f>
        <v>13</v>
      </c>
      <c r="D217" s="36">
        <f>'GF + UG Iteration 14'!P$16*(C217^'GF + UG Iteration 14'!P$15)</f>
        <v>11.094521422578522</v>
      </c>
      <c r="E217" s="37">
        <f>'GF + UG Iteration 14'!E217</f>
        <v>1977</v>
      </c>
      <c r="F217" s="35">
        <f>'GF + UG Iteration 14'!F217</f>
        <v>9</v>
      </c>
      <c r="G217" s="36">
        <f>'GF + UG Iteration 14'!G217</f>
        <v>7.3449786888029998</v>
      </c>
      <c r="H217" s="38">
        <f>'GF + UG Iteration 14'!H217</f>
        <v>2010</v>
      </c>
      <c r="I217" s="35">
        <f t="shared" si="20"/>
        <v>22</v>
      </c>
      <c r="J217" s="36">
        <f t="shared" si="21"/>
        <v>18.43950011138152</v>
      </c>
      <c r="K217" s="38">
        <f t="shared" si="22"/>
        <v>2010</v>
      </c>
      <c r="M217" s="21">
        <f t="shared" si="23"/>
        <v>3.0910424533583161</v>
      </c>
      <c r="N217" s="21">
        <f t="shared" si="24"/>
        <v>2.9144951088337447</v>
      </c>
    </row>
    <row r="218" spans="1:14" x14ac:dyDescent="0.2">
      <c r="A218" s="33">
        <f>'GF + UG Iteration 14'!A218</f>
        <v>1364</v>
      </c>
      <c r="B218" s="34" t="str">
        <f>'GF + UG Iteration 14'!B218</f>
        <v>UG</v>
      </c>
      <c r="C218" s="35">
        <f>'GF + UG Iteration 14'!C218</f>
        <v>8.5</v>
      </c>
      <c r="D218" s="36">
        <f>'GF + UG Iteration 14'!P$16*(C218^'GF + UG Iteration 14'!P$15)</f>
        <v>8.6986043891152303</v>
      </c>
      <c r="E218" s="37">
        <f>'GF + UG Iteration 14'!E218</f>
        <v>0</v>
      </c>
      <c r="F218" s="35">
        <f>'GF + UG Iteration 14'!F218</f>
        <v>34</v>
      </c>
      <c r="G218" s="36">
        <f>'GF + UG Iteration 14'!G218</f>
        <v>8.7951197470845859</v>
      </c>
      <c r="H218" s="38">
        <f>'GF + UG Iteration 14'!H218</f>
        <v>2013</v>
      </c>
      <c r="I218" s="35">
        <f t="shared" si="20"/>
        <v>42.5</v>
      </c>
      <c r="J218" s="36">
        <f t="shared" si="21"/>
        <v>17.493724136199816</v>
      </c>
      <c r="K218" s="38">
        <f t="shared" si="22"/>
        <v>2013</v>
      </c>
      <c r="M218" s="21">
        <f t="shared" si="23"/>
        <v>3.7495040759303713</v>
      </c>
      <c r="N218" s="21">
        <f t="shared" si="24"/>
        <v>2.8618421958210734</v>
      </c>
    </row>
    <row r="219" spans="1:14" x14ac:dyDescent="0.2">
      <c r="A219" s="33">
        <f>'GF + UG Iteration 14'!A219</f>
        <v>503</v>
      </c>
      <c r="B219" s="34" t="str">
        <f>'GF + UG Iteration 14'!B219</f>
        <v>UG</v>
      </c>
      <c r="C219" s="35">
        <f>'GF + UG Iteration 14'!C219</f>
        <v>31</v>
      </c>
      <c r="D219" s="36">
        <f>'GF + UG Iteration 14'!P$16*(C219^'GF + UG Iteration 14'!P$15)</f>
        <v>18.248154230165547</v>
      </c>
      <c r="E219" s="37">
        <f>'GF + UG Iteration 14'!E219</f>
        <v>1972</v>
      </c>
      <c r="F219" s="35">
        <f>'GF + UG Iteration 14'!F219</f>
        <v>16</v>
      </c>
      <c r="G219" s="36">
        <f>'GF + UG Iteration 14'!G219</f>
        <v>3.8033222269089473</v>
      </c>
      <c r="H219" s="38">
        <f>'GF + UG Iteration 14'!H219</f>
        <v>2007</v>
      </c>
      <c r="I219" s="35">
        <f t="shared" si="20"/>
        <v>47</v>
      </c>
      <c r="J219" s="36">
        <f t="shared" si="21"/>
        <v>22.051476457074493</v>
      </c>
      <c r="K219" s="38">
        <f t="shared" si="22"/>
        <v>2007</v>
      </c>
      <c r="M219" s="21">
        <f t="shared" si="23"/>
        <v>3.8501476017100584</v>
      </c>
      <c r="N219" s="21">
        <f t="shared" si="24"/>
        <v>3.0933795591556796</v>
      </c>
    </row>
    <row r="220" spans="1:14" x14ac:dyDescent="0.2">
      <c r="A220" s="33">
        <f>'GF + UG Iteration 14'!A220</f>
        <v>925</v>
      </c>
      <c r="B220" s="34" t="str">
        <f>'GF + UG Iteration 14'!B220</f>
        <v>UG</v>
      </c>
      <c r="C220" s="35">
        <f>'GF + UG Iteration 14'!C220</f>
        <v>47</v>
      </c>
      <c r="D220" s="36">
        <f>'GF + UG Iteration 14'!P$16*(C220^'GF + UG Iteration 14'!P$15)</f>
        <v>23.158411728096937</v>
      </c>
      <c r="E220" s="37">
        <f>'GF + UG Iteration 14'!E220</f>
        <v>1972</v>
      </c>
      <c r="F220" s="35">
        <f>'GF + UG Iteration 14'!F220</f>
        <v>9</v>
      </c>
      <c r="G220" s="36">
        <f>'GF + UG Iteration 14'!G220</f>
        <v>3.3164697860941139</v>
      </c>
      <c r="H220" s="38">
        <f>'GF + UG Iteration 14'!H220</f>
        <v>2011</v>
      </c>
      <c r="I220" s="35">
        <f t="shared" si="20"/>
        <v>56</v>
      </c>
      <c r="J220" s="36">
        <f t="shared" si="21"/>
        <v>26.474881514191051</v>
      </c>
      <c r="K220" s="38">
        <f t="shared" si="22"/>
        <v>2011</v>
      </c>
      <c r="M220" s="21">
        <f t="shared" si="23"/>
        <v>4.0253516907351496</v>
      </c>
      <c r="N220" s="21">
        <f t="shared" si="24"/>
        <v>3.2761964160927928</v>
      </c>
    </row>
    <row r="221" spans="1:14" x14ac:dyDescent="0.2">
      <c r="A221" s="33">
        <f>'GF + UG Iteration 14'!A221</f>
        <v>821</v>
      </c>
      <c r="B221" s="34" t="str">
        <f>'GF + UG Iteration 14'!B221</f>
        <v>UG</v>
      </c>
      <c r="C221" s="35">
        <f>'GF + UG Iteration 14'!C221</f>
        <v>25</v>
      </c>
      <c r="D221" s="36">
        <f>'GF + UG Iteration 14'!P$16*(C221^'GF + UG Iteration 14'!P$15)</f>
        <v>16.133386221955753</v>
      </c>
      <c r="E221" s="37">
        <f>'GF + UG Iteration 14'!E221</f>
        <v>2006</v>
      </c>
      <c r="F221" s="35">
        <f>'GF + UG Iteration 14'!F221</f>
        <v>32</v>
      </c>
      <c r="G221" s="36">
        <f>'GF + UG Iteration 14'!G221</f>
        <v>9.4177371403666275</v>
      </c>
      <c r="H221" s="38">
        <f>'GF + UG Iteration 14'!H221</f>
        <v>2011</v>
      </c>
      <c r="I221" s="35">
        <f t="shared" si="20"/>
        <v>57</v>
      </c>
      <c r="J221" s="36">
        <f t="shared" si="21"/>
        <v>25.551123362322379</v>
      </c>
      <c r="K221" s="38">
        <f t="shared" si="22"/>
        <v>2011</v>
      </c>
      <c r="M221" s="21">
        <f t="shared" si="23"/>
        <v>4.0430512678345503</v>
      </c>
      <c r="N221" s="21">
        <f t="shared" si="24"/>
        <v>3.2406812828973668</v>
      </c>
    </row>
    <row r="222" spans="1:14" x14ac:dyDescent="0.2">
      <c r="A222" s="33">
        <f>'GF + UG Iteration 14'!A222</f>
        <v>486</v>
      </c>
      <c r="B222" s="34" t="str">
        <f>'GF + UG Iteration 14'!B222</f>
        <v>UG</v>
      </c>
      <c r="C222" s="35">
        <f>'GF + UG Iteration 14'!C222</f>
        <v>10.81</v>
      </c>
      <c r="D222" s="36">
        <f>'GF + UG Iteration 14'!P$16*(C222^'GF + UG Iteration 14'!P$15)</f>
        <v>9.9823563379860722</v>
      </c>
      <c r="E222" s="37">
        <f>'GF + UG Iteration 14'!E222</f>
        <v>1993</v>
      </c>
      <c r="F222" s="35">
        <f>'GF + UG Iteration 14'!F222</f>
        <v>3.1399999999999988</v>
      </c>
      <c r="G222" s="36">
        <f>'GF + UG Iteration 14'!G222</f>
        <v>0.34692120274319505</v>
      </c>
      <c r="H222" s="38">
        <f>'GF + UG Iteration 14'!H222</f>
        <v>2005</v>
      </c>
      <c r="I222" s="35">
        <f t="shared" si="20"/>
        <v>13.95</v>
      </c>
      <c r="J222" s="36">
        <f t="shared" si="21"/>
        <v>10.329277540729267</v>
      </c>
      <c r="K222" s="38">
        <f t="shared" si="22"/>
        <v>2005</v>
      </c>
      <c r="M222" s="21">
        <f t="shared" si="23"/>
        <v>2.6354795082673745</v>
      </c>
      <c r="N222" s="21">
        <f t="shared" si="24"/>
        <v>2.3349823427118395</v>
      </c>
    </row>
    <row r="223" spans="1:14" x14ac:dyDescent="0.2">
      <c r="A223" s="33">
        <f>'GF + UG Iteration 14'!A223</f>
        <v>779</v>
      </c>
      <c r="B223" s="34" t="str">
        <f>'GF + UG Iteration 14'!B223</f>
        <v>UG</v>
      </c>
      <c r="C223" s="35">
        <f>'GF + UG Iteration 14'!C223</f>
        <v>13.95</v>
      </c>
      <c r="D223" s="36">
        <f>'GF + UG Iteration 14'!P$16*(C223^'GF + UG Iteration 14'!P$15)</f>
        <v>11.55175187023266</v>
      </c>
      <c r="E223" s="37">
        <f>'GF + UG Iteration 14'!E223</f>
        <v>1993</v>
      </c>
      <c r="F223" s="35">
        <f>'GF + UG Iteration 14'!F223</f>
        <v>4.0500000000000007</v>
      </c>
      <c r="G223" s="36">
        <f>'GF + UG Iteration 14'!G223</f>
        <v>0.91575874480529229</v>
      </c>
      <c r="H223" s="38">
        <f>'GF + UG Iteration 14'!H223</f>
        <v>2008</v>
      </c>
      <c r="I223" s="35">
        <f t="shared" si="20"/>
        <v>18</v>
      </c>
      <c r="J223" s="36">
        <f t="shared" si="21"/>
        <v>12.467510615037952</v>
      </c>
      <c r="K223" s="38">
        <f t="shared" si="22"/>
        <v>2008</v>
      </c>
      <c r="M223" s="21">
        <f t="shared" si="23"/>
        <v>2.8903717578961645</v>
      </c>
      <c r="N223" s="21">
        <f t="shared" si="24"/>
        <v>2.5231261098544979</v>
      </c>
    </row>
    <row r="224" spans="1:14" x14ac:dyDescent="0.2">
      <c r="A224" s="33">
        <f>'GF + UG Iteration 14'!A224</f>
        <v>1416</v>
      </c>
      <c r="B224" s="34" t="str">
        <f>'GF + UG Iteration 14'!B224</f>
        <v>UG</v>
      </c>
      <c r="C224" s="35">
        <f>'GF + UG Iteration 14'!C224</f>
        <v>18</v>
      </c>
      <c r="D224" s="36">
        <f>'GF + UG Iteration 14'!P$16*(C224^'GF + UG Iteration 14'!P$15)</f>
        <v>13.366997933794726</v>
      </c>
      <c r="E224" s="37">
        <f>'GF + UG Iteration 14'!E224</f>
        <v>1993</v>
      </c>
      <c r="F224" s="35">
        <f>'GF + UG Iteration 14'!F224</f>
        <v>6</v>
      </c>
      <c r="G224" s="36">
        <f>'GF + UG Iteration 14'!G224</f>
        <v>1.4181567457767223</v>
      </c>
      <c r="H224" s="38">
        <f>'GF + UG Iteration 14'!H224</f>
        <v>2014</v>
      </c>
      <c r="I224" s="35">
        <f t="shared" si="20"/>
        <v>24</v>
      </c>
      <c r="J224" s="36">
        <f t="shared" si="21"/>
        <v>14.785154679571448</v>
      </c>
      <c r="K224" s="38">
        <f t="shared" si="22"/>
        <v>2014</v>
      </c>
      <c r="M224" s="21">
        <f t="shared" si="23"/>
        <v>3.1780538303479458</v>
      </c>
      <c r="N224" s="21">
        <f t="shared" si="24"/>
        <v>2.6936236151754134</v>
      </c>
    </row>
    <row r="225" spans="1:14" x14ac:dyDescent="0.2">
      <c r="A225" s="33">
        <f>'GF + UG Iteration 14'!A225</f>
        <v>554</v>
      </c>
      <c r="B225" s="34" t="str">
        <f>'GF + UG Iteration 14'!B225</f>
        <v>UG</v>
      </c>
      <c r="C225" s="35">
        <f>'GF + UG Iteration 14'!C225</f>
        <v>23</v>
      </c>
      <c r="D225" s="36">
        <f>'GF + UG Iteration 14'!P$16*(C225^'GF + UG Iteration 14'!P$15)</f>
        <v>15.381205705442992</v>
      </c>
      <c r="E225" s="37">
        <f>'GF + UG Iteration 14'!E225</f>
        <v>1968</v>
      </c>
      <c r="F225" s="35">
        <f>'GF + UG Iteration 14'!F225</f>
        <v>8.2600000000000016</v>
      </c>
      <c r="G225" s="36">
        <f>'GF + UG Iteration 14'!G225</f>
        <v>1.061095708813089</v>
      </c>
      <c r="H225" s="38">
        <f>'GF + UG Iteration 14'!H225</f>
        <v>2006</v>
      </c>
      <c r="I225" s="35">
        <f t="shared" si="20"/>
        <v>31.26</v>
      </c>
      <c r="J225" s="36">
        <f t="shared" si="21"/>
        <v>16.442301414256082</v>
      </c>
      <c r="K225" s="38">
        <f t="shared" si="22"/>
        <v>2006</v>
      </c>
      <c r="M225" s="21">
        <f t="shared" si="23"/>
        <v>3.4423393249933305</v>
      </c>
      <c r="N225" s="21">
        <f t="shared" si="24"/>
        <v>2.7998573685322379</v>
      </c>
    </row>
    <row r="226" spans="1:14" x14ac:dyDescent="0.2">
      <c r="A226" s="33">
        <f>'GF + UG Iteration 14'!A226</f>
        <v>1581</v>
      </c>
      <c r="B226" s="34" t="str">
        <f>'GF + UG Iteration 14'!B226</f>
        <v>UG</v>
      </c>
      <c r="C226" s="35">
        <f>'GF + UG Iteration 14'!C226</f>
        <v>7.44</v>
      </c>
      <c r="D226" s="36">
        <f>'GF + UG Iteration 14'!P$16*(C226^'GF + UG Iteration 14'!P$15)</f>
        <v>8.059848333472484</v>
      </c>
      <c r="E226" s="37" t="str">
        <f>'GF + UG Iteration 14'!E226</f>
        <v>unknown</v>
      </c>
      <c r="F226" s="35">
        <f>'GF + UG Iteration 14'!F226</f>
        <v>9.36</v>
      </c>
      <c r="G226" s="36">
        <f>'GF + UG Iteration 14'!G226</f>
        <v>5.3848313505476417</v>
      </c>
      <c r="H226" s="38">
        <f>'GF + UG Iteration 14'!H226</f>
        <v>2015</v>
      </c>
      <c r="I226" s="35">
        <f t="shared" si="20"/>
        <v>16.8</v>
      </c>
      <c r="J226" s="36">
        <f t="shared" si="21"/>
        <v>13.444679684020127</v>
      </c>
      <c r="K226" s="38">
        <f t="shared" si="22"/>
        <v>2015</v>
      </c>
      <c r="M226" s="21">
        <f t="shared" si="23"/>
        <v>2.8213788864092133</v>
      </c>
      <c r="N226" s="21">
        <f t="shared" si="24"/>
        <v>2.5985834652659698</v>
      </c>
    </row>
    <row r="227" spans="1:14" x14ac:dyDescent="0.2">
      <c r="A227" s="33">
        <f>'GF + UG Iteration 14'!A227</f>
        <v>880</v>
      </c>
      <c r="B227" s="34" t="str">
        <f>'GF + UG Iteration 14'!B227</f>
        <v>UG</v>
      </c>
      <c r="C227" s="35">
        <f>'GF + UG Iteration 14'!C227</f>
        <v>8.9499999999999993</v>
      </c>
      <c r="D227" s="36">
        <f>'GF + UG Iteration 14'!P$16*(C227^'GF + UG Iteration 14'!P$15)</f>
        <v>8.9593852207481621</v>
      </c>
      <c r="E227" s="37">
        <f>'GF + UG Iteration 14'!E227</f>
        <v>1966</v>
      </c>
      <c r="F227" s="35">
        <f>'GF + UG Iteration 14'!F227</f>
        <v>2.0500000000000007</v>
      </c>
      <c r="G227" s="36">
        <f>'GF + UG Iteration 14'!G227</f>
        <v>4.5763928166345611</v>
      </c>
      <c r="H227" s="38">
        <f>'GF + UG Iteration 14'!H227</f>
        <v>2010</v>
      </c>
      <c r="I227" s="35">
        <f t="shared" si="20"/>
        <v>11</v>
      </c>
      <c r="J227" s="36">
        <f t="shared" si="21"/>
        <v>13.535778037382723</v>
      </c>
      <c r="K227" s="38">
        <f t="shared" si="22"/>
        <v>2010</v>
      </c>
      <c r="M227" s="21">
        <f t="shared" si="23"/>
        <v>2.3978952727983707</v>
      </c>
      <c r="N227" s="21">
        <f t="shared" si="24"/>
        <v>2.6053364047819256</v>
      </c>
    </row>
    <row r="228" spans="1:14" x14ac:dyDescent="0.2">
      <c r="A228" s="33">
        <f>'GF + UG Iteration 14'!A228</f>
        <v>1047</v>
      </c>
      <c r="B228" s="34" t="str">
        <f>'GF + UG Iteration 14'!B228</f>
        <v>UG</v>
      </c>
      <c r="C228" s="35">
        <f>'GF + UG Iteration 14'!C228</f>
        <v>10</v>
      </c>
      <c r="D228" s="36">
        <f>'GF + UG Iteration 14'!P$16*(C228^'GF + UG Iteration 14'!P$15)</f>
        <v>9.5469449897276668</v>
      </c>
      <c r="E228" s="37">
        <f>'GF + UG Iteration 14'!E228</f>
        <v>1965</v>
      </c>
      <c r="F228" s="35">
        <f>'GF + UG Iteration 14'!F228</f>
        <v>5</v>
      </c>
      <c r="G228" s="36">
        <f>'GF + UG Iteration 14'!G228</f>
        <v>6.2586429220605622</v>
      </c>
      <c r="H228" s="38">
        <f>'GF + UG Iteration 14'!H228</f>
        <v>2012</v>
      </c>
      <c r="I228" s="35">
        <f t="shared" si="20"/>
        <v>15</v>
      </c>
      <c r="J228" s="36">
        <f t="shared" si="21"/>
        <v>15.80558791178823</v>
      </c>
      <c r="K228" s="38">
        <f t="shared" si="22"/>
        <v>2012</v>
      </c>
      <c r="M228" s="21">
        <f t="shared" si="23"/>
        <v>2.7080502011022101</v>
      </c>
      <c r="N228" s="21">
        <f t="shared" si="24"/>
        <v>2.7603635428111417</v>
      </c>
    </row>
    <row r="229" spans="1:14" x14ac:dyDescent="0.2">
      <c r="A229" s="33">
        <f>'GF + UG Iteration 14'!A229</f>
        <v>1045</v>
      </c>
      <c r="B229" s="34" t="str">
        <f>'GF + UG Iteration 14'!B229</f>
        <v>UG</v>
      </c>
      <c r="C229" s="35">
        <f>'GF + UG Iteration 14'!C229</f>
        <v>24.065999999999999</v>
      </c>
      <c r="D229" s="36">
        <f>'GF + UG Iteration 14'!P$16*(C229^'GF + UG Iteration 14'!P$15)</f>
        <v>15.785448816824326</v>
      </c>
      <c r="E229" s="37">
        <f>'GF + UG Iteration 14'!E229</f>
        <v>1971</v>
      </c>
      <c r="F229" s="35">
        <f>'GF + UG Iteration 14'!F229</f>
        <v>7.9340000000000011</v>
      </c>
      <c r="G229" s="36">
        <f>'GF + UG Iteration 14'!G229</f>
        <v>3.8009199870921253</v>
      </c>
      <c r="H229" s="38">
        <f>'GF + UG Iteration 14'!H229</f>
        <v>2011</v>
      </c>
      <c r="I229" s="35">
        <f t="shared" si="20"/>
        <v>32</v>
      </c>
      <c r="J229" s="36">
        <f t="shared" si="21"/>
        <v>19.58636880391645</v>
      </c>
      <c r="K229" s="38">
        <f t="shared" si="22"/>
        <v>2011</v>
      </c>
      <c r="M229" s="21">
        <f t="shared" si="23"/>
        <v>3.4657359027997265</v>
      </c>
      <c r="N229" s="21">
        <f t="shared" si="24"/>
        <v>2.9748338550976534</v>
      </c>
    </row>
    <row r="230" spans="1:14" x14ac:dyDescent="0.2">
      <c r="A230" s="33">
        <f>'GF + UG Iteration 14'!A230</f>
        <v>1616</v>
      </c>
      <c r="B230" s="34" t="str">
        <f>'GF + UG Iteration 14'!B230</f>
        <v>UG</v>
      </c>
      <c r="C230" s="35">
        <f>'GF + UG Iteration 14'!C230</f>
        <v>21.68</v>
      </c>
      <c r="D230" s="36">
        <f>'GF + UG Iteration 14'!P$16*(C230^'GF + UG Iteration 14'!P$15)</f>
        <v>14.869368391037611</v>
      </c>
      <c r="E230" s="37" t="str">
        <f>'GF + UG Iteration 14'!E230</f>
        <v>unknown</v>
      </c>
      <c r="F230" s="35">
        <f>'GF + UG Iteration 14'!F230</f>
        <v>25.75</v>
      </c>
      <c r="G230" s="36">
        <f>'GF + UG Iteration 14'!G230</f>
        <v>0.84818580502502572</v>
      </c>
      <c r="H230" s="38">
        <f>'GF + UG Iteration 14'!H230</f>
        <v>2015</v>
      </c>
      <c r="I230" s="35">
        <f t="shared" si="20"/>
        <v>47.43</v>
      </c>
      <c r="J230" s="36">
        <f t="shared" si="21"/>
        <v>15.717554196062636</v>
      </c>
      <c r="K230" s="38">
        <f t="shared" si="22"/>
        <v>2015</v>
      </c>
      <c r="M230" s="21">
        <f t="shared" si="23"/>
        <v>3.8592549398894902</v>
      </c>
      <c r="N230" s="21">
        <f t="shared" si="24"/>
        <v>2.7547781894041834</v>
      </c>
    </row>
    <row r="231" spans="1:14" x14ac:dyDescent="0.2">
      <c r="A231" s="33">
        <f>'GF + UG Iteration 14'!A231</f>
        <v>362</v>
      </c>
      <c r="B231" s="34" t="str">
        <f>'GF + UG Iteration 14'!B231</f>
        <v>UG</v>
      </c>
      <c r="C231" s="35">
        <f>'GF + UG Iteration 14'!C231</f>
        <v>51.8</v>
      </c>
      <c r="D231" s="36">
        <f>'GF + UG Iteration 14'!P$16*(C231^'GF + UG Iteration 14'!P$15)</f>
        <v>24.484476794232879</v>
      </c>
      <c r="E231" s="37">
        <f>'GF + UG Iteration 14'!E231</f>
        <v>1971</v>
      </c>
      <c r="F231" s="35">
        <f>'GF + UG Iteration 14'!F231</f>
        <v>1</v>
      </c>
      <c r="G231" s="36">
        <f>'GF + UG Iteration 14'!G231</f>
        <v>0.78848028183233532</v>
      </c>
      <c r="H231" s="38">
        <f>'GF + UG Iteration 14'!H231</f>
        <v>2004</v>
      </c>
      <c r="I231" s="35">
        <f t="shared" si="20"/>
        <v>52.8</v>
      </c>
      <c r="J231" s="36">
        <f t="shared" si="21"/>
        <v>25.272957076065214</v>
      </c>
      <c r="K231" s="38">
        <f t="shared" si="22"/>
        <v>2004</v>
      </c>
      <c r="M231" s="21">
        <f t="shared" si="23"/>
        <v>3.9665111907122159</v>
      </c>
      <c r="N231" s="21">
        <f t="shared" si="24"/>
        <v>3.2297349337887584</v>
      </c>
    </row>
    <row r="232" spans="1:14" x14ac:dyDescent="0.2">
      <c r="A232" s="33">
        <f>'GF + UG Iteration 14'!A232</f>
        <v>924</v>
      </c>
      <c r="B232" s="34" t="str">
        <f>'GF + UG Iteration 14'!B232</f>
        <v>UG</v>
      </c>
      <c r="C232" s="35">
        <f>'GF + UG Iteration 14'!C232</f>
        <v>45.94</v>
      </c>
      <c r="D232" s="36">
        <f>'GF + UG Iteration 14'!P$16*(C232^'GF + UG Iteration 14'!P$15)</f>
        <v>22.857887048255343</v>
      </c>
      <c r="E232" s="37">
        <f>'GF + UG Iteration 14'!E232</f>
        <v>1982</v>
      </c>
      <c r="F232" s="35">
        <f>'GF + UG Iteration 14'!F232</f>
        <v>6.0600000000000023</v>
      </c>
      <c r="G232" s="36">
        <f>'GF + UG Iteration 14'!G232</f>
        <v>1.4264307906682692</v>
      </c>
      <c r="H232" s="38">
        <f>'GF + UG Iteration 14'!H232</f>
        <v>2010</v>
      </c>
      <c r="I232" s="35">
        <f t="shared" si="20"/>
        <v>52</v>
      </c>
      <c r="J232" s="36">
        <f t="shared" si="21"/>
        <v>24.284317838923613</v>
      </c>
      <c r="K232" s="38">
        <f t="shared" si="22"/>
        <v>2010</v>
      </c>
      <c r="M232" s="21">
        <f t="shared" si="23"/>
        <v>3.9512437185814275</v>
      </c>
      <c r="N232" s="21">
        <f t="shared" si="24"/>
        <v>3.1898307855915129</v>
      </c>
    </row>
    <row r="233" spans="1:14" x14ac:dyDescent="0.2">
      <c r="A233" s="33">
        <f>'GF + UG Iteration 14'!A233</f>
        <v>1241</v>
      </c>
      <c r="B233" s="34" t="str">
        <f>'GF + UG Iteration 14'!B233</f>
        <v>UG</v>
      </c>
      <c r="C233" s="35">
        <f>'GF + UG Iteration 14'!C233</f>
        <v>20.29</v>
      </c>
      <c r="D233" s="36">
        <f>'GF + UG Iteration 14'!P$16*(C233^'GF + UG Iteration 14'!P$15)</f>
        <v>14.315767322659022</v>
      </c>
      <c r="E233" s="37" t="str">
        <f>'GF + UG Iteration 14'!E233</f>
        <v>unknown</v>
      </c>
      <c r="F233" s="35">
        <f>'GF + UG Iteration 14'!F233</f>
        <v>6</v>
      </c>
      <c r="G233" s="36">
        <f>'GF + UG Iteration 14'!G233</f>
        <v>2.625007735639064</v>
      </c>
      <c r="H233" s="38">
        <f>'GF + UG Iteration 14'!H233</f>
        <v>2012</v>
      </c>
      <c r="I233" s="35">
        <f t="shared" si="20"/>
        <v>26.29</v>
      </c>
      <c r="J233" s="36">
        <f t="shared" si="21"/>
        <v>16.940775058298087</v>
      </c>
      <c r="K233" s="38">
        <f t="shared" si="22"/>
        <v>2012</v>
      </c>
      <c r="M233" s="21">
        <f t="shared" si="23"/>
        <v>3.2691886387417899</v>
      </c>
      <c r="N233" s="21">
        <f t="shared" si="24"/>
        <v>2.829723441323551</v>
      </c>
    </row>
    <row r="234" spans="1:14" x14ac:dyDescent="0.2">
      <c r="A234" s="33">
        <f>'GF + UG Iteration 14'!A234</f>
        <v>438</v>
      </c>
      <c r="B234" s="34" t="str">
        <f>'GF + UG Iteration 14'!B234</f>
        <v>UG</v>
      </c>
      <c r="C234" s="35">
        <f>'GF + UG Iteration 14'!C234</f>
        <v>8.2460000000000004</v>
      </c>
      <c r="D234" s="36">
        <f>'GF + UG Iteration 14'!P$16*(C234^'GF + UG Iteration 14'!P$15)</f>
        <v>8.5488010842151407</v>
      </c>
      <c r="E234" s="37">
        <f>'GF + UG Iteration 14'!E234</f>
        <v>1978</v>
      </c>
      <c r="F234" s="35">
        <f>'GF + UG Iteration 14'!F234</f>
        <v>1</v>
      </c>
      <c r="G234" s="36">
        <f>'GF + UG Iteration 14'!G234</f>
        <v>0.18095315250984781</v>
      </c>
      <c r="H234" s="38">
        <f>'GF + UG Iteration 14'!H234</f>
        <v>2004</v>
      </c>
      <c r="I234" s="35">
        <f t="shared" si="20"/>
        <v>9.2460000000000004</v>
      </c>
      <c r="J234" s="36">
        <f t="shared" si="21"/>
        <v>8.7297542367249878</v>
      </c>
      <c r="K234" s="38">
        <f t="shared" si="22"/>
        <v>2004</v>
      </c>
      <c r="M234" s="21">
        <f t="shared" si="23"/>
        <v>2.2241910255660335</v>
      </c>
      <c r="N234" s="21">
        <f t="shared" si="24"/>
        <v>2.1667372178773538</v>
      </c>
    </row>
    <row r="235" spans="1:14" x14ac:dyDescent="0.2">
      <c r="A235" s="33">
        <f>'GF + UG Iteration 14'!A235</f>
        <v>748</v>
      </c>
      <c r="B235" s="34" t="str">
        <f>'GF + UG Iteration 14'!B235</f>
        <v>UG</v>
      </c>
      <c r="C235" s="35">
        <f>'GF + UG Iteration 14'!C235</f>
        <v>25.541</v>
      </c>
      <c r="D235" s="36">
        <f>'GF + UG Iteration 14'!P$16*(C235^'GF + UG Iteration 14'!P$15)</f>
        <v>16.332381543401816</v>
      </c>
      <c r="E235" s="37">
        <f>'GF + UG Iteration 14'!E235</f>
        <v>1995</v>
      </c>
      <c r="F235" s="35">
        <f>'GF + UG Iteration 14'!F235</f>
        <v>1</v>
      </c>
      <c r="G235" s="36">
        <f>'GF + UG Iteration 14'!G235</f>
        <v>0.38858476644316492</v>
      </c>
      <c r="H235" s="38">
        <f>'GF + UG Iteration 14'!H235</f>
        <v>2008</v>
      </c>
      <c r="I235" s="35">
        <f t="shared" si="20"/>
        <v>26.541</v>
      </c>
      <c r="J235" s="36">
        <f t="shared" si="21"/>
        <v>16.720966309844982</v>
      </c>
      <c r="K235" s="38">
        <f t="shared" si="22"/>
        <v>2008</v>
      </c>
      <c r="M235" s="21">
        <f t="shared" si="23"/>
        <v>3.2786907071693587</v>
      </c>
      <c r="N235" s="21">
        <f t="shared" si="24"/>
        <v>2.8166633996375827</v>
      </c>
    </row>
    <row r="236" spans="1:14" x14ac:dyDescent="0.2">
      <c r="A236" s="33">
        <f>'GF + UG Iteration 14'!A236</f>
        <v>1319</v>
      </c>
      <c r="B236" s="34" t="str">
        <f>'GF + UG Iteration 14'!B236</f>
        <v>UG</v>
      </c>
      <c r="C236" s="35">
        <f>'GF + UG Iteration 14'!C236</f>
        <v>15.71</v>
      </c>
      <c r="D236" s="36">
        <f>'GF + UG Iteration 14'!P$16*(C236^'GF + UG Iteration 14'!P$15)</f>
        <v>12.365031578113319</v>
      </c>
      <c r="E236" s="37">
        <f>'GF + UG Iteration 14'!E236</f>
        <v>0</v>
      </c>
      <c r="F236" s="35">
        <f>'GF + UG Iteration 14'!F236</f>
        <v>4.2899999999999991</v>
      </c>
      <c r="G236" s="36">
        <f>'GF + UG Iteration 14'!G236</f>
        <v>3.2376779482440865</v>
      </c>
      <c r="H236" s="38">
        <f>'GF + UG Iteration 14'!H236</f>
        <v>2014</v>
      </c>
      <c r="I236" s="35">
        <f t="shared" si="20"/>
        <v>20</v>
      </c>
      <c r="J236" s="36">
        <f t="shared" si="21"/>
        <v>15.602709526357405</v>
      </c>
      <c r="K236" s="38">
        <f t="shared" si="22"/>
        <v>2014</v>
      </c>
      <c r="M236" s="21">
        <f t="shared" si="23"/>
        <v>2.9957322735539909</v>
      </c>
      <c r="N236" s="21">
        <f t="shared" si="24"/>
        <v>2.7474445867605617</v>
      </c>
    </row>
    <row r="237" spans="1:14" x14ac:dyDescent="0.2">
      <c r="A237" s="33">
        <f>'GF + UG Iteration 14'!A237</f>
        <v>892</v>
      </c>
      <c r="B237" s="34" t="str">
        <f>'GF + UG Iteration 14'!B237</f>
        <v>UG</v>
      </c>
      <c r="C237" s="35">
        <f>'GF + UG Iteration 14'!C237</f>
        <v>13.05</v>
      </c>
      <c r="D237" s="36">
        <f>'GF + UG Iteration 14'!P$16*(C237^'GF + UG Iteration 14'!P$15)</f>
        <v>11.118934997573509</v>
      </c>
      <c r="E237" s="37">
        <f>'GF + UG Iteration 14'!E237</f>
        <v>1972</v>
      </c>
      <c r="F237" s="35">
        <f>'GF + UG Iteration 14'!F237</f>
        <v>0</v>
      </c>
      <c r="G237" s="36">
        <f>'GF + UG Iteration 14'!G237</f>
        <v>3.2490818561124843</v>
      </c>
      <c r="H237" s="38">
        <f>'GF + UG Iteration 14'!H237</f>
        <v>2011</v>
      </c>
      <c r="I237" s="35">
        <f t="shared" si="20"/>
        <v>13.05</v>
      </c>
      <c r="J237" s="36">
        <f t="shared" si="21"/>
        <v>14.368016853685994</v>
      </c>
      <c r="K237" s="38">
        <f t="shared" si="22"/>
        <v>2011</v>
      </c>
      <c r="M237" s="21">
        <f t="shared" si="23"/>
        <v>2.5687881337687024</v>
      </c>
      <c r="N237" s="21">
        <f t="shared" si="24"/>
        <v>2.6650046845606865</v>
      </c>
    </row>
    <row r="238" spans="1:14" x14ac:dyDescent="0.2">
      <c r="A238" s="33">
        <f>'GF + UG Iteration 14'!A238</f>
        <v>504</v>
      </c>
      <c r="B238" s="34" t="str">
        <f>'GF + UG Iteration 14'!B238</f>
        <v>UG</v>
      </c>
      <c r="C238" s="35">
        <f>'GF + UG Iteration 14'!C238</f>
        <v>10.496</v>
      </c>
      <c r="D238" s="36">
        <f>'GF + UG Iteration 14'!P$16*(C238^'GF + UG Iteration 14'!P$15)</f>
        <v>9.8152800535139164</v>
      </c>
      <c r="E238" s="37">
        <f>'GF + UG Iteration 14'!E238</f>
        <v>2007</v>
      </c>
      <c r="F238" s="35">
        <f>'GF + UG Iteration 14'!F238</f>
        <v>0</v>
      </c>
      <c r="G238" s="36">
        <f>'GF + UG Iteration 14'!G238</f>
        <v>2.1923137026225539</v>
      </c>
      <c r="H238" s="38">
        <f>'GF + UG Iteration 14'!H238</f>
        <v>2006</v>
      </c>
      <c r="I238" s="35">
        <f t="shared" si="20"/>
        <v>10.496</v>
      </c>
      <c r="J238" s="36">
        <f t="shared" si="21"/>
        <v>12.007593756136471</v>
      </c>
      <c r="K238" s="38">
        <f t="shared" si="22"/>
        <v>2007</v>
      </c>
      <c r="M238" s="21">
        <f t="shared" si="23"/>
        <v>2.3509942322017334</v>
      </c>
      <c r="N238" s="21">
        <f t="shared" si="24"/>
        <v>2.4855392626576496</v>
      </c>
    </row>
    <row r="239" spans="1:14" x14ac:dyDescent="0.2">
      <c r="A239" s="33">
        <f>'GF + UG Iteration 14'!A239</f>
        <v>618</v>
      </c>
      <c r="B239" s="34" t="str">
        <f>'GF + UG Iteration 14'!B239</f>
        <v>UG</v>
      </c>
      <c r="C239" s="35">
        <f>'GF + UG Iteration 14'!C239</f>
        <v>11</v>
      </c>
      <c r="D239" s="36">
        <f>'GF + UG Iteration 14'!P$16*(C239^'GF + UG Iteration 14'!P$15)</f>
        <v>10.08244683094412</v>
      </c>
      <c r="E239" s="37">
        <f>'GF + UG Iteration 14'!E239</f>
        <v>1995</v>
      </c>
      <c r="F239" s="35">
        <f>'GF + UG Iteration 14'!F239</f>
        <v>11.5</v>
      </c>
      <c r="G239" s="36">
        <f>'GF + UG Iteration 14'!G239</f>
        <v>2.3464649770982668</v>
      </c>
      <c r="H239" s="38">
        <f>'GF + UG Iteration 14'!H239</f>
        <v>2006</v>
      </c>
      <c r="I239" s="35">
        <f t="shared" si="20"/>
        <v>22.5</v>
      </c>
      <c r="J239" s="36">
        <f t="shared" si="21"/>
        <v>12.428911808042386</v>
      </c>
      <c r="K239" s="38">
        <f t="shared" si="22"/>
        <v>2006</v>
      </c>
      <c r="M239" s="21">
        <f t="shared" si="23"/>
        <v>3.1135153092103742</v>
      </c>
      <c r="N239" s="21">
        <f t="shared" si="24"/>
        <v>2.5200253560782424</v>
      </c>
    </row>
    <row r="240" spans="1:14" x14ac:dyDescent="0.2">
      <c r="A240" s="33">
        <f>'GF + UG Iteration 14'!A240</f>
        <v>712</v>
      </c>
      <c r="B240" s="34" t="str">
        <f>'GF + UG Iteration 14'!B240</f>
        <v>UG</v>
      </c>
      <c r="C240" s="35">
        <f>'GF + UG Iteration 14'!C240</f>
        <v>7.5</v>
      </c>
      <c r="D240" s="36">
        <f>'GF + UG Iteration 14'!P$16*(C240^'GF + UG Iteration 14'!P$15)</f>
        <v>8.0970028446147353</v>
      </c>
      <c r="E240" s="37">
        <f>'GF + UG Iteration 14'!E240</f>
        <v>1980</v>
      </c>
      <c r="F240" s="35">
        <f>'GF + UG Iteration 14'!F240</f>
        <v>1</v>
      </c>
      <c r="G240" s="36">
        <f>'GF + UG Iteration 14'!G240</f>
        <v>7.8904141673966368</v>
      </c>
      <c r="H240" s="38">
        <f>'GF + UG Iteration 14'!H240</f>
        <v>2011</v>
      </c>
      <c r="I240" s="35">
        <f t="shared" si="20"/>
        <v>8.5</v>
      </c>
      <c r="J240" s="36">
        <f t="shared" si="21"/>
        <v>15.987417012011372</v>
      </c>
      <c r="K240" s="38">
        <f t="shared" si="22"/>
        <v>2011</v>
      </c>
      <c r="M240" s="21">
        <f t="shared" si="23"/>
        <v>2.1400661634962708</v>
      </c>
      <c r="N240" s="21">
        <f t="shared" si="24"/>
        <v>2.7718019760868833</v>
      </c>
    </row>
    <row r="241" spans="1:14" x14ac:dyDescent="0.2">
      <c r="A241" s="33">
        <f>'GF + UG Iteration 14'!A241</f>
        <v>726</v>
      </c>
      <c r="B241" s="34" t="str">
        <f>'GF + UG Iteration 14'!B241</f>
        <v>UG</v>
      </c>
      <c r="C241" s="35">
        <f>'GF + UG Iteration 14'!C241</f>
        <v>25.635400000000001</v>
      </c>
      <c r="D241" s="36">
        <f>'GF + UG Iteration 14'!P$16*(C241^'GF + UG Iteration 14'!P$15)</f>
        <v>16.366919263388873</v>
      </c>
      <c r="E241" s="37">
        <f>'GF + UG Iteration 14'!E241</f>
        <v>1982</v>
      </c>
      <c r="F241" s="35">
        <f>'GF + UG Iteration 14'!F241</f>
        <v>5.3645999999999994</v>
      </c>
      <c r="G241" s="36">
        <f>'GF + UG Iteration 14'!G241</f>
        <v>1.031633192087684</v>
      </c>
      <c r="H241" s="38">
        <f>'GF + UG Iteration 14'!H241</f>
        <v>2008</v>
      </c>
      <c r="I241" s="35">
        <f t="shared" si="20"/>
        <v>31</v>
      </c>
      <c r="J241" s="36">
        <f t="shared" si="21"/>
        <v>17.398552455476558</v>
      </c>
      <c r="K241" s="38">
        <f t="shared" si="22"/>
        <v>2008</v>
      </c>
      <c r="M241" s="21">
        <f t="shared" si="23"/>
        <v>3.4339872044851463</v>
      </c>
      <c r="N241" s="21">
        <f t="shared" si="24"/>
        <v>2.8563870105458284</v>
      </c>
    </row>
    <row r="242" spans="1:14" x14ac:dyDescent="0.2">
      <c r="A242" s="33">
        <f>'GF + UG Iteration 14'!A242</f>
        <v>530</v>
      </c>
      <c r="B242" s="34" t="str">
        <f>'GF + UG Iteration 14'!B242</f>
        <v>UG</v>
      </c>
      <c r="C242" s="35">
        <f>'GF + UG Iteration 14'!C242</f>
        <v>25</v>
      </c>
      <c r="D242" s="36">
        <f>'GF + UG Iteration 14'!P$16*(C242^'GF + UG Iteration 14'!P$15)</f>
        <v>16.133386221955753</v>
      </c>
      <c r="E242" s="37">
        <f>'GF + UG Iteration 14'!E242</f>
        <v>1982</v>
      </c>
      <c r="F242" s="35">
        <f>'GF + UG Iteration 14'!F242</f>
        <v>20</v>
      </c>
      <c r="G242" s="36">
        <f>'GF + UG Iteration 14'!G242</f>
        <v>4.5022608459814819</v>
      </c>
      <c r="H242" s="38">
        <f>'GF + UG Iteration 14'!H242</f>
        <v>2006</v>
      </c>
      <c r="I242" s="35">
        <f t="shared" si="20"/>
        <v>45</v>
      </c>
      <c r="J242" s="36">
        <f t="shared" si="21"/>
        <v>20.635647067937235</v>
      </c>
      <c r="K242" s="38">
        <f t="shared" si="22"/>
        <v>2006</v>
      </c>
      <c r="M242" s="21">
        <f t="shared" si="23"/>
        <v>3.8066624897703196</v>
      </c>
      <c r="N242" s="21">
        <f t="shared" si="24"/>
        <v>3.0270200205000206</v>
      </c>
    </row>
    <row r="243" spans="1:14" x14ac:dyDescent="0.2">
      <c r="A243" s="33">
        <f>'GF + UG Iteration 14'!A243</f>
        <v>755</v>
      </c>
      <c r="B243" s="34" t="str">
        <f>'GF + UG Iteration 14'!B243</f>
        <v>UG</v>
      </c>
      <c r="C243" s="35">
        <f>'GF + UG Iteration 14'!C243</f>
        <v>8.6980000000000004</v>
      </c>
      <c r="D243" s="36">
        <f>'GF + UG Iteration 14'!P$16*(C243^'GF + UG Iteration 14'!P$15)</f>
        <v>8.8140573050038231</v>
      </c>
      <c r="E243" s="37">
        <f>'GF + UG Iteration 14'!E243</f>
        <v>1983</v>
      </c>
      <c r="F243" s="35">
        <f>'GF + UG Iteration 14'!F243</f>
        <v>3.3019999999999996</v>
      </c>
      <c r="G243" s="36">
        <f>'GF + UG Iteration 14'!G243</f>
        <v>0.74649134624932623</v>
      </c>
      <c r="H243" s="38">
        <f>'GF + UG Iteration 14'!H243</f>
        <v>2008</v>
      </c>
      <c r="I243" s="35">
        <f t="shared" si="20"/>
        <v>12</v>
      </c>
      <c r="J243" s="36">
        <f t="shared" si="21"/>
        <v>9.5605486512531499</v>
      </c>
      <c r="K243" s="38">
        <f t="shared" si="22"/>
        <v>2008</v>
      </c>
      <c r="M243" s="21">
        <f t="shared" si="23"/>
        <v>2.4849066497880004</v>
      </c>
      <c r="N243" s="21">
        <f t="shared" si="24"/>
        <v>2.2576451157149964</v>
      </c>
    </row>
    <row r="244" spans="1:14" x14ac:dyDescent="0.2">
      <c r="A244" s="33">
        <f>'GF + UG Iteration 14'!A244</f>
        <v>1081</v>
      </c>
      <c r="B244" s="34" t="str">
        <f>'GF + UG Iteration 14'!B244</f>
        <v>UG</v>
      </c>
      <c r="C244" s="35">
        <f>'GF + UG Iteration 14'!C244</f>
        <v>12</v>
      </c>
      <c r="D244" s="36">
        <f>'GF + UG Iteration 14'!P$16*(C244^'GF + UG Iteration 14'!P$15)</f>
        <v>10.597507515953911</v>
      </c>
      <c r="E244" s="37">
        <f>'GF + UG Iteration 14'!E244</f>
        <v>1983</v>
      </c>
      <c r="F244" s="35">
        <f>'GF + UG Iteration 14'!F244</f>
        <v>4</v>
      </c>
      <c r="G244" s="36">
        <f>'GF + UG Iteration 14'!G244</f>
        <v>0.74615854172219498</v>
      </c>
      <c r="H244" s="38">
        <f>'GF + UG Iteration 14'!H244</f>
        <v>2010</v>
      </c>
      <c r="I244" s="35">
        <f t="shared" si="20"/>
        <v>16</v>
      </c>
      <c r="J244" s="36">
        <f t="shared" si="21"/>
        <v>11.343666057676106</v>
      </c>
      <c r="K244" s="38">
        <f t="shared" si="22"/>
        <v>2010</v>
      </c>
      <c r="M244" s="21">
        <f t="shared" si="23"/>
        <v>2.7725887222397811</v>
      </c>
      <c r="N244" s="21">
        <f t="shared" si="24"/>
        <v>2.4286595315634623</v>
      </c>
    </row>
    <row r="245" spans="1:14" x14ac:dyDescent="0.2">
      <c r="A245" s="33">
        <f>'GF + UG Iteration 14'!A245</f>
        <v>307</v>
      </c>
      <c r="B245" s="34" t="str">
        <f>'GF + UG Iteration 14'!B245</f>
        <v>UG</v>
      </c>
      <c r="C245" s="35">
        <f>'GF + UG Iteration 14'!C245</f>
        <v>9.07</v>
      </c>
      <c r="D245" s="36">
        <f>'GF + UG Iteration 14'!P$16*(C245^'GF + UG Iteration 14'!P$15)</f>
        <v>9.0279736375076425</v>
      </c>
      <c r="E245" s="37">
        <f>'GF + UG Iteration 14'!E245</f>
        <v>1985</v>
      </c>
      <c r="F245" s="35">
        <f>'GF + UG Iteration 14'!F245</f>
        <v>1.0019999999999989</v>
      </c>
      <c r="G245" s="36">
        <f>'GF + UG Iteration 14'!G245</f>
        <v>2.5230801807757093</v>
      </c>
      <c r="H245" s="38">
        <f>'GF + UG Iteration 14'!H245</f>
        <v>2003</v>
      </c>
      <c r="I245" s="35">
        <f t="shared" si="20"/>
        <v>10.071999999999999</v>
      </c>
      <c r="J245" s="36">
        <f t="shared" si="21"/>
        <v>11.551053818283352</v>
      </c>
      <c r="K245" s="38">
        <f t="shared" si="22"/>
        <v>2003</v>
      </c>
      <c r="M245" s="21">
        <f t="shared" si="23"/>
        <v>2.3097592967420462</v>
      </c>
      <c r="N245" s="21">
        <f t="shared" si="24"/>
        <v>2.4467766724839284</v>
      </c>
    </row>
    <row r="246" spans="1:14" x14ac:dyDescent="0.2">
      <c r="A246" s="33">
        <f>'GF + UG Iteration 14'!A246</f>
        <v>1466</v>
      </c>
      <c r="B246" s="34" t="str">
        <f>'GF + UG Iteration 14'!B246</f>
        <v>UG</v>
      </c>
      <c r="C246" s="35">
        <f>'GF + UG Iteration 14'!C246</f>
        <v>10.07</v>
      </c>
      <c r="D246" s="36">
        <f>'GF + UG Iteration 14'!P$16*(C246^'GF + UG Iteration 14'!P$15)</f>
        <v>9.5851541134262099</v>
      </c>
      <c r="E246" s="37">
        <f>'GF + UG Iteration 14'!E246</f>
        <v>1985</v>
      </c>
      <c r="F246" s="35">
        <f>'GF + UG Iteration 14'!F246</f>
        <v>4.93</v>
      </c>
      <c r="G246" s="36">
        <f>'GF + UG Iteration 14'!G246</f>
        <v>4.634839878669343</v>
      </c>
      <c r="H246" s="38">
        <f>'GF + UG Iteration 14'!H246</f>
        <v>2015</v>
      </c>
      <c r="I246" s="35">
        <f t="shared" si="20"/>
        <v>15</v>
      </c>
      <c r="J246" s="36">
        <f t="shared" si="21"/>
        <v>14.219993992095553</v>
      </c>
      <c r="K246" s="38">
        <f t="shared" si="22"/>
        <v>2015</v>
      </c>
      <c r="M246" s="21">
        <f t="shared" si="23"/>
        <v>2.7080502011022101</v>
      </c>
      <c r="N246" s="21">
        <f t="shared" si="24"/>
        <v>2.6546490018782092</v>
      </c>
    </row>
    <row r="247" spans="1:14" x14ac:dyDescent="0.2">
      <c r="A247" s="33">
        <f>'GF + UG Iteration 14'!A247</f>
        <v>1091</v>
      </c>
      <c r="B247" s="34" t="str">
        <f>'GF + UG Iteration 14'!B247</f>
        <v>UG</v>
      </c>
      <c r="C247" s="35">
        <f>'GF + UG Iteration 14'!C247</f>
        <v>16.059999999999999</v>
      </c>
      <c r="D247" s="36">
        <f>'GF + UG Iteration 14'!P$16*(C247^'GF + UG Iteration 14'!P$15)</f>
        <v>12.522027664092294</v>
      </c>
      <c r="E247" s="37">
        <f>'GF + UG Iteration 14'!E247</f>
        <v>1982</v>
      </c>
      <c r="F247" s="35">
        <f>'GF + UG Iteration 14'!F247</f>
        <v>24.34</v>
      </c>
      <c r="G247" s="36">
        <f>'GF + UG Iteration 14'!G247</f>
        <v>7.6638380518522098</v>
      </c>
      <c r="H247" s="38">
        <f>'GF + UG Iteration 14'!H247</f>
        <v>2011</v>
      </c>
      <c r="I247" s="35">
        <f t="shared" ref="I247:I292" si="30">C247+F247</f>
        <v>40.4</v>
      </c>
      <c r="J247" s="36">
        <f t="shared" ref="J247:J292" si="31">D247+G247</f>
        <v>20.185865715944502</v>
      </c>
      <c r="K247" s="38">
        <f t="shared" ref="K247:K292" si="32">MAX(E247,H247)</f>
        <v>2011</v>
      </c>
      <c r="M247" s="21">
        <f t="shared" si="23"/>
        <v>3.6988297849671046</v>
      </c>
      <c r="N247" s="21">
        <f t="shared" si="24"/>
        <v>3.0049826424584913</v>
      </c>
    </row>
    <row r="248" spans="1:14" x14ac:dyDescent="0.2">
      <c r="A248" s="33">
        <f>'GF + UG Iteration 14'!A248</f>
        <v>666</v>
      </c>
      <c r="B248" s="34" t="str">
        <f>'GF + UG Iteration 14'!B248</f>
        <v>UG</v>
      </c>
      <c r="C248" s="35">
        <f>'GF + UG Iteration 14'!C248</f>
        <v>25.92</v>
      </c>
      <c r="D248" s="36">
        <f>'GF + UG Iteration 14'!P$16*(C248^'GF + UG Iteration 14'!P$15)</f>
        <v>16.470717074116504</v>
      </c>
      <c r="E248" s="37">
        <f>'GF + UG Iteration 14'!E248</f>
        <v>1987</v>
      </c>
      <c r="F248" s="35">
        <f>'GF + UG Iteration 14'!F248</f>
        <v>14.079999999999998</v>
      </c>
      <c r="G248" s="36">
        <f>'GF + UG Iteration 14'!G248</f>
        <v>3.6887760601263184</v>
      </c>
      <c r="H248" s="38">
        <f>'GF + UG Iteration 14'!H248</f>
        <v>2008</v>
      </c>
      <c r="I248" s="35">
        <f t="shared" si="30"/>
        <v>40</v>
      </c>
      <c r="J248" s="36">
        <f t="shared" si="31"/>
        <v>20.159493134242823</v>
      </c>
      <c r="K248" s="38">
        <f t="shared" si="32"/>
        <v>2008</v>
      </c>
      <c r="M248" s="21">
        <f t="shared" ref="M248:M292" si="33">LN(I248)</f>
        <v>3.6888794541139363</v>
      </c>
      <c r="N248" s="21">
        <f t="shared" ref="N248:N292" si="34">LN(J248)</f>
        <v>3.003675300736445</v>
      </c>
    </row>
    <row r="249" spans="1:14" x14ac:dyDescent="0.2">
      <c r="A249" s="33">
        <f>'GF + UG Iteration 14'!A249</f>
        <v>556</v>
      </c>
      <c r="B249" s="34" t="str">
        <f>'GF + UG Iteration 14'!B249</f>
        <v>UG</v>
      </c>
      <c r="C249" s="35">
        <f>'GF + UG Iteration 14'!C249</f>
        <v>8.6560000000000006</v>
      </c>
      <c r="D249" s="36">
        <f>'GF + UG Iteration 14'!P$16*(C249^'GF + UG Iteration 14'!P$15)</f>
        <v>8.7896619408476973</v>
      </c>
      <c r="E249" s="37">
        <f>'GF + UG Iteration 14'!E249</f>
        <v>1985</v>
      </c>
      <c r="F249" s="35">
        <f>'GF + UG Iteration 14'!F249</f>
        <v>4.3439999999999994</v>
      </c>
      <c r="G249" s="36">
        <f>'GF + UG Iteration 14'!G249</f>
        <v>3.2483692675760008</v>
      </c>
      <c r="H249" s="38">
        <f>'GF + UG Iteration 14'!H249</f>
        <v>2007</v>
      </c>
      <c r="I249" s="35">
        <f t="shared" si="30"/>
        <v>13</v>
      </c>
      <c r="J249" s="36">
        <f t="shared" si="31"/>
        <v>12.038031208423698</v>
      </c>
      <c r="K249" s="38">
        <f t="shared" si="32"/>
        <v>2007</v>
      </c>
      <c r="M249" s="21">
        <f t="shared" si="33"/>
        <v>2.5649493574615367</v>
      </c>
      <c r="N249" s="21">
        <f t="shared" si="34"/>
        <v>2.488070905614634</v>
      </c>
    </row>
    <row r="250" spans="1:14" x14ac:dyDescent="0.2">
      <c r="A250" s="33">
        <f>'GF + UG Iteration 14'!A250</f>
        <v>452</v>
      </c>
      <c r="B250" s="34" t="str">
        <f>'GF + UG Iteration 14'!B250</f>
        <v>UG</v>
      </c>
      <c r="C250" s="35">
        <f>'GF + UG Iteration 14'!C250</f>
        <v>10.781000000000001</v>
      </c>
      <c r="D250" s="36">
        <f>'GF + UG Iteration 14'!P$16*(C250^'GF + UG Iteration 14'!P$15)</f>
        <v>9.9670134469354039</v>
      </c>
      <c r="E250" s="37">
        <f>'GF + UG Iteration 14'!E250</f>
        <v>1986</v>
      </c>
      <c r="F250" s="35">
        <f>'GF + UG Iteration 14'!F250</f>
        <v>3.6189999999999998</v>
      </c>
      <c r="G250" s="36">
        <f>'GF + UG Iteration 14'!G250</f>
        <v>3.4437072461958511</v>
      </c>
      <c r="H250" s="38">
        <f>'GF + UG Iteration 14'!H250</f>
        <v>2005</v>
      </c>
      <c r="I250" s="35">
        <f t="shared" si="30"/>
        <v>14.4</v>
      </c>
      <c r="J250" s="36">
        <f t="shared" si="31"/>
        <v>13.410720693131255</v>
      </c>
      <c r="K250" s="38">
        <f t="shared" si="32"/>
        <v>2005</v>
      </c>
      <c r="M250" s="21">
        <f t="shared" si="33"/>
        <v>2.6672282065819548</v>
      </c>
      <c r="N250" s="21">
        <f t="shared" si="34"/>
        <v>2.5960544388122937</v>
      </c>
    </row>
    <row r="251" spans="1:14" x14ac:dyDescent="0.2">
      <c r="A251" s="33">
        <f>'GF + UG Iteration 14'!A251</f>
        <v>613</v>
      </c>
      <c r="B251" s="34" t="str">
        <f>'GF + UG Iteration 14'!B251</f>
        <v>UG</v>
      </c>
      <c r="C251" s="35">
        <f>'GF + UG Iteration 14'!C251</f>
        <v>6.2</v>
      </c>
      <c r="D251" s="36">
        <f>'GF + UG Iteration 14'!P$16*(C251^'GF + UG Iteration 14'!P$15)</f>
        <v>7.2608515303594761</v>
      </c>
      <c r="E251" s="37">
        <f>'GF + UG Iteration 14'!E251</f>
        <v>1999</v>
      </c>
      <c r="F251" s="35">
        <f>'GF + UG Iteration 14'!F251</f>
        <v>2.2000000000000002</v>
      </c>
      <c r="G251" s="36">
        <f>'GF + UG Iteration 14'!G251</f>
        <v>0.43131820582676678</v>
      </c>
      <c r="H251" s="38">
        <f>'GF + UG Iteration 14'!H251</f>
        <v>2006</v>
      </c>
      <c r="I251" s="35">
        <f t="shared" si="30"/>
        <v>8.4</v>
      </c>
      <c r="J251" s="36">
        <f t="shared" si="31"/>
        <v>7.6921697361862424</v>
      </c>
      <c r="K251" s="38">
        <f t="shared" si="32"/>
        <v>2006</v>
      </c>
      <c r="M251" s="21">
        <f t="shared" si="33"/>
        <v>2.1282317058492679</v>
      </c>
      <c r="N251" s="21">
        <f t="shared" si="34"/>
        <v>2.0402028940699446</v>
      </c>
    </row>
    <row r="252" spans="1:14" x14ac:dyDescent="0.2">
      <c r="A252" s="33">
        <f>'GF + UG Iteration 14'!A252</f>
        <v>778</v>
      </c>
      <c r="B252" s="34" t="str">
        <f>'GF + UG Iteration 14'!B252</f>
        <v>UG</v>
      </c>
      <c r="C252" s="35">
        <f>'GF + UG Iteration 14'!C252</f>
        <v>0.1</v>
      </c>
      <c r="D252" s="36">
        <f>'GF + UG Iteration 14'!P$16*(C252^'GF + UG Iteration 14'!P$15)</f>
        <v>0.68337816031574039</v>
      </c>
      <c r="E252" s="37">
        <f>'GF + UG Iteration 14'!E252</f>
        <v>1988</v>
      </c>
      <c r="F252" s="35">
        <f>'GF + UG Iteration 14'!F252</f>
        <v>1.9</v>
      </c>
      <c r="G252" s="36">
        <f>'GF + UG Iteration 14'!G252</f>
        <v>0.48701021540648831</v>
      </c>
      <c r="H252" s="38">
        <f>'GF + UG Iteration 14'!H252</f>
        <v>2008</v>
      </c>
      <c r="I252" s="35">
        <f t="shared" si="30"/>
        <v>2</v>
      </c>
      <c r="J252" s="36">
        <f t="shared" si="31"/>
        <v>1.1703883757222286</v>
      </c>
      <c r="K252" s="38">
        <f t="shared" si="32"/>
        <v>2008</v>
      </c>
      <c r="M252" s="21">
        <f t="shared" si="33"/>
        <v>0.69314718055994529</v>
      </c>
      <c r="N252" s="21">
        <f t="shared" si="34"/>
        <v>0.15733563878982568</v>
      </c>
    </row>
    <row r="253" spans="1:14" x14ac:dyDescent="0.2">
      <c r="A253" s="33">
        <f>'GF + UG Iteration 14'!A253</f>
        <v>1571</v>
      </c>
      <c r="B253" s="34" t="str">
        <f>'GF + UG Iteration 14'!B253</f>
        <v>UG</v>
      </c>
      <c r="C253" s="35">
        <f>'GF + UG Iteration 14'!C253</f>
        <v>2</v>
      </c>
      <c r="D253" s="36">
        <f>'GF + UG Iteration 14'!P$16*(C253^'GF + UG Iteration 14'!P$15)</f>
        <v>3.7986828292108847</v>
      </c>
      <c r="E253" s="37">
        <f>'GF + UG Iteration 14'!E253</f>
        <v>1988</v>
      </c>
      <c r="F253" s="35">
        <f>'GF + UG Iteration 14'!F253</f>
        <v>11</v>
      </c>
      <c r="G253" s="36">
        <f>'GF + UG Iteration 14'!G253</f>
        <v>1.5920457896917759</v>
      </c>
      <c r="H253" s="38">
        <f>'GF + UG Iteration 14'!H253</f>
        <v>2016</v>
      </c>
      <c r="I253" s="35">
        <f t="shared" si="30"/>
        <v>13</v>
      </c>
      <c r="J253" s="36">
        <f t="shared" si="31"/>
        <v>5.3907286189026609</v>
      </c>
      <c r="K253" s="38">
        <f t="shared" si="32"/>
        <v>2016</v>
      </c>
      <c r="M253" s="21">
        <f t="shared" si="33"/>
        <v>2.5649493574615367</v>
      </c>
      <c r="N253" s="21">
        <f t="shared" si="34"/>
        <v>1.6846805555442517</v>
      </c>
    </row>
    <row r="254" spans="1:14" x14ac:dyDescent="0.2">
      <c r="A254" s="33">
        <f>'GF + UG Iteration 14'!A254</f>
        <v>525</v>
      </c>
      <c r="B254" s="34" t="str">
        <f>'GF + UG Iteration 14'!B254</f>
        <v>UG</v>
      </c>
      <c r="C254" s="35">
        <f>'GF + UG Iteration 14'!C254</f>
        <v>11.55</v>
      </c>
      <c r="D254" s="36">
        <f>'GF + UG Iteration 14'!P$16*(C254^'GF + UG Iteration 14'!P$15)</f>
        <v>10.368095011273569</v>
      </c>
      <c r="E254" s="37">
        <f>'GF + UG Iteration 14'!E254</f>
        <v>1995</v>
      </c>
      <c r="F254" s="35">
        <f>'GF + UG Iteration 14'!F254</f>
        <v>14</v>
      </c>
      <c r="G254" s="36">
        <f>'GF + UG Iteration 14'!G254</f>
        <v>2.107818995325883</v>
      </c>
      <c r="H254" s="38">
        <f>'GF + UG Iteration 14'!H254</f>
        <v>2006</v>
      </c>
      <c r="I254" s="35">
        <f t="shared" si="30"/>
        <v>25.55</v>
      </c>
      <c r="J254" s="36">
        <f t="shared" si="31"/>
        <v>12.475914006599453</v>
      </c>
      <c r="K254" s="38">
        <f t="shared" si="32"/>
        <v>2006</v>
      </c>
      <c r="M254" s="21">
        <f t="shared" si="33"/>
        <v>3.2406373166497136</v>
      </c>
      <c r="N254" s="21">
        <f t="shared" si="34"/>
        <v>2.5237999060157628</v>
      </c>
    </row>
    <row r="255" spans="1:14" x14ac:dyDescent="0.2">
      <c r="A255" s="33">
        <f>'GF + UG Iteration 14'!A255</f>
        <v>1324</v>
      </c>
      <c r="B255" s="34" t="str">
        <f>'GF + UG Iteration 14'!B255</f>
        <v>UG</v>
      </c>
      <c r="C255" s="35">
        <f>'GF + UG Iteration 14'!C255</f>
        <v>15.8</v>
      </c>
      <c r="D255" s="36">
        <f>'GF + UG Iteration 14'!P$16*(C255^'GF + UG Iteration 14'!P$15)</f>
        <v>12.405543569828911</v>
      </c>
      <c r="E255" s="37">
        <f>'GF + UG Iteration 14'!E255</f>
        <v>2012</v>
      </c>
      <c r="F255" s="35">
        <f>'GF + UG Iteration 14'!F255</f>
        <v>12.3</v>
      </c>
      <c r="G255" s="36">
        <f>'GF + UG Iteration 14'!G255</f>
        <v>2.2692987542218521</v>
      </c>
      <c r="H255" s="38">
        <f>'GF + UG Iteration 14'!H255</f>
        <v>2014</v>
      </c>
      <c r="I255" s="35">
        <f t="shared" si="30"/>
        <v>28.1</v>
      </c>
      <c r="J255" s="36">
        <f t="shared" si="31"/>
        <v>14.674842324050763</v>
      </c>
      <c r="K255" s="38">
        <f t="shared" si="32"/>
        <v>2014</v>
      </c>
      <c r="M255" s="21">
        <f t="shared" si="33"/>
        <v>3.3357695763396999</v>
      </c>
      <c r="N255" s="21">
        <f t="shared" si="34"/>
        <v>2.6861346211283803</v>
      </c>
    </row>
    <row r="256" spans="1:14" x14ac:dyDescent="0.2">
      <c r="A256" s="33">
        <f>'GF + UG Iteration 14'!A256</f>
        <v>511</v>
      </c>
      <c r="B256" s="34" t="str">
        <f>'GF + UG Iteration 14'!B256</f>
        <v>UG</v>
      </c>
      <c r="C256" s="35">
        <f>'GF + UG Iteration 14'!C256</f>
        <v>13.95</v>
      </c>
      <c r="D256" s="36">
        <f>'GF + UG Iteration 14'!P$16*(C256^'GF + UG Iteration 14'!P$15)</f>
        <v>11.55175187023266</v>
      </c>
      <c r="E256" s="37">
        <f>'GF + UG Iteration 14'!E256</f>
        <v>2004</v>
      </c>
      <c r="F256" s="35">
        <f>'GF + UG Iteration 14'!F256</f>
        <v>4.0500000000000007</v>
      </c>
      <c r="G256" s="36">
        <f>'GF + UG Iteration 14'!G256</f>
        <v>0.42903557118440139</v>
      </c>
      <c r="H256" s="38">
        <f>'GF + UG Iteration 14'!H256</f>
        <v>2004</v>
      </c>
      <c r="I256" s="35">
        <f t="shared" si="30"/>
        <v>18</v>
      </c>
      <c r="J256" s="36">
        <f t="shared" si="31"/>
        <v>11.980787441417062</v>
      </c>
      <c r="K256" s="38">
        <f t="shared" si="32"/>
        <v>2004</v>
      </c>
      <c r="M256" s="21">
        <f t="shared" si="33"/>
        <v>2.8903717578961645</v>
      </c>
      <c r="N256" s="21">
        <f t="shared" si="34"/>
        <v>2.4833043201947378</v>
      </c>
    </row>
    <row r="257" spans="1:14" x14ac:dyDescent="0.2">
      <c r="A257" s="33">
        <f>'GF + UG Iteration 14'!A257</f>
        <v>1094</v>
      </c>
      <c r="B257" s="34" t="str">
        <f>'GF + UG Iteration 14'!B257</f>
        <v>UG</v>
      </c>
      <c r="C257" s="35">
        <f>'GF + UG Iteration 14'!C257</f>
        <v>18</v>
      </c>
      <c r="D257" s="36">
        <f>'GF + UG Iteration 14'!P$16*(C257^'GF + UG Iteration 14'!P$15)</f>
        <v>13.366997933794726</v>
      </c>
      <c r="E257" s="37">
        <f>'GF + UG Iteration 14'!E257</f>
        <v>2004</v>
      </c>
      <c r="F257" s="35">
        <f>'GF + UG Iteration 14'!F257</f>
        <v>6</v>
      </c>
      <c r="G257" s="36">
        <f>'GF + UG Iteration 14'!G257</f>
        <v>1.0646458657975095</v>
      </c>
      <c r="H257" s="38">
        <f>'GF + UG Iteration 14'!H257</f>
        <v>2011</v>
      </c>
      <c r="I257" s="35">
        <f t="shared" si="30"/>
        <v>24</v>
      </c>
      <c r="J257" s="36">
        <f t="shared" si="31"/>
        <v>14.431643799592235</v>
      </c>
      <c r="K257" s="38">
        <f t="shared" si="32"/>
        <v>2011</v>
      </c>
      <c r="M257" s="21">
        <f t="shared" si="33"/>
        <v>3.1780538303479458</v>
      </c>
      <c r="N257" s="21">
        <f t="shared" si="34"/>
        <v>2.6694232817235672</v>
      </c>
    </row>
    <row r="258" spans="1:14" x14ac:dyDescent="0.2">
      <c r="A258" s="33">
        <f>'GF + UG Iteration 14'!A258</f>
        <v>775</v>
      </c>
      <c r="B258" s="34" t="str">
        <f>'GF + UG Iteration 14'!B258</f>
        <v>UG</v>
      </c>
      <c r="C258" s="35">
        <f>'GF + UG Iteration 14'!C258</f>
        <v>8</v>
      </c>
      <c r="D258" s="36">
        <f>'GF + UG Iteration 14'!P$16*(C258^'GF + UG Iteration 14'!P$15)</f>
        <v>8.4018241124106314</v>
      </c>
      <c r="E258" s="37">
        <f>'GF + UG Iteration 14'!E258</f>
        <v>2002</v>
      </c>
      <c r="F258" s="35">
        <f>'GF + UG Iteration 14'!F258</f>
        <v>7</v>
      </c>
      <c r="G258" s="36">
        <f>'GF + UG Iteration 14'!G258</f>
        <v>1.4058744428987999</v>
      </c>
      <c r="H258" s="38">
        <f>'GF + UG Iteration 14'!H258</f>
        <v>2008</v>
      </c>
      <c r="I258" s="35">
        <f t="shared" si="30"/>
        <v>15</v>
      </c>
      <c r="J258" s="36">
        <f t="shared" si="31"/>
        <v>9.8076985553094307</v>
      </c>
      <c r="K258" s="38">
        <f t="shared" si="32"/>
        <v>2008</v>
      </c>
      <c r="M258" s="21">
        <f t="shared" si="33"/>
        <v>2.7080502011022101</v>
      </c>
      <c r="N258" s="21">
        <f t="shared" si="34"/>
        <v>2.283167644148683</v>
      </c>
    </row>
    <row r="259" spans="1:14" x14ac:dyDescent="0.2">
      <c r="A259" s="33">
        <f>'GF + UG Iteration 14'!A259</f>
        <v>1646</v>
      </c>
      <c r="B259" s="34" t="str">
        <f>'GF + UG Iteration 14'!B259</f>
        <v>UG</v>
      </c>
      <c r="C259" s="35">
        <f>'GF + UG Iteration 14'!C259</f>
        <v>2.88</v>
      </c>
      <c r="D259" s="36">
        <f>'GF + UG Iteration 14'!P$16*(C259^'GF + UG Iteration 14'!P$15)</f>
        <v>4.6807091946991051</v>
      </c>
      <c r="E259" s="37" t="str">
        <f>'GF + UG Iteration 14'!E259</f>
        <v>unknown</v>
      </c>
      <c r="F259" s="35">
        <f>'GF + UG Iteration 14'!F259</f>
        <v>3.5200000000000005</v>
      </c>
      <c r="G259" s="36">
        <f>'GF + UG Iteration 14'!G259</f>
        <v>6.6895680450065891</v>
      </c>
      <c r="H259" s="38">
        <f>'GF + UG Iteration 14'!H259</f>
        <v>2016</v>
      </c>
      <c r="I259" s="35">
        <f t="shared" si="30"/>
        <v>6.4</v>
      </c>
      <c r="J259" s="36">
        <f t="shared" si="31"/>
        <v>11.370277239705693</v>
      </c>
      <c r="K259" s="38">
        <f t="shared" si="32"/>
        <v>2016</v>
      </c>
      <c r="M259" s="21">
        <f t="shared" si="33"/>
        <v>1.8562979903656263</v>
      </c>
      <c r="N259" s="21">
        <f t="shared" si="34"/>
        <v>2.4310026909045486</v>
      </c>
    </row>
    <row r="260" spans="1:14" x14ac:dyDescent="0.2">
      <c r="A260" s="33">
        <f>'GF + UG Iteration 14'!A260</f>
        <v>467</v>
      </c>
      <c r="B260" s="34" t="str">
        <f>'GF + UG Iteration 14'!B260</f>
        <v>UG</v>
      </c>
      <c r="C260" s="35">
        <f>'GF + UG Iteration 14'!C260</f>
        <v>5.7</v>
      </c>
      <c r="D260" s="36">
        <f>'GF + UG Iteration 14'!P$16*(C260^'GF + UG Iteration 14'!P$15)</f>
        <v>6.9195516699188566</v>
      </c>
      <c r="E260" s="37">
        <f>'GF + UG Iteration 14'!E260</f>
        <v>1996</v>
      </c>
      <c r="F260" s="35">
        <f>'GF + UG Iteration 14'!F260</f>
        <v>7.8999999999999995</v>
      </c>
      <c r="G260" s="36">
        <f>'GF + UG Iteration 14'!G260</f>
        <v>3.4855022233326953</v>
      </c>
      <c r="H260" s="38">
        <f>'GF + UG Iteration 14'!H260</f>
        <v>2005</v>
      </c>
      <c r="I260" s="35">
        <f t="shared" si="30"/>
        <v>13.6</v>
      </c>
      <c r="J260" s="36">
        <f t="shared" si="31"/>
        <v>10.405053893251552</v>
      </c>
      <c r="K260" s="38">
        <f t="shared" si="32"/>
        <v>2005</v>
      </c>
      <c r="M260" s="21">
        <f t="shared" si="33"/>
        <v>2.6100697927420065</v>
      </c>
      <c r="N260" s="21">
        <f t="shared" si="34"/>
        <v>2.3422916393854325</v>
      </c>
    </row>
    <row r="261" spans="1:14" x14ac:dyDescent="0.2">
      <c r="A261" s="33">
        <f>'GF + UG Iteration 14'!A261</f>
        <v>437</v>
      </c>
      <c r="B261" s="34" t="str">
        <f>'GF + UG Iteration 14'!B261</f>
        <v>UG</v>
      </c>
      <c r="C261" s="35">
        <f>'GF + UG Iteration 14'!C261</f>
        <v>23</v>
      </c>
      <c r="D261" s="36">
        <f>'GF + UG Iteration 14'!P$16*(C261^'GF + UG Iteration 14'!P$15)</f>
        <v>15.381205705442992</v>
      </c>
      <c r="E261" s="37">
        <f>'GF + UG Iteration 14'!E261</f>
        <v>2001</v>
      </c>
      <c r="F261" s="35">
        <f>'GF + UG Iteration 14'!F261</f>
        <v>17</v>
      </c>
      <c r="G261" s="36">
        <f>'GF + UG Iteration 14'!G261</f>
        <v>3.6313804067567292</v>
      </c>
      <c r="H261" s="38">
        <f>'GF + UG Iteration 14'!H261</f>
        <v>2008</v>
      </c>
      <c r="I261" s="35">
        <f t="shared" si="30"/>
        <v>40</v>
      </c>
      <c r="J261" s="36">
        <f t="shared" si="31"/>
        <v>19.01258611219972</v>
      </c>
      <c r="K261" s="38">
        <f t="shared" si="32"/>
        <v>2008</v>
      </c>
      <c r="M261" s="21">
        <f t="shared" si="33"/>
        <v>3.6888794541139363</v>
      </c>
      <c r="N261" s="21">
        <f t="shared" si="34"/>
        <v>2.9451011868164283</v>
      </c>
    </row>
    <row r="262" spans="1:14" x14ac:dyDescent="0.2">
      <c r="A262" s="33">
        <f>'GF + UG Iteration 14'!A262</f>
        <v>1233</v>
      </c>
      <c r="B262" s="34" t="str">
        <f>'GF + UG Iteration 14'!B262</f>
        <v>UG</v>
      </c>
      <c r="C262" s="35">
        <f>'GF + UG Iteration 14'!C262</f>
        <v>40</v>
      </c>
      <c r="D262" s="36">
        <f>'GF + UG Iteration 14'!P$16*(C262^'GF + UG Iteration 14'!P$15)</f>
        <v>21.115675148697381</v>
      </c>
      <c r="E262" s="37">
        <f>'GF + UG Iteration 14'!E262</f>
        <v>2001</v>
      </c>
      <c r="F262" s="35">
        <f>'GF + UG Iteration 14'!F262</f>
        <v>10</v>
      </c>
      <c r="G262" s="36">
        <f>'GF + UG Iteration 14'!G262</f>
        <v>3.8904117673360803</v>
      </c>
      <c r="H262" s="38">
        <f>'GF + UG Iteration 14'!H262</f>
        <v>2011</v>
      </c>
      <c r="I262" s="35">
        <f t="shared" si="30"/>
        <v>50</v>
      </c>
      <c r="J262" s="36">
        <f t="shared" si="31"/>
        <v>25.00608691603346</v>
      </c>
      <c r="K262" s="38">
        <f t="shared" si="32"/>
        <v>2011</v>
      </c>
      <c r="M262" s="21">
        <f t="shared" si="33"/>
        <v>3.912023005428146</v>
      </c>
      <c r="N262" s="21">
        <f t="shared" si="34"/>
        <v>3.2191192718739119</v>
      </c>
    </row>
    <row r="263" spans="1:14" x14ac:dyDescent="0.2">
      <c r="A263" s="33">
        <f>'GF + UG Iteration 14'!A263</f>
        <v>361</v>
      </c>
      <c r="B263" s="34" t="str">
        <f>'GF + UG Iteration 14'!B263</f>
        <v>UG</v>
      </c>
      <c r="C263" s="35">
        <f>'GF + UG Iteration 14'!C263</f>
        <v>12.22</v>
      </c>
      <c r="D263" s="36">
        <f>'GF + UG Iteration 14'!P$16*(C263^'GF + UG Iteration 14'!P$15)</f>
        <v>10.708324845515236</v>
      </c>
      <c r="E263" s="37">
        <f>'GF + UG Iteration 14'!E263</f>
        <v>1986</v>
      </c>
      <c r="F263" s="35">
        <f>'GF + UG Iteration 14'!F263</f>
        <v>12.999999999999998</v>
      </c>
      <c r="G263" s="36">
        <f>'GF + UG Iteration 14'!G263</f>
        <v>1.1719780512644304</v>
      </c>
      <c r="H263" s="38">
        <f>'GF + UG Iteration 14'!H263</f>
        <v>2002</v>
      </c>
      <c r="I263" s="35">
        <f t="shared" si="30"/>
        <v>25.22</v>
      </c>
      <c r="J263" s="36">
        <f t="shared" si="31"/>
        <v>11.880302896779666</v>
      </c>
      <c r="K263" s="38">
        <f t="shared" si="32"/>
        <v>2002</v>
      </c>
      <c r="M263" s="21">
        <f t="shared" si="33"/>
        <v>3.2276373305367736</v>
      </c>
      <c r="N263" s="21">
        <f t="shared" si="34"/>
        <v>2.474881809971397</v>
      </c>
    </row>
    <row r="264" spans="1:14" x14ac:dyDescent="0.2">
      <c r="A264" s="33">
        <f>'GF + UG Iteration 14'!A264</f>
        <v>645</v>
      </c>
      <c r="B264" s="34" t="str">
        <f>'GF + UG Iteration 14'!B264</f>
        <v>UG</v>
      </c>
      <c r="C264" s="35">
        <f>'GF + UG Iteration 14'!C264</f>
        <v>25.22</v>
      </c>
      <c r="D264" s="36">
        <f>'GF + UG Iteration 14'!P$16*(C264^'GF + UG Iteration 14'!P$15)</f>
        <v>16.214528413384922</v>
      </c>
      <c r="E264" s="37">
        <f>'GF + UG Iteration 14'!E264</f>
        <v>1986</v>
      </c>
      <c r="F264" s="35">
        <f>'GF + UG Iteration 14'!F264</f>
        <v>1</v>
      </c>
      <c r="G264" s="36">
        <f>'GF + UG Iteration 14'!G264</f>
        <v>0.22667756309168191</v>
      </c>
      <c r="H264" s="38">
        <f>'GF + UG Iteration 14'!H264</f>
        <v>2006</v>
      </c>
      <c r="I264" s="35">
        <f t="shared" si="30"/>
        <v>26.22</v>
      </c>
      <c r="J264" s="36">
        <f t="shared" si="31"/>
        <v>16.441205976476603</v>
      </c>
      <c r="K264" s="38">
        <f t="shared" si="32"/>
        <v>2006</v>
      </c>
      <c r="M264" s="21">
        <f t="shared" si="33"/>
        <v>3.2665224783355535</v>
      </c>
      <c r="N264" s="21">
        <f t="shared" si="34"/>
        <v>2.7997907431709668</v>
      </c>
    </row>
    <row r="265" spans="1:14" x14ac:dyDescent="0.2">
      <c r="A265" s="33">
        <f>'GF + UG Iteration 14'!A265</f>
        <v>720</v>
      </c>
      <c r="B265" s="34" t="str">
        <f>'GF + UG Iteration 14'!B265</f>
        <v>UG</v>
      </c>
      <c r="C265" s="35">
        <f>'GF + UG Iteration 14'!C265</f>
        <v>5.29</v>
      </c>
      <c r="D265" s="36">
        <f>'GF + UG Iteration 14'!P$16*(C265^'GF + UG Iteration 14'!P$15)</f>
        <v>6.6300175531171348</v>
      </c>
      <c r="E265" s="37">
        <f>'GF + UG Iteration 14'!E265</f>
        <v>1974</v>
      </c>
      <c r="F265" s="35">
        <f>'GF + UG Iteration 14'!F265</f>
        <v>3.9099999999999993</v>
      </c>
      <c r="G265" s="36">
        <f>'GF + UG Iteration 14'!G265</f>
        <v>3.214674226156069</v>
      </c>
      <c r="H265" s="38">
        <f>'GF + UG Iteration 14'!H265</f>
        <v>2009</v>
      </c>
      <c r="I265" s="35">
        <f t="shared" si="30"/>
        <v>9.1999999999999993</v>
      </c>
      <c r="J265" s="36">
        <f t="shared" si="31"/>
        <v>9.8446917792732034</v>
      </c>
      <c r="K265" s="38">
        <f t="shared" si="32"/>
        <v>2009</v>
      </c>
      <c r="M265" s="21">
        <f t="shared" si="33"/>
        <v>2.2192034840549946</v>
      </c>
      <c r="N265" s="21">
        <f t="shared" si="34"/>
        <v>2.2869324042646104</v>
      </c>
    </row>
    <row r="266" spans="1:14" x14ac:dyDescent="0.2">
      <c r="A266" s="33">
        <f>'GF + UG Iteration 14'!A266</f>
        <v>1554</v>
      </c>
      <c r="B266" s="34" t="str">
        <f>'GF + UG Iteration 14'!B266</f>
        <v>UG</v>
      </c>
      <c r="C266" s="35">
        <f>'GF + UG Iteration 14'!C266</f>
        <v>18</v>
      </c>
      <c r="D266" s="36">
        <f>'GF + UG Iteration 14'!P$16*(C266^'GF + UG Iteration 14'!P$15)</f>
        <v>13.366997933794726</v>
      </c>
      <c r="E266" s="37">
        <f>'GF + UG Iteration 14'!E266</f>
        <v>2013</v>
      </c>
      <c r="F266" s="35">
        <f>'GF + UG Iteration 14'!F266</f>
        <v>13</v>
      </c>
      <c r="G266" s="36">
        <f>'GF + UG Iteration 14'!G266</f>
        <v>4.0040929633677633</v>
      </c>
      <c r="H266" s="38">
        <f>'GF + UG Iteration 14'!H266</f>
        <v>2015</v>
      </c>
      <c r="I266" s="35">
        <f t="shared" si="30"/>
        <v>31</v>
      </c>
      <c r="J266" s="36">
        <f t="shared" si="31"/>
        <v>17.371090897162489</v>
      </c>
      <c r="K266" s="38">
        <f t="shared" si="32"/>
        <v>2015</v>
      </c>
      <c r="M266" s="21">
        <f t="shared" si="33"/>
        <v>3.4339872044851463</v>
      </c>
      <c r="N266" s="21">
        <f t="shared" si="34"/>
        <v>2.8548073818021114</v>
      </c>
    </row>
    <row r="267" spans="1:14" x14ac:dyDescent="0.2">
      <c r="A267" s="33">
        <f>'GF + UG Iteration 14'!A267</f>
        <v>1570</v>
      </c>
      <c r="B267" s="34" t="str">
        <f>'GF + UG Iteration 14'!B267</f>
        <v>UG</v>
      </c>
      <c r="C267" s="35">
        <f>'GF + UG Iteration 14'!C267</f>
        <v>12</v>
      </c>
      <c r="D267" s="36">
        <f>'GF + UG Iteration 14'!P$16*(C267^'GF + UG Iteration 14'!P$15)</f>
        <v>10.597507515953911</v>
      </c>
      <c r="E267" s="37">
        <f>'GF + UG Iteration 14'!E267</f>
        <v>0</v>
      </c>
      <c r="F267" s="35">
        <f>'GF + UG Iteration 14'!F267</f>
        <v>7</v>
      </c>
      <c r="G267" s="36">
        <f>'GF + UG Iteration 14'!G267</f>
        <v>5.7128729653456798</v>
      </c>
      <c r="H267" s="38">
        <f>'GF + UG Iteration 14'!H267</f>
        <v>2016</v>
      </c>
      <c r="I267" s="35">
        <f t="shared" si="30"/>
        <v>19</v>
      </c>
      <c r="J267" s="36">
        <f t="shared" si="31"/>
        <v>16.310380481299589</v>
      </c>
      <c r="K267" s="38">
        <f t="shared" si="32"/>
        <v>2016</v>
      </c>
      <c r="M267" s="21">
        <f t="shared" si="33"/>
        <v>2.9444389791664403</v>
      </c>
      <c r="N267" s="21">
        <f t="shared" si="34"/>
        <v>2.7918017444601269</v>
      </c>
    </row>
    <row r="268" spans="1:14" x14ac:dyDescent="0.2">
      <c r="A268" s="33">
        <f>'GF + UG Iteration 14'!A268</f>
        <v>1280</v>
      </c>
      <c r="B268" s="34" t="str">
        <f>'GF + UG Iteration 14'!B268</f>
        <v>UG</v>
      </c>
      <c r="C268" s="35">
        <f>'GF + UG Iteration 14'!C268</f>
        <v>10</v>
      </c>
      <c r="D268" s="36">
        <f>'GF + UG Iteration 14'!P$16*(C268^'GF + UG Iteration 14'!P$15)</f>
        <v>9.5469449897276668</v>
      </c>
      <c r="E268" s="37">
        <f>'GF + UG Iteration 14'!E268</f>
        <v>0</v>
      </c>
      <c r="F268" s="35">
        <f>'GF + UG Iteration 14'!F268</f>
        <v>10</v>
      </c>
      <c r="G268" s="36">
        <f>'GF + UG Iteration 14'!G268</f>
        <v>3.9567117678399111</v>
      </c>
      <c r="H268" s="38">
        <f>'GF + UG Iteration 14'!H268</f>
        <v>2013</v>
      </c>
      <c r="I268" s="35">
        <f t="shared" si="30"/>
        <v>20</v>
      </c>
      <c r="J268" s="36">
        <f t="shared" si="31"/>
        <v>13.503656757567578</v>
      </c>
      <c r="K268" s="38">
        <f t="shared" si="32"/>
        <v>2013</v>
      </c>
      <c r="M268" s="21">
        <f t="shared" si="33"/>
        <v>2.9957322735539909</v>
      </c>
      <c r="N268" s="21">
        <f t="shared" si="34"/>
        <v>2.6029605196964081</v>
      </c>
    </row>
    <row r="269" spans="1:14" x14ac:dyDescent="0.2">
      <c r="A269" s="33">
        <f>'GF + UG Iteration 14'!A269</f>
        <v>659</v>
      </c>
      <c r="B269" s="34" t="str">
        <f>'GF + UG Iteration 14'!B269</f>
        <v>UG</v>
      </c>
      <c r="C269" s="35">
        <f>'GF + UG Iteration 14'!C269</f>
        <v>51</v>
      </c>
      <c r="D269" s="36">
        <f>'GF + UG Iteration 14'!P$16*(C269^'GF + UG Iteration 14'!P$15)</f>
        <v>24.267234074687927</v>
      </c>
      <c r="E269" s="37">
        <f>'GF + UG Iteration 14'!E269</f>
        <v>1974</v>
      </c>
      <c r="F269" s="35">
        <f>'GF + UG Iteration 14'!F269</f>
        <v>7</v>
      </c>
      <c r="G269" s="36">
        <f>'GF + UG Iteration 14'!G269</f>
        <v>0.19038861907506671</v>
      </c>
      <c r="H269" s="38">
        <f>'GF + UG Iteration 14'!H269</f>
        <v>2006</v>
      </c>
      <c r="I269" s="35">
        <f t="shared" si="30"/>
        <v>58</v>
      </c>
      <c r="J269" s="36">
        <f t="shared" si="31"/>
        <v>24.457622693762993</v>
      </c>
      <c r="K269" s="38">
        <f t="shared" si="32"/>
        <v>2006</v>
      </c>
      <c r="M269" s="21">
        <f t="shared" si="33"/>
        <v>4.0604430105464191</v>
      </c>
      <c r="N269" s="21">
        <f t="shared" si="34"/>
        <v>3.1969419339478415</v>
      </c>
    </row>
    <row r="270" spans="1:14" x14ac:dyDescent="0.2">
      <c r="A270" s="33">
        <f>'GF + UG Iteration 14'!A270</f>
        <v>1240</v>
      </c>
      <c r="B270" s="34" t="str">
        <f>'GF + UG Iteration 14'!B270</f>
        <v>UG</v>
      </c>
      <c r="C270" s="35">
        <f>'GF + UG Iteration 14'!C270</f>
        <v>9</v>
      </c>
      <c r="D270" s="36">
        <f>'GF + UG Iteration 14'!P$16*(C270^'GF + UG Iteration 14'!P$15)</f>
        <v>8.9880112009478115</v>
      </c>
      <c r="E270" s="37">
        <f>'GF + UG Iteration 14'!E270</f>
        <v>0</v>
      </c>
      <c r="F270" s="35">
        <f>'GF + UG Iteration 14'!F270</f>
        <v>12</v>
      </c>
      <c r="G270" s="36">
        <f>'GF + UG Iteration 14'!G270</f>
        <v>2.4762389627807444</v>
      </c>
      <c r="H270" s="38">
        <f>'GF + UG Iteration 14'!H270</f>
        <v>2013</v>
      </c>
      <c r="I270" s="35">
        <f t="shared" si="30"/>
        <v>21</v>
      </c>
      <c r="J270" s="36">
        <f t="shared" si="31"/>
        <v>11.464250163728556</v>
      </c>
      <c r="K270" s="38">
        <f t="shared" si="32"/>
        <v>2013</v>
      </c>
      <c r="M270" s="21">
        <f t="shared" si="33"/>
        <v>3.044522437723423</v>
      </c>
      <c r="N270" s="21">
        <f t="shared" si="34"/>
        <v>2.4392335119668251</v>
      </c>
    </row>
    <row r="271" spans="1:14" x14ac:dyDescent="0.2">
      <c r="A271" s="33">
        <f>'GF + UG Iteration 14'!A271</f>
        <v>317</v>
      </c>
      <c r="B271" s="34" t="str">
        <f>'GF + UG Iteration 14'!B271</f>
        <v>UG</v>
      </c>
      <c r="C271" s="35">
        <f>'GF + UG Iteration 14'!C271</f>
        <v>26.67</v>
      </c>
      <c r="D271" s="36">
        <f>'GF + UG Iteration 14'!P$16*(C271^'GF + UG Iteration 14'!P$15)</f>
        <v>16.741944856278121</v>
      </c>
      <c r="E271" s="37">
        <f>'GF + UG Iteration 14'!E271</f>
        <v>1978</v>
      </c>
      <c r="F271" s="35">
        <f>'GF + UG Iteration 14'!F271</f>
        <v>8.4600000000000009</v>
      </c>
      <c r="G271" s="36">
        <f>'GF + UG Iteration 14'!G271</f>
        <v>3.7336154837609361</v>
      </c>
      <c r="H271" s="38">
        <f>'GF + UG Iteration 14'!H271</f>
        <v>2002</v>
      </c>
      <c r="I271" s="35">
        <f t="shared" si="30"/>
        <v>35.130000000000003</v>
      </c>
      <c r="J271" s="36">
        <f t="shared" si="31"/>
        <v>20.475560340039056</v>
      </c>
      <c r="K271" s="38">
        <f t="shared" si="32"/>
        <v>2002</v>
      </c>
      <c r="M271" s="21">
        <f t="shared" si="33"/>
        <v>3.5590554662777358</v>
      </c>
      <c r="N271" s="21">
        <f t="shared" si="34"/>
        <v>3.0192319963995371</v>
      </c>
    </row>
    <row r="272" spans="1:14" x14ac:dyDescent="0.2">
      <c r="A272" s="33">
        <f>'GF + UG Iteration 14'!A272</f>
        <v>1510</v>
      </c>
      <c r="B272" s="34" t="str">
        <f>'GF + UG Iteration 14'!B272</f>
        <v>UG</v>
      </c>
      <c r="C272" s="35">
        <f>'GF + UG Iteration 14'!C272</f>
        <v>35.130000000000003</v>
      </c>
      <c r="D272" s="36">
        <f>'GF + UG Iteration 14'!P$16*(C272^'GF + UG Iteration 14'!P$15)</f>
        <v>19.602914054930746</v>
      </c>
      <c r="E272" s="37">
        <f>'GF + UG Iteration 14'!E272</f>
        <v>1978</v>
      </c>
      <c r="F272" s="35">
        <f>'GF + UG Iteration 14'!F272</f>
        <v>0</v>
      </c>
      <c r="G272" s="36">
        <f>'GF + UG Iteration 14'!G272</f>
        <v>1.0378442790997116</v>
      </c>
      <c r="H272" s="38">
        <f>'GF + UG Iteration 14'!H272</f>
        <v>2014</v>
      </c>
      <c r="I272" s="35">
        <f t="shared" si="30"/>
        <v>35.130000000000003</v>
      </c>
      <c r="J272" s="36">
        <f t="shared" si="31"/>
        <v>20.640758334030458</v>
      </c>
      <c r="K272" s="38">
        <f t="shared" si="32"/>
        <v>2014</v>
      </c>
      <c r="M272" s="21">
        <f t="shared" si="33"/>
        <v>3.5590554662777358</v>
      </c>
      <c r="N272" s="21">
        <f t="shared" si="34"/>
        <v>3.0272676809282761</v>
      </c>
    </row>
    <row r="273" spans="1:14" x14ac:dyDescent="0.2">
      <c r="A273" s="33">
        <f>'GF + UG Iteration 14'!A273</f>
        <v>1678</v>
      </c>
      <c r="B273" s="34" t="str">
        <f>'GF + UG Iteration 14'!B273</f>
        <v>UG</v>
      </c>
      <c r="C273" s="35">
        <f>'GF + UG Iteration 14'!C273</f>
        <v>71.19</v>
      </c>
      <c r="D273" s="36">
        <f>'GF + UG Iteration 14'!P$16*(C273^'GF + UG Iteration 14'!P$15)</f>
        <v>29.373855395582101</v>
      </c>
      <c r="E273" s="37">
        <f>'GF + UG Iteration 14'!E273</f>
        <v>0</v>
      </c>
      <c r="F273" s="35">
        <f>'GF + UG Iteration 14'!F273</f>
        <v>3.8100000000000023</v>
      </c>
      <c r="G273" s="36">
        <f>'GF + UG Iteration 14'!G273</f>
        <v>0.1876880715541229</v>
      </c>
      <c r="H273" s="38">
        <f>'GF + UG Iteration 14'!H273</f>
        <v>2015</v>
      </c>
      <c r="I273" s="35">
        <f t="shared" si="30"/>
        <v>75</v>
      </c>
      <c r="J273" s="36">
        <f t="shared" si="31"/>
        <v>29.561543467136225</v>
      </c>
      <c r="K273" s="38">
        <f t="shared" si="32"/>
        <v>2015</v>
      </c>
      <c r="M273" s="21">
        <f t="shared" si="33"/>
        <v>4.3174881135363101</v>
      </c>
      <c r="N273" s="21">
        <f t="shared" si="34"/>
        <v>3.3864743094373004</v>
      </c>
    </row>
    <row r="274" spans="1:14" x14ac:dyDescent="0.2">
      <c r="A274" s="33">
        <f>'GF + UG Iteration 14'!A274</f>
        <v>409</v>
      </c>
      <c r="B274" s="34" t="str">
        <f>'GF + UG Iteration 14'!B274</f>
        <v>UG</v>
      </c>
      <c r="C274" s="35">
        <f>'GF + UG Iteration 14'!C274</f>
        <v>50.9</v>
      </c>
      <c r="D274" s="36">
        <f>'GF + UG Iteration 14'!P$16*(C274^'GF + UG Iteration 14'!P$15)</f>
        <v>24.23997665025934</v>
      </c>
      <c r="E274" s="37" t="str">
        <f>'GF + UG Iteration 14'!E274</f>
        <v>unknown</v>
      </c>
      <c r="F274" s="35">
        <f>'GF + UG Iteration 14'!F274</f>
        <v>0</v>
      </c>
      <c r="G274" s="36">
        <f>'GF + UG Iteration 14'!G274</f>
        <v>6.9500275644125207</v>
      </c>
      <c r="H274" s="38">
        <f>'GF + UG Iteration 14'!H274</f>
        <v>2004</v>
      </c>
      <c r="I274" s="35">
        <f t="shared" si="30"/>
        <v>50.9</v>
      </c>
      <c r="J274" s="36">
        <f t="shared" si="31"/>
        <v>31.190004214671859</v>
      </c>
      <c r="K274" s="38">
        <f t="shared" si="32"/>
        <v>2004</v>
      </c>
      <c r="M274" s="21">
        <f t="shared" si="33"/>
        <v>3.929862923556477</v>
      </c>
      <c r="N274" s="21">
        <f t="shared" si="34"/>
        <v>3.4400976657486497</v>
      </c>
    </row>
    <row r="275" spans="1:14" x14ac:dyDescent="0.2">
      <c r="A275" s="33">
        <f>'GF + UG Iteration 14'!A275</f>
        <v>620</v>
      </c>
      <c r="B275" s="34" t="str">
        <f>'GF + UG Iteration 14'!B275</f>
        <v>UG</v>
      </c>
      <c r="C275" s="35">
        <f>'GF + UG Iteration 14'!C275</f>
        <v>66.040000000000006</v>
      </c>
      <c r="D275" s="36">
        <f>'GF + UG Iteration 14'!P$16*(C275^'GF + UG Iteration 14'!P$15)</f>
        <v>28.137616630798714</v>
      </c>
      <c r="E275" s="37" t="str">
        <f>'GF + UG Iteration 14'!E275</f>
        <v>unknown</v>
      </c>
      <c r="F275" s="35">
        <f>'GF + UG Iteration 14'!F275</f>
        <v>1</v>
      </c>
      <c r="G275" s="36">
        <f>'GF + UG Iteration 14'!G275</f>
        <v>5.2327101351069411E-2</v>
      </c>
      <c r="H275" s="38">
        <f>'GF + UG Iteration 14'!H275</f>
        <v>2006</v>
      </c>
      <c r="I275" s="35">
        <f t="shared" si="30"/>
        <v>67.040000000000006</v>
      </c>
      <c r="J275" s="36">
        <f t="shared" si="31"/>
        <v>28.189943732149782</v>
      </c>
      <c r="K275" s="38">
        <f t="shared" si="32"/>
        <v>2006</v>
      </c>
      <c r="M275" s="21">
        <f t="shared" si="33"/>
        <v>4.2052894561738281</v>
      </c>
      <c r="N275" s="21">
        <f t="shared" si="34"/>
        <v>3.3389653091023823</v>
      </c>
    </row>
    <row r="276" spans="1:14" x14ac:dyDescent="0.2">
      <c r="A276" s="33">
        <f>'GF + UG Iteration 14'!A276</f>
        <v>1085</v>
      </c>
      <c r="B276" s="34" t="str">
        <f>'GF + UG Iteration 14'!B276</f>
        <v>UG</v>
      </c>
      <c r="C276" s="35">
        <f>'GF + UG Iteration 14'!C276</f>
        <v>67.040000000000006</v>
      </c>
      <c r="D276" s="36">
        <f>'GF + UG Iteration 14'!P$16*(C276^'GF + UG Iteration 14'!P$15)</f>
        <v>28.380800799626158</v>
      </c>
      <c r="E276" s="37" t="str">
        <f>'GF + UG Iteration 14'!E276</f>
        <v>unknown</v>
      </c>
      <c r="F276" s="35">
        <f>'GF + UG Iteration 14'!F276</f>
        <v>2</v>
      </c>
      <c r="G276" s="36">
        <f>'GF + UG Iteration 14'!G276</f>
        <v>7.9312358901564406E-2</v>
      </c>
      <c r="H276" s="38">
        <f>'GF + UG Iteration 14'!H276</f>
        <v>2010</v>
      </c>
      <c r="I276" s="35">
        <f t="shared" si="30"/>
        <v>69.040000000000006</v>
      </c>
      <c r="J276" s="36">
        <f t="shared" si="31"/>
        <v>28.460113158527722</v>
      </c>
      <c r="K276" s="38">
        <f t="shared" si="32"/>
        <v>2010</v>
      </c>
      <c r="M276" s="21">
        <f t="shared" si="33"/>
        <v>4.234686046775173</v>
      </c>
      <c r="N276" s="21">
        <f t="shared" si="34"/>
        <v>3.3485035687088871</v>
      </c>
    </row>
    <row r="277" spans="1:14" x14ac:dyDescent="0.2">
      <c r="A277" s="33">
        <f>'GF + UG Iteration 14'!A277</f>
        <v>589</v>
      </c>
      <c r="B277" s="34" t="str">
        <f>'GF + UG Iteration 14'!B277</f>
        <v>UG</v>
      </c>
      <c r="C277" s="35">
        <f>'GF + UG Iteration 14'!C277</f>
        <v>36.963000000000001</v>
      </c>
      <c r="D277" s="36">
        <f>'GF + UG Iteration 14'!P$16*(C277^'GF + UG Iteration 14'!P$15)</f>
        <v>20.182216922680837</v>
      </c>
      <c r="E277" s="37">
        <f>'GF + UG Iteration 14'!E277</f>
        <v>1974</v>
      </c>
      <c r="F277" s="35">
        <f>'GF + UG Iteration 14'!F277</f>
        <v>0</v>
      </c>
      <c r="G277" s="36">
        <f>'GF + UG Iteration 14'!G277</f>
        <v>3.2007376892660457E-2</v>
      </c>
      <c r="H277" s="38">
        <f>'GF + UG Iteration 14'!H277</f>
        <v>2005</v>
      </c>
      <c r="I277" s="35">
        <f t="shared" si="30"/>
        <v>36.963000000000001</v>
      </c>
      <c r="J277" s="36">
        <f t="shared" si="31"/>
        <v>20.214224299573498</v>
      </c>
      <c r="K277" s="38">
        <f t="shared" si="32"/>
        <v>2005</v>
      </c>
      <c r="M277" s="21">
        <f t="shared" si="33"/>
        <v>3.609917412310641</v>
      </c>
      <c r="N277" s="21">
        <f t="shared" si="34"/>
        <v>3.0063865298397205</v>
      </c>
    </row>
    <row r="278" spans="1:14" x14ac:dyDescent="0.2">
      <c r="A278" s="33">
        <f>'GF + UG Iteration 14'!A278</f>
        <v>836</v>
      </c>
      <c r="B278" s="34" t="str">
        <f>'GF + UG Iteration 14'!B278</f>
        <v>UG</v>
      </c>
      <c r="C278" s="35">
        <f>'GF + UG Iteration 14'!C278</f>
        <v>33.963000000000001</v>
      </c>
      <c r="D278" s="36">
        <f>'GF + UG Iteration 14'!P$16*(C278^'GF + UG Iteration 14'!P$15)</f>
        <v>19.227347005897229</v>
      </c>
      <c r="E278" s="37">
        <f>'GF + UG Iteration 14'!E278</f>
        <v>1974</v>
      </c>
      <c r="F278" s="35">
        <f>'GF + UG Iteration 14'!F278</f>
        <v>10.036999999999999</v>
      </c>
      <c r="G278" s="36">
        <f>'GF + UG Iteration 14'!G278</f>
        <v>0.20824846319974696</v>
      </c>
      <c r="H278" s="38">
        <f>'GF + UG Iteration 14'!H278</f>
        <v>2008</v>
      </c>
      <c r="I278" s="35">
        <f t="shared" si="30"/>
        <v>44</v>
      </c>
      <c r="J278" s="36">
        <f t="shared" si="31"/>
        <v>19.435595469096977</v>
      </c>
      <c r="K278" s="38">
        <f t="shared" si="32"/>
        <v>2008</v>
      </c>
      <c r="M278" s="21">
        <f t="shared" si="33"/>
        <v>3.784189633918261</v>
      </c>
      <c r="N278" s="21">
        <f t="shared" si="34"/>
        <v>2.9671062028416122</v>
      </c>
    </row>
    <row r="279" spans="1:14" x14ac:dyDescent="0.2">
      <c r="A279" s="33">
        <f>'GF + UG Iteration 14'!A279</f>
        <v>1417</v>
      </c>
      <c r="B279" s="34" t="str">
        <f>'GF + UG Iteration 14'!B279</f>
        <v>UG</v>
      </c>
      <c r="C279" s="35">
        <f>'GF + UG Iteration 14'!C279</f>
        <v>53.176000000000002</v>
      </c>
      <c r="D279" s="36">
        <f>'GF + UG Iteration 14'!P$16*(C279^'GF + UG Iteration 14'!P$15)</f>
        <v>24.854808238152366</v>
      </c>
      <c r="E279" s="37">
        <f>'GF + UG Iteration 14'!E279</f>
        <v>0</v>
      </c>
      <c r="F279" s="35">
        <f>'GF + UG Iteration 14'!F279</f>
        <v>2.8239999999999981</v>
      </c>
      <c r="G279" s="36">
        <f>'GF + UG Iteration 14'!G279</f>
        <v>0.36631755287404399</v>
      </c>
      <c r="H279" s="38">
        <f>'GF + UG Iteration 14'!H279</f>
        <v>2013</v>
      </c>
      <c r="I279" s="35">
        <f t="shared" si="30"/>
        <v>56</v>
      </c>
      <c r="J279" s="36">
        <f t="shared" si="31"/>
        <v>25.22112579102641</v>
      </c>
      <c r="K279" s="38">
        <f t="shared" si="32"/>
        <v>2013</v>
      </c>
      <c r="M279" s="21">
        <f t="shared" si="33"/>
        <v>4.0253516907351496</v>
      </c>
      <c r="N279" s="21">
        <f t="shared" si="34"/>
        <v>3.2276819683599363</v>
      </c>
    </row>
    <row r="280" spans="1:14" x14ac:dyDescent="0.2">
      <c r="A280" s="33">
        <f>'GF + UG Iteration 14'!A280</f>
        <v>1575</v>
      </c>
      <c r="B280" s="34" t="str">
        <f>'GF + UG Iteration 14'!B280</f>
        <v>UG</v>
      </c>
      <c r="C280" s="35">
        <f>'GF + UG Iteration 14'!C280</f>
        <v>107.8</v>
      </c>
      <c r="D280" s="36">
        <f>'GF + UG Iteration 14'!P$16*(C280^'GF + UG Iteration 14'!P$15)</f>
        <v>37.251489203192968</v>
      </c>
      <c r="E280" s="37">
        <f>'GF + UG Iteration 14'!E280</f>
        <v>0</v>
      </c>
      <c r="F280" s="35">
        <f>'GF + UG Iteration 14'!F280</f>
        <v>2.2000000000000028</v>
      </c>
      <c r="G280" s="36">
        <f>'GF + UG Iteration 14'!G280</f>
        <v>8.4606138058298655E-2</v>
      </c>
      <c r="H280" s="38">
        <f>'GF + UG Iteration 14'!H280</f>
        <v>2014</v>
      </c>
      <c r="I280" s="35">
        <f t="shared" si="30"/>
        <v>110</v>
      </c>
      <c r="J280" s="36">
        <f t="shared" si="31"/>
        <v>37.336095341251266</v>
      </c>
      <c r="K280" s="38">
        <f t="shared" si="32"/>
        <v>2014</v>
      </c>
      <c r="M280" s="21">
        <f t="shared" si="33"/>
        <v>4.7004803657924166</v>
      </c>
      <c r="N280" s="21">
        <f t="shared" si="34"/>
        <v>3.6199605622453701</v>
      </c>
    </row>
    <row r="281" spans="1:14" x14ac:dyDescent="0.2">
      <c r="A281" s="33">
        <f>'GF + UG Iteration 14'!A281</f>
        <v>1480</v>
      </c>
      <c r="B281" s="34" t="str">
        <f>'GF + UG Iteration 14'!B281</f>
        <v>UG</v>
      </c>
      <c r="C281" s="35">
        <f>'GF + UG Iteration 14'!C281</f>
        <v>92</v>
      </c>
      <c r="D281" s="36">
        <f>'GF + UG Iteration 14'!P$16*(C281^'GF + UG Iteration 14'!P$15)</f>
        <v>34.01973546730261</v>
      </c>
      <c r="E281" s="37">
        <f>'GF + UG Iteration 14'!E281</f>
        <v>0</v>
      </c>
      <c r="F281" s="35">
        <f>'GF + UG Iteration 14'!F281</f>
        <v>9</v>
      </c>
      <c r="G281" s="36">
        <f>'GF + UG Iteration 14'!G281</f>
        <v>1.4186292000498641</v>
      </c>
      <c r="H281" s="38">
        <f>'GF + UG Iteration 14'!H281</f>
        <v>2015</v>
      </c>
      <c r="I281" s="35">
        <f t="shared" si="30"/>
        <v>101</v>
      </c>
      <c r="J281" s="36">
        <f t="shared" si="31"/>
        <v>35.438364667352474</v>
      </c>
      <c r="K281" s="38">
        <f t="shared" si="32"/>
        <v>2015</v>
      </c>
      <c r="M281" s="21">
        <f t="shared" si="33"/>
        <v>4.6151205168412597</v>
      </c>
      <c r="N281" s="21">
        <f t="shared" si="34"/>
        <v>3.5677949809744978</v>
      </c>
    </row>
    <row r="282" spans="1:14" x14ac:dyDescent="0.2">
      <c r="A282" s="33">
        <f>'GF + UG Iteration 14'!A282</f>
        <v>1644</v>
      </c>
      <c r="B282" s="34" t="str">
        <f>'GF + UG Iteration 14'!B282</f>
        <v>UG</v>
      </c>
      <c r="C282" s="35">
        <f>'GF + UG Iteration 14'!C282</f>
        <v>25</v>
      </c>
      <c r="D282" s="36">
        <f>'GF + UG Iteration 14'!P$16*(C282^'GF + UG Iteration 14'!P$15)</f>
        <v>16.133386221955753</v>
      </c>
      <c r="E282" s="37">
        <f>'GF + UG Iteration 14'!E282</f>
        <v>0</v>
      </c>
      <c r="F282" s="35">
        <f>'GF + UG Iteration 14'!F282</f>
        <v>14</v>
      </c>
      <c r="G282" s="36">
        <f>'GF + UG Iteration 14'!G282</f>
        <v>6.4881768587089867</v>
      </c>
      <c r="H282" s="38">
        <f>'GF + UG Iteration 14'!H282</f>
        <v>2016</v>
      </c>
      <c r="I282" s="35">
        <f t="shared" si="30"/>
        <v>39</v>
      </c>
      <c r="J282" s="36">
        <f t="shared" si="31"/>
        <v>22.621563080664739</v>
      </c>
      <c r="K282" s="38">
        <f t="shared" si="32"/>
        <v>2016</v>
      </c>
      <c r="M282" s="21">
        <f t="shared" si="33"/>
        <v>3.6635616461296463</v>
      </c>
      <c r="N282" s="21">
        <f t="shared" si="34"/>
        <v>3.1189035700098779</v>
      </c>
    </row>
    <row r="283" spans="1:14" x14ac:dyDescent="0.2">
      <c r="A283" s="33">
        <f>'GF + UG Iteration 14'!A283</f>
        <v>1276</v>
      </c>
      <c r="B283" s="34" t="str">
        <f>'GF + UG Iteration 14'!B283</f>
        <v>UG</v>
      </c>
      <c r="C283" s="35">
        <f>'GF + UG Iteration 14'!C283</f>
        <v>34</v>
      </c>
      <c r="D283" s="36">
        <f>'GF + UG Iteration 14'!P$16*(C283^'GF + UG Iteration 14'!P$15)</f>
        <v>19.239338314531341</v>
      </c>
      <c r="E283" s="37" t="str">
        <f>'GF + UG Iteration 14'!E283</f>
        <v>unknown</v>
      </c>
      <c r="F283" s="35">
        <f>'GF + UG Iteration 14'!F283</f>
        <v>4</v>
      </c>
      <c r="G283" s="36">
        <f>'GF + UG Iteration 14'!G283</f>
        <v>0.69755192087391271</v>
      </c>
      <c r="H283" s="38">
        <f>'GF + UG Iteration 14'!H283</f>
        <v>2012</v>
      </c>
      <c r="I283" s="35">
        <f t="shared" si="30"/>
        <v>38</v>
      </c>
      <c r="J283" s="36">
        <f t="shared" si="31"/>
        <v>19.936890235405254</v>
      </c>
      <c r="K283" s="38">
        <f t="shared" si="32"/>
        <v>2012</v>
      </c>
      <c r="M283" s="21">
        <f t="shared" si="33"/>
        <v>3.6375861597263857</v>
      </c>
      <c r="N283" s="21">
        <f t="shared" si="34"/>
        <v>2.9925717962732441</v>
      </c>
    </row>
    <row r="284" spans="1:14" x14ac:dyDescent="0.2">
      <c r="A284" s="33">
        <f>'GF + UG Iteration 14'!A284</f>
        <v>823</v>
      </c>
      <c r="B284" s="34" t="str">
        <f>'GF + UG Iteration 14'!B284</f>
        <v>UG</v>
      </c>
      <c r="C284" s="35">
        <f>'GF + UG Iteration 14'!C284</f>
        <v>10</v>
      </c>
      <c r="D284" s="36">
        <f>'GF + UG Iteration 14'!P$16*(C284^'GF + UG Iteration 14'!P$15)</f>
        <v>9.5469449897276668</v>
      </c>
      <c r="E284" s="37" t="str">
        <f>'GF + UG Iteration 14'!E284</f>
        <v>unknown</v>
      </c>
      <c r="F284" s="35">
        <f>'GF + UG Iteration 14'!F284</f>
        <v>25</v>
      </c>
      <c r="G284" s="36">
        <f>'GF + UG Iteration 14'!G284</f>
        <v>8.3156614233786232</v>
      </c>
      <c r="H284" s="38">
        <f>'GF + UG Iteration 14'!H284</f>
        <v>2009</v>
      </c>
      <c r="I284" s="35">
        <f t="shared" si="30"/>
        <v>35</v>
      </c>
      <c r="J284" s="36">
        <f t="shared" si="31"/>
        <v>17.862606413106292</v>
      </c>
      <c r="K284" s="38">
        <f t="shared" si="32"/>
        <v>2009</v>
      </c>
      <c r="M284" s="21">
        <f t="shared" si="33"/>
        <v>3.5553480614894135</v>
      </c>
      <c r="N284" s="21">
        <f t="shared" si="34"/>
        <v>2.8827095005849892</v>
      </c>
    </row>
    <row r="285" spans="1:14" x14ac:dyDescent="0.2">
      <c r="A285" s="33">
        <f>'GF + UG Iteration 14'!A285</f>
        <v>1601</v>
      </c>
      <c r="B285" s="34" t="str">
        <f>'GF + UG Iteration 14'!B285</f>
        <v>UG</v>
      </c>
      <c r="C285" s="35">
        <f>'GF + UG Iteration 14'!C285</f>
        <v>77</v>
      </c>
      <c r="D285" s="36">
        <f>'GF + UG Iteration 14'!P$16*(C285^'GF + UG Iteration 14'!P$15)</f>
        <v>30.723485452782093</v>
      </c>
      <c r="E285" s="37">
        <f>'GF + UG Iteration 14'!E285</f>
        <v>0</v>
      </c>
      <c r="F285" s="35">
        <f>'GF + UG Iteration 14'!F285</f>
        <v>0</v>
      </c>
      <c r="G285" s="36">
        <f>'GF + UG Iteration 14'!G285</f>
        <v>4.0094648670350015</v>
      </c>
      <c r="H285" s="38">
        <f>'GF + UG Iteration 14'!H285</f>
        <v>2015</v>
      </c>
      <c r="I285" s="35">
        <f t="shared" si="30"/>
        <v>77</v>
      </c>
      <c r="J285" s="36">
        <f t="shared" si="31"/>
        <v>34.732950319817093</v>
      </c>
      <c r="K285" s="38">
        <f t="shared" si="32"/>
        <v>2015</v>
      </c>
      <c r="M285" s="21">
        <f t="shared" si="33"/>
        <v>4.3438054218536841</v>
      </c>
      <c r="N285" s="21">
        <f t="shared" si="34"/>
        <v>3.5476888133298119</v>
      </c>
    </row>
    <row r="286" spans="1:14" x14ac:dyDescent="0.2">
      <c r="A286" s="33">
        <f>'GF + UG Iteration 14'!A286</f>
        <v>1046</v>
      </c>
      <c r="B286" s="34" t="str">
        <f>'GF + UG Iteration 14'!B286</f>
        <v>UG</v>
      </c>
      <c r="C286" s="35">
        <f>'GF + UG Iteration 14'!C286</f>
        <v>33</v>
      </c>
      <c r="D286" s="36">
        <f>'GF + UG Iteration 14'!P$16*(C286^'GF + UG Iteration 14'!P$15)</f>
        <v>18.913258748177384</v>
      </c>
      <c r="E286" s="37" t="str">
        <f>'GF + UG Iteration 14'!E286</f>
        <v>unknown</v>
      </c>
      <c r="F286" s="35">
        <f>'GF + UG Iteration 14'!F286</f>
        <v>17</v>
      </c>
      <c r="G286" s="36">
        <f>'GF + UG Iteration 14'!G286</f>
        <v>13.838101419471103</v>
      </c>
      <c r="H286" s="38">
        <f>'GF + UG Iteration 14'!H286</f>
        <v>2011</v>
      </c>
      <c r="I286" s="35">
        <f t="shared" si="30"/>
        <v>50</v>
      </c>
      <c r="J286" s="36">
        <f t="shared" si="31"/>
        <v>32.751360167648485</v>
      </c>
      <c r="K286" s="38">
        <f t="shared" si="32"/>
        <v>2011</v>
      </c>
      <c r="M286" s="21">
        <f t="shared" si="33"/>
        <v>3.912023005428146</v>
      </c>
      <c r="N286" s="21">
        <f t="shared" si="34"/>
        <v>3.488944493055433</v>
      </c>
    </row>
    <row r="287" spans="1:14" x14ac:dyDescent="0.2">
      <c r="A287" s="33">
        <f>'GF + UG Iteration 14'!A287</f>
        <v>873</v>
      </c>
      <c r="B287" s="34" t="str">
        <f>'GF + UG Iteration 14'!B287</f>
        <v>UG</v>
      </c>
      <c r="C287" s="35">
        <f>'GF + UG Iteration 14'!C287</f>
        <v>38</v>
      </c>
      <c r="D287" s="36">
        <f>'GF + UG Iteration 14'!P$16*(C287^'GF + UG Iteration 14'!P$15)</f>
        <v>20.504513590912019</v>
      </c>
      <c r="E287" s="37" t="str">
        <f>'GF + UG Iteration 14'!E287</f>
        <v>unknown</v>
      </c>
      <c r="F287" s="35">
        <f>'GF + UG Iteration 14'!F287</f>
        <v>10</v>
      </c>
      <c r="G287" s="36">
        <f>'GF + UG Iteration 14'!G287</f>
        <v>10.835025062169574</v>
      </c>
      <c r="H287" s="38">
        <f>'GF + UG Iteration 14'!H287</f>
        <v>2011</v>
      </c>
      <c r="I287" s="35">
        <f t="shared" si="30"/>
        <v>48</v>
      </c>
      <c r="J287" s="36">
        <f t="shared" si="31"/>
        <v>31.339538653081593</v>
      </c>
      <c r="K287" s="38">
        <f t="shared" si="32"/>
        <v>2011</v>
      </c>
      <c r="M287" s="21">
        <f t="shared" si="33"/>
        <v>3.8712010109078911</v>
      </c>
      <c r="N287" s="21">
        <f t="shared" si="34"/>
        <v>3.4448805161137677</v>
      </c>
    </row>
    <row r="288" spans="1:14" x14ac:dyDescent="0.2">
      <c r="A288" s="33">
        <f>'GF + UG Iteration 14'!A288</f>
        <v>630</v>
      </c>
      <c r="B288" s="34" t="str">
        <f>'GF + UG Iteration 14'!B288</f>
        <v>UG</v>
      </c>
      <c r="C288" s="35">
        <f>'GF + UG Iteration 14'!C288</f>
        <v>36.4</v>
      </c>
      <c r="D288" s="36">
        <f>'GF + UG Iteration 14'!P$16*(C288^'GF + UG Iteration 14'!P$15)</f>
        <v>20.005619535542497</v>
      </c>
      <c r="E288" s="37" t="str">
        <f>'GF + UG Iteration 14'!E288</f>
        <v>unknown</v>
      </c>
      <c r="F288" s="35">
        <f>'GF + UG Iteration 14'!F288</f>
        <v>3.6000000000000014</v>
      </c>
      <c r="G288" s="36">
        <f>'GF + UG Iteration 14'!G288</f>
        <v>0.76181860016629799</v>
      </c>
      <c r="H288" s="38">
        <f>'GF + UG Iteration 14'!H288</f>
        <v>2007</v>
      </c>
      <c r="I288" s="35">
        <f t="shared" si="30"/>
        <v>40</v>
      </c>
      <c r="J288" s="36">
        <f t="shared" si="31"/>
        <v>20.767438135708794</v>
      </c>
      <c r="K288" s="38">
        <f t="shared" si="32"/>
        <v>2007</v>
      </c>
      <c r="M288" s="21">
        <f t="shared" si="33"/>
        <v>3.6888794541139363</v>
      </c>
      <c r="N288" s="21">
        <f t="shared" si="34"/>
        <v>3.033386285827353</v>
      </c>
    </row>
    <row r="289" spans="1:20" x14ac:dyDescent="0.2">
      <c r="A289" s="33">
        <f>'GF + UG Iteration 14'!A289</f>
        <v>1107</v>
      </c>
      <c r="B289" s="34" t="str">
        <f>'GF + UG Iteration 14'!B289</f>
        <v>UG</v>
      </c>
      <c r="C289" s="35">
        <f>'GF + UG Iteration 14'!C289</f>
        <v>16</v>
      </c>
      <c r="D289" s="36">
        <f>'GF + UG Iteration 14'!P$16*(C289^'GF + UG Iteration 14'!P$15)</f>
        <v>12.495218690744011</v>
      </c>
      <c r="E289" s="37">
        <f>'GF + UG Iteration 14'!E289</f>
        <v>2010</v>
      </c>
      <c r="F289" s="35">
        <f>'GF + UG Iteration 14'!F289</f>
        <v>24</v>
      </c>
      <c r="G289" s="36">
        <f>'GF + UG Iteration 14'!G289</f>
        <v>7.7000094501504579</v>
      </c>
      <c r="H289" s="38">
        <f>'GF + UG Iteration 14'!H289</f>
        <v>2014</v>
      </c>
      <c r="I289" s="35">
        <f t="shared" si="30"/>
        <v>40</v>
      </c>
      <c r="J289" s="36">
        <f t="shared" si="31"/>
        <v>20.195228140894468</v>
      </c>
      <c r="K289" s="38">
        <f t="shared" si="32"/>
        <v>2014</v>
      </c>
      <c r="M289" s="21">
        <f t="shared" si="33"/>
        <v>3.6888794541139363</v>
      </c>
      <c r="N289" s="21">
        <f t="shared" si="34"/>
        <v>3.0054463458515155</v>
      </c>
    </row>
    <row r="290" spans="1:20" x14ac:dyDescent="0.2">
      <c r="A290" s="33">
        <f>'GF + UG Iteration 14'!A290</f>
        <v>682</v>
      </c>
      <c r="B290" s="34" t="str">
        <f>'GF + UG Iteration 14'!B290</f>
        <v>UG</v>
      </c>
      <c r="C290" s="35">
        <f>'GF + UG Iteration 14'!C290</f>
        <v>12</v>
      </c>
      <c r="D290" s="36">
        <f>'GF + UG Iteration 14'!P$16*(C290^'GF + UG Iteration 14'!P$15)</f>
        <v>10.597507515953911</v>
      </c>
      <c r="E290" s="37">
        <f>'GF + UG Iteration 14'!E290</f>
        <v>2005</v>
      </c>
      <c r="F290" s="35">
        <f>'GF + UG Iteration 14'!F290</f>
        <v>18</v>
      </c>
      <c r="G290" s="36">
        <f>'GF + UG Iteration 14'!G290</f>
        <v>4.2252233548626927</v>
      </c>
      <c r="H290" s="38">
        <f>'GF + UG Iteration 14'!H290</f>
        <v>2009</v>
      </c>
      <c r="I290" s="35">
        <f t="shared" ref="I290:I291" si="35">C290+F290</f>
        <v>30</v>
      </c>
      <c r="J290" s="36">
        <f t="shared" ref="J290:J291" si="36">D290+G290</f>
        <v>14.822730870816603</v>
      </c>
      <c r="K290" s="38">
        <f t="shared" ref="K290:K291" si="37">MAX(E290,H290)</f>
        <v>2009</v>
      </c>
      <c r="M290" s="21">
        <f t="shared" ref="M290:M291" si="38">LN(I290)</f>
        <v>3.4011973816621555</v>
      </c>
      <c r="N290" s="21">
        <f t="shared" ref="N290:N291" si="39">LN(J290)</f>
        <v>2.6961618721783118</v>
      </c>
    </row>
    <row r="291" spans="1:20" x14ac:dyDescent="0.2">
      <c r="A291" s="33">
        <f>'GF + UG Iteration 14'!A291</f>
        <v>677</v>
      </c>
      <c r="B291" s="34" t="str">
        <f>'GF + UG Iteration 14'!B291</f>
        <v>UG</v>
      </c>
      <c r="C291" s="35">
        <f>'GF + UG Iteration 14'!C291</f>
        <v>117</v>
      </c>
      <c r="D291" s="36">
        <f>'GF + UG Iteration 14'!P$16*(C291^'GF + UG Iteration 14'!P$15)</f>
        <v>39.039965061483024</v>
      </c>
      <c r="E291" s="37" t="str">
        <f>'GF + UG Iteration 14'!E291</f>
        <v>unknown</v>
      </c>
      <c r="F291" s="35">
        <f>'GF + UG Iteration 14'!F291</f>
        <v>0</v>
      </c>
      <c r="G291" s="36">
        <f>'GF + UG Iteration 14'!G291</f>
        <v>5.9672660834890454</v>
      </c>
      <c r="H291" s="38">
        <f>'GF + UG Iteration 14'!H291</f>
        <v>2009</v>
      </c>
      <c r="I291" s="35">
        <f t="shared" si="35"/>
        <v>117</v>
      </c>
      <c r="J291" s="36">
        <f t="shared" si="36"/>
        <v>45.007231144972067</v>
      </c>
      <c r="K291" s="38">
        <f t="shared" si="37"/>
        <v>2009</v>
      </c>
      <c r="M291" s="21">
        <f t="shared" si="38"/>
        <v>4.7621739347977563</v>
      </c>
      <c r="N291" s="21">
        <f t="shared" si="39"/>
        <v>3.8068231689712158</v>
      </c>
    </row>
    <row r="292" spans="1:20" x14ac:dyDescent="0.2">
      <c r="A292" s="33">
        <f>'GF + UG Iteration 14'!A292</f>
        <v>643</v>
      </c>
      <c r="B292" s="34" t="str">
        <f>'GF + UG Iteration 14'!B292</f>
        <v>UG</v>
      </c>
      <c r="C292" s="35">
        <f>'GF + UG Iteration 14'!C292</f>
        <v>53.37</v>
      </c>
      <c r="D292" s="36">
        <f>'GF + UG Iteration 14'!P$16*(C292^'GF + UG Iteration 14'!P$15)</f>
        <v>24.906689550254555</v>
      </c>
      <c r="E292" s="37" t="str">
        <f>'GF + UG Iteration 14'!E292</f>
        <v>unknown</v>
      </c>
      <c r="F292" s="35">
        <f>'GF + UG Iteration 14'!F292</f>
        <v>0.5</v>
      </c>
      <c r="G292" s="36">
        <f>'GF + UG Iteration 14'!G292</f>
        <v>4.4086715648995529</v>
      </c>
      <c r="H292" s="38">
        <f>'GF + UG Iteration 14'!H292</f>
        <v>2009</v>
      </c>
      <c r="I292" s="35">
        <f t="shared" si="30"/>
        <v>53.87</v>
      </c>
      <c r="J292" s="36">
        <f t="shared" si="31"/>
        <v>29.315361115154108</v>
      </c>
      <c r="K292" s="38">
        <f t="shared" si="32"/>
        <v>2009</v>
      </c>
      <c r="M292" s="21">
        <f t="shared" si="33"/>
        <v>3.9865737366924425</v>
      </c>
      <c r="N292" s="21">
        <f t="shared" si="34"/>
        <v>3.3781116487832237</v>
      </c>
    </row>
    <row r="294" spans="1:20" s="9" customFormat="1" x14ac:dyDescent="0.2">
      <c r="A294" s="26" t="s">
        <v>29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50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7"/>
  <sheetViews>
    <sheetView zoomScaleNormal="100" workbookViewId="0">
      <selection activeCell="F41" sqref="F41"/>
    </sheetView>
  </sheetViews>
  <sheetFormatPr defaultRowHeight="12.75" x14ac:dyDescent="0.2"/>
  <sheetData>
    <row r="1" spans="1:11" s="1" customFormat="1" x14ac:dyDescent="0.2">
      <c r="A1" s="1" t="s">
        <v>54</v>
      </c>
    </row>
    <row r="2" spans="1:11" s="1" customFormat="1" x14ac:dyDescent="0.2">
      <c r="A2" s="1" t="str">
        <f>Application</f>
        <v>2018 ISO Tariff Application</v>
      </c>
    </row>
    <row r="3" spans="1:11" s="1" customFormat="1" x14ac:dyDescent="0.2"/>
    <row r="4" spans="1:11" s="1" customFormat="1" x14ac:dyDescent="0.2">
      <c r="A4" s="42"/>
      <c r="B4" s="42"/>
    </row>
    <row r="5" spans="1:11" s="1" customFormat="1" x14ac:dyDescent="0.2">
      <c r="A5" s="43" t="str">
        <f>TableDate</f>
        <v>August 17, 2018</v>
      </c>
      <c r="B5" s="44"/>
    </row>
    <row r="6" spans="1:11" s="5" customFormat="1" x14ac:dyDescent="0.2">
      <c r="A6" s="4"/>
      <c r="B6" s="29"/>
      <c r="C6" s="9"/>
      <c r="D6" s="27"/>
      <c r="E6" s="28"/>
      <c r="F6" s="9"/>
      <c r="G6" s="27"/>
      <c r="H6" s="28"/>
      <c r="I6" s="9"/>
      <c r="J6" s="27"/>
      <c r="K6" s="28"/>
    </row>
    <row r="7" spans="1:11" x14ac:dyDescent="0.2">
      <c r="A7" t="s">
        <v>52</v>
      </c>
      <c r="B7" s="40" t="s">
        <v>51</v>
      </c>
    </row>
  </sheetData>
  <hyperlinks>
    <hyperlink ref="B7" r:id="rId1"/>
  </hyperlinks>
  <printOptions horizontalCentered="1"/>
  <pageMargins left="0.5" right="0.5" top="1" bottom="0.75" header="0.5" footer="0.5"/>
  <pageSetup orientation="portrait" r:id="rId2"/>
  <headerFooter alignWithMargins="0"/>
  <drawing r:id="rId3"/>
  <legacyDrawing r:id="rId4"/>
  <oleObjects>
    <mc:AlternateContent xmlns:mc="http://schemas.openxmlformats.org/markup-compatibility/2006">
      <mc:Choice Requires="x14">
        <oleObject progId="Acrobat Document" shapeId="13313" r:id="rId5">
          <objectPr defaultSize="0" autoPict="0" r:id="rId6">
            <anchor moveWithCells="1">
              <from>
                <xdr:col>0</xdr:col>
                <xdr:colOff>0</xdr:colOff>
                <xdr:row>8</xdr:row>
                <xdr:rowOff>0</xdr:rowOff>
              </from>
              <to>
                <xdr:col>10</xdr:col>
                <xdr:colOff>495300</xdr:colOff>
                <xdr:row>54</xdr:row>
                <xdr:rowOff>95250</xdr:rowOff>
              </to>
            </anchor>
          </objectPr>
        </oleObject>
      </mc:Choice>
      <mc:Fallback>
        <oleObject progId="Acrobat Document" shapeId="13313" r:id="rId5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92"/>
  <sheetViews>
    <sheetView zoomScaleNormal="100" zoomScaleSheetLayoutView="86" zoomScalePageLayoutView="90" workbookViewId="0">
      <pane xSplit="1" ySplit="7" topLeftCell="B8" activePane="bottomRight" state="frozenSplit"/>
      <selection pane="topRight" activeCell="C49" sqref="C49"/>
      <selection pane="bottomLeft" activeCell="C49" sqref="C49"/>
      <selection pane="bottomRight" activeCell="B8" sqref="B8"/>
    </sheetView>
  </sheetViews>
  <sheetFormatPr defaultColWidth="9.140625" defaultRowHeight="12.75" x14ac:dyDescent="0.2"/>
  <cols>
    <col min="1" max="1" width="9.140625" style="58" customWidth="1"/>
    <col min="2" max="2" width="9.5703125" style="58" customWidth="1"/>
    <col min="3" max="3" width="33.42578125" style="58" customWidth="1"/>
    <col min="4" max="4" width="12.42578125" style="61" bestFit="1" customWidth="1"/>
    <col min="5" max="5" width="6.140625" style="61" customWidth="1"/>
    <col min="6" max="6" width="12.42578125" style="58" hidden="1" customWidth="1"/>
    <col min="7" max="12" width="13.7109375" style="58" customWidth="1"/>
    <col min="13" max="13" width="6.42578125" style="58" bestFit="1" customWidth="1"/>
    <col min="14" max="14" width="13.7109375" style="58" customWidth="1"/>
    <col min="15" max="15" width="12.140625" style="58" bestFit="1" customWidth="1"/>
    <col min="16" max="16" width="11.85546875" style="58" customWidth="1"/>
    <col min="17" max="17" width="9.7109375" style="58" customWidth="1"/>
    <col min="18" max="20" width="8.7109375" style="58" customWidth="1"/>
    <col min="21" max="23" width="7.7109375" style="58" customWidth="1"/>
    <col min="24" max="24" width="67.28515625" style="57" customWidth="1"/>
    <col min="25" max="25" width="13" style="61" customWidth="1"/>
    <col min="26" max="27" width="10" style="61" hidden="1" customWidth="1"/>
    <col min="28" max="28" width="13" style="61" customWidth="1"/>
    <col min="29" max="30" width="10" style="61" hidden="1" customWidth="1"/>
    <col min="31" max="31" width="9.85546875" style="57" hidden="1" customWidth="1"/>
    <col min="32" max="32" width="8.28515625" style="57" customWidth="1"/>
    <col min="33" max="33" width="7.42578125" style="57" customWidth="1"/>
    <col min="34" max="34" width="8.7109375" style="57" customWidth="1"/>
    <col min="35" max="35" width="10.7109375" style="58" customWidth="1"/>
    <col min="36" max="37" width="13.7109375" style="58" customWidth="1"/>
    <col min="38" max="16384" width="9.140625" style="58"/>
  </cols>
  <sheetData>
    <row r="1" spans="1:39" s="47" customFormat="1" x14ac:dyDescent="0.2">
      <c r="A1" s="47" t="s">
        <v>54</v>
      </c>
      <c r="D1" s="95"/>
      <c r="E1" s="95"/>
      <c r="X1" s="96"/>
      <c r="Y1" s="95"/>
      <c r="Z1" s="95"/>
      <c r="AA1" s="95"/>
      <c r="AB1" s="95"/>
      <c r="AC1" s="95"/>
      <c r="AD1" s="95"/>
      <c r="AE1" s="96"/>
      <c r="AF1" s="96"/>
      <c r="AG1" s="96"/>
      <c r="AH1" s="96"/>
    </row>
    <row r="2" spans="1:39" s="47" customFormat="1" x14ac:dyDescent="0.2">
      <c r="A2" s="47" t="str">
        <f>Application</f>
        <v>2018 ISO Tariff Application</v>
      </c>
      <c r="D2" s="95"/>
      <c r="E2" s="95"/>
      <c r="X2" s="96"/>
      <c r="Y2" s="95"/>
      <c r="Z2" s="95"/>
      <c r="AA2" s="95"/>
      <c r="AB2" s="95"/>
      <c r="AC2" s="95"/>
      <c r="AD2" s="95"/>
      <c r="AE2" s="96"/>
      <c r="AF2" s="96"/>
      <c r="AG2" s="96"/>
      <c r="AH2" s="96"/>
    </row>
    <row r="3" spans="1:39" s="47" customFormat="1" x14ac:dyDescent="0.2">
      <c r="A3" s="47" t="str">
        <f>ApplicationSection</f>
        <v>Appendix G - Point of Delivery Cost Function Workbook</v>
      </c>
      <c r="D3" s="95"/>
      <c r="E3" s="95"/>
      <c r="X3" s="96"/>
      <c r="Y3" s="95"/>
      <c r="Z3" s="95"/>
      <c r="AA3" s="95"/>
      <c r="AB3" s="95"/>
      <c r="AC3" s="95"/>
      <c r="AD3" s="95"/>
      <c r="AE3" s="96"/>
      <c r="AF3" s="96"/>
      <c r="AG3" s="96"/>
      <c r="AH3" s="96"/>
    </row>
    <row r="4" spans="1:39" s="47" customFormat="1" x14ac:dyDescent="0.2">
      <c r="A4" s="47" t="s">
        <v>964</v>
      </c>
      <c r="D4" s="95"/>
      <c r="E4" s="95"/>
      <c r="X4" s="96"/>
      <c r="Y4" s="95"/>
      <c r="Z4" s="95"/>
      <c r="AA4" s="95"/>
      <c r="AB4" s="95"/>
      <c r="AC4" s="95"/>
      <c r="AD4" s="95"/>
      <c r="AE4" s="96"/>
      <c r="AF4" s="96"/>
      <c r="AG4" s="96"/>
      <c r="AH4" s="96"/>
    </row>
    <row r="5" spans="1:39" s="47" customFormat="1" x14ac:dyDescent="0.2">
      <c r="A5" s="49" t="str">
        <f>TableDate</f>
        <v>August 17, 2018</v>
      </c>
      <c r="B5" s="50"/>
      <c r="D5" s="95"/>
      <c r="E5" s="95"/>
      <c r="I5" s="97"/>
      <c r="X5" s="96"/>
      <c r="Y5" s="95"/>
      <c r="Z5" s="95"/>
      <c r="AA5" s="95"/>
      <c r="AB5" s="95"/>
      <c r="AC5" s="95"/>
      <c r="AD5" s="95"/>
      <c r="AE5" s="96"/>
      <c r="AF5" s="96"/>
      <c r="AG5" s="96"/>
      <c r="AH5" s="96"/>
    </row>
    <row r="6" spans="1:39" x14ac:dyDescent="0.2">
      <c r="K6" s="60"/>
      <c r="L6" s="47"/>
      <c r="Y6" s="166" t="s">
        <v>489</v>
      </c>
      <c r="Z6" s="166"/>
      <c r="AA6" s="166"/>
      <c r="AB6" s="166" t="s">
        <v>490</v>
      </c>
      <c r="AC6" s="166"/>
      <c r="AD6" s="166"/>
    </row>
    <row r="7" spans="1:39" s="56" customFormat="1" ht="51" x14ac:dyDescent="0.2">
      <c r="A7" s="53" t="s">
        <v>55</v>
      </c>
      <c r="B7" s="53" t="s">
        <v>56</v>
      </c>
      <c r="C7" s="53" t="s">
        <v>58</v>
      </c>
      <c r="D7" s="53" t="s">
        <v>60</v>
      </c>
      <c r="E7" s="53" t="s">
        <v>424</v>
      </c>
      <c r="F7" s="53" t="s">
        <v>65</v>
      </c>
      <c r="G7" s="54" t="s">
        <v>67</v>
      </c>
      <c r="H7" s="53" t="s">
        <v>68</v>
      </c>
      <c r="I7" s="53" t="s">
        <v>69</v>
      </c>
      <c r="J7" s="98" t="s">
        <v>70</v>
      </c>
      <c r="K7" s="98" t="s">
        <v>71</v>
      </c>
      <c r="L7" s="53" t="s">
        <v>72</v>
      </c>
      <c r="M7" s="53" t="s">
        <v>73</v>
      </c>
      <c r="N7" s="53" t="s">
        <v>74</v>
      </c>
      <c r="O7" s="53" t="s">
        <v>491</v>
      </c>
      <c r="P7" s="53" t="s">
        <v>75</v>
      </c>
      <c r="Q7" s="53" t="s">
        <v>76</v>
      </c>
      <c r="R7" s="53" t="s">
        <v>492</v>
      </c>
      <c r="S7" s="98" t="s">
        <v>493</v>
      </c>
      <c r="T7" s="53" t="s">
        <v>494</v>
      </c>
      <c r="U7" s="53" t="s">
        <v>80</v>
      </c>
      <c r="V7" s="53" t="s">
        <v>83</v>
      </c>
      <c r="W7" s="98" t="s">
        <v>84</v>
      </c>
      <c r="X7" s="53" t="s">
        <v>495</v>
      </c>
      <c r="Y7" s="53" t="s">
        <v>496</v>
      </c>
      <c r="Z7" s="53" t="s">
        <v>497</v>
      </c>
      <c r="AA7" s="53" t="s">
        <v>498</v>
      </c>
      <c r="AB7" s="53" t="s">
        <v>496</v>
      </c>
      <c r="AC7" s="53" t="s">
        <v>499</v>
      </c>
      <c r="AD7" s="53" t="s">
        <v>498</v>
      </c>
      <c r="AE7" s="53" t="s">
        <v>500</v>
      </c>
      <c r="AF7" s="98" t="s">
        <v>501</v>
      </c>
      <c r="AG7" s="98" t="s">
        <v>502</v>
      </c>
      <c r="AH7" s="98" t="s">
        <v>503</v>
      </c>
      <c r="AI7" s="98" t="s">
        <v>86</v>
      </c>
      <c r="AJ7" s="98" t="s">
        <v>87</v>
      </c>
      <c r="AK7" s="98" t="s">
        <v>88</v>
      </c>
    </row>
    <row r="8" spans="1:39" x14ac:dyDescent="0.2">
      <c r="A8" s="159">
        <v>1184</v>
      </c>
      <c r="B8" s="99" t="s">
        <v>92</v>
      </c>
      <c r="C8" s="100" t="s">
        <v>504</v>
      </c>
      <c r="D8" s="101" t="s">
        <v>106</v>
      </c>
      <c r="E8" s="102" t="s">
        <v>108</v>
      </c>
      <c r="F8" s="100" t="s">
        <v>505</v>
      </c>
      <c r="G8" s="103">
        <f>13078630+99002</f>
        <v>13177632</v>
      </c>
      <c r="H8" s="103">
        <f>717439</f>
        <v>717439</v>
      </c>
      <c r="I8" s="103">
        <f>322297+2490190+12410+551539</f>
        <v>3376436</v>
      </c>
      <c r="J8" s="104">
        <f>SUM(G8:I8)</f>
        <v>17271507</v>
      </c>
      <c r="K8" s="104">
        <f>J8-L8</f>
        <v>13115841</v>
      </c>
      <c r="L8" s="103">
        <v>4155666</v>
      </c>
      <c r="M8" s="102" t="s">
        <v>99</v>
      </c>
      <c r="N8" s="103"/>
      <c r="O8" s="101">
        <v>2013</v>
      </c>
      <c r="P8" s="102">
        <v>2016</v>
      </c>
      <c r="Q8" s="99" t="s">
        <v>100</v>
      </c>
      <c r="R8" s="105">
        <v>30</v>
      </c>
      <c r="S8" s="106">
        <f t="shared" ref="S8:S71" si="0">T8-R8</f>
        <v>18.200000000000003</v>
      </c>
      <c r="T8" s="105">
        <v>48.2</v>
      </c>
      <c r="U8" s="102">
        <v>2011</v>
      </c>
      <c r="V8" s="102">
        <v>2013</v>
      </c>
      <c r="W8" s="107">
        <f t="shared" ref="W8:W71" si="1">V8-1</f>
        <v>2012</v>
      </c>
      <c r="X8" s="108" t="s">
        <v>506</v>
      </c>
      <c r="Y8" s="101">
        <f>50*1</f>
        <v>50</v>
      </c>
      <c r="Z8" s="101">
        <v>7</v>
      </c>
      <c r="AA8" s="101">
        <f>MIN(Z8*13,Y8)</f>
        <v>50</v>
      </c>
      <c r="AB8" s="101">
        <v>100</v>
      </c>
      <c r="AC8" s="101">
        <v>11</v>
      </c>
      <c r="AD8" s="101">
        <f>MIN(AB8,AC8*13)</f>
        <v>100</v>
      </c>
      <c r="AE8" s="109">
        <f>Y8</f>
        <v>50</v>
      </c>
      <c r="AF8" s="110">
        <f>Y8*0.9</f>
        <v>45</v>
      </c>
      <c r="AG8" s="110">
        <f t="shared" ref="AG8:AG71" si="2">AB8-Y8</f>
        <v>50</v>
      </c>
      <c r="AH8" s="110">
        <f t="shared" ref="AH8:AH71" si="3">AG8*0.9</f>
        <v>45</v>
      </c>
      <c r="AI8" s="111">
        <f>LOOKUP(W8,'2018 Escalator'!$A$9:$A$41,'2018 Escalator'!$G$9:$G$41)</f>
        <v>1.0925127659799037</v>
      </c>
      <c r="AJ8" s="104">
        <f t="shared" ref="AJ8:AJ71" si="4">J8*AI8</f>
        <v>18869341.885211267</v>
      </c>
      <c r="AK8" s="104">
        <f t="shared" ref="AK8:AK71" si="5">(J8+N8)*AI8</f>
        <v>18869341.885211267</v>
      </c>
      <c r="AM8" s="164"/>
    </row>
    <row r="9" spans="1:39" x14ac:dyDescent="0.2">
      <c r="A9" s="57">
        <v>1481</v>
      </c>
      <c r="B9" s="58" t="s">
        <v>92</v>
      </c>
      <c r="C9" s="58" t="s">
        <v>507</v>
      </c>
      <c r="D9" s="61" t="s">
        <v>106</v>
      </c>
      <c r="E9" s="61" t="s">
        <v>108</v>
      </c>
      <c r="F9" s="58" t="s">
        <v>505</v>
      </c>
      <c r="G9" s="103">
        <f>773836</f>
        <v>773836</v>
      </c>
      <c r="H9" s="103">
        <v>0</v>
      </c>
      <c r="I9" s="103">
        <f>121541+145045+0+39810</f>
        <v>306396</v>
      </c>
      <c r="J9" s="104">
        <f>SUM(G9:I9)</f>
        <v>1080232</v>
      </c>
      <c r="K9" s="104">
        <f>J9-L9</f>
        <v>1080232</v>
      </c>
      <c r="L9" s="103">
        <v>0</v>
      </c>
      <c r="M9" s="102" t="s">
        <v>99</v>
      </c>
      <c r="N9" s="103"/>
      <c r="O9" s="101">
        <v>2013</v>
      </c>
      <c r="P9" s="102">
        <v>2016</v>
      </c>
      <c r="Q9" s="99" t="s">
        <v>100</v>
      </c>
      <c r="R9" s="105">
        <v>48.2</v>
      </c>
      <c r="S9" s="106">
        <f t="shared" si="0"/>
        <v>0</v>
      </c>
      <c r="T9" s="105">
        <v>48.2</v>
      </c>
      <c r="U9" s="102">
        <v>2013</v>
      </c>
      <c r="V9" s="102">
        <v>2015</v>
      </c>
      <c r="W9" s="107">
        <f t="shared" si="1"/>
        <v>2014</v>
      </c>
      <c r="X9" s="108" t="s">
        <v>508</v>
      </c>
      <c r="Y9" s="101">
        <f>50*2</f>
        <v>100</v>
      </c>
      <c r="Z9" s="73" t="s">
        <v>509</v>
      </c>
      <c r="AA9" s="73" t="s">
        <v>509</v>
      </c>
      <c r="AB9" s="61">
        <v>100</v>
      </c>
      <c r="AC9" s="73" t="s">
        <v>509</v>
      </c>
      <c r="AD9" s="73" t="s">
        <v>509</v>
      </c>
      <c r="AE9" s="112">
        <f>R9/0.9</f>
        <v>53.555555555555557</v>
      </c>
      <c r="AF9" s="113">
        <f t="shared" ref="AF9:AF73" si="6">Y9*0.9</f>
        <v>90</v>
      </c>
      <c r="AG9" s="110">
        <f t="shared" si="2"/>
        <v>0</v>
      </c>
      <c r="AH9" s="113">
        <f t="shared" si="3"/>
        <v>0</v>
      </c>
      <c r="AI9" s="114">
        <f>LOOKUP(W9,'2018 Escalator'!$A$9:$A$41,'2018 Escalator'!$G$9:$G$41)</f>
        <v>1.0288837306891399</v>
      </c>
      <c r="AJ9" s="115">
        <f t="shared" si="4"/>
        <v>1111433.1301697909</v>
      </c>
      <c r="AK9" s="104">
        <f t="shared" si="5"/>
        <v>1111433.1301697909</v>
      </c>
      <c r="AM9" s="164"/>
    </row>
    <row r="10" spans="1:39" x14ac:dyDescent="0.2">
      <c r="A10" s="57">
        <v>457</v>
      </c>
      <c r="B10" s="58" t="s">
        <v>92</v>
      </c>
      <c r="C10" s="58" t="s">
        <v>510</v>
      </c>
      <c r="D10" s="61" t="s">
        <v>511</v>
      </c>
      <c r="E10" s="61" t="s">
        <v>108</v>
      </c>
      <c r="F10" s="58" t="s">
        <v>505</v>
      </c>
      <c r="G10" s="60">
        <v>1782000</v>
      </c>
      <c r="H10" s="60">
        <v>0</v>
      </c>
      <c r="I10" s="60">
        <v>704000</v>
      </c>
      <c r="J10" s="115">
        <v>2486000</v>
      </c>
      <c r="K10" s="115">
        <v>2339508</v>
      </c>
      <c r="L10" s="60">
        <v>444812</v>
      </c>
      <c r="M10" s="61" t="s">
        <v>129</v>
      </c>
      <c r="N10" s="60"/>
      <c r="O10" s="73">
        <v>1990</v>
      </c>
      <c r="P10" s="61">
        <v>2006</v>
      </c>
      <c r="Q10" s="58" t="s">
        <v>100</v>
      </c>
      <c r="R10" s="116">
        <v>10.77</v>
      </c>
      <c r="S10" s="117">
        <f t="shared" si="0"/>
        <v>10</v>
      </c>
      <c r="T10" s="116">
        <v>20.77</v>
      </c>
      <c r="U10" s="61">
        <v>2006</v>
      </c>
      <c r="V10" s="61">
        <v>2007</v>
      </c>
      <c r="W10" s="118">
        <f t="shared" si="1"/>
        <v>2006</v>
      </c>
      <c r="X10" s="57" t="s">
        <v>512</v>
      </c>
      <c r="Y10" s="61">
        <v>25</v>
      </c>
      <c r="Z10" s="73" t="s">
        <v>509</v>
      </c>
      <c r="AA10" s="73" t="s">
        <v>509</v>
      </c>
      <c r="AB10" s="61">
        <v>50</v>
      </c>
      <c r="AC10" s="73" t="s">
        <v>509</v>
      </c>
      <c r="AD10" s="73" t="s">
        <v>509</v>
      </c>
      <c r="AE10" s="112">
        <f>R10/0.9</f>
        <v>11.966666666666667</v>
      </c>
      <c r="AF10" s="113">
        <f t="shared" si="6"/>
        <v>22.5</v>
      </c>
      <c r="AG10" s="110">
        <f t="shared" si="2"/>
        <v>25</v>
      </c>
      <c r="AH10" s="113">
        <f t="shared" si="3"/>
        <v>22.5</v>
      </c>
      <c r="AI10" s="114">
        <f>LOOKUP(W10,'2018 Escalator'!$A$9:$A$41,'2018 Escalator'!$G$9:$G$41)</f>
        <v>1.3230619810637019</v>
      </c>
      <c r="AJ10" s="115">
        <f t="shared" si="4"/>
        <v>3289132.0849243631</v>
      </c>
      <c r="AK10" s="104">
        <f t="shared" si="5"/>
        <v>3289132.0849243631</v>
      </c>
    </row>
    <row r="11" spans="1:39" x14ac:dyDescent="0.2">
      <c r="A11" s="57">
        <v>407</v>
      </c>
      <c r="B11" s="58" t="s">
        <v>92</v>
      </c>
      <c r="C11" s="69" t="s">
        <v>513</v>
      </c>
      <c r="D11" s="61" t="s">
        <v>514</v>
      </c>
      <c r="E11" s="61" t="s">
        <v>108</v>
      </c>
      <c r="F11" s="58" t="s">
        <v>505</v>
      </c>
      <c r="G11" s="60">
        <v>405090</v>
      </c>
      <c r="H11" s="60">
        <v>0</v>
      </c>
      <c r="I11" s="60">
        <v>0</v>
      </c>
      <c r="J11" s="115">
        <v>405090</v>
      </c>
      <c r="K11" s="115">
        <v>0</v>
      </c>
      <c r="L11" s="60">
        <v>405090</v>
      </c>
      <c r="M11" s="61" t="s">
        <v>99</v>
      </c>
      <c r="N11" s="60"/>
      <c r="O11" s="73">
        <v>1982</v>
      </c>
      <c r="P11" s="61">
        <v>2006</v>
      </c>
      <c r="Q11" s="58" t="s">
        <v>100</v>
      </c>
      <c r="R11" s="116">
        <v>25.4</v>
      </c>
      <c r="S11" s="117">
        <f t="shared" si="0"/>
        <v>2</v>
      </c>
      <c r="T11" s="116">
        <v>27.4</v>
      </c>
      <c r="U11" s="61">
        <v>2003</v>
      </c>
      <c r="V11" s="61">
        <v>2005</v>
      </c>
      <c r="W11" s="118">
        <f t="shared" si="1"/>
        <v>2004</v>
      </c>
      <c r="X11" s="57" t="s">
        <v>515</v>
      </c>
      <c r="Y11" s="61">
        <f>41*2</f>
        <v>82</v>
      </c>
      <c r="Z11" s="73" t="s">
        <v>516</v>
      </c>
      <c r="AA11" s="73" t="s">
        <v>516</v>
      </c>
      <c r="AB11" s="61">
        <v>82</v>
      </c>
      <c r="AC11" s="73" t="s">
        <v>516</v>
      </c>
      <c r="AD11" s="73" t="s">
        <v>516</v>
      </c>
      <c r="AE11" s="112">
        <f>R11/0.9</f>
        <v>28.222222222222221</v>
      </c>
      <c r="AF11" s="113">
        <f t="shared" si="6"/>
        <v>73.8</v>
      </c>
      <c r="AG11" s="110">
        <f t="shared" si="2"/>
        <v>0</v>
      </c>
      <c r="AH11" s="113">
        <f t="shared" si="3"/>
        <v>0</v>
      </c>
      <c r="AI11" s="114">
        <f>LOOKUP(W11,'2018 Escalator'!$A$9:$A$41,'2018 Escalator'!$G$9:$G$41)</f>
        <v>1.483782020350688</v>
      </c>
      <c r="AJ11" s="115">
        <f t="shared" si="4"/>
        <v>601065.25862386019</v>
      </c>
      <c r="AK11" s="104">
        <f t="shared" si="5"/>
        <v>601065.25862386019</v>
      </c>
    </row>
    <row r="12" spans="1:39" x14ac:dyDescent="0.2">
      <c r="A12" s="57">
        <v>706</v>
      </c>
      <c r="B12" s="58" t="s">
        <v>92</v>
      </c>
      <c r="C12" s="69" t="s">
        <v>517</v>
      </c>
      <c r="D12" s="61" t="s">
        <v>518</v>
      </c>
      <c r="E12" s="61" t="s">
        <v>108</v>
      </c>
      <c r="F12" s="58" t="s">
        <v>505</v>
      </c>
      <c r="G12" s="60">
        <v>3266922</v>
      </c>
      <c r="H12" s="60">
        <v>0</v>
      </c>
      <c r="I12" s="60">
        <v>1597325</v>
      </c>
      <c r="J12" s="115">
        <v>4864247</v>
      </c>
      <c r="K12" s="115">
        <v>4022957</v>
      </c>
      <c r="L12" s="60">
        <v>1425000</v>
      </c>
      <c r="M12" s="61" t="s">
        <v>129</v>
      </c>
      <c r="N12" s="60"/>
      <c r="O12" s="73">
        <v>1984</v>
      </c>
      <c r="P12" s="61">
        <v>2010</v>
      </c>
      <c r="Q12" s="58" t="s">
        <v>100</v>
      </c>
      <c r="R12" s="116">
        <v>14.85</v>
      </c>
      <c r="S12" s="117">
        <f t="shared" si="0"/>
        <v>14.250000000000002</v>
      </c>
      <c r="T12" s="116">
        <v>29.1</v>
      </c>
      <c r="U12" s="61">
        <v>2006</v>
      </c>
      <c r="V12" s="61">
        <v>2009</v>
      </c>
      <c r="W12" s="118">
        <f t="shared" si="1"/>
        <v>2008</v>
      </c>
      <c r="X12" s="67" t="s">
        <v>519</v>
      </c>
      <c r="Y12" s="61">
        <v>25</v>
      </c>
      <c r="Z12" s="73" t="s">
        <v>520</v>
      </c>
      <c r="AA12" s="73" t="s">
        <v>520</v>
      </c>
      <c r="AB12" s="61">
        <f>25+42</f>
        <v>67</v>
      </c>
      <c r="AC12" s="73" t="s">
        <v>520</v>
      </c>
      <c r="AD12" s="73" t="s">
        <v>520</v>
      </c>
      <c r="AE12" s="112">
        <f>R12/0.9</f>
        <v>16.5</v>
      </c>
      <c r="AF12" s="113">
        <f t="shared" si="6"/>
        <v>22.5</v>
      </c>
      <c r="AG12" s="110">
        <f t="shared" si="2"/>
        <v>42</v>
      </c>
      <c r="AH12" s="113">
        <f t="shared" si="3"/>
        <v>37.800000000000004</v>
      </c>
      <c r="AI12" s="114">
        <f>LOOKUP(W12,'2018 Escalator'!$A$9:$A$41,'2018 Escalator'!$G$9:$G$41)</f>
        <v>1.199491188497166</v>
      </c>
      <c r="AJ12" s="115">
        <f t="shared" si="4"/>
        <v>5834621.4151737737</v>
      </c>
      <c r="AK12" s="104">
        <f t="shared" si="5"/>
        <v>5834621.4151737737</v>
      </c>
    </row>
    <row r="13" spans="1:39" x14ac:dyDescent="0.2">
      <c r="A13" s="57">
        <v>1070</v>
      </c>
      <c r="B13" s="58" t="s">
        <v>92</v>
      </c>
      <c r="C13" s="69" t="s">
        <v>521</v>
      </c>
      <c r="D13" s="61" t="s">
        <v>518</v>
      </c>
      <c r="E13" s="61" t="s">
        <v>108</v>
      </c>
      <c r="F13" s="58" t="s">
        <v>505</v>
      </c>
      <c r="G13" s="60">
        <v>433846</v>
      </c>
      <c r="H13" s="60">
        <v>0</v>
      </c>
      <c r="I13" s="60">
        <v>301738</v>
      </c>
      <c r="J13" s="115">
        <v>735584</v>
      </c>
      <c r="K13" s="115">
        <v>0</v>
      </c>
      <c r="L13" s="60">
        <v>735584</v>
      </c>
      <c r="M13" s="61" t="s">
        <v>99</v>
      </c>
      <c r="N13" s="60"/>
      <c r="O13" s="73">
        <v>1984</v>
      </c>
      <c r="P13" s="61">
        <v>2013</v>
      </c>
      <c r="Q13" s="69" t="s">
        <v>100</v>
      </c>
      <c r="R13" s="116">
        <v>34</v>
      </c>
      <c r="S13" s="117">
        <f t="shared" si="0"/>
        <v>4.8999999999999986</v>
      </c>
      <c r="T13" s="116">
        <v>38.9</v>
      </c>
      <c r="U13" s="61">
        <v>2011</v>
      </c>
      <c r="V13" s="61">
        <v>2012</v>
      </c>
      <c r="W13" s="118">
        <f t="shared" si="1"/>
        <v>2011</v>
      </c>
      <c r="X13" s="57" t="s">
        <v>515</v>
      </c>
      <c r="Y13" s="61">
        <f>25+42</f>
        <v>67</v>
      </c>
      <c r="Z13" s="73" t="s">
        <v>522</v>
      </c>
      <c r="AA13" s="73" t="s">
        <v>522</v>
      </c>
      <c r="AB13" s="61">
        <v>67</v>
      </c>
      <c r="AC13" s="73" t="s">
        <v>522</v>
      </c>
      <c r="AD13" s="73" t="s">
        <v>522</v>
      </c>
      <c r="AE13" s="112">
        <f>AE12+AG12</f>
        <v>58.5</v>
      </c>
      <c r="AF13" s="113">
        <f t="shared" si="6"/>
        <v>60.300000000000004</v>
      </c>
      <c r="AG13" s="110">
        <f t="shared" si="2"/>
        <v>0</v>
      </c>
      <c r="AH13" s="113">
        <f t="shared" si="3"/>
        <v>0</v>
      </c>
      <c r="AI13" s="114">
        <f>LOOKUP(W13,'2018 Escalator'!$A$9:$A$41,'2018 Escalator'!$G$9:$G$41)</f>
        <v>1.1366200577120069</v>
      </c>
      <c r="AJ13" s="115">
        <f t="shared" si="4"/>
        <v>836079.5285320289</v>
      </c>
      <c r="AK13" s="104">
        <f t="shared" si="5"/>
        <v>836079.5285320289</v>
      </c>
    </row>
    <row r="14" spans="1:39" x14ac:dyDescent="0.2">
      <c r="A14" s="57">
        <v>1264</v>
      </c>
      <c r="B14" s="68" t="s">
        <v>92</v>
      </c>
      <c r="C14" s="69" t="s">
        <v>523</v>
      </c>
      <c r="D14" s="119" t="s">
        <v>518</v>
      </c>
      <c r="E14" s="119" t="s">
        <v>108</v>
      </c>
      <c r="F14" s="68" t="s">
        <v>505</v>
      </c>
      <c r="G14" s="60">
        <f>5180261-665295</f>
        <v>4514966</v>
      </c>
      <c r="H14" s="60">
        <v>0</v>
      </c>
      <c r="I14" s="60">
        <f>218328+2349117+248108+249479</f>
        <v>3065032</v>
      </c>
      <c r="J14" s="115">
        <f>SUM(G14:I14)</f>
        <v>7579998</v>
      </c>
      <c r="K14" s="115">
        <f>J14-L14</f>
        <v>6912598</v>
      </c>
      <c r="L14" s="60">
        <v>667400</v>
      </c>
      <c r="M14" s="61" t="s">
        <v>99</v>
      </c>
      <c r="N14" s="60"/>
      <c r="O14" s="73">
        <v>1984</v>
      </c>
      <c r="P14" s="61">
        <v>2016</v>
      </c>
      <c r="Q14" s="69" t="s">
        <v>100</v>
      </c>
      <c r="R14" s="116">
        <v>38.9</v>
      </c>
      <c r="S14" s="117">
        <f t="shared" si="0"/>
        <v>7.2000000000000028</v>
      </c>
      <c r="T14" s="116">
        <v>46.1</v>
      </c>
      <c r="U14" s="61">
        <v>2011</v>
      </c>
      <c r="V14" s="61">
        <v>2014</v>
      </c>
      <c r="W14" s="118">
        <f t="shared" si="1"/>
        <v>2013</v>
      </c>
      <c r="X14" s="57" t="s">
        <v>524</v>
      </c>
      <c r="Y14" s="61">
        <f>25+42</f>
        <v>67</v>
      </c>
      <c r="Z14" s="73" t="s">
        <v>525</v>
      </c>
      <c r="AA14" s="73" t="s">
        <v>525</v>
      </c>
      <c r="AB14" s="61">
        <v>84</v>
      </c>
      <c r="AC14" s="73" t="s">
        <v>525</v>
      </c>
      <c r="AD14" s="73" t="s">
        <v>525</v>
      </c>
      <c r="AE14" s="112">
        <f>AE13+AG13</f>
        <v>58.5</v>
      </c>
      <c r="AF14" s="113">
        <f t="shared" si="6"/>
        <v>60.300000000000004</v>
      </c>
      <c r="AG14" s="110">
        <f t="shared" si="2"/>
        <v>17</v>
      </c>
      <c r="AH14" s="113">
        <f t="shared" si="3"/>
        <v>15.3</v>
      </c>
      <c r="AI14" s="114">
        <f>LOOKUP(W14,'2018 Escalator'!$A$9:$A$41,'2018 Escalator'!$G$9:$G$41)</f>
        <v>1.0630440922306721</v>
      </c>
      <c r="AJ14" s="115">
        <f t="shared" si="4"/>
        <v>8057872.0930203097</v>
      </c>
      <c r="AK14" s="104">
        <f t="shared" si="5"/>
        <v>8057872.0930203097</v>
      </c>
    </row>
    <row r="15" spans="1:39" x14ac:dyDescent="0.2">
      <c r="A15" s="57">
        <v>1208</v>
      </c>
      <c r="B15" s="68" t="s">
        <v>92</v>
      </c>
      <c r="C15" s="69" t="s">
        <v>526</v>
      </c>
      <c r="D15" s="119" t="s">
        <v>527</v>
      </c>
      <c r="E15" s="119" t="s">
        <v>108</v>
      </c>
      <c r="F15" s="68" t="s">
        <v>505</v>
      </c>
      <c r="G15" s="60">
        <v>2037037</v>
      </c>
      <c r="H15" s="60">
        <v>0</v>
      </c>
      <c r="I15" s="60">
        <v>525140</v>
      </c>
      <c r="J15" s="115">
        <v>2562177</v>
      </c>
      <c r="K15" s="115">
        <v>527077</v>
      </c>
      <c r="L15" s="60">
        <v>2035100</v>
      </c>
      <c r="M15" s="61" t="s">
        <v>99</v>
      </c>
      <c r="N15" s="60"/>
      <c r="O15" s="73">
        <v>1961</v>
      </c>
      <c r="P15" s="61">
        <v>2014</v>
      </c>
      <c r="Q15" s="69" t="s">
        <v>100</v>
      </c>
      <c r="R15" s="116">
        <v>14.1</v>
      </c>
      <c r="S15" s="117">
        <f t="shared" si="0"/>
        <v>11.500000000000002</v>
      </c>
      <c r="T15" s="116">
        <v>25.6</v>
      </c>
      <c r="U15" s="61">
        <v>2011</v>
      </c>
      <c r="V15" s="61">
        <v>2013</v>
      </c>
      <c r="W15" s="118">
        <f t="shared" si="1"/>
        <v>2012</v>
      </c>
      <c r="X15" s="57" t="s">
        <v>528</v>
      </c>
      <c r="Y15" s="61">
        <v>42</v>
      </c>
      <c r="Z15" s="73" t="s">
        <v>509</v>
      </c>
      <c r="AA15" s="73" t="s">
        <v>509</v>
      </c>
      <c r="AB15" s="61">
        <v>42</v>
      </c>
      <c r="AC15" s="73" t="s">
        <v>509</v>
      </c>
      <c r="AD15" s="73" t="s">
        <v>509</v>
      </c>
      <c r="AE15" s="112">
        <f>R15/0.9</f>
        <v>15.666666666666666</v>
      </c>
      <c r="AF15" s="113">
        <f t="shared" si="6"/>
        <v>37.800000000000004</v>
      </c>
      <c r="AG15" s="110">
        <f t="shared" si="2"/>
        <v>0</v>
      </c>
      <c r="AH15" s="113">
        <f t="shared" si="3"/>
        <v>0</v>
      </c>
      <c r="AI15" s="114">
        <f>LOOKUP(W15,'2018 Escalator'!$A$9:$A$41,'2018 Escalator'!$G$9:$G$41)</f>
        <v>1.0925127659799037</v>
      </c>
      <c r="AJ15" s="115">
        <f t="shared" si="4"/>
        <v>2799211.0812000916</v>
      </c>
      <c r="AK15" s="104">
        <f t="shared" si="5"/>
        <v>2799211.0812000916</v>
      </c>
    </row>
    <row r="16" spans="1:39" x14ac:dyDescent="0.2">
      <c r="A16" s="57">
        <v>655</v>
      </c>
      <c r="B16" s="58" t="s">
        <v>92</v>
      </c>
      <c r="C16" s="69" t="s">
        <v>529</v>
      </c>
      <c r="D16" s="61" t="s">
        <v>530</v>
      </c>
      <c r="E16" s="61" t="s">
        <v>108</v>
      </c>
      <c r="F16" s="58" t="s">
        <v>505</v>
      </c>
      <c r="G16" s="60">
        <f>372822</f>
        <v>372822</v>
      </c>
      <c r="H16" s="60">
        <v>0</v>
      </c>
      <c r="I16" s="60">
        <v>101699</v>
      </c>
      <c r="J16" s="115">
        <f>SUM(G16:I16)</f>
        <v>474521</v>
      </c>
      <c r="K16" s="115">
        <f>J16-L16</f>
        <v>128753</v>
      </c>
      <c r="L16" s="60">
        <v>345768</v>
      </c>
      <c r="M16" s="61" t="s">
        <v>129</v>
      </c>
      <c r="N16" s="60">
        <v>128753</v>
      </c>
      <c r="O16" s="73">
        <v>1974</v>
      </c>
      <c r="P16" s="61">
        <v>2009</v>
      </c>
      <c r="Q16" s="58" t="s">
        <v>100</v>
      </c>
      <c r="R16" s="116">
        <f>T16-2.339</f>
        <v>12.052999999999999</v>
      </c>
      <c r="S16" s="117">
        <f t="shared" si="0"/>
        <v>2.3390000000000004</v>
      </c>
      <c r="T16" s="116">
        <v>14.391999999999999</v>
      </c>
      <c r="U16" s="61">
        <v>2007</v>
      </c>
      <c r="V16" s="61">
        <v>2008</v>
      </c>
      <c r="W16" s="118">
        <f t="shared" si="1"/>
        <v>2007</v>
      </c>
      <c r="X16" s="57" t="s">
        <v>531</v>
      </c>
      <c r="Y16" s="61">
        <f>25+28.1</f>
        <v>53.1</v>
      </c>
      <c r="Z16" s="73" t="s">
        <v>522</v>
      </c>
      <c r="AA16" s="73" t="s">
        <v>522</v>
      </c>
      <c r="AB16" s="61">
        <v>53.1</v>
      </c>
      <c r="AC16" s="73" t="s">
        <v>522</v>
      </c>
      <c r="AD16" s="73" t="s">
        <v>522</v>
      </c>
      <c r="AE16" s="112">
        <f>AE15+AG15</f>
        <v>15.666666666666666</v>
      </c>
      <c r="AF16" s="113">
        <f t="shared" si="6"/>
        <v>47.79</v>
      </c>
      <c r="AG16" s="110">
        <f t="shared" si="2"/>
        <v>0</v>
      </c>
      <c r="AH16" s="113">
        <f t="shared" si="3"/>
        <v>0</v>
      </c>
      <c r="AI16" s="114">
        <f>LOOKUP(W16,'2018 Escalator'!$A$9:$A$41,'2018 Escalator'!$G$9:$G$41)</f>
        <v>1.2531539462632446</v>
      </c>
      <c r="AJ16" s="115">
        <f t="shared" si="4"/>
        <v>594647.86373478104</v>
      </c>
      <c r="AK16" s="104">
        <f t="shared" si="5"/>
        <v>755995.19377801265</v>
      </c>
    </row>
    <row r="17" spans="1:37" x14ac:dyDescent="0.2">
      <c r="A17" s="57">
        <v>733</v>
      </c>
      <c r="B17" s="58" t="s">
        <v>92</v>
      </c>
      <c r="C17" s="58" t="s">
        <v>532</v>
      </c>
      <c r="D17" s="61" t="s">
        <v>115</v>
      </c>
      <c r="E17" s="61" t="s">
        <v>108</v>
      </c>
      <c r="F17" s="58" t="s">
        <v>505</v>
      </c>
      <c r="G17" s="60">
        <f>4486141</f>
        <v>4486141</v>
      </c>
      <c r="H17" s="60">
        <v>0</v>
      </c>
      <c r="I17" s="60">
        <v>1251859</v>
      </c>
      <c r="J17" s="115">
        <f>SUM(G17:I17)</f>
        <v>5738000</v>
      </c>
      <c r="K17" s="115">
        <f>J17-L17</f>
        <v>3798600</v>
      </c>
      <c r="L17" s="60">
        <v>1939400</v>
      </c>
      <c r="M17" s="61" t="s">
        <v>129</v>
      </c>
      <c r="N17" s="60">
        <v>75000</v>
      </c>
      <c r="O17" s="73">
        <v>2007</v>
      </c>
      <c r="P17" s="61">
        <v>2010</v>
      </c>
      <c r="Q17" s="58" t="s">
        <v>100</v>
      </c>
      <c r="R17" s="116">
        <v>24.3</v>
      </c>
      <c r="S17" s="117">
        <f t="shared" si="0"/>
        <v>17.099999999999998</v>
      </c>
      <c r="T17" s="116">
        <v>41.4</v>
      </c>
      <c r="U17" s="61">
        <v>2007</v>
      </c>
      <c r="V17" s="61">
        <v>2010</v>
      </c>
      <c r="W17" s="118">
        <f t="shared" si="1"/>
        <v>2009</v>
      </c>
      <c r="X17" s="57" t="s">
        <v>533</v>
      </c>
      <c r="Y17" s="61">
        <v>42</v>
      </c>
      <c r="Z17" s="73" t="s">
        <v>525</v>
      </c>
      <c r="AA17" s="73" t="s">
        <v>525</v>
      </c>
      <c r="AB17" s="61">
        <f>42*2</f>
        <v>84</v>
      </c>
      <c r="AC17" s="73" t="s">
        <v>525</v>
      </c>
      <c r="AD17" s="73" t="s">
        <v>525</v>
      </c>
      <c r="AE17" s="112">
        <f t="shared" ref="AE17:AE26" si="7">R17/0.9</f>
        <v>27</v>
      </c>
      <c r="AF17" s="113">
        <f t="shared" si="6"/>
        <v>37.800000000000004</v>
      </c>
      <c r="AG17" s="110">
        <f t="shared" si="2"/>
        <v>42</v>
      </c>
      <c r="AH17" s="113">
        <f t="shared" si="3"/>
        <v>37.800000000000004</v>
      </c>
      <c r="AI17" s="114">
        <f>LOOKUP(W17,'2018 Escalator'!$A$9:$A$41,'2018 Escalator'!$G$9:$G$41)</f>
        <v>1.1803081251084759</v>
      </c>
      <c r="AJ17" s="115">
        <f t="shared" si="4"/>
        <v>6772608.0218724348</v>
      </c>
      <c r="AK17" s="104">
        <f t="shared" si="5"/>
        <v>6861131.1312555708</v>
      </c>
    </row>
    <row r="18" spans="1:37" x14ac:dyDescent="0.2">
      <c r="A18" s="57">
        <v>1700</v>
      </c>
      <c r="B18" s="68" t="s">
        <v>92</v>
      </c>
      <c r="C18" s="58" t="s">
        <v>534</v>
      </c>
      <c r="D18" s="73" t="s">
        <v>535</v>
      </c>
      <c r="E18" s="61" t="s">
        <v>108</v>
      </c>
      <c r="F18" s="58" t="s">
        <v>505</v>
      </c>
      <c r="G18" s="60">
        <v>2526867</v>
      </c>
      <c r="H18" s="60">
        <v>0</v>
      </c>
      <c r="I18" s="60">
        <f>184138+796190+44281+324026</f>
        <v>1348635</v>
      </c>
      <c r="J18" s="115">
        <f>SUM(G18:I18)</f>
        <v>3875502</v>
      </c>
      <c r="K18" s="115">
        <f>J18-L18</f>
        <v>3875502</v>
      </c>
      <c r="L18" s="60">
        <v>0</v>
      </c>
      <c r="M18" s="61" t="s">
        <v>99</v>
      </c>
      <c r="N18" s="60"/>
      <c r="O18" s="73"/>
      <c r="P18" s="61"/>
      <c r="Q18" s="68"/>
      <c r="R18" s="116">
        <v>13.4</v>
      </c>
      <c r="S18" s="117">
        <f t="shared" si="0"/>
        <v>0</v>
      </c>
      <c r="T18" s="116">
        <v>13.4</v>
      </c>
      <c r="U18" s="61">
        <v>2016</v>
      </c>
      <c r="V18" s="61">
        <v>2017</v>
      </c>
      <c r="W18" s="118">
        <f t="shared" si="1"/>
        <v>2016</v>
      </c>
      <c r="X18" s="120" t="s">
        <v>536</v>
      </c>
      <c r="Y18" s="73">
        <v>25</v>
      </c>
      <c r="Z18" s="121" t="s">
        <v>509</v>
      </c>
      <c r="AA18" s="121"/>
      <c r="AB18" s="73">
        <f>25+42</f>
        <v>67</v>
      </c>
      <c r="AC18" s="121"/>
      <c r="AD18" s="121"/>
      <c r="AE18" s="112">
        <f t="shared" si="7"/>
        <v>14.888888888888889</v>
      </c>
      <c r="AF18" s="113">
        <f t="shared" si="6"/>
        <v>22.5</v>
      </c>
      <c r="AG18" s="110">
        <f t="shared" si="2"/>
        <v>42</v>
      </c>
      <c r="AH18" s="113">
        <f t="shared" si="3"/>
        <v>37.800000000000004</v>
      </c>
      <c r="AI18" s="114">
        <f>LOOKUP(W18,'2018 Escalator'!$A$9:$A$41,'2018 Escalator'!$G$9:$G$41)</f>
        <v>1.038286218119775</v>
      </c>
      <c r="AJ18" s="115">
        <f t="shared" si="4"/>
        <v>4023880.3148956238</v>
      </c>
      <c r="AK18" s="104">
        <f t="shared" si="5"/>
        <v>4023880.3148956238</v>
      </c>
    </row>
    <row r="19" spans="1:37" x14ac:dyDescent="0.2">
      <c r="A19" s="57">
        <v>1569</v>
      </c>
      <c r="B19" s="68" t="s">
        <v>92</v>
      </c>
      <c r="C19" s="58" t="s">
        <v>537</v>
      </c>
      <c r="D19" s="73" t="s">
        <v>538</v>
      </c>
      <c r="E19" s="61" t="s">
        <v>108</v>
      </c>
      <c r="F19" s="58" t="s">
        <v>505</v>
      </c>
      <c r="G19" s="60">
        <f>3356792-1075000</f>
        <v>2281792</v>
      </c>
      <c r="H19" s="60">
        <v>0</v>
      </c>
      <c r="I19" s="60">
        <f>338696+602864+416589</f>
        <v>1358149</v>
      </c>
      <c r="J19" s="115">
        <f>SUM(G19:I19)</f>
        <v>3639941</v>
      </c>
      <c r="K19" s="115">
        <f>J19-L19</f>
        <v>3639941</v>
      </c>
      <c r="L19" s="60">
        <v>0</v>
      </c>
      <c r="M19" s="61" t="s">
        <v>99</v>
      </c>
      <c r="N19" s="60"/>
      <c r="O19" s="73">
        <v>1997</v>
      </c>
      <c r="P19" s="61">
        <v>2017</v>
      </c>
      <c r="Q19" s="68" t="s">
        <v>100</v>
      </c>
      <c r="R19" s="116">
        <v>17.7</v>
      </c>
      <c r="S19" s="117">
        <f t="shared" si="0"/>
        <v>0</v>
      </c>
      <c r="T19" s="116">
        <v>17.7</v>
      </c>
      <c r="U19" s="61">
        <v>2015</v>
      </c>
      <c r="V19" s="61">
        <v>2016</v>
      </c>
      <c r="W19" s="118">
        <f t="shared" si="1"/>
        <v>2015</v>
      </c>
      <c r="X19" s="120" t="s">
        <v>539</v>
      </c>
      <c r="Y19" s="73">
        <f>25+28.1</f>
        <v>53.1</v>
      </c>
      <c r="Z19" s="121" t="s">
        <v>509</v>
      </c>
      <c r="AA19" s="121"/>
      <c r="AB19" s="73">
        <f>28.1+42</f>
        <v>70.099999999999994</v>
      </c>
      <c r="AC19" s="121"/>
      <c r="AD19" s="121"/>
      <c r="AE19" s="112">
        <f t="shared" si="7"/>
        <v>19.666666666666664</v>
      </c>
      <c r="AF19" s="113">
        <f t="shared" si="6"/>
        <v>47.79</v>
      </c>
      <c r="AG19" s="110">
        <f t="shared" si="2"/>
        <v>16.999999999999993</v>
      </c>
      <c r="AH19" s="113">
        <f t="shared" si="3"/>
        <v>15.299999999999994</v>
      </c>
      <c r="AI19" s="114">
        <f>LOOKUP(W19,'2018 Escalator'!$A$9:$A$41,'2018 Escalator'!$G$9:$G$41)</f>
        <v>1.0267399975608473</v>
      </c>
      <c r="AJ19" s="115">
        <f t="shared" si="4"/>
        <v>3737273.013461628</v>
      </c>
      <c r="AK19" s="104">
        <f t="shared" si="5"/>
        <v>3737273.013461628</v>
      </c>
    </row>
    <row r="20" spans="1:37" x14ac:dyDescent="0.2">
      <c r="A20" s="57">
        <v>401</v>
      </c>
      <c r="B20" s="58" t="s">
        <v>92</v>
      </c>
      <c r="C20" s="69" t="s">
        <v>540</v>
      </c>
      <c r="D20" s="61" t="s">
        <v>541</v>
      </c>
      <c r="E20" s="73" t="s">
        <v>132</v>
      </c>
      <c r="F20" s="58" t="s">
        <v>505</v>
      </c>
      <c r="G20" s="60">
        <v>244000</v>
      </c>
      <c r="H20" s="60">
        <v>0</v>
      </c>
      <c r="I20" s="60">
        <v>0</v>
      </c>
      <c r="J20" s="115">
        <v>244000</v>
      </c>
      <c r="K20" s="115">
        <v>0</v>
      </c>
      <c r="L20" s="60">
        <v>244000</v>
      </c>
      <c r="M20" s="61" t="s">
        <v>99</v>
      </c>
      <c r="N20" s="60"/>
      <c r="O20" s="122">
        <v>1986</v>
      </c>
      <c r="P20" s="61">
        <v>2003</v>
      </c>
      <c r="Q20" s="58" t="s">
        <v>213</v>
      </c>
      <c r="R20" s="116">
        <v>2</v>
      </c>
      <c r="S20" s="117">
        <f t="shared" si="0"/>
        <v>1.5</v>
      </c>
      <c r="T20" s="116">
        <v>3.5</v>
      </c>
      <c r="U20" s="61">
        <v>2003</v>
      </c>
      <c r="V20" s="61">
        <v>2005</v>
      </c>
      <c r="W20" s="118">
        <f t="shared" si="1"/>
        <v>2004</v>
      </c>
      <c r="X20" s="67" t="s">
        <v>542</v>
      </c>
      <c r="Y20" s="61">
        <v>3</v>
      </c>
      <c r="Z20" s="73" t="s">
        <v>543</v>
      </c>
      <c r="AA20" s="73" t="s">
        <v>543</v>
      </c>
      <c r="AB20" s="61">
        <v>10</v>
      </c>
      <c r="AC20" s="73" t="s">
        <v>543</v>
      </c>
      <c r="AD20" s="73" t="s">
        <v>543</v>
      </c>
      <c r="AE20" s="112">
        <f t="shared" si="7"/>
        <v>2.2222222222222223</v>
      </c>
      <c r="AF20" s="113">
        <f t="shared" si="6"/>
        <v>2.7</v>
      </c>
      <c r="AG20" s="110">
        <f t="shared" si="2"/>
        <v>7</v>
      </c>
      <c r="AH20" s="113">
        <f t="shared" si="3"/>
        <v>6.3</v>
      </c>
      <c r="AI20" s="114">
        <f>LOOKUP(W20,'2018 Escalator'!$A$9:$A$41,'2018 Escalator'!$G$9:$G$41)</f>
        <v>1.483782020350688</v>
      </c>
      <c r="AJ20" s="115">
        <f t="shared" si="4"/>
        <v>362042.81296556786</v>
      </c>
      <c r="AK20" s="104">
        <f t="shared" si="5"/>
        <v>362042.81296556786</v>
      </c>
    </row>
    <row r="21" spans="1:37" x14ac:dyDescent="0.2">
      <c r="A21" s="57">
        <v>1412</v>
      </c>
      <c r="B21" s="68" t="s">
        <v>92</v>
      </c>
      <c r="C21" s="69" t="s">
        <v>540</v>
      </c>
      <c r="D21" s="73" t="s">
        <v>541</v>
      </c>
      <c r="E21" s="61" t="s">
        <v>132</v>
      </c>
      <c r="F21" s="58" t="s">
        <v>505</v>
      </c>
      <c r="G21" s="60">
        <f>2460000-695000</f>
        <v>1765000</v>
      </c>
      <c r="H21" s="60">
        <v>0</v>
      </c>
      <c r="I21" s="60">
        <f>256000+1519000+152000+552000</f>
        <v>2479000</v>
      </c>
      <c r="J21" s="115">
        <f>SUM(G21:I21)</f>
        <v>4244000</v>
      </c>
      <c r="K21" s="115">
        <f>J21-L21</f>
        <v>0</v>
      </c>
      <c r="L21" s="60">
        <v>4244000</v>
      </c>
      <c r="M21" s="61" t="s">
        <v>99</v>
      </c>
      <c r="N21" s="60"/>
      <c r="O21" s="73">
        <v>1986</v>
      </c>
      <c r="P21" s="61">
        <v>2016</v>
      </c>
      <c r="Q21" s="68" t="s">
        <v>213</v>
      </c>
      <c r="R21" s="116">
        <v>3.5</v>
      </c>
      <c r="S21" s="117">
        <f t="shared" si="0"/>
        <v>11</v>
      </c>
      <c r="T21" s="116">
        <v>14.5</v>
      </c>
      <c r="U21" s="61">
        <v>2016</v>
      </c>
      <c r="V21" s="61">
        <v>2016</v>
      </c>
      <c r="W21" s="118">
        <f t="shared" si="1"/>
        <v>2015</v>
      </c>
      <c r="X21" s="67" t="s">
        <v>544</v>
      </c>
      <c r="Y21" s="73">
        <v>10</v>
      </c>
      <c r="Z21" s="73"/>
      <c r="AA21" s="73"/>
      <c r="AB21" s="73">
        <v>14</v>
      </c>
      <c r="AC21" s="73"/>
      <c r="AD21" s="73"/>
      <c r="AE21" s="112">
        <f t="shared" si="7"/>
        <v>3.8888888888888888</v>
      </c>
      <c r="AF21" s="113">
        <f t="shared" si="6"/>
        <v>9</v>
      </c>
      <c r="AG21" s="110">
        <f t="shared" si="2"/>
        <v>4</v>
      </c>
      <c r="AH21" s="113">
        <f t="shared" si="3"/>
        <v>3.6</v>
      </c>
      <c r="AI21" s="114">
        <f>LOOKUP(W21,'2018 Escalator'!$A$9:$A$41,'2018 Escalator'!$G$9:$G$41)</f>
        <v>1.0267399975608473</v>
      </c>
      <c r="AJ21" s="115">
        <f t="shared" si="4"/>
        <v>4357484.5496482365</v>
      </c>
      <c r="AK21" s="104">
        <f t="shared" si="5"/>
        <v>4357484.5496482365</v>
      </c>
    </row>
    <row r="22" spans="1:37" x14ac:dyDescent="0.2">
      <c r="A22" s="57">
        <v>1318</v>
      </c>
      <c r="B22" s="68" t="s">
        <v>92</v>
      </c>
      <c r="C22" s="58" t="s">
        <v>545</v>
      </c>
      <c r="D22" s="73" t="s">
        <v>546</v>
      </c>
      <c r="E22" s="61" t="s">
        <v>108</v>
      </c>
      <c r="F22" s="58" t="s">
        <v>505</v>
      </c>
      <c r="G22" s="60">
        <v>1206315</v>
      </c>
      <c r="H22" s="60">
        <v>0</v>
      </c>
      <c r="I22" s="60">
        <f>162753+163503+4654+50499</f>
        <v>381409</v>
      </c>
      <c r="J22" s="115">
        <f>SUM(G22:I22)</f>
        <v>1587724</v>
      </c>
      <c r="K22" s="115">
        <f>J22-L22</f>
        <v>0</v>
      </c>
      <c r="L22" s="60">
        <v>1587724</v>
      </c>
      <c r="M22" s="61" t="s">
        <v>99</v>
      </c>
      <c r="N22" s="60"/>
      <c r="O22" s="73">
        <v>1997</v>
      </c>
      <c r="P22" s="61">
        <v>2015</v>
      </c>
      <c r="Q22" s="68" t="s">
        <v>100</v>
      </c>
      <c r="R22" s="116">
        <v>22.3</v>
      </c>
      <c r="S22" s="117">
        <f t="shared" si="0"/>
        <v>28.900000000000002</v>
      </c>
      <c r="T22" s="116">
        <v>51.2</v>
      </c>
      <c r="U22" s="61">
        <v>2013</v>
      </c>
      <c r="V22" s="61">
        <v>2014</v>
      </c>
      <c r="W22" s="118">
        <f t="shared" si="1"/>
        <v>2013</v>
      </c>
      <c r="X22" s="67" t="s">
        <v>528</v>
      </c>
      <c r="Y22" s="73">
        <f>47+42</f>
        <v>89</v>
      </c>
      <c r="Z22" s="73"/>
      <c r="AA22" s="73"/>
      <c r="AB22" s="73">
        <v>89</v>
      </c>
      <c r="AC22" s="73"/>
      <c r="AD22" s="73"/>
      <c r="AE22" s="112">
        <f t="shared" si="7"/>
        <v>24.777777777777779</v>
      </c>
      <c r="AF22" s="113">
        <f t="shared" si="6"/>
        <v>80.100000000000009</v>
      </c>
      <c r="AG22" s="110">
        <f t="shared" si="2"/>
        <v>0</v>
      </c>
      <c r="AH22" s="113">
        <f t="shared" si="3"/>
        <v>0</v>
      </c>
      <c r="AI22" s="114">
        <f>LOOKUP(W22,'2018 Escalator'!$A$9:$A$41,'2018 Escalator'!$G$9:$G$41)</f>
        <v>1.0630440922306721</v>
      </c>
      <c r="AJ22" s="115">
        <f t="shared" si="4"/>
        <v>1687820.6182928516</v>
      </c>
      <c r="AK22" s="104">
        <f t="shared" si="5"/>
        <v>1687820.6182928516</v>
      </c>
    </row>
    <row r="23" spans="1:37" x14ac:dyDescent="0.2">
      <c r="A23" s="57">
        <v>1194</v>
      </c>
      <c r="B23" s="58" t="s">
        <v>92</v>
      </c>
      <c r="C23" s="58" t="s">
        <v>547</v>
      </c>
      <c r="D23" s="61" t="s">
        <v>548</v>
      </c>
      <c r="E23" s="61" t="s">
        <v>108</v>
      </c>
      <c r="F23" s="58" t="s">
        <v>505</v>
      </c>
      <c r="G23" s="60">
        <v>1005466</v>
      </c>
      <c r="H23" s="60">
        <v>0</v>
      </c>
      <c r="I23" s="60">
        <v>409788</v>
      </c>
      <c r="J23" s="115">
        <v>1415254</v>
      </c>
      <c r="K23" s="115">
        <v>0</v>
      </c>
      <c r="L23" s="60">
        <v>1415254</v>
      </c>
      <c r="M23" s="61" t="s">
        <v>99</v>
      </c>
      <c r="N23" s="60"/>
      <c r="O23" s="73">
        <v>1980</v>
      </c>
      <c r="P23" s="61">
        <v>2013</v>
      </c>
      <c r="Q23" s="69" t="s">
        <v>100</v>
      </c>
      <c r="R23" s="116">
        <v>5.8</v>
      </c>
      <c r="S23" s="117">
        <f t="shared" si="0"/>
        <v>9.6000000000000014</v>
      </c>
      <c r="T23" s="116">
        <v>15.4</v>
      </c>
      <c r="U23" s="61">
        <v>2011</v>
      </c>
      <c r="V23" s="61">
        <v>2012</v>
      </c>
      <c r="W23" s="118">
        <f t="shared" si="1"/>
        <v>2011</v>
      </c>
      <c r="X23" s="67" t="s">
        <v>549</v>
      </c>
      <c r="Y23" s="61">
        <v>25</v>
      </c>
      <c r="Z23" s="73" t="s">
        <v>520</v>
      </c>
      <c r="AA23" s="73" t="s">
        <v>520</v>
      </c>
      <c r="AB23" s="61">
        <v>25</v>
      </c>
      <c r="AC23" s="73" t="s">
        <v>520</v>
      </c>
      <c r="AD23" s="73" t="s">
        <v>520</v>
      </c>
      <c r="AE23" s="112">
        <f t="shared" si="7"/>
        <v>6.4444444444444438</v>
      </c>
      <c r="AF23" s="113">
        <f t="shared" si="6"/>
        <v>22.5</v>
      </c>
      <c r="AG23" s="110">
        <f t="shared" si="2"/>
        <v>0</v>
      </c>
      <c r="AH23" s="113">
        <f t="shared" si="3"/>
        <v>0</v>
      </c>
      <c r="AI23" s="114">
        <f>LOOKUP(W23,'2018 Escalator'!$A$9:$A$41,'2018 Escalator'!$G$9:$G$41)</f>
        <v>1.1366200577120069</v>
      </c>
      <c r="AJ23" s="115">
        <f t="shared" si="4"/>
        <v>1608606.0831571487</v>
      </c>
      <c r="AK23" s="104">
        <f t="shared" si="5"/>
        <v>1608606.0831571487</v>
      </c>
    </row>
    <row r="24" spans="1:37" x14ac:dyDescent="0.2">
      <c r="A24" s="57">
        <v>801</v>
      </c>
      <c r="B24" s="58" t="s">
        <v>92</v>
      </c>
      <c r="C24" s="69" t="s">
        <v>550</v>
      </c>
      <c r="D24" s="61" t="s">
        <v>128</v>
      </c>
      <c r="E24" s="61" t="s">
        <v>108</v>
      </c>
      <c r="F24" s="58" t="s">
        <v>505</v>
      </c>
      <c r="G24" s="60"/>
      <c r="H24" s="60"/>
      <c r="I24" s="60"/>
      <c r="J24" s="115">
        <v>5346612</v>
      </c>
      <c r="K24" s="115">
        <v>5346612</v>
      </c>
      <c r="L24" s="60">
        <v>0</v>
      </c>
      <c r="M24" s="73" t="s">
        <v>99</v>
      </c>
      <c r="N24" s="60"/>
      <c r="O24" s="73">
        <v>2008</v>
      </c>
      <c r="P24" s="61">
        <v>2010</v>
      </c>
      <c r="Q24" s="68" t="s">
        <v>100</v>
      </c>
      <c r="R24" s="116">
        <v>10</v>
      </c>
      <c r="S24" s="117">
        <f t="shared" si="0"/>
        <v>0</v>
      </c>
      <c r="T24" s="116">
        <v>10</v>
      </c>
      <c r="U24" s="61">
        <v>2010</v>
      </c>
      <c r="V24" s="61">
        <v>2010</v>
      </c>
      <c r="W24" s="118">
        <f t="shared" si="1"/>
        <v>2009</v>
      </c>
      <c r="X24" s="57" t="s">
        <v>551</v>
      </c>
      <c r="Y24" s="61">
        <v>42</v>
      </c>
      <c r="Z24" s="73" t="s">
        <v>509</v>
      </c>
      <c r="AA24" s="73" t="s">
        <v>509</v>
      </c>
      <c r="AB24" s="61">
        <v>84</v>
      </c>
      <c r="AC24" s="73" t="s">
        <v>509</v>
      </c>
      <c r="AD24" s="73" t="s">
        <v>509</v>
      </c>
      <c r="AE24" s="112">
        <f t="shared" si="7"/>
        <v>11.111111111111111</v>
      </c>
      <c r="AF24" s="113">
        <f t="shared" si="6"/>
        <v>37.800000000000004</v>
      </c>
      <c r="AG24" s="110">
        <f t="shared" si="2"/>
        <v>42</v>
      </c>
      <c r="AH24" s="113">
        <f t="shared" si="3"/>
        <v>37.800000000000004</v>
      </c>
      <c r="AI24" s="114">
        <f>LOOKUP(W24,'2018 Escalator'!$A$9:$A$41,'2018 Escalator'!$G$9:$G$41)</f>
        <v>1.1803081251084759</v>
      </c>
      <c r="AJ24" s="115">
        <f t="shared" si="4"/>
        <v>6310649.5854024785</v>
      </c>
      <c r="AK24" s="104">
        <f t="shared" si="5"/>
        <v>6310649.5854024785</v>
      </c>
    </row>
    <row r="25" spans="1:37" x14ac:dyDescent="0.2">
      <c r="A25" s="57">
        <v>804</v>
      </c>
      <c r="B25" s="58" t="s">
        <v>92</v>
      </c>
      <c r="C25" s="58" t="s">
        <v>552</v>
      </c>
      <c r="D25" s="61" t="s">
        <v>553</v>
      </c>
      <c r="E25" s="61" t="s">
        <v>108</v>
      </c>
      <c r="F25" s="58" t="s">
        <v>505</v>
      </c>
      <c r="G25" s="60">
        <f>6062349+0</f>
        <v>6062349</v>
      </c>
      <c r="H25" s="60">
        <v>106410</v>
      </c>
      <c r="I25" s="60">
        <f>48665+1212950+0+393382-1-65867</f>
        <v>1589129</v>
      </c>
      <c r="J25" s="115">
        <f>SUM(G25:I25)</f>
        <v>7757888</v>
      </c>
      <c r="K25" s="115">
        <f>J25-L25</f>
        <v>6382288</v>
      </c>
      <c r="L25" s="60">
        <v>1375600</v>
      </c>
      <c r="M25" s="61" t="s">
        <v>129</v>
      </c>
      <c r="N25" s="60">
        <v>5100734</v>
      </c>
      <c r="O25" s="73">
        <v>1982</v>
      </c>
      <c r="P25" s="61">
        <v>2011</v>
      </c>
      <c r="Q25" s="58" t="s">
        <v>100</v>
      </c>
      <c r="R25" s="116">
        <v>14.429</v>
      </c>
      <c r="S25" s="117">
        <f t="shared" si="0"/>
        <v>9.8710000000000004</v>
      </c>
      <c r="T25" s="116">
        <v>24.3</v>
      </c>
      <c r="U25" s="61">
        <v>2007</v>
      </c>
      <c r="V25" s="61">
        <v>2010</v>
      </c>
      <c r="W25" s="118">
        <f t="shared" si="1"/>
        <v>2009</v>
      </c>
      <c r="X25" s="57" t="s">
        <v>554</v>
      </c>
      <c r="Y25" s="61">
        <v>28</v>
      </c>
      <c r="Z25" s="73" t="s">
        <v>509</v>
      </c>
      <c r="AA25" s="73" t="s">
        <v>509</v>
      </c>
      <c r="AB25" s="61">
        <v>53</v>
      </c>
      <c r="AC25" s="73" t="s">
        <v>509</v>
      </c>
      <c r="AD25" s="73" t="s">
        <v>509</v>
      </c>
      <c r="AE25" s="112">
        <f t="shared" si="7"/>
        <v>16.032222222222224</v>
      </c>
      <c r="AF25" s="113">
        <f t="shared" si="6"/>
        <v>25.2</v>
      </c>
      <c r="AG25" s="110">
        <f t="shared" si="2"/>
        <v>25</v>
      </c>
      <c r="AH25" s="113">
        <f t="shared" si="3"/>
        <v>22.5</v>
      </c>
      <c r="AI25" s="114">
        <f>LOOKUP(W25,'2018 Escalator'!$A$9:$A$41,'2018 Escalator'!$G$9:$G$41)</f>
        <v>1.1803081251084759</v>
      </c>
      <c r="AJ25" s="115">
        <f t="shared" si="4"/>
        <v>9156698.240081545</v>
      </c>
      <c r="AK25" s="104">
        <f t="shared" si="5"/>
        <v>15177136.024298601</v>
      </c>
    </row>
    <row r="26" spans="1:37" x14ac:dyDescent="0.2">
      <c r="A26" s="57">
        <v>365</v>
      </c>
      <c r="B26" s="58" t="s">
        <v>92</v>
      </c>
      <c r="C26" s="58" t="s">
        <v>555</v>
      </c>
      <c r="D26" s="61" t="s">
        <v>556</v>
      </c>
      <c r="E26" s="61" t="s">
        <v>108</v>
      </c>
      <c r="F26" s="58" t="s">
        <v>505</v>
      </c>
      <c r="G26" s="60">
        <v>392172.28</v>
      </c>
      <c r="H26" s="60">
        <v>0</v>
      </c>
      <c r="I26" s="60">
        <v>0</v>
      </c>
      <c r="J26" s="115">
        <v>392172</v>
      </c>
      <c r="K26" s="115">
        <v>0</v>
      </c>
      <c r="L26" s="60">
        <v>392172</v>
      </c>
      <c r="M26" s="61" t="s">
        <v>99</v>
      </c>
      <c r="N26" s="60"/>
      <c r="O26" s="122">
        <v>1982</v>
      </c>
      <c r="P26" s="61">
        <v>2005</v>
      </c>
      <c r="Q26" s="58" t="s">
        <v>100</v>
      </c>
      <c r="R26" s="116">
        <v>15.9</v>
      </c>
      <c r="S26" s="117">
        <f t="shared" si="0"/>
        <v>0.26900000000000013</v>
      </c>
      <c r="T26" s="116">
        <v>16.169</v>
      </c>
      <c r="U26" s="61">
        <v>2003</v>
      </c>
      <c r="V26" s="61">
        <v>2004</v>
      </c>
      <c r="W26" s="118">
        <f t="shared" si="1"/>
        <v>2003</v>
      </c>
      <c r="X26" s="57" t="s">
        <v>515</v>
      </c>
      <c r="Y26" s="61">
        <v>25</v>
      </c>
      <c r="Z26" s="73" t="s">
        <v>509</v>
      </c>
      <c r="AA26" s="73" t="s">
        <v>509</v>
      </c>
      <c r="AB26" s="61">
        <v>25</v>
      </c>
      <c r="AC26" s="73" t="s">
        <v>509</v>
      </c>
      <c r="AD26" s="73" t="s">
        <v>509</v>
      </c>
      <c r="AE26" s="112">
        <f t="shared" si="7"/>
        <v>17.666666666666668</v>
      </c>
      <c r="AF26" s="113">
        <f t="shared" si="6"/>
        <v>22.5</v>
      </c>
      <c r="AG26" s="110">
        <f t="shared" si="2"/>
        <v>0</v>
      </c>
      <c r="AH26" s="113">
        <f t="shared" si="3"/>
        <v>0</v>
      </c>
      <c r="AI26" s="114">
        <f>LOOKUP(W26,'2018 Escalator'!$A$9:$A$41,'2018 Escalator'!$G$9:$G$41)</f>
        <v>1.5199278197444033</v>
      </c>
      <c r="AJ26" s="115">
        <f t="shared" si="4"/>
        <v>596073.13292480214</v>
      </c>
      <c r="AK26" s="104">
        <f t="shared" si="5"/>
        <v>596073.13292480214</v>
      </c>
    </row>
    <row r="27" spans="1:37" x14ac:dyDescent="0.2">
      <c r="A27" s="57">
        <v>708</v>
      </c>
      <c r="B27" s="58" t="s">
        <v>92</v>
      </c>
      <c r="C27" s="69" t="s">
        <v>557</v>
      </c>
      <c r="D27" s="61" t="s">
        <v>556</v>
      </c>
      <c r="E27" s="61" t="s">
        <v>108</v>
      </c>
      <c r="F27" s="58" t="s">
        <v>505</v>
      </c>
      <c r="G27" s="60">
        <v>5456203</v>
      </c>
      <c r="H27" s="60">
        <v>0</v>
      </c>
      <c r="I27" s="60">
        <v>0</v>
      </c>
      <c r="J27" s="115">
        <v>5456203</v>
      </c>
      <c r="K27" s="115">
        <v>3135427</v>
      </c>
      <c r="L27" s="60">
        <v>2320776</v>
      </c>
      <c r="M27" s="61" t="s">
        <v>99</v>
      </c>
      <c r="N27" s="60"/>
      <c r="O27" s="73">
        <v>1982</v>
      </c>
      <c r="P27" s="61">
        <v>2009</v>
      </c>
      <c r="Q27" s="58" t="s">
        <v>100</v>
      </c>
      <c r="R27" s="116">
        <v>16.2</v>
      </c>
      <c r="S27" s="117">
        <f t="shared" si="0"/>
        <v>11.5</v>
      </c>
      <c r="T27" s="116">
        <v>27.7</v>
      </c>
      <c r="U27" s="61">
        <v>2003</v>
      </c>
      <c r="V27" s="61">
        <v>2008</v>
      </c>
      <c r="W27" s="118">
        <f t="shared" si="1"/>
        <v>2007</v>
      </c>
      <c r="X27" s="57" t="s">
        <v>558</v>
      </c>
      <c r="Y27" s="61">
        <v>25</v>
      </c>
      <c r="Z27" s="73" t="s">
        <v>522</v>
      </c>
      <c r="AA27" s="73" t="s">
        <v>522</v>
      </c>
      <c r="AB27" s="61">
        <v>50</v>
      </c>
      <c r="AC27" s="73" t="s">
        <v>522</v>
      </c>
      <c r="AD27" s="73" t="s">
        <v>522</v>
      </c>
      <c r="AE27" s="123">
        <f>AE26+AG26</f>
        <v>17.666666666666668</v>
      </c>
      <c r="AF27" s="113">
        <f t="shared" si="6"/>
        <v>22.5</v>
      </c>
      <c r="AG27" s="110">
        <f t="shared" si="2"/>
        <v>25</v>
      </c>
      <c r="AH27" s="113">
        <f t="shared" si="3"/>
        <v>22.5</v>
      </c>
      <c r="AI27" s="114">
        <f>LOOKUP(W27,'2018 Escalator'!$A$9:$A$41,'2018 Escalator'!$G$9:$G$41)</f>
        <v>1.2531539462632446</v>
      </c>
      <c r="AJ27" s="115">
        <f t="shared" si="4"/>
        <v>6837462.3210633537</v>
      </c>
      <c r="AK27" s="104">
        <f t="shared" si="5"/>
        <v>6837462.3210633537</v>
      </c>
    </row>
    <row r="28" spans="1:37" x14ac:dyDescent="0.2">
      <c r="A28" s="57">
        <v>1568</v>
      </c>
      <c r="B28" s="68" t="s">
        <v>92</v>
      </c>
      <c r="C28" s="58" t="s">
        <v>559</v>
      </c>
      <c r="D28" s="73" t="s">
        <v>556</v>
      </c>
      <c r="E28" s="61" t="s">
        <v>108</v>
      </c>
      <c r="F28" s="58" t="s">
        <v>505</v>
      </c>
      <c r="G28" s="60">
        <f>3772623-1705394</f>
        <v>2067229</v>
      </c>
      <c r="H28" s="60"/>
      <c r="I28" s="60">
        <f>242903+445571+299164+436669</f>
        <v>1424307</v>
      </c>
      <c r="J28" s="115">
        <f t="shared" ref="J28:J33" si="8">SUM(G28:I28)</f>
        <v>3491536</v>
      </c>
      <c r="K28" s="115">
        <f>J28-L28</f>
        <v>1312636</v>
      </c>
      <c r="L28" s="60">
        <v>2178900</v>
      </c>
      <c r="M28" s="61" t="s">
        <v>99</v>
      </c>
      <c r="N28" s="60"/>
      <c r="O28" s="73">
        <v>1997</v>
      </c>
      <c r="P28" s="61">
        <v>2016</v>
      </c>
      <c r="Q28" s="68" t="s">
        <v>100</v>
      </c>
      <c r="R28" s="116">
        <v>27.7</v>
      </c>
      <c r="S28" s="117">
        <f t="shared" si="0"/>
        <v>8.0999999999999979</v>
      </c>
      <c r="T28" s="116">
        <v>35.799999999999997</v>
      </c>
      <c r="U28" s="61">
        <v>2014</v>
      </c>
      <c r="V28" s="61">
        <v>2016</v>
      </c>
      <c r="W28" s="118">
        <f t="shared" si="1"/>
        <v>2015</v>
      </c>
      <c r="X28" s="67" t="s">
        <v>560</v>
      </c>
      <c r="Y28" s="61">
        <f>25*2</f>
        <v>50</v>
      </c>
      <c r="Z28" s="73"/>
      <c r="AA28" s="73"/>
      <c r="AB28" s="61">
        <v>84</v>
      </c>
      <c r="AC28" s="73"/>
      <c r="AD28" s="73"/>
      <c r="AE28" s="112">
        <f t="shared" ref="AE28:AE54" si="9">R28/0.9</f>
        <v>30.777777777777775</v>
      </c>
      <c r="AF28" s="113">
        <f t="shared" si="6"/>
        <v>45</v>
      </c>
      <c r="AG28" s="110">
        <f t="shared" si="2"/>
        <v>34</v>
      </c>
      <c r="AH28" s="113">
        <f t="shared" si="3"/>
        <v>30.6</v>
      </c>
      <c r="AI28" s="114">
        <f>LOOKUP(W28,'2018 Escalator'!$A$9:$A$41,'2018 Escalator'!$G$9:$G$41)</f>
        <v>1.0267399975608473</v>
      </c>
      <c r="AJ28" s="115">
        <f t="shared" si="4"/>
        <v>3584899.6641236106</v>
      </c>
      <c r="AK28" s="104">
        <f t="shared" si="5"/>
        <v>3584899.6641236106</v>
      </c>
    </row>
    <row r="29" spans="1:37" x14ac:dyDescent="0.2">
      <c r="A29" s="57">
        <v>398</v>
      </c>
      <c r="B29" s="58" t="s">
        <v>92</v>
      </c>
      <c r="C29" s="58" t="s">
        <v>561</v>
      </c>
      <c r="D29" s="61" t="s">
        <v>562</v>
      </c>
      <c r="E29" s="61" t="s">
        <v>108</v>
      </c>
      <c r="F29" s="58" t="s">
        <v>505</v>
      </c>
      <c r="G29" s="60">
        <v>980390</v>
      </c>
      <c r="H29" s="60">
        <v>0</v>
      </c>
      <c r="I29" s="60">
        <v>0</v>
      </c>
      <c r="J29" s="115">
        <f t="shared" si="8"/>
        <v>980390</v>
      </c>
      <c r="K29" s="115">
        <f>J29-L29</f>
        <v>0</v>
      </c>
      <c r="L29" s="60">
        <v>980390</v>
      </c>
      <c r="M29" s="61" t="s">
        <v>99</v>
      </c>
      <c r="N29" s="60"/>
      <c r="O29" s="122">
        <v>1981</v>
      </c>
      <c r="P29" s="61">
        <v>2006</v>
      </c>
      <c r="Q29" s="58" t="s">
        <v>100</v>
      </c>
      <c r="R29" s="116">
        <v>27.329000000000001</v>
      </c>
      <c r="S29" s="117">
        <f t="shared" si="0"/>
        <v>2</v>
      </c>
      <c r="T29" s="116">
        <v>29.329000000000001</v>
      </c>
      <c r="U29" s="61">
        <v>2003</v>
      </c>
      <c r="V29" s="61">
        <v>2005</v>
      </c>
      <c r="W29" s="118">
        <f t="shared" si="1"/>
        <v>2004</v>
      </c>
      <c r="X29" s="57" t="s">
        <v>528</v>
      </c>
      <c r="Y29" s="61">
        <f>42+25</f>
        <v>67</v>
      </c>
      <c r="Z29" s="73" t="s">
        <v>525</v>
      </c>
      <c r="AA29" s="73" t="s">
        <v>525</v>
      </c>
      <c r="AB29" s="61">
        <v>67</v>
      </c>
      <c r="AC29" s="73" t="s">
        <v>525</v>
      </c>
      <c r="AD29" s="73" t="s">
        <v>525</v>
      </c>
      <c r="AE29" s="112">
        <f t="shared" si="9"/>
        <v>30.365555555555556</v>
      </c>
      <c r="AF29" s="113">
        <f t="shared" si="6"/>
        <v>60.300000000000004</v>
      </c>
      <c r="AG29" s="110">
        <f t="shared" si="2"/>
        <v>0</v>
      </c>
      <c r="AH29" s="113">
        <f t="shared" si="3"/>
        <v>0</v>
      </c>
      <c r="AI29" s="114">
        <f>LOOKUP(W29,'2018 Escalator'!$A$9:$A$41,'2018 Escalator'!$G$9:$G$41)</f>
        <v>1.483782020350688</v>
      </c>
      <c r="AJ29" s="115">
        <f t="shared" si="4"/>
        <v>1454685.0549316111</v>
      </c>
      <c r="AK29" s="104">
        <f t="shared" si="5"/>
        <v>1454685.0549316111</v>
      </c>
    </row>
    <row r="30" spans="1:37" x14ac:dyDescent="0.2">
      <c r="A30" s="57">
        <v>1642</v>
      </c>
      <c r="B30" s="68" t="s">
        <v>92</v>
      </c>
      <c r="C30" s="58" t="s">
        <v>563</v>
      </c>
      <c r="D30" s="73" t="s">
        <v>564</v>
      </c>
      <c r="E30" s="61" t="s">
        <v>108</v>
      </c>
      <c r="F30" s="58" t="s">
        <v>505</v>
      </c>
      <c r="G30" s="60">
        <f>6850000+79737+15598</f>
        <v>6945335</v>
      </c>
      <c r="H30" s="60">
        <v>420000</v>
      </c>
      <c r="I30" s="60">
        <f>274000+1545000+62000+541000+16993+42625+23243-1</f>
        <v>2504860</v>
      </c>
      <c r="J30" s="115">
        <f t="shared" si="8"/>
        <v>9870195</v>
      </c>
      <c r="K30" s="115">
        <f>J30-L30</f>
        <v>8993655</v>
      </c>
      <c r="L30" s="60">
        <v>876540</v>
      </c>
      <c r="M30" s="61" t="s">
        <v>99</v>
      </c>
      <c r="N30" s="60"/>
      <c r="O30" s="73" t="s">
        <v>565</v>
      </c>
      <c r="P30" s="61">
        <v>2015</v>
      </c>
      <c r="Q30" s="68" t="s">
        <v>213</v>
      </c>
      <c r="R30" s="116">
        <v>16.12</v>
      </c>
      <c r="S30" s="117">
        <f t="shared" si="0"/>
        <v>2.7799999999999976</v>
      </c>
      <c r="T30" s="116">
        <v>18.899999999999999</v>
      </c>
      <c r="U30" s="61">
        <v>2016</v>
      </c>
      <c r="V30" s="61">
        <v>2016</v>
      </c>
      <c r="W30" s="118">
        <f t="shared" si="1"/>
        <v>2015</v>
      </c>
      <c r="X30" s="67" t="s">
        <v>566</v>
      </c>
      <c r="Y30" s="73">
        <v>25</v>
      </c>
      <c r="Z30" s="73"/>
      <c r="AA30" s="73"/>
      <c r="AB30" s="73">
        <f>25+42</f>
        <v>67</v>
      </c>
      <c r="AC30" s="73"/>
      <c r="AD30" s="73"/>
      <c r="AE30" s="112">
        <f t="shared" si="9"/>
        <v>17.911111111111111</v>
      </c>
      <c r="AF30" s="113">
        <f t="shared" si="6"/>
        <v>22.5</v>
      </c>
      <c r="AG30" s="110">
        <f t="shared" si="2"/>
        <v>42</v>
      </c>
      <c r="AH30" s="113">
        <f t="shared" si="3"/>
        <v>37.800000000000004</v>
      </c>
      <c r="AI30" s="114">
        <f>LOOKUP(W30,'2018 Escalator'!$A$9:$A$41,'2018 Escalator'!$G$9:$G$41)</f>
        <v>1.0267399975608473</v>
      </c>
      <c r="AJ30" s="115">
        <f t="shared" si="4"/>
        <v>10134123.990225088</v>
      </c>
      <c r="AK30" s="104">
        <f t="shared" si="5"/>
        <v>10134123.990225088</v>
      </c>
    </row>
    <row r="31" spans="1:37" x14ac:dyDescent="0.2">
      <c r="A31" s="57">
        <v>522</v>
      </c>
      <c r="B31" s="58" t="s">
        <v>92</v>
      </c>
      <c r="C31" s="58" t="s">
        <v>567</v>
      </c>
      <c r="D31" s="61" t="s">
        <v>568</v>
      </c>
      <c r="E31" s="61" t="s">
        <v>108</v>
      </c>
      <c r="F31" s="58" t="s">
        <v>505</v>
      </c>
      <c r="G31" s="60">
        <v>275976</v>
      </c>
      <c r="H31" s="60">
        <v>0</v>
      </c>
      <c r="I31" s="60">
        <v>96847</v>
      </c>
      <c r="J31" s="115">
        <f t="shared" si="8"/>
        <v>372823</v>
      </c>
      <c r="K31" s="115">
        <f>J31-L31</f>
        <v>0</v>
      </c>
      <c r="L31" s="60">
        <v>372823</v>
      </c>
      <c r="M31" s="61" t="s">
        <v>129</v>
      </c>
      <c r="N31" s="60">
        <v>0</v>
      </c>
      <c r="O31" s="73">
        <v>1981</v>
      </c>
      <c r="P31" s="61">
        <v>2008</v>
      </c>
      <c r="Q31" s="58" t="s">
        <v>100</v>
      </c>
      <c r="R31" s="116">
        <v>38.700000000000003</v>
      </c>
      <c r="S31" s="117">
        <f t="shared" si="0"/>
        <v>2.2999999999999972</v>
      </c>
      <c r="T31" s="116">
        <v>41</v>
      </c>
      <c r="U31" s="61">
        <v>2006</v>
      </c>
      <c r="V31" s="61">
        <v>2007</v>
      </c>
      <c r="W31" s="118">
        <f t="shared" si="1"/>
        <v>2006</v>
      </c>
      <c r="X31" s="57" t="s">
        <v>515</v>
      </c>
      <c r="Y31" s="61">
        <f>42*2</f>
        <v>84</v>
      </c>
      <c r="Z31" s="73" t="s">
        <v>516</v>
      </c>
      <c r="AA31" s="73" t="s">
        <v>516</v>
      </c>
      <c r="AB31" s="61">
        <v>84</v>
      </c>
      <c r="AC31" s="73" t="s">
        <v>516</v>
      </c>
      <c r="AD31" s="73" t="s">
        <v>516</v>
      </c>
      <c r="AE31" s="112">
        <f t="shared" si="9"/>
        <v>43</v>
      </c>
      <c r="AF31" s="113">
        <f t="shared" si="6"/>
        <v>75.600000000000009</v>
      </c>
      <c r="AG31" s="110">
        <f t="shared" si="2"/>
        <v>0</v>
      </c>
      <c r="AH31" s="113">
        <f t="shared" si="3"/>
        <v>0</v>
      </c>
      <c r="AI31" s="114">
        <f>LOOKUP(W31,'2018 Escalator'!$A$9:$A$41,'2018 Escalator'!$G$9:$G$41)</f>
        <v>1.3230619810637019</v>
      </c>
      <c r="AJ31" s="115">
        <f t="shared" si="4"/>
        <v>493267.93696611252</v>
      </c>
      <c r="AK31" s="104">
        <f t="shared" si="5"/>
        <v>493267.93696611252</v>
      </c>
    </row>
    <row r="32" spans="1:37" x14ac:dyDescent="0.2">
      <c r="A32" s="57">
        <v>170</v>
      </c>
      <c r="B32" s="58" t="s">
        <v>569</v>
      </c>
      <c r="C32" s="58" t="s">
        <v>570</v>
      </c>
      <c r="D32" s="61" t="s">
        <v>571</v>
      </c>
      <c r="E32" s="61" t="s">
        <v>93</v>
      </c>
      <c r="F32" s="58" t="s">
        <v>505</v>
      </c>
      <c r="G32" s="60">
        <v>2770420</v>
      </c>
      <c r="H32" s="60">
        <v>0</v>
      </c>
      <c r="I32" s="60">
        <v>0</v>
      </c>
      <c r="J32" s="115">
        <f t="shared" si="8"/>
        <v>2770420</v>
      </c>
      <c r="K32" s="115">
        <f>J32-L32</f>
        <v>0</v>
      </c>
      <c r="L32" s="60">
        <v>2770420</v>
      </c>
      <c r="M32" s="61" t="s">
        <v>99</v>
      </c>
      <c r="N32" s="60"/>
      <c r="O32" s="73" t="s">
        <v>565</v>
      </c>
      <c r="P32" s="61">
        <v>2001</v>
      </c>
      <c r="Q32" s="58" t="s">
        <v>100</v>
      </c>
      <c r="R32" s="116">
        <v>20.399999999999999</v>
      </c>
      <c r="S32" s="117">
        <f t="shared" si="0"/>
        <v>5.6000000000000014</v>
      </c>
      <c r="T32" s="116">
        <v>26</v>
      </c>
      <c r="U32" s="61">
        <v>2001</v>
      </c>
      <c r="V32" s="61">
        <v>2002</v>
      </c>
      <c r="W32" s="118">
        <f t="shared" si="1"/>
        <v>2001</v>
      </c>
      <c r="X32" s="57" t="s">
        <v>572</v>
      </c>
      <c r="Y32" s="61">
        <f>13.4+25</f>
        <v>38.4</v>
      </c>
      <c r="Z32" s="73" t="s">
        <v>573</v>
      </c>
      <c r="AA32" s="73" t="s">
        <v>573</v>
      </c>
      <c r="AB32" s="61">
        <f>25+25</f>
        <v>50</v>
      </c>
      <c r="AC32" s="73" t="s">
        <v>573</v>
      </c>
      <c r="AD32" s="73" t="s">
        <v>573</v>
      </c>
      <c r="AE32" s="112">
        <f t="shared" si="9"/>
        <v>22.666666666666664</v>
      </c>
      <c r="AF32" s="113">
        <f t="shared" si="6"/>
        <v>34.56</v>
      </c>
      <c r="AG32" s="110">
        <f t="shared" si="2"/>
        <v>11.600000000000001</v>
      </c>
      <c r="AH32" s="113">
        <f t="shared" si="3"/>
        <v>10.440000000000001</v>
      </c>
      <c r="AI32" s="114">
        <f>LOOKUP(W32,'2018 Escalator'!$A$9:$A$41,'2018 Escalator'!$G$9:$G$41)</f>
        <v>1.6003864207225198</v>
      </c>
      <c r="AJ32" s="115">
        <f t="shared" si="4"/>
        <v>4433742.5476980833</v>
      </c>
      <c r="AK32" s="104">
        <f t="shared" si="5"/>
        <v>4433742.5476980833</v>
      </c>
    </row>
    <row r="33" spans="1:37" x14ac:dyDescent="0.2">
      <c r="A33" s="57">
        <v>1312</v>
      </c>
      <c r="B33" s="69" t="s">
        <v>92</v>
      </c>
      <c r="C33" s="68" t="s">
        <v>574</v>
      </c>
      <c r="D33" s="119" t="s">
        <v>571</v>
      </c>
      <c r="E33" s="119" t="s">
        <v>93</v>
      </c>
      <c r="F33" s="68" t="s">
        <v>505</v>
      </c>
      <c r="G33" s="60">
        <v>4112901</v>
      </c>
      <c r="H33" s="60">
        <v>0</v>
      </c>
      <c r="I33" s="60">
        <f>171788+1243835+138702</f>
        <v>1554325</v>
      </c>
      <c r="J33" s="115">
        <f t="shared" si="8"/>
        <v>5667226</v>
      </c>
      <c r="K33" s="115">
        <v>6017052</v>
      </c>
      <c r="L33" s="60">
        <v>0</v>
      </c>
      <c r="M33" s="61" t="s">
        <v>99</v>
      </c>
      <c r="N33" s="60"/>
      <c r="O33" s="73" t="s">
        <v>565</v>
      </c>
      <c r="P33" s="61">
        <v>2015</v>
      </c>
      <c r="Q33" s="69" t="s">
        <v>100</v>
      </c>
      <c r="R33" s="116">
        <v>23.63</v>
      </c>
      <c r="S33" s="117">
        <f t="shared" si="0"/>
        <v>0</v>
      </c>
      <c r="T33" s="116">
        <v>23.63</v>
      </c>
      <c r="U33" s="61">
        <v>2011</v>
      </c>
      <c r="V33" s="61">
        <v>2014</v>
      </c>
      <c r="W33" s="118">
        <f t="shared" si="1"/>
        <v>2013</v>
      </c>
      <c r="X33" s="57" t="s">
        <v>575</v>
      </c>
      <c r="Y33" s="61">
        <f>25+25</f>
        <v>50</v>
      </c>
      <c r="Z33" s="73" t="s">
        <v>573</v>
      </c>
      <c r="AA33" s="73" t="s">
        <v>573</v>
      </c>
      <c r="AB33" s="61">
        <v>75</v>
      </c>
      <c r="AC33" s="73" t="s">
        <v>573</v>
      </c>
      <c r="AD33" s="73" t="s">
        <v>573</v>
      </c>
      <c r="AE33" s="112">
        <f t="shared" si="9"/>
        <v>26.255555555555553</v>
      </c>
      <c r="AF33" s="113">
        <f t="shared" si="6"/>
        <v>45</v>
      </c>
      <c r="AG33" s="110">
        <f t="shared" si="2"/>
        <v>25</v>
      </c>
      <c r="AH33" s="113">
        <f t="shared" si="3"/>
        <v>22.5</v>
      </c>
      <c r="AI33" s="114">
        <f>LOOKUP(W33,'2018 Escalator'!$A$9:$A$41,'2018 Escalator'!$G$9:$G$41)</f>
        <v>1.0630440922306721</v>
      </c>
      <c r="AJ33" s="115">
        <f t="shared" si="4"/>
        <v>6024511.1186360633</v>
      </c>
      <c r="AK33" s="104">
        <f t="shared" si="5"/>
        <v>6024511.1186360633</v>
      </c>
    </row>
    <row r="34" spans="1:37" x14ac:dyDescent="0.2">
      <c r="A34" s="57">
        <v>170</v>
      </c>
      <c r="B34" s="58" t="s">
        <v>569</v>
      </c>
      <c r="C34" s="58" t="s">
        <v>570</v>
      </c>
      <c r="D34" s="61" t="s">
        <v>576</v>
      </c>
      <c r="E34" s="61" t="s">
        <v>93</v>
      </c>
      <c r="F34" s="58" t="s">
        <v>505</v>
      </c>
      <c r="G34" s="60">
        <v>3051130</v>
      </c>
      <c r="H34" s="60">
        <v>0</v>
      </c>
      <c r="I34" s="60">
        <v>0</v>
      </c>
      <c r="J34" s="115">
        <v>3051130</v>
      </c>
      <c r="K34" s="115">
        <v>0</v>
      </c>
      <c r="L34" s="60">
        <v>3051130</v>
      </c>
      <c r="M34" s="61" t="s">
        <v>99</v>
      </c>
      <c r="N34" s="60"/>
      <c r="O34" s="73" t="s">
        <v>565</v>
      </c>
      <c r="P34" s="61">
        <v>2001</v>
      </c>
      <c r="Q34" s="58" t="s">
        <v>100</v>
      </c>
      <c r="R34" s="116">
        <v>21.6</v>
      </c>
      <c r="S34" s="117">
        <f t="shared" si="0"/>
        <v>1</v>
      </c>
      <c r="T34" s="116">
        <v>22.6</v>
      </c>
      <c r="U34" s="61">
        <v>2001</v>
      </c>
      <c r="V34" s="61">
        <v>2002</v>
      </c>
      <c r="W34" s="118">
        <f t="shared" si="1"/>
        <v>2001</v>
      </c>
      <c r="X34" s="57" t="s">
        <v>577</v>
      </c>
      <c r="Y34" s="61">
        <f>13.4+16.7</f>
        <v>30.1</v>
      </c>
      <c r="AB34" s="61">
        <f>25+25</f>
        <v>50</v>
      </c>
      <c r="AE34" s="112">
        <f t="shared" si="9"/>
        <v>24</v>
      </c>
      <c r="AF34" s="113">
        <f t="shared" si="6"/>
        <v>27.090000000000003</v>
      </c>
      <c r="AG34" s="110">
        <f t="shared" si="2"/>
        <v>19.899999999999999</v>
      </c>
      <c r="AH34" s="113">
        <f t="shared" si="3"/>
        <v>17.91</v>
      </c>
      <c r="AI34" s="114">
        <f>LOOKUP(W34,'2018 Escalator'!$A$9:$A$41,'2018 Escalator'!$G$9:$G$41)</f>
        <v>1.6003864207225198</v>
      </c>
      <c r="AJ34" s="115">
        <f t="shared" si="4"/>
        <v>4882987.0198591016</v>
      </c>
      <c r="AK34" s="104">
        <f t="shared" si="5"/>
        <v>4882987.0198591016</v>
      </c>
    </row>
    <row r="35" spans="1:37" x14ac:dyDescent="0.2">
      <c r="A35" s="57">
        <v>1366</v>
      </c>
      <c r="B35" s="68" t="s">
        <v>92</v>
      </c>
      <c r="C35" s="58" t="s">
        <v>578</v>
      </c>
      <c r="D35" s="73" t="s">
        <v>576</v>
      </c>
      <c r="E35" s="61" t="s">
        <v>93</v>
      </c>
      <c r="F35" s="58" t="s">
        <v>505</v>
      </c>
      <c r="G35" s="60">
        <v>3573766</v>
      </c>
      <c r="H35" s="60">
        <v>182192</v>
      </c>
      <c r="I35" s="60">
        <f>241029+1097873+0+148296</f>
        <v>1487198</v>
      </c>
      <c r="J35" s="115">
        <f>SUM(G35:I35)</f>
        <v>5243156</v>
      </c>
      <c r="K35" s="115">
        <f>J35-L35</f>
        <v>3031156</v>
      </c>
      <c r="L35" s="60">
        <v>2212000</v>
      </c>
      <c r="M35" s="61" t="s">
        <v>99</v>
      </c>
      <c r="N35" s="60"/>
      <c r="O35" s="73"/>
      <c r="P35" s="61">
        <v>2014</v>
      </c>
      <c r="Q35" s="68" t="s">
        <v>100</v>
      </c>
      <c r="R35" s="116">
        <v>25.5</v>
      </c>
      <c r="S35" s="117">
        <f t="shared" si="0"/>
        <v>14</v>
      </c>
      <c r="T35" s="116">
        <v>39.5</v>
      </c>
      <c r="U35" s="61">
        <v>2013</v>
      </c>
      <c r="V35" s="61">
        <v>2014</v>
      </c>
      <c r="W35" s="118">
        <f t="shared" si="1"/>
        <v>2013</v>
      </c>
      <c r="X35" s="67" t="s">
        <v>579</v>
      </c>
      <c r="Y35" s="73">
        <f>25+25</f>
        <v>50</v>
      </c>
      <c r="Z35" s="73"/>
      <c r="AA35" s="73"/>
      <c r="AB35" s="73">
        <f>25+25+33</f>
        <v>83</v>
      </c>
      <c r="AC35" s="73"/>
      <c r="AD35" s="73"/>
      <c r="AE35" s="112">
        <f t="shared" si="9"/>
        <v>28.333333333333332</v>
      </c>
      <c r="AF35" s="113">
        <f t="shared" si="6"/>
        <v>45</v>
      </c>
      <c r="AG35" s="110">
        <f t="shared" si="2"/>
        <v>33</v>
      </c>
      <c r="AH35" s="113">
        <f t="shared" si="3"/>
        <v>29.7</v>
      </c>
      <c r="AI35" s="114">
        <f>LOOKUP(W35,'2018 Escalator'!$A$9:$A$41,'2018 Escalator'!$G$9:$G$41)</f>
        <v>1.0630440922306721</v>
      </c>
      <c r="AJ35" s="115">
        <f t="shared" si="4"/>
        <v>5573706.010443802</v>
      </c>
      <c r="AK35" s="104">
        <f t="shared" si="5"/>
        <v>5573706.010443802</v>
      </c>
    </row>
    <row r="36" spans="1:37" x14ac:dyDescent="0.2">
      <c r="A36" s="57">
        <v>170</v>
      </c>
      <c r="B36" s="58" t="s">
        <v>569</v>
      </c>
      <c r="C36" s="58" t="s">
        <v>570</v>
      </c>
      <c r="D36" s="61" t="s">
        <v>580</v>
      </c>
      <c r="E36" s="61" t="s">
        <v>93</v>
      </c>
      <c r="F36" s="58" t="s">
        <v>505</v>
      </c>
      <c r="G36" s="60">
        <v>3255283</v>
      </c>
      <c r="H36" s="60">
        <v>0</v>
      </c>
      <c r="I36" s="60">
        <v>0</v>
      </c>
      <c r="J36" s="115">
        <v>3255283</v>
      </c>
      <c r="K36" s="115">
        <v>0</v>
      </c>
      <c r="L36" s="60">
        <v>3255283</v>
      </c>
      <c r="M36" s="61" t="s">
        <v>99</v>
      </c>
      <c r="N36" s="60"/>
      <c r="O36" s="73" t="s">
        <v>565</v>
      </c>
      <c r="P36" s="61">
        <v>2001</v>
      </c>
      <c r="Q36" s="58" t="s">
        <v>100</v>
      </c>
      <c r="R36" s="116">
        <v>5.4</v>
      </c>
      <c r="S36" s="117">
        <f t="shared" si="0"/>
        <v>10.6</v>
      </c>
      <c r="T36" s="116">
        <v>16</v>
      </c>
      <c r="U36" s="61">
        <v>2001</v>
      </c>
      <c r="V36" s="61">
        <v>2002</v>
      </c>
      <c r="W36" s="118">
        <f t="shared" si="1"/>
        <v>2001</v>
      </c>
      <c r="X36" s="57" t="s">
        <v>581</v>
      </c>
      <c r="Y36" s="61">
        <v>25</v>
      </c>
      <c r="AB36" s="61">
        <f>25+25</f>
        <v>50</v>
      </c>
      <c r="AE36" s="112">
        <f t="shared" si="9"/>
        <v>6</v>
      </c>
      <c r="AF36" s="113">
        <f t="shared" si="6"/>
        <v>22.5</v>
      </c>
      <c r="AG36" s="110">
        <f t="shared" si="2"/>
        <v>25</v>
      </c>
      <c r="AH36" s="113">
        <f t="shared" si="3"/>
        <v>22.5</v>
      </c>
      <c r="AI36" s="114">
        <f>LOOKUP(W36,'2018 Escalator'!$A$9:$A$41,'2018 Escalator'!$G$9:$G$41)</f>
        <v>1.6003864207225198</v>
      </c>
      <c r="AJ36" s="115">
        <f t="shared" si="4"/>
        <v>5209710.7088088663</v>
      </c>
      <c r="AK36" s="104">
        <f t="shared" si="5"/>
        <v>5209710.7088088663</v>
      </c>
    </row>
    <row r="37" spans="1:37" x14ac:dyDescent="0.2">
      <c r="A37" s="57">
        <v>1350</v>
      </c>
      <c r="B37" s="68" t="s">
        <v>92</v>
      </c>
      <c r="C37" s="58" t="s">
        <v>582</v>
      </c>
      <c r="D37" s="73" t="s">
        <v>580</v>
      </c>
      <c r="E37" s="61" t="s">
        <v>93</v>
      </c>
      <c r="F37" s="58" t="s">
        <v>505</v>
      </c>
      <c r="G37" s="60">
        <f>4173151</f>
        <v>4173151</v>
      </c>
      <c r="H37" s="60">
        <v>0</v>
      </c>
      <c r="I37" s="60">
        <f>240365+1537988+0+191265</f>
        <v>1969618</v>
      </c>
      <c r="J37" s="115">
        <f>SUM(G37:I37)</f>
        <v>6142769</v>
      </c>
      <c r="K37" s="115">
        <f>J37-L37</f>
        <v>2936654</v>
      </c>
      <c r="L37" s="60">
        <v>3206115</v>
      </c>
      <c r="M37" s="61" t="s">
        <v>99</v>
      </c>
      <c r="N37" s="60"/>
      <c r="O37" s="73"/>
      <c r="P37" s="61">
        <v>2015</v>
      </c>
      <c r="Q37" s="58" t="s">
        <v>100</v>
      </c>
      <c r="R37" s="116">
        <v>16</v>
      </c>
      <c r="S37" s="117">
        <f t="shared" si="0"/>
        <v>20</v>
      </c>
      <c r="T37" s="116">
        <v>36</v>
      </c>
      <c r="U37" s="61">
        <v>2013</v>
      </c>
      <c r="V37" s="61">
        <v>2014</v>
      </c>
      <c r="W37" s="118">
        <f t="shared" si="1"/>
        <v>2013</v>
      </c>
      <c r="X37" s="120" t="s">
        <v>583</v>
      </c>
      <c r="Y37" s="73">
        <f>25+25</f>
        <v>50</v>
      </c>
      <c r="Z37" s="121"/>
      <c r="AA37" s="121"/>
      <c r="AB37" s="73">
        <f>25+25+33</f>
        <v>83</v>
      </c>
      <c r="AC37" s="121"/>
      <c r="AD37" s="121"/>
      <c r="AE37" s="112">
        <f t="shared" si="9"/>
        <v>17.777777777777779</v>
      </c>
      <c r="AF37" s="113">
        <f t="shared" si="6"/>
        <v>45</v>
      </c>
      <c r="AG37" s="110">
        <f t="shared" si="2"/>
        <v>33</v>
      </c>
      <c r="AH37" s="113">
        <f t="shared" si="3"/>
        <v>29.7</v>
      </c>
      <c r="AI37" s="114">
        <f>LOOKUP(W37,'2018 Escalator'!$A$9:$A$41,'2018 Escalator'!$G$9:$G$41)</f>
        <v>1.0630440922306721</v>
      </c>
      <c r="AJ37" s="115">
        <f t="shared" si="4"/>
        <v>6530034.2953877132</v>
      </c>
      <c r="AK37" s="104">
        <f t="shared" si="5"/>
        <v>6530034.2953877132</v>
      </c>
    </row>
    <row r="38" spans="1:37" x14ac:dyDescent="0.2">
      <c r="A38" s="57">
        <v>658</v>
      </c>
      <c r="B38" s="58" t="s">
        <v>92</v>
      </c>
      <c r="C38" s="58" t="s">
        <v>584</v>
      </c>
      <c r="D38" s="61" t="s">
        <v>585</v>
      </c>
      <c r="E38" s="61" t="s">
        <v>108</v>
      </c>
      <c r="F38" s="58" t="s">
        <v>505</v>
      </c>
      <c r="G38" s="60">
        <f>3726519</f>
        <v>3726519</v>
      </c>
      <c r="H38" s="60">
        <v>0</v>
      </c>
      <c r="I38" s="60">
        <v>2204887</v>
      </c>
      <c r="J38" s="115">
        <f>SUM(G38:I38)</f>
        <v>5931406</v>
      </c>
      <c r="K38" s="115">
        <f>J38-L38</f>
        <v>1118206</v>
      </c>
      <c r="L38" s="60">
        <v>4813200</v>
      </c>
      <c r="M38" s="61" t="s">
        <v>129</v>
      </c>
      <c r="N38" s="60">
        <v>123744</v>
      </c>
      <c r="O38" s="73">
        <v>1996</v>
      </c>
      <c r="P38" s="61">
        <v>2011</v>
      </c>
      <c r="Q38" s="58" t="s">
        <v>100</v>
      </c>
      <c r="R38" s="116">
        <v>1.6</v>
      </c>
      <c r="S38" s="117">
        <f t="shared" si="0"/>
        <v>13.200000000000001</v>
      </c>
      <c r="T38" s="116">
        <v>14.8</v>
      </c>
      <c r="U38" s="61">
        <v>2007</v>
      </c>
      <c r="V38" s="61">
        <v>2009</v>
      </c>
      <c r="W38" s="118">
        <f t="shared" si="1"/>
        <v>2008</v>
      </c>
      <c r="X38" s="57" t="s">
        <v>586</v>
      </c>
      <c r="Y38" s="61">
        <v>7.5</v>
      </c>
      <c r="Z38" s="73" t="s">
        <v>520</v>
      </c>
      <c r="AA38" s="73" t="s">
        <v>520</v>
      </c>
      <c r="AB38" s="61">
        <v>25</v>
      </c>
      <c r="AC38" s="73" t="s">
        <v>520</v>
      </c>
      <c r="AD38" s="73" t="s">
        <v>520</v>
      </c>
      <c r="AE38" s="112">
        <f t="shared" si="9"/>
        <v>1.7777777777777779</v>
      </c>
      <c r="AF38" s="113">
        <f t="shared" si="6"/>
        <v>6.75</v>
      </c>
      <c r="AG38" s="110">
        <f t="shared" si="2"/>
        <v>17.5</v>
      </c>
      <c r="AH38" s="113">
        <f t="shared" si="3"/>
        <v>15.75</v>
      </c>
      <c r="AI38" s="114">
        <f>LOOKUP(W38,'2018 Escalator'!$A$9:$A$41,'2018 Escalator'!$G$9:$G$41)</f>
        <v>1.199491188497166</v>
      </c>
      <c r="AJ38" s="115">
        <f t="shared" si="4"/>
        <v>7114669.2323992215</v>
      </c>
      <c r="AK38" s="104">
        <f t="shared" si="5"/>
        <v>7263099.0700286143</v>
      </c>
    </row>
    <row r="39" spans="1:37" x14ac:dyDescent="0.2">
      <c r="A39" s="57">
        <v>897</v>
      </c>
      <c r="B39" s="58" t="s">
        <v>92</v>
      </c>
      <c r="C39" s="58" t="s">
        <v>587</v>
      </c>
      <c r="D39" s="61" t="s">
        <v>585</v>
      </c>
      <c r="E39" s="61" t="s">
        <v>108</v>
      </c>
      <c r="F39" s="58" t="s">
        <v>505</v>
      </c>
      <c r="G39" s="60">
        <v>2663051</v>
      </c>
      <c r="H39" s="60">
        <v>0</v>
      </c>
      <c r="I39" s="60">
        <v>5036288</v>
      </c>
      <c r="J39" s="115">
        <v>5359627</v>
      </c>
      <c r="K39" s="115">
        <v>4672427</v>
      </c>
      <c r="L39" s="60">
        <v>687200</v>
      </c>
      <c r="M39" s="61" t="s">
        <v>99</v>
      </c>
      <c r="N39" s="60"/>
      <c r="O39" s="73">
        <v>1996</v>
      </c>
      <c r="P39" s="61">
        <v>2012</v>
      </c>
      <c r="Q39" s="58" t="s">
        <v>100</v>
      </c>
      <c r="R39" s="116">
        <v>14.8</v>
      </c>
      <c r="S39" s="117">
        <f t="shared" si="0"/>
        <v>3</v>
      </c>
      <c r="T39" s="116">
        <v>17.8</v>
      </c>
      <c r="U39" s="61">
        <v>2011</v>
      </c>
      <c r="V39" s="61">
        <v>2011</v>
      </c>
      <c r="W39" s="118">
        <f t="shared" si="1"/>
        <v>2010</v>
      </c>
      <c r="X39" s="57" t="s">
        <v>512</v>
      </c>
      <c r="Y39" s="61">
        <v>25</v>
      </c>
      <c r="Z39" s="73" t="s">
        <v>509</v>
      </c>
      <c r="AA39" s="73" t="s">
        <v>509</v>
      </c>
      <c r="AB39" s="61">
        <f>25+25</f>
        <v>50</v>
      </c>
      <c r="AC39" s="73" t="s">
        <v>509</v>
      </c>
      <c r="AD39" s="73" t="s">
        <v>509</v>
      </c>
      <c r="AE39" s="112">
        <f t="shared" si="9"/>
        <v>16.444444444444446</v>
      </c>
      <c r="AF39" s="113">
        <f t="shared" si="6"/>
        <v>22.5</v>
      </c>
      <c r="AG39" s="110">
        <f t="shared" si="2"/>
        <v>25</v>
      </c>
      <c r="AH39" s="113">
        <f t="shared" si="3"/>
        <v>22.5</v>
      </c>
      <c r="AI39" s="114">
        <f>LOOKUP(W39,'2018 Escalator'!$A$9:$A$41,'2018 Escalator'!$G$9:$G$41)</f>
        <v>1.1637398045803473</v>
      </c>
      <c r="AJ39" s="115">
        <f t="shared" si="4"/>
        <v>6237211.2776035527</v>
      </c>
      <c r="AK39" s="104">
        <f t="shared" si="5"/>
        <v>6237211.2776035527</v>
      </c>
    </row>
    <row r="40" spans="1:37" x14ac:dyDescent="0.2">
      <c r="A40" s="57">
        <v>483</v>
      </c>
      <c r="B40" s="58" t="s">
        <v>92</v>
      </c>
      <c r="C40" s="69" t="s">
        <v>588</v>
      </c>
      <c r="D40" s="61" t="s">
        <v>589</v>
      </c>
      <c r="E40" s="61" t="s">
        <v>108</v>
      </c>
      <c r="F40" s="58" t="s">
        <v>505</v>
      </c>
      <c r="G40" s="60">
        <v>1879897</v>
      </c>
      <c r="H40" s="60">
        <v>0</v>
      </c>
      <c r="I40" s="60">
        <v>697677</v>
      </c>
      <c r="J40" s="115">
        <f>SUM(G40:I40)</f>
        <v>2577574</v>
      </c>
      <c r="K40" s="115">
        <f>J40-L40</f>
        <v>145900</v>
      </c>
      <c r="L40" s="60">
        <v>2431674</v>
      </c>
      <c r="M40" s="61" t="s">
        <v>99</v>
      </c>
      <c r="N40" s="60"/>
      <c r="O40" s="73">
        <v>1986</v>
      </c>
      <c r="P40" s="61">
        <v>2007</v>
      </c>
      <c r="Q40" s="58" t="s">
        <v>100</v>
      </c>
      <c r="R40" s="116">
        <v>20.7</v>
      </c>
      <c r="S40" s="117">
        <f t="shared" si="0"/>
        <v>18.099999999999998</v>
      </c>
      <c r="T40" s="116">
        <v>38.799999999999997</v>
      </c>
      <c r="U40" s="61">
        <v>2003</v>
      </c>
      <c r="V40" s="61">
        <v>2006</v>
      </c>
      <c r="W40" s="118">
        <f t="shared" si="1"/>
        <v>2005</v>
      </c>
      <c r="X40" s="57" t="s">
        <v>590</v>
      </c>
      <c r="Y40" s="61">
        <v>42</v>
      </c>
      <c r="Z40" s="73" t="s">
        <v>516</v>
      </c>
      <c r="AA40" s="73" t="s">
        <v>516</v>
      </c>
      <c r="AB40" s="61">
        <f>42+42</f>
        <v>84</v>
      </c>
      <c r="AC40" s="73" t="s">
        <v>516</v>
      </c>
      <c r="AD40" s="73" t="s">
        <v>516</v>
      </c>
      <c r="AE40" s="112">
        <f t="shared" si="9"/>
        <v>23</v>
      </c>
      <c r="AF40" s="113">
        <f t="shared" si="6"/>
        <v>37.800000000000004</v>
      </c>
      <c r="AG40" s="110">
        <f t="shared" si="2"/>
        <v>42</v>
      </c>
      <c r="AH40" s="113">
        <f t="shared" si="3"/>
        <v>37.800000000000004</v>
      </c>
      <c r="AI40" s="114">
        <f>LOOKUP(W40,'2018 Escalator'!$A$9:$A$41,'2018 Escalator'!$G$9:$G$41)</f>
        <v>1.4044483059526309</v>
      </c>
      <c r="AJ40" s="115">
        <f t="shared" si="4"/>
        <v>3620069.4377675466</v>
      </c>
      <c r="AK40" s="104">
        <f t="shared" si="5"/>
        <v>3620069.4377675466</v>
      </c>
    </row>
    <row r="41" spans="1:37" x14ac:dyDescent="0.2">
      <c r="A41" s="57">
        <v>1494</v>
      </c>
      <c r="B41" s="68" t="s">
        <v>92</v>
      </c>
      <c r="C41" s="68" t="s">
        <v>591</v>
      </c>
      <c r="D41" s="73" t="s">
        <v>592</v>
      </c>
      <c r="E41" s="119" t="s">
        <v>108</v>
      </c>
      <c r="F41" s="68" t="s">
        <v>505</v>
      </c>
      <c r="G41" s="60">
        <f>4462360+14211</f>
        <v>4476571</v>
      </c>
      <c r="H41" s="60">
        <v>41666</v>
      </c>
      <c r="I41" s="60">
        <f>372394+968155+17340+373121</f>
        <v>1731010</v>
      </c>
      <c r="J41" s="115">
        <f>SUM(G41:I41)</f>
        <v>6249247</v>
      </c>
      <c r="K41" s="115">
        <f>J41-L41</f>
        <v>4920147</v>
      </c>
      <c r="L41" s="60">
        <v>1329100</v>
      </c>
      <c r="M41" s="61" t="s">
        <v>99</v>
      </c>
      <c r="N41" s="60"/>
      <c r="O41" s="73"/>
      <c r="P41" s="61">
        <v>2016</v>
      </c>
      <c r="Q41" s="58" t="s">
        <v>100</v>
      </c>
      <c r="R41" s="116">
        <v>13.3</v>
      </c>
      <c r="S41" s="117">
        <f t="shared" si="0"/>
        <v>6</v>
      </c>
      <c r="T41" s="116">
        <v>19.3</v>
      </c>
      <c r="U41" s="61">
        <v>2013</v>
      </c>
      <c r="V41" s="61">
        <v>2015</v>
      </c>
      <c r="W41" s="118">
        <f t="shared" si="1"/>
        <v>2014</v>
      </c>
      <c r="X41" s="67" t="s">
        <v>593</v>
      </c>
      <c r="Y41" s="73">
        <v>25</v>
      </c>
      <c r="Z41" s="73"/>
      <c r="AA41" s="73"/>
      <c r="AB41" s="73">
        <v>67</v>
      </c>
      <c r="AC41" s="73"/>
      <c r="AD41" s="73"/>
      <c r="AE41" s="112">
        <f t="shared" si="9"/>
        <v>14.777777777777779</v>
      </c>
      <c r="AF41" s="113">
        <f t="shared" si="6"/>
        <v>22.5</v>
      </c>
      <c r="AG41" s="110">
        <f t="shared" si="2"/>
        <v>42</v>
      </c>
      <c r="AH41" s="113">
        <f t="shared" si="3"/>
        <v>37.800000000000004</v>
      </c>
      <c r="AI41" s="114">
        <f>LOOKUP(W41,'2018 Escalator'!$A$9:$A$41,'2018 Escalator'!$G$9:$G$41)</f>
        <v>1.0288837306891399</v>
      </c>
      <c r="AJ41" s="115">
        <f t="shared" si="4"/>
        <v>6429748.5673579155</v>
      </c>
      <c r="AK41" s="104">
        <f t="shared" si="5"/>
        <v>6429748.5673579155</v>
      </c>
    </row>
    <row r="42" spans="1:37" x14ac:dyDescent="0.2">
      <c r="A42" s="57">
        <v>488</v>
      </c>
      <c r="B42" s="58" t="s">
        <v>92</v>
      </c>
      <c r="C42" s="69" t="s">
        <v>594</v>
      </c>
      <c r="D42" s="61" t="s">
        <v>595</v>
      </c>
      <c r="E42" s="61" t="s">
        <v>108</v>
      </c>
      <c r="F42" s="58" t="s">
        <v>505</v>
      </c>
      <c r="G42" s="60">
        <v>305826</v>
      </c>
      <c r="H42" s="60">
        <v>0</v>
      </c>
      <c r="I42" s="60">
        <v>0</v>
      </c>
      <c r="J42" s="115">
        <f>SUM(G42:I42)</f>
        <v>305826</v>
      </c>
      <c r="K42" s="115">
        <f>J42-L42</f>
        <v>0</v>
      </c>
      <c r="L42" s="60">
        <v>305826</v>
      </c>
      <c r="M42" s="61" t="s">
        <v>129</v>
      </c>
      <c r="N42" s="60">
        <v>0</v>
      </c>
      <c r="O42" s="73">
        <v>1982</v>
      </c>
      <c r="P42" s="61">
        <v>2007</v>
      </c>
      <c r="Q42" s="58" t="s">
        <v>100</v>
      </c>
      <c r="R42" s="116">
        <v>41.3</v>
      </c>
      <c r="S42" s="117">
        <f t="shared" si="0"/>
        <v>24.200000000000003</v>
      </c>
      <c r="T42" s="116">
        <v>65.5</v>
      </c>
      <c r="U42" s="61">
        <v>2006</v>
      </c>
      <c r="V42" s="61">
        <v>2007</v>
      </c>
      <c r="W42" s="118">
        <f t="shared" si="1"/>
        <v>2006</v>
      </c>
      <c r="X42" s="57" t="s">
        <v>515</v>
      </c>
      <c r="Y42" s="61">
        <f>25+83*2</f>
        <v>191</v>
      </c>
      <c r="Z42" s="73" t="s">
        <v>596</v>
      </c>
      <c r="AA42" s="73" t="s">
        <v>596</v>
      </c>
      <c r="AB42" s="61">
        <v>191</v>
      </c>
      <c r="AC42" s="73" t="s">
        <v>596</v>
      </c>
      <c r="AD42" s="73" t="s">
        <v>596</v>
      </c>
      <c r="AE42" s="112">
        <f t="shared" si="9"/>
        <v>45.888888888888886</v>
      </c>
      <c r="AF42" s="113">
        <f t="shared" si="6"/>
        <v>171.9</v>
      </c>
      <c r="AG42" s="110">
        <f t="shared" si="2"/>
        <v>0</v>
      </c>
      <c r="AH42" s="113">
        <f t="shared" si="3"/>
        <v>0</v>
      </c>
      <c r="AI42" s="114">
        <f>LOOKUP(W42,'2018 Escalator'!$A$9:$A$41,'2018 Escalator'!$G$9:$G$41)</f>
        <v>1.3230619810637019</v>
      </c>
      <c r="AJ42" s="115">
        <f t="shared" si="4"/>
        <v>404626.75342078769</v>
      </c>
      <c r="AK42" s="104">
        <f t="shared" si="5"/>
        <v>404626.75342078769</v>
      </c>
    </row>
    <row r="43" spans="1:37" x14ac:dyDescent="0.2">
      <c r="A43" s="57">
        <v>1692</v>
      </c>
      <c r="B43" s="68" t="s">
        <v>92</v>
      </c>
      <c r="C43" s="58" t="s">
        <v>597</v>
      </c>
      <c r="D43" s="73" t="s">
        <v>595</v>
      </c>
      <c r="E43" s="61" t="s">
        <v>108</v>
      </c>
      <c r="F43" s="58" t="s">
        <v>505</v>
      </c>
      <c r="G43" s="60">
        <v>1157000</v>
      </c>
      <c r="H43" s="60">
        <v>0</v>
      </c>
      <c r="I43" s="60">
        <f>229000+579000+41000+131000</f>
        <v>980000</v>
      </c>
      <c r="J43" s="115">
        <f>SUM(G43:I43)</f>
        <v>2137000</v>
      </c>
      <c r="K43" s="115">
        <f>J43-L43</f>
        <v>2137000</v>
      </c>
      <c r="L43" s="60">
        <v>0</v>
      </c>
      <c r="M43" s="61" t="s">
        <v>99</v>
      </c>
      <c r="N43" s="60"/>
      <c r="O43" s="73"/>
      <c r="P43" s="61">
        <v>2016</v>
      </c>
      <c r="Q43" s="68" t="s">
        <v>213</v>
      </c>
      <c r="R43" s="116">
        <v>65.5</v>
      </c>
      <c r="S43" s="117">
        <f t="shared" si="0"/>
        <v>0</v>
      </c>
      <c r="T43" s="116">
        <v>65.5</v>
      </c>
      <c r="U43" s="61">
        <v>2016</v>
      </c>
      <c r="V43" s="61">
        <v>2017</v>
      </c>
      <c r="W43" s="118">
        <f t="shared" si="1"/>
        <v>2016</v>
      </c>
      <c r="X43" s="67" t="s">
        <v>598</v>
      </c>
      <c r="Y43" s="61">
        <f>25+83*2</f>
        <v>191</v>
      </c>
      <c r="Z43" s="73"/>
      <c r="AA43" s="73"/>
      <c r="AB43" s="61">
        <v>191</v>
      </c>
      <c r="AC43" s="73"/>
      <c r="AD43" s="73"/>
      <c r="AE43" s="112">
        <f t="shared" si="9"/>
        <v>72.777777777777771</v>
      </c>
      <c r="AF43" s="113">
        <f t="shared" si="6"/>
        <v>171.9</v>
      </c>
      <c r="AG43" s="110">
        <f t="shared" si="2"/>
        <v>0</v>
      </c>
      <c r="AH43" s="113">
        <f t="shared" si="3"/>
        <v>0</v>
      </c>
      <c r="AI43" s="114">
        <f>LOOKUP(W43,'2018 Escalator'!$A$9:$A$41,'2018 Escalator'!$G$9:$G$41)</f>
        <v>1.038286218119775</v>
      </c>
      <c r="AJ43" s="115">
        <f t="shared" si="4"/>
        <v>2218817.6481219591</v>
      </c>
      <c r="AK43" s="104">
        <f t="shared" si="5"/>
        <v>2218817.6481219591</v>
      </c>
    </row>
    <row r="44" spans="1:37" x14ac:dyDescent="0.2">
      <c r="A44" s="57">
        <v>318</v>
      </c>
      <c r="B44" s="58" t="s">
        <v>92</v>
      </c>
      <c r="C44" s="58" t="s">
        <v>599</v>
      </c>
      <c r="D44" s="61" t="s">
        <v>600</v>
      </c>
      <c r="E44" s="61" t="s">
        <v>108</v>
      </c>
      <c r="F44" s="58" t="s">
        <v>505</v>
      </c>
      <c r="G44" s="60"/>
      <c r="H44" s="60"/>
      <c r="I44" s="60"/>
      <c r="J44" s="115">
        <v>479272</v>
      </c>
      <c r="K44" s="115">
        <v>0</v>
      </c>
      <c r="L44" s="60">
        <v>479272</v>
      </c>
      <c r="M44" s="73" t="s">
        <v>99</v>
      </c>
      <c r="N44" s="60"/>
      <c r="O44" s="122">
        <v>1996</v>
      </c>
      <c r="P44" s="61"/>
      <c r="R44" s="116">
        <v>22.87</v>
      </c>
      <c r="S44" s="117">
        <f t="shared" si="0"/>
        <v>1</v>
      </c>
      <c r="T44" s="116">
        <v>23.87</v>
      </c>
      <c r="U44" s="61">
        <v>2001</v>
      </c>
      <c r="V44" s="61">
        <v>2002</v>
      </c>
      <c r="W44" s="118">
        <f t="shared" si="1"/>
        <v>2001</v>
      </c>
      <c r="X44" s="57" t="s">
        <v>515</v>
      </c>
      <c r="Y44" s="61">
        <v>47</v>
      </c>
      <c r="Z44" s="73" t="s">
        <v>520</v>
      </c>
      <c r="AA44" s="73" t="s">
        <v>520</v>
      </c>
      <c r="AB44" s="61">
        <v>47</v>
      </c>
      <c r="AC44" s="73" t="s">
        <v>520</v>
      </c>
      <c r="AD44" s="73" t="s">
        <v>520</v>
      </c>
      <c r="AE44" s="112">
        <f t="shared" si="9"/>
        <v>25.411111111111111</v>
      </c>
      <c r="AF44" s="113">
        <f t="shared" si="6"/>
        <v>42.300000000000004</v>
      </c>
      <c r="AG44" s="110">
        <f t="shared" si="2"/>
        <v>0</v>
      </c>
      <c r="AH44" s="113">
        <f t="shared" si="3"/>
        <v>0</v>
      </c>
      <c r="AI44" s="114">
        <f>LOOKUP(W44,'2018 Escalator'!$A$9:$A$41,'2018 Escalator'!$G$9:$G$41)</f>
        <v>1.6003864207225198</v>
      </c>
      <c r="AJ44" s="115">
        <f t="shared" si="4"/>
        <v>767020.40063252347</v>
      </c>
      <c r="AK44" s="104">
        <f t="shared" si="5"/>
        <v>767020.40063252347</v>
      </c>
    </row>
    <row r="45" spans="1:37" x14ac:dyDescent="0.2">
      <c r="A45" s="57">
        <v>806</v>
      </c>
      <c r="B45" s="58" t="s">
        <v>92</v>
      </c>
      <c r="C45" s="58" t="s">
        <v>601</v>
      </c>
      <c r="D45" s="61" t="s">
        <v>600</v>
      </c>
      <c r="E45" s="61" t="s">
        <v>108</v>
      </c>
      <c r="F45" s="58" t="s">
        <v>505</v>
      </c>
      <c r="G45" s="60">
        <v>459671</v>
      </c>
      <c r="H45" s="60">
        <v>0</v>
      </c>
      <c r="I45" s="60">
        <v>115137</v>
      </c>
      <c r="J45" s="115">
        <v>574808</v>
      </c>
      <c r="K45" s="115">
        <v>195130</v>
      </c>
      <c r="L45" s="60">
        <v>416711</v>
      </c>
      <c r="M45" s="61" t="s">
        <v>129</v>
      </c>
      <c r="N45" s="60">
        <v>0</v>
      </c>
      <c r="O45" s="73">
        <v>1996</v>
      </c>
      <c r="P45" s="61">
        <v>2010</v>
      </c>
      <c r="Q45" s="58" t="s">
        <v>100</v>
      </c>
      <c r="R45" s="116">
        <v>23.867000000000001</v>
      </c>
      <c r="S45" s="117">
        <f t="shared" si="0"/>
        <v>5.4329999999999998</v>
      </c>
      <c r="T45" s="116">
        <v>29.3</v>
      </c>
      <c r="U45" s="61">
        <v>2007</v>
      </c>
      <c r="V45" s="61">
        <v>2009</v>
      </c>
      <c r="W45" s="118">
        <f t="shared" si="1"/>
        <v>2008</v>
      </c>
      <c r="X45" s="57" t="s">
        <v>515</v>
      </c>
      <c r="Y45" s="61">
        <v>47</v>
      </c>
      <c r="Z45" s="73" t="s">
        <v>509</v>
      </c>
      <c r="AA45" s="73" t="s">
        <v>509</v>
      </c>
      <c r="AB45" s="61">
        <v>47</v>
      </c>
      <c r="AC45" s="73" t="s">
        <v>509</v>
      </c>
      <c r="AD45" s="73" t="s">
        <v>509</v>
      </c>
      <c r="AE45" s="112">
        <f t="shared" si="9"/>
        <v>26.518888888888888</v>
      </c>
      <c r="AF45" s="113">
        <f t="shared" si="6"/>
        <v>42.300000000000004</v>
      </c>
      <c r="AG45" s="110">
        <f t="shared" si="2"/>
        <v>0</v>
      </c>
      <c r="AH45" s="113">
        <f t="shared" si="3"/>
        <v>0</v>
      </c>
      <c r="AI45" s="114">
        <f>LOOKUP(W45,'2018 Escalator'!$A$9:$A$41,'2018 Escalator'!$G$9:$G$41)</f>
        <v>1.199491188497166</v>
      </c>
      <c r="AJ45" s="115">
        <f t="shared" si="4"/>
        <v>689477.13107767899</v>
      </c>
      <c r="AK45" s="104">
        <f t="shared" si="5"/>
        <v>689477.13107767899</v>
      </c>
    </row>
    <row r="46" spans="1:37" x14ac:dyDescent="0.2">
      <c r="A46" s="57">
        <v>1495</v>
      </c>
      <c r="B46" s="68" t="s">
        <v>92</v>
      </c>
      <c r="C46" s="58" t="s">
        <v>602</v>
      </c>
      <c r="D46" s="73" t="s">
        <v>600</v>
      </c>
      <c r="E46" s="61" t="s">
        <v>108</v>
      </c>
      <c r="F46" s="58" t="s">
        <v>505</v>
      </c>
      <c r="G46" s="60">
        <v>3629111</v>
      </c>
      <c r="H46" s="60">
        <v>0</v>
      </c>
      <c r="I46" s="60">
        <f>228844+850897+0+289585</f>
        <v>1369326</v>
      </c>
      <c r="J46" s="115">
        <f t="shared" ref="J46:J52" si="10">SUM(G46:I46)</f>
        <v>4998437</v>
      </c>
      <c r="K46" s="115">
        <f t="shared" ref="K46:K52" si="11">J46-L46</f>
        <v>4998437</v>
      </c>
      <c r="L46" s="60">
        <v>0</v>
      </c>
      <c r="M46" s="61" t="s">
        <v>99</v>
      </c>
      <c r="N46" s="60"/>
      <c r="O46" s="73">
        <v>1996</v>
      </c>
      <c r="P46" s="61">
        <v>2016</v>
      </c>
      <c r="Q46" s="58" t="s">
        <v>100</v>
      </c>
      <c r="R46" s="116">
        <v>29.3</v>
      </c>
      <c r="S46" s="117">
        <f t="shared" si="0"/>
        <v>0</v>
      </c>
      <c r="T46" s="116">
        <v>29.3</v>
      </c>
      <c r="U46" s="61">
        <v>2013</v>
      </c>
      <c r="V46" s="61">
        <v>2015</v>
      </c>
      <c r="W46" s="118">
        <f t="shared" si="1"/>
        <v>2014</v>
      </c>
      <c r="X46" s="67" t="s">
        <v>603</v>
      </c>
      <c r="Y46" s="73">
        <v>47</v>
      </c>
      <c r="Z46" s="73"/>
      <c r="AA46" s="73"/>
      <c r="AB46" s="73">
        <f>47+42</f>
        <v>89</v>
      </c>
      <c r="AC46" s="73"/>
      <c r="AD46" s="73"/>
      <c r="AE46" s="112">
        <f t="shared" si="9"/>
        <v>32.555555555555557</v>
      </c>
      <c r="AF46" s="113">
        <f t="shared" si="6"/>
        <v>42.300000000000004</v>
      </c>
      <c r="AG46" s="110">
        <f t="shared" si="2"/>
        <v>42</v>
      </c>
      <c r="AH46" s="113">
        <f t="shared" si="3"/>
        <v>37.800000000000004</v>
      </c>
      <c r="AI46" s="114">
        <f>LOOKUP(W46,'2018 Escalator'!$A$9:$A$41,'2018 Escalator'!$G$9:$G$41)</f>
        <v>1.0288837306891399</v>
      </c>
      <c r="AJ46" s="115">
        <f t="shared" si="4"/>
        <v>5142810.5081746317</v>
      </c>
      <c r="AK46" s="104">
        <f t="shared" si="5"/>
        <v>5142810.5081746317</v>
      </c>
    </row>
    <row r="47" spans="1:37" x14ac:dyDescent="0.2">
      <c r="A47" s="57">
        <v>1386</v>
      </c>
      <c r="B47" s="68" t="s">
        <v>92</v>
      </c>
      <c r="C47" s="68" t="s">
        <v>604</v>
      </c>
      <c r="D47" s="73" t="s">
        <v>605</v>
      </c>
      <c r="E47" s="119" t="s">
        <v>108</v>
      </c>
      <c r="F47" s="68" t="s">
        <v>505</v>
      </c>
      <c r="G47" s="60">
        <v>595334</v>
      </c>
      <c r="H47" s="60">
        <v>0</v>
      </c>
      <c r="I47" s="60">
        <f>78498+111550+22999</f>
        <v>213047</v>
      </c>
      <c r="J47" s="115">
        <f t="shared" si="10"/>
        <v>808381</v>
      </c>
      <c r="K47" s="115">
        <f t="shared" si="11"/>
        <v>0</v>
      </c>
      <c r="L47" s="60">
        <v>808381</v>
      </c>
      <c r="M47" s="61" t="s">
        <v>99</v>
      </c>
      <c r="N47" s="60"/>
      <c r="O47" s="73"/>
      <c r="P47" s="61">
        <v>2014</v>
      </c>
      <c r="Q47" s="58" t="s">
        <v>100</v>
      </c>
      <c r="R47" s="116">
        <v>32.700000000000003</v>
      </c>
      <c r="S47" s="117">
        <f t="shared" si="0"/>
        <v>13.5</v>
      </c>
      <c r="T47" s="116">
        <v>46.2</v>
      </c>
      <c r="U47" s="61">
        <v>2013</v>
      </c>
      <c r="V47" s="61">
        <v>2014</v>
      </c>
      <c r="W47" s="118">
        <f t="shared" si="1"/>
        <v>2013</v>
      </c>
      <c r="X47" s="67" t="s">
        <v>515</v>
      </c>
      <c r="Y47" s="73">
        <f>47*2</f>
        <v>94</v>
      </c>
      <c r="Z47" s="73"/>
      <c r="AA47" s="73"/>
      <c r="AB47" s="73">
        <v>94</v>
      </c>
      <c r="AC47" s="73"/>
      <c r="AD47" s="73"/>
      <c r="AE47" s="112">
        <f t="shared" si="9"/>
        <v>36.333333333333336</v>
      </c>
      <c r="AF47" s="113">
        <f t="shared" si="6"/>
        <v>84.600000000000009</v>
      </c>
      <c r="AG47" s="110">
        <f t="shared" si="2"/>
        <v>0</v>
      </c>
      <c r="AH47" s="113">
        <f t="shared" si="3"/>
        <v>0</v>
      </c>
      <c r="AI47" s="114">
        <f>LOOKUP(W47,'2018 Escalator'!$A$9:$A$41,'2018 Escalator'!$G$9:$G$41)</f>
        <v>1.0630440922306721</v>
      </c>
      <c r="AJ47" s="115">
        <f t="shared" si="4"/>
        <v>859344.64632152289</v>
      </c>
      <c r="AK47" s="104">
        <f t="shared" si="5"/>
        <v>859344.64632152289</v>
      </c>
    </row>
    <row r="48" spans="1:37" x14ac:dyDescent="0.2">
      <c r="A48" s="57">
        <v>928</v>
      </c>
      <c r="B48" s="58" t="s">
        <v>92</v>
      </c>
      <c r="C48" s="69" t="s">
        <v>606</v>
      </c>
      <c r="D48" s="61" t="s">
        <v>607</v>
      </c>
      <c r="E48" s="61" t="s">
        <v>108</v>
      </c>
      <c r="F48" s="58" t="s">
        <v>505</v>
      </c>
      <c r="G48" s="60">
        <f>6339608+260971</f>
        <v>6600579</v>
      </c>
      <c r="H48" s="60">
        <v>11911</v>
      </c>
      <c r="I48" s="60">
        <f>368301+1605172+20191+299933</f>
        <v>2293597</v>
      </c>
      <c r="J48" s="115">
        <f t="shared" si="10"/>
        <v>8906087</v>
      </c>
      <c r="K48" s="115">
        <f t="shared" si="11"/>
        <v>8366067</v>
      </c>
      <c r="L48" s="60">
        <v>540020</v>
      </c>
      <c r="M48" s="61" t="s">
        <v>99</v>
      </c>
      <c r="N48" s="60"/>
      <c r="O48" s="73">
        <v>1992</v>
      </c>
      <c r="P48" s="61">
        <v>2016</v>
      </c>
      <c r="Q48" s="69" t="s">
        <v>100</v>
      </c>
      <c r="R48" s="116">
        <v>18.02</v>
      </c>
      <c r="S48" s="117">
        <f t="shared" si="0"/>
        <v>3.4800000000000004</v>
      </c>
      <c r="T48" s="116">
        <v>21.5</v>
      </c>
      <c r="U48" s="61">
        <v>2010</v>
      </c>
      <c r="V48" s="61">
        <v>2011</v>
      </c>
      <c r="W48" s="118">
        <f t="shared" si="1"/>
        <v>2010</v>
      </c>
      <c r="X48" s="57" t="s">
        <v>590</v>
      </c>
      <c r="Y48" s="61">
        <v>25</v>
      </c>
      <c r="Z48" s="73" t="s">
        <v>525</v>
      </c>
      <c r="AA48" s="73" t="s">
        <v>525</v>
      </c>
      <c r="AB48" s="61">
        <f>25+42</f>
        <v>67</v>
      </c>
      <c r="AC48" s="73" t="s">
        <v>525</v>
      </c>
      <c r="AD48" s="73" t="s">
        <v>525</v>
      </c>
      <c r="AE48" s="112">
        <f t="shared" si="9"/>
        <v>20.022222222222222</v>
      </c>
      <c r="AF48" s="113">
        <f t="shared" si="6"/>
        <v>22.5</v>
      </c>
      <c r="AG48" s="110">
        <f t="shared" si="2"/>
        <v>42</v>
      </c>
      <c r="AH48" s="113">
        <f t="shared" si="3"/>
        <v>37.800000000000004</v>
      </c>
      <c r="AI48" s="114">
        <f>LOOKUP(W48,'2018 Escalator'!$A$9:$A$41,'2018 Escalator'!$G$9:$G$41)</f>
        <v>1.1637398045803473</v>
      </c>
      <c r="AJ48" s="115">
        <f t="shared" si="4"/>
        <v>10364367.944955572</v>
      </c>
      <c r="AK48" s="104">
        <f t="shared" si="5"/>
        <v>10364367.944955572</v>
      </c>
    </row>
    <row r="49" spans="1:37" x14ac:dyDescent="0.2">
      <c r="A49" s="57">
        <v>1450</v>
      </c>
      <c r="B49" s="68" t="s">
        <v>92</v>
      </c>
      <c r="C49" s="69" t="s">
        <v>608</v>
      </c>
      <c r="D49" s="73" t="s">
        <v>607</v>
      </c>
      <c r="E49" s="61" t="s">
        <v>108</v>
      </c>
      <c r="F49" s="58" t="s">
        <v>505</v>
      </c>
      <c r="G49" s="60">
        <f>2831532-851000</f>
        <v>1980532</v>
      </c>
      <c r="H49" s="60">
        <v>0</v>
      </c>
      <c r="I49" s="60">
        <f>1560813+1029432+120498+317060</f>
        <v>3027803</v>
      </c>
      <c r="J49" s="115">
        <f t="shared" si="10"/>
        <v>5008335</v>
      </c>
      <c r="K49" s="115">
        <f t="shared" si="11"/>
        <v>2432935</v>
      </c>
      <c r="L49" s="60">
        <v>2575400</v>
      </c>
      <c r="M49" s="61" t="s">
        <v>99</v>
      </c>
      <c r="N49" s="60"/>
      <c r="O49" s="122">
        <v>1992</v>
      </c>
      <c r="P49" s="61">
        <v>2015</v>
      </c>
      <c r="Q49" s="69" t="s">
        <v>100</v>
      </c>
      <c r="R49" s="116">
        <v>21.5</v>
      </c>
      <c r="S49" s="117">
        <f t="shared" si="0"/>
        <v>16.299999999999997</v>
      </c>
      <c r="T49" s="116">
        <v>37.799999999999997</v>
      </c>
      <c r="U49" s="61">
        <v>2013</v>
      </c>
      <c r="V49" s="61">
        <v>2015</v>
      </c>
      <c r="W49" s="118">
        <f t="shared" si="1"/>
        <v>2014</v>
      </c>
      <c r="X49" s="67" t="s">
        <v>609</v>
      </c>
      <c r="Y49" s="61">
        <f>25+42</f>
        <v>67</v>
      </c>
      <c r="Z49" s="73"/>
      <c r="AA49" s="73"/>
      <c r="AB49" s="61">
        <f>42+52</f>
        <v>94</v>
      </c>
      <c r="AC49" s="73"/>
      <c r="AD49" s="73"/>
      <c r="AE49" s="112">
        <f t="shared" si="9"/>
        <v>23.888888888888889</v>
      </c>
      <c r="AF49" s="113">
        <f t="shared" si="6"/>
        <v>60.300000000000004</v>
      </c>
      <c r="AG49" s="110">
        <f t="shared" si="2"/>
        <v>27</v>
      </c>
      <c r="AH49" s="113">
        <f t="shared" si="3"/>
        <v>24.3</v>
      </c>
      <c r="AI49" s="114">
        <f>LOOKUP(W49,'2018 Escalator'!$A$9:$A$41,'2018 Escalator'!$G$9:$G$41)</f>
        <v>1.0288837306891399</v>
      </c>
      <c r="AJ49" s="115">
        <f t="shared" si="4"/>
        <v>5152994.3993409928</v>
      </c>
      <c r="AK49" s="104">
        <f t="shared" si="5"/>
        <v>5152994.3993409928</v>
      </c>
    </row>
    <row r="50" spans="1:37" x14ac:dyDescent="0.2">
      <c r="A50" s="57">
        <v>170</v>
      </c>
      <c r="B50" s="58" t="s">
        <v>569</v>
      </c>
      <c r="C50" s="58" t="s">
        <v>570</v>
      </c>
      <c r="D50" s="61" t="s">
        <v>610</v>
      </c>
      <c r="E50" s="61" t="s">
        <v>93</v>
      </c>
      <c r="F50" s="58" t="s">
        <v>505</v>
      </c>
      <c r="G50" s="60">
        <v>708722</v>
      </c>
      <c r="H50" s="60">
        <v>0</v>
      </c>
      <c r="I50" s="60">
        <v>0</v>
      </c>
      <c r="J50" s="115">
        <f t="shared" si="10"/>
        <v>708722</v>
      </c>
      <c r="K50" s="115">
        <f t="shared" si="11"/>
        <v>0</v>
      </c>
      <c r="L50" s="60">
        <v>708722</v>
      </c>
      <c r="M50" s="61" t="s">
        <v>99</v>
      </c>
      <c r="N50" s="60"/>
      <c r="O50" s="73" t="s">
        <v>565</v>
      </c>
      <c r="P50" s="61">
        <v>2001</v>
      </c>
      <c r="Q50" s="58" t="s">
        <v>100</v>
      </c>
      <c r="R50" s="116">
        <v>17.7</v>
      </c>
      <c r="S50" s="117">
        <f t="shared" si="0"/>
        <v>8.8000000000000007</v>
      </c>
      <c r="T50" s="116">
        <v>26.5</v>
      </c>
      <c r="U50" s="61">
        <v>2001</v>
      </c>
      <c r="V50" s="61">
        <v>2002</v>
      </c>
      <c r="W50" s="118">
        <f t="shared" si="1"/>
        <v>2001</v>
      </c>
      <c r="X50" s="57" t="s">
        <v>611</v>
      </c>
      <c r="Y50" s="61">
        <f>33.3*2</f>
        <v>66.599999999999994</v>
      </c>
      <c r="AB50" s="61">
        <v>66.599999999999994</v>
      </c>
      <c r="AE50" s="112">
        <f t="shared" si="9"/>
        <v>19.666666666666664</v>
      </c>
      <c r="AF50" s="113">
        <f t="shared" si="6"/>
        <v>59.94</v>
      </c>
      <c r="AG50" s="110">
        <f t="shared" si="2"/>
        <v>0</v>
      </c>
      <c r="AH50" s="113">
        <f t="shared" si="3"/>
        <v>0</v>
      </c>
      <c r="AI50" s="114">
        <f>LOOKUP(W50,'2018 Escalator'!$A$9:$A$41,'2018 Escalator'!$G$9:$G$41)</f>
        <v>1.6003864207225198</v>
      </c>
      <c r="AJ50" s="115">
        <f t="shared" si="4"/>
        <v>1134229.0648673056</v>
      </c>
      <c r="AK50" s="104">
        <f t="shared" si="5"/>
        <v>1134229.0648673056</v>
      </c>
    </row>
    <row r="51" spans="1:37" x14ac:dyDescent="0.2">
      <c r="A51" s="57">
        <v>649</v>
      </c>
      <c r="B51" s="58" t="s">
        <v>92</v>
      </c>
      <c r="C51" s="58" t="s">
        <v>612</v>
      </c>
      <c r="D51" s="61" t="s">
        <v>610</v>
      </c>
      <c r="E51" s="61" t="s">
        <v>93</v>
      </c>
      <c r="F51" s="58" t="s">
        <v>505</v>
      </c>
      <c r="G51" s="60">
        <v>2794062</v>
      </c>
      <c r="H51" s="60">
        <v>0</v>
      </c>
      <c r="I51" s="60">
        <v>1210298</v>
      </c>
      <c r="J51" s="115">
        <f t="shared" si="10"/>
        <v>4004360</v>
      </c>
      <c r="K51" s="115">
        <f t="shared" si="11"/>
        <v>1280860</v>
      </c>
      <c r="L51" s="60">
        <v>2723500</v>
      </c>
      <c r="M51" s="61" t="s">
        <v>129</v>
      </c>
      <c r="N51" s="60">
        <v>0</v>
      </c>
      <c r="O51" s="73">
        <v>1997</v>
      </c>
      <c r="P51" s="61">
        <v>2009</v>
      </c>
      <c r="Q51" s="58" t="s">
        <v>100</v>
      </c>
      <c r="R51" s="116">
        <v>26.5</v>
      </c>
      <c r="S51" s="117">
        <f t="shared" si="0"/>
        <v>33.799999999999997</v>
      </c>
      <c r="T51" s="116">
        <v>60.3</v>
      </c>
      <c r="U51" s="61">
        <v>2006</v>
      </c>
      <c r="V51" s="61">
        <v>2008</v>
      </c>
      <c r="W51" s="118">
        <f t="shared" si="1"/>
        <v>2007</v>
      </c>
      <c r="X51" s="57" t="s">
        <v>613</v>
      </c>
      <c r="Y51" s="61">
        <f>33.3*2</f>
        <v>66.599999999999994</v>
      </c>
      <c r="Z51" s="73" t="s">
        <v>573</v>
      </c>
      <c r="AA51" s="73" t="s">
        <v>573</v>
      </c>
      <c r="AB51" s="61">
        <v>91.6</v>
      </c>
      <c r="AC51" s="73" t="s">
        <v>573</v>
      </c>
      <c r="AD51" s="73" t="s">
        <v>573</v>
      </c>
      <c r="AE51" s="112">
        <f t="shared" si="9"/>
        <v>29.444444444444443</v>
      </c>
      <c r="AF51" s="113">
        <f t="shared" si="6"/>
        <v>59.94</v>
      </c>
      <c r="AG51" s="110">
        <f t="shared" si="2"/>
        <v>25</v>
      </c>
      <c r="AH51" s="113">
        <f t="shared" si="3"/>
        <v>22.5</v>
      </c>
      <c r="AI51" s="114">
        <f>LOOKUP(W51,'2018 Escalator'!$A$9:$A$41,'2018 Escalator'!$G$9:$G$41)</f>
        <v>1.2531539462632446</v>
      </c>
      <c r="AJ51" s="115">
        <f t="shared" si="4"/>
        <v>5018079.5362586863</v>
      </c>
      <c r="AK51" s="104">
        <f t="shared" si="5"/>
        <v>5018079.5362586863</v>
      </c>
    </row>
    <row r="52" spans="1:37" x14ac:dyDescent="0.2">
      <c r="A52" s="57">
        <v>1203</v>
      </c>
      <c r="B52" s="58" t="s">
        <v>92</v>
      </c>
      <c r="C52" s="58" t="s">
        <v>614</v>
      </c>
      <c r="D52" s="61" t="s">
        <v>615</v>
      </c>
      <c r="E52" s="61" t="s">
        <v>108</v>
      </c>
      <c r="F52" s="58" t="s">
        <v>505</v>
      </c>
      <c r="G52" s="60">
        <v>8389673</v>
      </c>
      <c r="H52" s="60">
        <v>655402</v>
      </c>
      <c r="I52" s="60">
        <f>259407+1716352+38683+330387</f>
        <v>2344829</v>
      </c>
      <c r="J52" s="115">
        <f t="shared" si="10"/>
        <v>11389904</v>
      </c>
      <c r="K52" s="115">
        <f t="shared" si="11"/>
        <v>10766704</v>
      </c>
      <c r="L52" s="60">
        <v>623200</v>
      </c>
      <c r="M52" s="61" t="s">
        <v>99</v>
      </c>
      <c r="N52" s="60"/>
      <c r="O52" s="73">
        <v>1977</v>
      </c>
      <c r="P52" s="61">
        <v>2016</v>
      </c>
      <c r="Q52" s="69" t="s">
        <v>100</v>
      </c>
      <c r="R52" s="116">
        <v>20.5</v>
      </c>
      <c r="S52" s="117">
        <f t="shared" si="0"/>
        <v>4.1000000000000014</v>
      </c>
      <c r="T52" s="116">
        <v>24.6</v>
      </c>
      <c r="U52" s="61">
        <v>2011</v>
      </c>
      <c r="V52" s="61">
        <v>2013</v>
      </c>
      <c r="W52" s="118">
        <f t="shared" si="1"/>
        <v>2012</v>
      </c>
      <c r="X52" s="57" t="s">
        <v>616</v>
      </c>
      <c r="Y52" s="61">
        <v>25</v>
      </c>
      <c r="Z52" s="73" t="s">
        <v>522</v>
      </c>
      <c r="AA52" s="73" t="s">
        <v>522</v>
      </c>
      <c r="AB52" s="61">
        <v>67</v>
      </c>
      <c r="AC52" s="73" t="s">
        <v>522</v>
      </c>
      <c r="AD52" s="73" t="s">
        <v>522</v>
      </c>
      <c r="AE52" s="112">
        <f t="shared" si="9"/>
        <v>22.777777777777779</v>
      </c>
      <c r="AF52" s="113">
        <f t="shared" si="6"/>
        <v>22.5</v>
      </c>
      <c r="AG52" s="110">
        <f t="shared" si="2"/>
        <v>42</v>
      </c>
      <c r="AH52" s="113">
        <f t="shared" si="3"/>
        <v>37.800000000000004</v>
      </c>
      <c r="AI52" s="114">
        <f>LOOKUP(W52,'2018 Escalator'!$A$9:$A$41,'2018 Escalator'!$G$9:$G$41)</f>
        <v>1.0925127659799037</v>
      </c>
      <c r="AJ52" s="115">
        <f t="shared" si="4"/>
        <v>12443615.523285568</v>
      </c>
      <c r="AK52" s="104">
        <f t="shared" si="5"/>
        <v>12443615.523285568</v>
      </c>
    </row>
    <row r="53" spans="1:37" x14ac:dyDescent="0.2">
      <c r="A53" s="57">
        <v>170</v>
      </c>
      <c r="B53" s="58" t="s">
        <v>569</v>
      </c>
      <c r="C53" s="58" t="s">
        <v>570</v>
      </c>
      <c r="D53" s="61" t="s">
        <v>617</v>
      </c>
      <c r="E53" s="61" t="s">
        <v>93</v>
      </c>
      <c r="F53" s="58" t="s">
        <v>505</v>
      </c>
      <c r="G53" s="60">
        <v>1812371</v>
      </c>
      <c r="H53" s="60">
        <v>0</v>
      </c>
      <c r="I53" s="60">
        <v>0</v>
      </c>
      <c r="J53" s="115">
        <v>1812371</v>
      </c>
      <c r="K53" s="115">
        <v>0</v>
      </c>
      <c r="L53" s="60">
        <v>1812371</v>
      </c>
      <c r="M53" s="61" t="s">
        <v>99</v>
      </c>
      <c r="N53" s="60"/>
      <c r="O53" s="73">
        <v>1972</v>
      </c>
      <c r="P53" s="61">
        <v>2001</v>
      </c>
      <c r="Q53" s="58" t="s">
        <v>100</v>
      </c>
      <c r="R53" s="116">
        <v>7.9</v>
      </c>
      <c r="S53" s="117">
        <f t="shared" si="0"/>
        <v>6.1</v>
      </c>
      <c r="T53" s="116">
        <v>14</v>
      </c>
      <c r="U53" s="61">
        <v>2001</v>
      </c>
      <c r="V53" s="61">
        <v>2002</v>
      </c>
      <c r="W53" s="118">
        <f t="shared" si="1"/>
        <v>2001</v>
      </c>
      <c r="X53" s="57" t="s">
        <v>618</v>
      </c>
      <c r="Y53" s="61">
        <v>15</v>
      </c>
      <c r="AB53" s="61">
        <v>15</v>
      </c>
      <c r="AE53" s="112">
        <f t="shared" si="9"/>
        <v>8.7777777777777786</v>
      </c>
      <c r="AF53" s="113">
        <f t="shared" si="6"/>
        <v>13.5</v>
      </c>
      <c r="AG53" s="110">
        <f t="shared" si="2"/>
        <v>0</v>
      </c>
      <c r="AH53" s="113">
        <f t="shared" si="3"/>
        <v>0</v>
      </c>
      <c r="AI53" s="114">
        <f>LOOKUP(W53,'2018 Escalator'!$A$9:$A$41,'2018 Escalator'!$G$9:$G$41)</f>
        <v>1.6003864207225198</v>
      </c>
      <c r="AJ53" s="115">
        <f t="shared" si="4"/>
        <v>2900493.9377112938</v>
      </c>
      <c r="AK53" s="104">
        <f t="shared" si="5"/>
        <v>2900493.9377112938</v>
      </c>
    </row>
    <row r="54" spans="1:37" x14ac:dyDescent="0.2">
      <c r="A54" s="57">
        <v>363</v>
      </c>
      <c r="B54" s="58" t="s">
        <v>92</v>
      </c>
      <c r="C54" s="58" t="s">
        <v>619</v>
      </c>
      <c r="D54" s="61" t="s">
        <v>620</v>
      </c>
      <c r="E54" s="61" t="s">
        <v>108</v>
      </c>
      <c r="F54" s="58" t="s">
        <v>505</v>
      </c>
      <c r="G54" s="60">
        <v>553951</v>
      </c>
      <c r="H54" s="60">
        <v>0</v>
      </c>
      <c r="I54" s="60">
        <v>0</v>
      </c>
      <c r="J54" s="115">
        <v>553951</v>
      </c>
      <c r="K54" s="115">
        <v>0</v>
      </c>
      <c r="L54" s="60">
        <v>553951</v>
      </c>
      <c r="M54" s="61" t="s">
        <v>99</v>
      </c>
      <c r="N54" s="60"/>
      <c r="O54" s="122">
        <v>1975</v>
      </c>
      <c r="P54" s="61">
        <v>2006</v>
      </c>
      <c r="Q54" s="58" t="s">
        <v>100</v>
      </c>
      <c r="R54" s="116">
        <v>21.225999999999999</v>
      </c>
      <c r="S54" s="117">
        <f t="shared" si="0"/>
        <v>4.1999999999999993</v>
      </c>
      <c r="T54" s="116">
        <v>25.425999999999998</v>
      </c>
      <c r="U54" s="61">
        <v>2003</v>
      </c>
      <c r="V54" s="61">
        <v>2005</v>
      </c>
      <c r="W54" s="118">
        <f t="shared" si="1"/>
        <v>2004</v>
      </c>
      <c r="X54" s="57" t="s">
        <v>515</v>
      </c>
      <c r="Y54" s="61">
        <v>42</v>
      </c>
      <c r="Z54" s="73" t="s">
        <v>522</v>
      </c>
      <c r="AA54" s="73" t="s">
        <v>522</v>
      </c>
      <c r="AB54" s="61">
        <v>42</v>
      </c>
      <c r="AC54" s="73" t="s">
        <v>522</v>
      </c>
      <c r="AD54" s="73" t="s">
        <v>522</v>
      </c>
      <c r="AE54" s="112">
        <f t="shared" si="9"/>
        <v>23.584444444444443</v>
      </c>
      <c r="AF54" s="113">
        <f t="shared" si="6"/>
        <v>37.800000000000004</v>
      </c>
      <c r="AG54" s="110">
        <f t="shared" si="2"/>
        <v>0</v>
      </c>
      <c r="AH54" s="113">
        <f t="shared" si="3"/>
        <v>0</v>
      </c>
      <c r="AI54" s="114">
        <f>LOOKUP(W54,'2018 Escalator'!$A$9:$A$41,'2018 Escalator'!$G$9:$G$41)</f>
        <v>1.483782020350688</v>
      </c>
      <c r="AJ54" s="115">
        <f t="shared" si="4"/>
        <v>821942.53395528393</v>
      </c>
      <c r="AK54" s="104">
        <f t="shared" si="5"/>
        <v>821942.53395528393</v>
      </c>
    </row>
    <row r="55" spans="1:37" x14ac:dyDescent="0.2">
      <c r="A55" s="57">
        <v>493</v>
      </c>
      <c r="B55" s="58" t="s">
        <v>92</v>
      </c>
      <c r="C55" s="58" t="s">
        <v>621</v>
      </c>
      <c r="D55" s="61" t="s">
        <v>620</v>
      </c>
      <c r="E55" s="61" t="s">
        <v>108</v>
      </c>
      <c r="F55" s="58" t="s">
        <v>505</v>
      </c>
      <c r="G55" s="60">
        <v>1964000</v>
      </c>
      <c r="H55" s="60">
        <v>0</v>
      </c>
      <c r="I55" s="60">
        <v>606000</v>
      </c>
      <c r="J55" s="115">
        <v>2570000</v>
      </c>
      <c r="K55" s="115">
        <v>2570000</v>
      </c>
      <c r="L55" s="60">
        <v>0</v>
      </c>
      <c r="M55" s="61" t="s">
        <v>99</v>
      </c>
      <c r="N55" s="60"/>
      <c r="O55" s="73">
        <v>1975</v>
      </c>
      <c r="P55" s="61">
        <v>2007</v>
      </c>
      <c r="Q55" s="58" t="s">
        <v>100</v>
      </c>
      <c r="R55" s="116">
        <v>25.4</v>
      </c>
      <c r="S55" s="117">
        <f t="shared" si="0"/>
        <v>3.3000000000000007</v>
      </c>
      <c r="T55" s="116">
        <v>28.7</v>
      </c>
      <c r="U55" s="61">
        <v>2006</v>
      </c>
      <c r="V55" s="61">
        <v>2007</v>
      </c>
      <c r="W55" s="118">
        <f t="shared" si="1"/>
        <v>2006</v>
      </c>
      <c r="X55" s="57" t="s">
        <v>590</v>
      </c>
      <c r="Y55" s="61">
        <v>42</v>
      </c>
      <c r="Z55" s="73" t="s">
        <v>525</v>
      </c>
      <c r="AA55" s="73" t="s">
        <v>525</v>
      </c>
      <c r="AB55" s="61">
        <v>84</v>
      </c>
      <c r="AC55" s="73" t="s">
        <v>525</v>
      </c>
      <c r="AD55" s="73" t="s">
        <v>525</v>
      </c>
      <c r="AE55" s="112">
        <v>21.2</v>
      </c>
      <c r="AF55" s="113">
        <f t="shared" si="6"/>
        <v>37.800000000000004</v>
      </c>
      <c r="AG55" s="110">
        <f t="shared" si="2"/>
        <v>42</v>
      </c>
      <c r="AH55" s="113">
        <f t="shared" si="3"/>
        <v>37.800000000000004</v>
      </c>
      <c r="AI55" s="114">
        <f>LOOKUP(W55,'2018 Escalator'!$A$9:$A$41,'2018 Escalator'!$G$9:$G$41)</f>
        <v>1.3230619810637019</v>
      </c>
      <c r="AJ55" s="115">
        <f t="shared" si="4"/>
        <v>3400269.291333714</v>
      </c>
      <c r="AK55" s="104">
        <f t="shared" si="5"/>
        <v>3400269.291333714</v>
      </c>
    </row>
    <row r="56" spans="1:37" x14ac:dyDescent="0.2">
      <c r="A56" s="57">
        <v>685</v>
      </c>
      <c r="B56" s="58" t="s">
        <v>92</v>
      </c>
      <c r="C56" s="58" t="s">
        <v>622</v>
      </c>
      <c r="D56" s="61" t="s">
        <v>620</v>
      </c>
      <c r="E56" s="61" t="s">
        <v>108</v>
      </c>
      <c r="F56" s="58" t="s">
        <v>505</v>
      </c>
      <c r="G56" s="60">
        <v>572352</v>
      </c>
      <c r="H56" s="60">
        <v>0</v>
      </c>
      <c r="I56" s="60">
        <v>182599</v>
      </c>
      <c r="J56" s="115">
        <v>754951</v>
      </c>
      <c r="K56" s="115">
        <v>0</v>
      </c>
      <c r="L56" s="60">
        <v>754951</v>
      </c>
      <c r="M56" s="61" t="s">
        <v>99</v>
      </c>
      <c r="N56" s="60"/>
      <c r="O56" s="73">
        <v>1975</v>
      </c>
      <c r="P56" s="61">
        <v>2008</v>
      </c>
      <c r="Q56" s="58" t="s">
        <v>100</v>
      </c>
      <c r="R56" s="116">
        <v>28.7</v>
      </c>
      <c r="S56" s="117">
        <f t="shared" si="0"/>
        <v>4.1999999999999993</v>
      </c>
      <c r="T56" s="116">
        <v>32.9</v>
      </c>
      <c r="U56" s="61">
        <v>2003</v>
      </c>
      <c r="V56" s="61">
        <v>2008</v>
      </c>
      <c r="W56" s="118">
        <f t="shared" si="1"/>
        <v>2007</v>
      </c>
      <c r="X56" s="57" t="s">
        <v>528</v>
      </c>
      <c r="Y56" s="61">
        <f>42*2</f>
        <v>84</v>
      </c>
      <c r="Z56" s="73" t="s">
        <v>525</v>
      </c>
      <c r="AA56" s="73" t="s">
        <v>525</v>
      </c>
      <c r="AB56" s="61">
        <v>84</v>
      </c>
      <c r="AC56" s="73" t="s">
        <v>525</v>
      </c>
      <c r="AD56" s="73" t="s">
        <v>525</v>
      </c>
      <c r="AE56" s="112">
        <f>AE55+AG55</f>
        <v>63.2</v>
      </c>
      <c r="AF56" s="113">
        <f t="shared" si="6"/>
        <v>75.600000000000009</v>
      </c>
      <c r="AG56" s="110">
        <f t="shared" si="2"/>
        <v>0</v>
      </c>
      <c r="AH56" s="113">
        <f t="shared" si="3"/>
        <v>0</v>
      </c>
      <c r="AI56" s="114">
        <f>LOOKUP(W56,'2018 Escalator'!$A$9:$A$41,'2018 Escalator'!$G$9:$G$41)</f>
        <v>1.2531539462632446</v>
      </c>
      <c r="AJ56" s="115">
        <f t="shared" si="4"/>
        <v>946069.82488538278</v>
      </c>
      <c r="AK56" s="104">
        <f t="shared" si="5"/>
        <v>946069.82488538278</v>
      </c>
    </row>
    <row r="57" spans="1:37" x14ac:dyDescent="0.2">
      <c r="A57" s="57">
        <v>1574</v>
      </c>
      <c r="B57" s="68" t="s">
        <v>92</v>
      </c>
      <c r="C57" s="58" t="s">
        <v>623</v>
      </c>
      <c r="D57" s="73" t="s">
        <v>164</v>
      </c>
      <c r="E57" s="61" t="s">
        <v>108</v>
      </c>
      <c r="F57" s="58" t="s">
        <v>505</v>
      </c>
      <c r="G57" s="60">
        <v>4056645</v>
      </c>
      <c r="H57" s="60">
        <v>0</v>
      </c>
      <c r="I57" s="60">
        <f>265249+1261014+0+520123</f>
        <v>2046386</v>
      </c>
      <c r="J57" s="115">
        <f>SUM(G57:I57)</f>
        <v>6103031</v>
      </c>
      <c r="K57" s="115">
        <f>J57-L57</f>
        <v>6103031</v>
      </c>
      <c r="L57" s="60">
        <v>0</v>
      </c>
      <c r="M57" s="61" t="s">
        <v>99</v>
      </c>
      <c r="N57" s="60"/>
      <c r="O57" s="73">
        <v>2013</v>
      </c>
      <c r="P57" s="61">
        <v>2016</v>
      </c>
      <c r="Q57" s="68" t="s">
        <v>213</v>
      </c>
      <c r="R57" s="116">
        <v>28</v>
      </c>
      <c r="S57" s="117">
        <f t="shared" si="0"/>
        <v>0</v>
      </c>
      <c r="T57" s="116">
        <v>28</v>
      </c>
      <c r="U57" s="61">
        <v>2014</v>
      </c>
      <c r="V57" s="61">
        <v>2016</v>
      </c>
      <c r="W57" s="118">
        <f t="shared" si="1"/>
        <v>2015</v>
      </c>
      <c r="X57" s="67" t="s">
        <v>624</v>
      </c>
      <c r="Y57" s="61">
        <v>42</v>
      </c>
      <c r="Z57" s="73"/>
      <c r="AA57" s="73"/>
      <c r="AB57" s="61">
        <v>84</v>
      </c>
      <c r="AC57" s="73"/>
      <c r="AD57" s="73"/>
      <c r="AE57" s="112">
        <f t="shared" ref="AE57:AE109" si="12">R57/0.9</f>
        <v>31.111111111111111</v>
      </c>
      <c r="AF57" s="113">
        <f t="shared" si="6"/>
        <v>37.800000000000004</v>
      </c>
      <c r="AG57" s="110">
        <f t="shared" si="2"/>
        <v>42</v>
      </c>
      <c r="AH57" s="113">
        <f t="shared" si="3"/>
        <v>37.800000000000004</v>
      </c>
      <c r="AI57" s="114">
        <f>LOOKUP(W57,'2018 Escalator'!$A$9:$A$41,'2018 Escalator'!$G$9:$G$41)</f>
        <v>1.0267399975608473</v>
      </c>
      <c r="AJ57" s="115">
        <f t="shared" si="4"/>
        <v>6266226.0340537755</v>
      </c>
      <c r="AK57" s="104">
        <f t="shared" si="5"/>
        <v>6266226.0340537755</v>
      </c>
    </row>
    <row r="58" spans="1:37" x14ac:dyDescent="0.2">
      <c r="A58" s="57">
        <v>435</v>
      </c>
      <c r="B58" s="58" t="s">
        <v>92</v>
      </c>
      <c r="C58" s="58" t="s">
        <v>625</v>
      </c>
      <c r="D58" s="61" t="s">
        <v>626</v>
      </c>
      <c r="E58" s="61" t="s">
        <v>132</v>
      </c>
      <c r="F58" s="58" t="s">
        <v>505</v>
      </c>
      <c r="G58" s="60">
        <v>2074000</v>
      </c>
      <c r="H58" s="60">
        <v>0</v>
      </c>
      <c r="I58" s="60">
        <v>0</v>
      </c>
      <c r="J58" s="115">
        <v>2074000</v>
      </c>
      <c r="K58" s="115">
        <v>632000</v>
      </c>
      <c r="L58" s="60">
        <v>1442000</v>
      </c>
      <c r="M58" s="61" t="s">
        <v>99</v>
      </c>
      <c r="N58" s="60"/>
      <c r="O58" s="73">
        <v>1990</v>
      </c>
      <c r="P58" s="61">
        <v>2005</v>
      </c>
      <c r="Q58" s="58" t="s">
        <v>213</v>
      </c>
      <c r="R58" s="116">
        <v>10.6</v>
      </c>
      <c r="S58" s="117">
        <f t="shared" si="0"/>
        <v>8.4</v>
      </c>
      <c r="T58" s="116">
        <v>19</v>
      </c>
      <c r="U58" s="61">
        <v>2003</v>
      </c>
      <c r="V58" s="61">
        <v>2005</v>
      </c>
      <c r="W58" s="118">
        <f t="shared" si="1"/>
        <v>2004</v>
      </c>
      <c r="X58" s="57" t="s">
        <v>627</v>
      </c>
      <c r="Y58" s="61">
        <v>16.7</v>
      </c>
      <c r="Z58" s="73" t="s">
        <v>573</v>
      </c>
      <c r="AA58" s="73" t="s">
        <v>573</v>
      </c>
      <c r="AB58" s="61">
        <v>49.7</v>
      </c>
      <c r="AC58" s="73" t="s">
        <v>573</v>
      </c>
      <c r="AD58" s="73" t="s">
        <v>573</v>
      </c>
      <c r="AE58" s="112">
        <f t="shared" si="12"/>
        <v>11.777777777777777</v>
      </c>
      <c r="AF58" s="113">
        <f t="shared" si="6"/>
        <v>15.03</v>
      </c>
      <c r="AG58" s="110">
        <f t="shared" si="2"/>
        <v>33</v>
      </c>
      <c r="AH58" s="113">
        <f t="shared" si="3"/>
        <v>29.7</v>
      </c>
      <c r="AI58" s="114">
        <f>LOOKUP(W58,'2018 Escalator'!$A$9:$A$41,'2018 Escalator'!$G$9:$G$41)</f>
        <v>1.483782020350688</v>
      </c>
      <c r="AJ58" s="115">
        <f t="shared" si="4"/>
        <v>3077363.910207327</v>
      </c>
      <c r="AK58" s="104">
        <f t="shared" si="5"/>
        <v>3077363.910207327</v>
      </c>
    </row>
    <row r="59" spans="1:37" x14ac:dyDescent="0.2">
      <c r="A59" s="57">
        <v>652</v>
      </c>
      <c r="B59" s="58" t="s">
        <v>92</v>
      </c>
      <c r="C59" s="58" t="s">
        <v>628</v>
      </c>
      <c r="D59" s="61" t="s">
        <v>629</v>
      </c>
      <c r="E59" s="61" t="s">
        <v>108</v>
      </c>
      <c r="F59" s="58" t="s">
        <v>505</v>
      </c>
      <c r="G59" s="60">
        <v>2731986</v>
      </c>
      <c r="H59" s="60">
        <v>84014</v>
      </c>
      <c r="I59" s="60">
        <v>679363</v>
      </c>
      <c r="J59" s="115">
        <f t="shared" ref="J59:J66" si="13">SUM(G59:I59)</f>
        <v>3495363</v>
      </c>
      <c r="K59" s="115">
        <f t="shared" ref="K59:K76" si="14">J59-L59</f>
        <v>2530363</v>
      </c>
      <c r="L59" s="60">
        <v>965000</v>
      </c>
      <c r="M59" s="61" t="s">
        <v>129</v>
      </c>
      <c r="N59" s="60">
        <v>0</v>
      </c>
      <c r="O59" s="73">
        <v>1986</v>
      </c>
      <c r="P59" s="61">
        <v>2009</v>
      </c>
      <c r="Q59" s="58" t="s">
        <v>100</v>
      </c>
      <c r="R59" s="116">
        <f>13.6-3.405</f>
        <v>10.195</v>
      </c>
      <c r="S59" s="117">
        <f t="shared" si="0"/>
        <v>3.4049999999999994</v>
      </c>
      <c r="T59" s="116">
        <v>13.6</v>
      </c>
      <c r="U59" s="61">
        <v>2006</v>
      </c>
      <c r="V59" s="61">
        <v>2008</v>
      </c>
      <c r="W59" s="118">
        <f t="shared" si="1"/>
        <v>2007</v>
      </c>
      <c r="X59" s="57" t="s">
        <v>630</v>
      </c>
      <c r="Y59" s="61">
        <v>13.5</v>
      </c>
      <c r="Z59" s="73" t="s">
        <v>520</v>
      </c>
      <c r="AA59" s="73" t="s">
        <v>520</v>
      </c>
      <c r="AB59" s="61">
        <v>25</v>
      </c>
      <c r="AC59" s="73" t="s">
        <v>520</v>
      </c>
      <c r="AD59" s="73" t="s">
        <v>520</v>
      </c>
      <c r="AE59" s="112">
        <f t="shared" si="12"/>
        <v>11.327777777777778</v>
      </c>
      <c r="AF59" s="113">
        <f t="shared" si="6"/>
        <v>12.15</v>
      </c>
      <c r="AG59" s="110">
        <f t="shared" si="2"/>
        <v>11.5</v>
      </c>
      <c r="AH59" s="113">
        <f t="shared" si="3"/>
        <v>10.35</v>
      </c>
      <c r="AI59" s="114">
        <f>LOOKUP(W59,'2018 Escalator'!$A$9:$A$41,'2018 Escalator'!$G$9:$G$41)</f>
        <v>1.2531539462632446</v>
      </c>
      <c r="AJ59" s="115">
        <f t="shared" si="4"/>
        <v>4380227.9370725332</v>
      </c>
      <c r="AK59" s="104">
        <f t="shared" si="5"/>
        <v>4380227.9370725332</v>
      </c>
    </row>
    <row r="60" spans="1:37" x14ac:dyDescent="0.2">
      <c r="A60" s="57">
        <v>366</v>
      </c>
      <c r="B60" s="58" t="s">
        <v>92</v>
      </c>
      <c r="C60" s="58" t="s">
        <v>631</v>
      </c>
      <c r="D60" s="61" t="s">
        <v>632</v>
      </c>
      <c r="E60" s="61" t="s">
        <v>108</v>
      </c>
      <c r="F60" s="58" t="s">
        <v>505</v>
      </c>
      <c r="G60" s="60">
        <v>396124</v>
      </c>
      <c r="H60" s="60">
        <v>0</v>
      </c>
      <c r="I60" s="60">
        <v>0</v>
      </c>
      <c r="J60" s="115">
        <f t="shared" si="13"/>
        <v>396124</v>
      </c>
      <c r="K60" s="115">
        <f t="shared" si="14"/>
        <v>0</v>
      </c>
      <c r="L60" s="60">
        <v>396124</v>
      </c>
      <c r="M60" s="61" t="s">
        <v>99</v>
      </c>
      <c r="N60" s="60"/>
      <c r="O60" s="122">
        <v>1981</v>
      </c>
      <c r="P60" s="61">
        <v>2005</v>
      </c>
      <c r="Q60" s="58" t="s">
        <v>100</v>
      </c>
      <c r="R60" s="116">
        <v>11.1</v>
      </c>
      <c r="S60" s="117">
        <f t="shared" si="0"/>
        <v>4.8000000000000007</v>
      </c>
      <c r="T60" s="116">
        <v>15.9</v>
      </c>
      <c r="U60" s="61">
        <v>2003</v>
      </c>
      <c r="V60" s="61">
        <v>2004</v>
      </c>
      <c r="W60" s="118">
        <f t="shared" si="1"/>
        <v>2003</v>
      </c>
      <c r="X60" s="57" t="s">
        <v>515</v>
      </c>
      <c r="Y60" s="61">
        <v>25</v>
      </c>
      <c r="Z60" s="73" t="s">
        <v>522</v>
      </c>
      <c r="AA60" s="73" t="s">
        <v>522</v>
      </c>
      <c r="AB60" s="61">
        <v>25</v>
      </c>
      <c r="AC60" s="73" t="s">
        <v>522</v>
      </c>
      <c r="AD60" s="73" t="s">
        <v>522</v>
      </c>
      <c r="AE60" s="112">
        <f t="shared" si="12"/>
        <v>12.333333333333332</v>
      </c>
      <c r="AF60" s="113">
        <f t="shared" si="6"/>
        <v>22.5</v>
      </c>
      <c r="AG60" s="110">
        <f t="shared" si="2"/>
        <v>0</v>
      </c>
      <c r="AH60" s="113">
        <f t="shared" si="3"/>
        <v>0</v>
      </c>
      <c r="AI60" s="114">
        <f>LOOKUP(W60,'2018 Escalator'!$A$9:$A$41,'2018 Escalator'!$G$9:$G$41)</f>
        <v>1.5199278197444033</v>
      </c>
      <c r="AJ60" s="115">
        <f t="shared" si="4"/>
        <v>602079.88766843197</v>
      </c>
      <c r="AK60" s="104">
        <f t="shared" si="5"/>
        <v>602079.88766843197</v>
      </c>
    </row>
    <row r="61" spans="1:37" x14ac:dyDescent="0.2">
      <c r="A61" s="57">
        <v>1640</v>
      </c>
      <c r="B61" s="68" t="s">
        <v>92</v>
      </c>
      <c r="C61" s="58" t="s">
        <v>633</v>
      </c>
      <c r="D61" s="73" t="s">
        <v>632</v>
      </c>
      <c r="E61" s="61" t="s">
        <v>108</v>
      </c>
      <c r="F61" s="58" t="s">
        <v>505</v>
      </c>
      <c r="G61" s="60">
        <v>4667184</v>
      </c>
      <c r="H61" s="60">
        <v>0</v>
      </c>
      <c r="I61" s="60">
        <f>591591+2334767+48347+465714</f>
        <v>3440419</v>
      </c>
      <c r="J61" s="115">
        <f t="shared" si="13"/>
        <v>8107603</v>
      </c>
      <c r="K61" s="115">
        <f t="shared" si="14"/>
        <v>7282003</v>
      </c>
      <c r="L61" s="60">
        <v>825600</v>
      </c>
      <c r="M61" s="61" t="s">
        <v>99</v>
      </c>
      <c r="N61" s="60"/>
      <c r="O61" s="122">
        <v>1981</v>
      </c>
      <c r="P61" s="61">
        <v>2015</v>
      </c>
      <c r="Q61" s="69" t="s">
        <v>213</v>
      </c>
      <c r="R61" s="116">
        <v>15.9</v>
      </c>
      <c r="S61" s="117">
        <f t="shared" si="0"/>
        <v>2.4999999999999982</v>
      </c>
      <c r="T61" s="116">
        <v>18.399999999999999</v>
      </c>
      <c r="U61" s="61">
        <v>2016</v>
      </c>
      <c r="V61" s="61">
        <v>2016</v>
      </c>
      <c r="W61" s="118">
        <f t="shared" si="1"/>
        <v>2015</v>
      </c>
      <c r="X61" s="67" t="s">
        <v>634</v>
      </c>
      <c r="Y61" s="61">
        <v>25</v>
      </c>
      <c r="Z61" s="73"/>
      <c r="AA61" s="73"/>
      <c r="AB61" s="61">
        <f>25+42</f>
        <v>67</v>
      </c>
      <c r="AC61" s="73"/>
      <c r="AD61" s="73"/>
      <c r="AE61" s="112">
        <f t="shared" si="12"/>
        <v>17.666666666666668</v>
      </c>
      <c r="AF61" s="113">
        <f t="shared" si="6"/>
        <v>22.5</v>
      </c>
      <c r="AG61" s="110">
        <f t="shared" si="2"/>
        <v>42</v>
      </c>
      <c r="AH61" s="113">
        <f t="shared" si="3"/>
        <v>37.800000000000004</v>
      </c>
      <c r="AI61" s="114">
        <f>LOOKUP(W61,'2018 Escalator'!$A$9:$A$41,'2018 Escalator'!$G$9:$G$41)</f>
        <v>1.0267399975608473</v>
      </c>
      <c r="AJ61" s="115">
        <f t="shared" si="4"/>
        <v>8324400.2844443182</v>
      </c>
      <c r="AK61" s="104">
        <f t="shared" si="5"/>
        <v>8324400.2844443182</v>
      </c>
    </row>
    <row r="62" spans="1:37" x14ac:dyDescent="0.2">
      <c r="A62" s="57">
        <v>367</v>
      </c>
      <c r="B62" s="58" t="s">
        <v>92</v>
      </c>
      <c r="C62" s="58" t="s">
        <v>635</v>
      </c>
      <c r="D62" s="61" t="s">
        <v>636</v>
      </c>
      <c r="E62" s="61" t="s">
        <v>108</v>
      </c>
      <c r="F62" s="58" t="s">
        <v>505</v>
      </c>
      <c r="G62" s="60">
        <v>374641</v>
      </c>
      <c r="H62" s="60">
        <v>0</v>
      </c>
      <c r="I62" s="60">
        <v>0</v>
      </c>
      <c r="J62" s="115">
        <f t="shared" si="13"/>
        <v>374641</v>
      </c>
      <c r="K62" s="115">
        <f t="shared" si="14"/>
        <v>0</v>
      </c>
      <c r="L62" s="60">
        <v>374641</v>
      </c>
      <c r="M62" s="61" t="s">
        <v>99</v>
      </c>
      <c r="N62" s="60"/>
      <c r="O62" s="122">
        <v>1988</v>
      </c>
      <c r="P62" s="61">
        <v>2005</v>
      </c>
      <c r="Q62" s="58" t="s">
        <v>100</v>
      </c>
      <c r="R62" s="116">
        <v>11.211</v>
      </c>
      <c r="S62" s="117">
        <f t="shared" si="0"/>
        <v>1</v>
      </c>
      <c r="T62" s="116">
        <v>12.211</v>
      </c>
      <c r="U62" s="61">
        <v>2003</v>
      </c>
      <c r="V62" s="61">
        <v>2005</v>
      </c>
      <c r="W62" s="118">
        <f t="shared" si="1"/>
        <v>2004</v>
      </c>
      <c r="X62" s="57" t="s">
        <v>515</v>
      </c>
      <c r="Y62" s="61">
        <f>28+42</f>
        <v>70</v>
      </c>
      <c r="Z62" s="73" t="s">
        <v>520</v>
      </c>
      <c r="AA62" s="73" t="s">
        <v>520</v>
      </c>
      <c r="AB62" s="61">
        <v>70</v>
      </c>
      <c r="AC62" s="73" t="s">
        <v>520</v>
      </c>
      <c r="AD62" s="73" t="s">
        <v>520</v>
      </c>
      <c r="AE62" s="112">
        <f t="shared" si="12"/>
        <v>12.456666666666667</v>
      </c>
      <c r="AF62" s="113">
        <f t="shared" si="6"/>
        <v>63</v>
      </c>
      <c r="AG62" s="110">
        <f t="shared" si="2"/>
        <v>0</v>
      </c>
      <c r="AH62" s="113">
        <f t="shared" si="3"/>
        <v>0</v>
      </c>
      <c r="AI62" s="114">
        <f>LOOKUP(W62,'2018 Escalator'!$A$9:$A$41,'2018 Escalator'!$G$9:$G$41)</f>
        <v>1.483782020350688</v>
      </c>
      <c r="AJ62" s="115">
        <f t="shared" si="4"/>
        <v>555885.57988620212</v>
      </c>
      <c r="AK62" s="104">
        <f t="shared" si="5"/>
        <v>555885.57988620212</v>
      </c>
    </row>
    <row r="63" spans="1:37" x14ac:dyDescent="0.2">
      <c r="A63" s="57">
        <v>650</v>
      </c>
      <c r="B63" s="58" t="s">
        <v>92</v>
      </c>
      <c r="C63" s="58" t="s">
        <v>637</v>
      </c>
      <c r="D63" s="61" t="s">
        <v>638</v>
      </c>
      <c r="E63" s="61" t="s">
        <v>108</v>
      </c>
      <c r="F63" s="58" t="s">
        <v>505</v>
      </c>
      <c r="G63" s="60">
        <v>4746175</v>
      </c>
      <c r="H63" s="60">
        <v>0</v>
      </c>
      <c r="I63" s="60">
        <v>0</v>
      </c>
      <c r="J63" s="115">
        <f t="shared" si="13"/>
        <v>4746175</v>
      </c>
      <c r="K63" s="115">
        <f t="shared" si="14"/>
        <v>4746175</v>
      </c>
      <c r="L63" s="60">
        <v>0</v>
      </c>
      <c r="M63" s="61" t="s">
        <v>129</v>
      </c>
      <c r="N63" s="60">
        <f>3551023+1195152</f>
        <v>4746175</v>
      </c>
      <c r="O63" s="73">
        <v>1981</v>
      </c>
      <c r="P63" s="61">
        <v>2009</v>
      </c>
      <c r="Q63" s="58" t="s">
        <v>100</v>
      </c>
      <c r="R63" s="116">
        <v>23</v>
      </c>
      <c r="S63" s="117">
        <f t="shared" si="0"/>
        <v>0</v>
      </c>
      <c r="T63" s="116">
        <v>23</v>
      </c>
      <c r="U63" s="61">
        <v>2006</v>
      </c>
      <c r="V63" s="61">
        <v>2008</v>
      </c>
      <c r="W63" s="118">
        <f t="shared" si="1"/>
        <v>2007</v>
      </c>
      <c r="X63" s="57" t="s">
        <v>590</v>
      </c>
      <c r="Y63" s="61">
        <v>42</v>
      </c>
      <c r="Z63" s="73" t="s">
        <v>525</v>
      </c>
      <c r="AA63" s="73" t="s">
        <v>525</v>
      </c>
      <c r="AB63" s="61">
        <f>42+42</f>
        <v>84</v>
      </c>
      <c r="AC63" s="73" t="s">
        <v>525</v>
      </c>
      <c r="AD63" s="73" t="s">
        <v>525</v>
      </c>
      <c r="AE63" s="112">
        <f t="shared" si="12"/>
        <v>25.555555555555554</v>
      </c>
      <c r="AF63" s="113">
        <f t="shared" si="6"/>
        <v>37.800000000000004</v>
      </c>
      <c r="AG63" s="110">
        <f t="shared" si="2"/>
        <v>42</v>
      </c>
      <c r="AH63" s="113">
        <f t="shared" si="3"/>
        <v>37.800000000000004</v>
      </c>
      <c r="AI63" s="114">
        <f>LOOKUP(W63,'2018 Escalator'!$A$9:$A$41,'2018 Escalator'!$G$9:$G$41)</f>
        <v>1.2531539462632446</v>
      </c>
      <c r="AJ63" s="115">
        <f t="shared" si="4"/>
        <v>5947687.9309059549</v>
      </c>
      <c r="AK63" s="104">
        <f t="shared" si="5"/>
        <v>11895375.86181191</v>
      </c>
    </row>
    <row r="64" spans="1:37" x14ac:dyDescent="0.2">
      <c r="A64" s="57">
        <v>902</v>
      </c>
      <c r="B64" s="58" t="s">
        <v>92</v>
      </c>
      <c r="C64" s="58" t="s">
        <v>639</v>
      </c>
      <c r="D64" s="61" t="s">
        <v>640</v>
      </c>
      <c r="E64" s="61" t="s">
        <v>108</v>
      </c>
      <c r="F64" s="58" t="s">
        <v>505</v>
      </c>
      <c r="G64" s="60">
        <v>409717</v>
      </c>
      <c r="H64" s="60">
        <v>0</v>
      </c>
      <c r="I64" s="60">
        <v>53721</v>
      </c>
      <c r="J64" s="115">
        <f t="shared" si="13"/>
        <v>463438</v>
      </c>
      <c r="K64" s="115">
        <f t="shared" si="14"/>
        <v>0</v>
      </c>
      <c r="L64" s="60">
        <v>463438</v>
      </c>
      <c r="M64" s="61" t="s">
        <v>99</v>
      </c>
      <c r="N64" s="60"/>
      <c r="O64" s="73">
        <v>2002</v>
      </c>
      <c r="P64" s="61">
        <v>2011</v>
      </c>
      <c r="Q64" s="68" t="s">
        <v>100</v>
      </c>
      <c r="R64" s="116">
        <v>19.2</v>
      </c>
      <c r="S64" s="117">
        <f t="shared" si="0"/>
        <v>13.500000000000004</v>
      </c>
      <c r="T64" s="116">
        <v>32.700000000000003</v>
      </c>
      <c r="U64" s="61">
        <v>2010</v>
      </c>
      <c r="V64" s="61">
        <v>2010</v>
      </c>
      <c r="W64" s="118">
        <f t="shared" si="1"/>
        <v>2009</v>
      </c>
      <c r="X64" s="57" t="s">
        <v>515</v>
      </c>
      <c r="Y64" s="61">
        <v>42</v>
      </c>
      <c r="Z64" s="73" t="s">
        <v>520</v>
      </c>
      <c r="AA64" s="73" t="s">
        <v>520</v>
      </c>
      <c r="AB64" s="61">
        <v>42</v>
      </c>
      <c r="AC64" s="73" t="s">
        <v>520</v>
      </c>
      <c r="AD64" s="73" t="s">
        <v>520</v>
      </c>
      <c r="AE64" s="112">
        <f t="shared" si="12"/>
        <v>21.333333333333332</v>
      </c>
      <c r="AF64" s="113">
        <f t="shared" si="6"/>
        <v>37.800000000000004</v>
      </c>
      <c r="AG64" s="110">
        <f t="shared" si="2"/>
        <v>0</v>
      </c>
      <c r="AH64" s="113">
        <f t="shared" si="3"/>
        <v>0</v>
      </c>
      <c r="AI64" s="114">
        <f>LOOKUP(W64,'2018 Escalator'!$A$9:$A$41,'2018 Escalator'!$G$9:$G$41)</f>
        <v>1.1803081251084759</v>
      </c>
      <c r="AJ64" s="115">
        <f t="shared" si="4"/>
        <v>546999.63688402192</v>
      </c>
      <c r="AK64" s="104">
        <f t="shared" si="5"/>
        <v>546999.63688402192</v>
      </c>
    </row>
    <row r="65" spans="1:37" x14ac:dyDescent="0.2">
      <c r="A65" s="57">
        <v>1202</v>
      </c>
      <c r="B65" s="58" t="s">
        <v>92</v>
      </c>
      <c r="C65" s="58" t="s">
        <v>641</v>
      </c>
      <c r="D65" s="61" t="s">
        <v>642</v>
      </c>
      <c r="E65" s="61" t="s">
        <v>108</v>
      </c>
      <c r="F65" s="58" t="s">
        <v>505</v>
      </c>
      <c r="G65" s="60">
        <v>7190478</v>
      </c>
      <c r="H65" s="60">
        <v>270430</v>
      </c>
      <c r="I65" s="60">
        <f>216279+1765295+98451+294231</f>
        <v>2374256</v>
      </c>
      <c r="J65" s="115">
        <f t="shared" si="13"/>
        <v>9835164</v>
      </c>
      <c r="K65" s="115">
        <f t="shared" si="14"/>
        <v>9591964</v>
      </c>
      <c r="L65" s="60">
        <v>243200</v>
      </c>
      <c r="M65" s="61" t="s">
        <v>99</v>
      </c>
      <c r="N65" s="60"/>
      <c r="O65" s="73">
        <v>1989</v>
      </c>
      <c r="P65" s="61">
        <v>2016</v>
      </c>
      <c r="Q65" s="69" t="s">
        <v>100</v>
      </c>
      <c r="R65" s="116">
        <v>19.399999999999999</v>
      </c>
      <c r="S65" s="117">
        <f t="shared" si="0"/>
        <v>1.6000000000000014</v>
      </c>
      <c r="T65" s="116">
        <v>21</v>
      </c>
      <c r="U65" s="61">
        <v>2011</v>
      </c>
      <c r="V65" s="61">
        <v>2013</v>
      </c>
      <c r="W65" s="118">
        <f t="shared" si="1"/>
        <v>2012</v>
      </c>
      <c r="X65" s="57" t="s">
        <v>643</v>
      </c>
      <c r="Y65" s="61">
        <v>25</v>
      </c>
      <c r="Z65" s="73" t="s">
        <v>520</v>
      </c>
      <c r="AA65" s="73" t="s">
        <v>520</v>
      </c>
      <c r="AB65" s="61">
        <f>25+42</f>
        <v>67</v>
      </c>
      <c r="AC65" s="73" t="s">
        <v>520</v>
      </c>
      <c r="AD65" s="73" t="s">
        <v>520</v>
      </c>
      <c r="AE65" s="112">
        <f t="shared" si="12"/>
        <v>21.555555555555554</v>
      </c>
      <c r="AF65" s="113">
        <f t="shared" si="6"/>
        <v>22.5</v>
      </c>
      <c r="AG65" s="110">
        <f t="shared" si="2"/>
        <v>42</v>
      </c>
      <c r="AH65" s="113">
        <f t="shared" si="3"/>
        <v>37.800000000000004</v>
      </c>
      <c r="AI65" s="114">
        <f>LOOKUP(W65,'2018 Escalator'!$A$9:$A$41,'2018 Escalator'!$G$9:$G$41)</f>
        <v>1.0925127659799037</v>
      </c>
      <c r="AJ65" s="115">
        <f t="shared" si="4"/>
        <v>10745042.225505972</v>
      </c>
      <c r="AK65" s="104">
        <f t="shared" si="5"/>
        <v>10745042.225505972</v>
      </c>
    </row>
    <row r="66" spans="1:37" x14ac:dyDescent="0.2">
      <c r="A66" s="57">
        <v>1338</v>
      </c>
      <c r="B66" s="68" t="s">
        <v>92</v>
      </c>
      <c r="C66" s="58" t="s">
        <v>644</v>
      </c>
      <c r="D66" s="73" t="s">
        <v>645</v>
      </c>
      <c r="E66" s="61" t="s">
        <v>108</v>
      </c>
      <c r="F66" s="58" t="s">
        <v>505</v>
      </c>
      <c r="G66" s="60">
        <f>3887095+67499</f>
        <v>3954594</v>
      </c>
      <c r="H66" s="60">
        <v>0</v>
      </c>
      <c r="I66" s="60">
        <f>401248+1673606+18887+220061</f>
        <v>2313802</v>
      </c>
      <c r="J66" s="115">
        <f t="shared" si="13"/>
        <v>6268396</v>
      </c>
      <c r="K66" s="115">
        <f t="shared" si="14"/>
        <v>5746396</v>
      </c>
      <c r="L66" s="60">
        <v>522000</v>
      </c>
      <c r="M66" s="61" t="s">
        <v>99</v>
      </c>
      <c r="N66" s="60"/>
      <c r="O66" s="73" t="s">
        <v>565</v>
      </c>
      <c r="P66" s="61">
        <v>2015</v>
      </c>
      <c r="Q66" s="69" t="s">
        <v>100</v>
      </c>
      <c r="R66" s="116">
        <v>7.5</v>
      </c>
      <c r="S66" s="117">
        <f t="shared" si="0"/>
        <v>2</v>
      </c>
      <c r="T66" s="116">
        <v>9.5</v>
      </c>
      <c r="U66" s="61">
        <v>2013</v>
      </c>
      <c r="V66" s="61">
        <v>2014</v>
      </c>
      <c r="W66" s="118">
        <f t="shared" si="1"/>
        <v>2013</v>
      </c>
      <c r="X66" s="67" t="s">
        <v>646</v>
      </c>
      <c r="Y66" s="61">
        <f>6.7+8</f>
        <v>14.7</v>
      </c>
      <c r="Z66" s="73"/>
      <c r="AA66" s="73"/>
      <c r="AB66" s="61">
        <v>39.700000000000003</v>
      </c>
      <c r="AC66" s="73"/>
      <c r="AD66" s="73"/>
      <c r="AE66" s="112">
        <f t="shared" si="12"/>
        <v>8.3333333333333339</v>
      </c>
      <c r="AF66" s="113">
        <f t="shared" si="6"/>
        <v>13.23</v>
      </c>
      <c r="AG66" s="110">
        <f t="shared" si="2"/>
        <v>25.000000000000004</v>
      </c>
      <c r="AH66" s="113">
        <f t="shared" si="3"/>
        <v>22.500000000000004</v>
      </c>
      <c r="AI66" s="114">
        <f>LOOKUP(W66,'2018 Escalator'!$A$9:$A$41,'2018 Escalator'!$G$9:$G$41)</f>
        <v>1.0630440922306721</v>
      </c>
      <c r="AJ66" s="115">
        <f t="shared" si="4"/>
        <v>6663581.3355623763</v>
      </c>
      <c r="AK66" s="104">
        <f t="shared" si="5"/>
        <v>6663581.3355623763</v>
      </c>
    </row>
    <row r="67" spans="1:37" x14ac:dyDescent="0.2">
      <c r="A67" s="57">
        <v>212</v>
      </c>
      <c r="B67" s="58" t="s">
        <v>92</v>
      </c>
      <c r="C67" s="58" t="s">
        <v>647</v>
      </c>
      <c r="D67" s="61" t="s">
        <v>648</v>
      </c>
      <c r="E67" s="61" t="s">
        <v>108</v>
      </c>
      <c r="F67" s="58" t="s">
        <v>505</v>
      </c>
      <c r="G67" s="60"/>
      <c r="H67" s="60"/>
      <c r="I67" s="60"/>
      <c r="J67" s="115">
        <v>3043864</v>
      </c>
      <c r="K67" s="115">
        <f t="shared" si="14"/>
        <v>0</v>
      </c>
      <c r="L67" s="60">
        <v>3043864</v>
      </c>
      <c r="M67" s="73" t="s">
        <v>99</v>
      </c>
      <c r="N67" s="60"/>
      <c r="O67" s="73">
        <v>1978</v>
      </c>
      <c r="P67" s="61"/>
      <c r="R67" s="116">
        <f>27.13+9.42</f>
        <v>36.549999999999997</v>
      </c>
      <c r="S67" s="117">
        <f t="shared" si="0"/>
        <v>28</v>
      </c>
      <c r="T67" s="116">
        <f>55.13+9.42</f>
        <v>64.55</v>
      </c>
      <c r="U67" s="61">
        <v>2001</v>
      </c>
      <c r="V67" s="61">
        <v>2004</v>
      </c>
      <c r="W67" s="118">
        <f t="shared" si="1"/>
        <v>2003</v>
      </c>
      <c r="X67" s="57" t="s">
        <v>649</v>
      </c>
      <c r="Y67" s="61">
        <f>16.8+10+50</f>
        <v>76.8</v>
      </c>
      <c r="Z67" s="73" t="s">
        <v>525</v>
      </c>
      <c r="AA67" s="73" t="s">
        <v>525</v>
      </c>
      <c r="AB67" s="61">
        <v>126.8</v>
      </c>
      <c r="AC67" s="73" t="s">
        <v>525</v>
      </c>
      <c r="AD67" s="73" t="s">
        <v>525</v>
      </c>
      <c r="AE67" s="112">
        <f t="shared" si="12"/>
        <v>40.611111111111107</v>
      </c>
      <c r="AF67" s="113">
        <f t="shared" si="6"/>
        <v>69.12</v>
      </c>
      <c r="AG67" s="110">
        <f t="shared" si="2"/>
        <v>50</v>
      </c>
      <c r="AH67" s="113">
        <f t="shared" si="3"/>
        <v>45</v>
      </c>
      <c r="AI67" s="114">
        <f>LOOKUP(W67,'2018 Escalator'!$A$9:$A$41,'2018 Escalator'!$G$9:$G$41)</f>
        <v>1.5199278197444033</v>
      </c>
      <c r="AJ67" s="115">
        <f t="shared" si="4"/>
        <v>4626453.5731184781</v>
      </c>
      <c r="AK67" s="104">
        <f t="shared" si="5"/>
        <v>4626453.5731184781</v>
      </c>
    </row>
    <row r="68" spans="1:37" x14ac:dyDescent="0.2">
      <c r="A68" s="57">
        <v>653</v>
      </c>
      <c r="B68" s="58" t="s">
        <v>92</v>
      </c>
      <c r="C68" s="58" t="s">
        <v>650</v>
      </c>
      <c r="D68" s="61" t="s">
        <v>648</v>
      </c>
      <c r="E68" s="61" t="s">
        <v>108</v>
      </c>
      <c r="F68" s="58" t="s">
        <v>505</v>
      </c>
      <c r="G68" s="60">
        <v>346360</v>
      </c>
      <c r="H68" s="60">
        <v>0</v>
      </c>
      <c r="I68" s="60">
        <v>107652</v>
      </c>
      <c r="J68" s="115">
        <f t="shared" ref="J68:J76" si="15">SUM(G68:I68)</f>
        <v>454012</v>
      </c>
      <c r="K68" s="115">
        <f t="shared" si="14"/>
        <v>83607</v>
      </c>
      <c r="L68" s="60">
        <v>370405</v>
      </c>
      <c r="M68" s="61" t="s">
        <v>129</v>
      </c>
      <c r="N68" s="60">
        <v>0</v>
      </c>
      <c r="O68" s="73">
        <v>1977</v>
      </c>
      <c r="P68" s="61">
        <v>2008</v>
      </c>
      <c r="Q68" s="58" t="s">
        <v>100</v>
      </c>
      <c r="R68" s="116">
        <f>55.13+9.42</f>
        <v>64.55</v>
      </c>
      <c r="S68" s="117">
        <f t="shared" si="0"/>
        <v>1.3200000000000074</v>
      </c>
      <c r="T68" s="116">
        <f>55.13+10.74</f>
        <v>65.87</v>
      </c>
      <c r="U68" s="61">
        <v>2006</v>
      </c>
      <c r="V68" s="61">
        <v>2008</v>
      </c>
      <c r="W68" s="118">
        <f t="shared" si="1"/>
        <v>2007</v>
      </c>
      <c r="X68" s="57" t="s">
        <v>651</v>
      </c>
      <c r="Y68" s="61">
        <f>16.8+10+50*2</f>
        <v>126.8</v>
      </c>
      <c r="Z68" s="73" t="s">
        <v>525</v>
      </c>
      <c r="AA68" s="73" t="s">
        <v>525</v>
      </c>
      <c r="AB68" s="61">
        <v>126.8</v>
      </c>
      <c r="AC68" s="73" t="s">
        <v>525</v>
      </c>
      <c r="AD68" s="73" t="s">
        <v>525</v>
      </c>
      <c r="AE68" s="112">
        <f t="shared" si="12"/>
        <v>71.722222222222214</v>
      </c>
      <c r="AF68" s="113">
        <f t="shared" si="6"/>
        <v>114.12</v>
      </c>
      <c r="AG68" s="110">
        <f t="shared" si="2"/>
        <v>0</v>
      </c>
      <c r="AH68" s="113">
        <f t="shared" si="3"/>
        <v>0</v>
      </c>
      <c r="AI68" s="114">
        <f>LOOKUP(W68,'2018 Escalator'!$A$9:$A$41,'2018 Escalator'!$G$9:$G$41)</f>
        <v>1.2531539462632446</v>
      </c>
      <c r="AJ68" s="115">
        <f t="shared" si="4"/>
        <v>568946.92945086816</v>
      </c>
      <c r="AK68" s="104">
        <f t="shared" si="5"/>
        <v>568946.92945086816</v>
      </c>
    </row>
    <row r="69" spans="1:37" x14ac:dyDescent="0.2">
      <c r="A69" s="57">
        <v>1679</v>
      </c>
      <c r="B69" s="68" t="s">
        <v>92</v>
      </c>
      <c r="C69" s="58" t="s">
        <v>652</v>
      </c>
      <c r="D69" s="73" t="s">
        <v>648</v>
      </c>
      <c r="E69" s="61" t="s">
        <v>108</v>
      </c>
      <c r="F69" s="58" t="s">
        <v>505</v>
      </c>
      <c r="G69" s="60">
        <v>1687000</v>
      </c>
      <c r="H69" s="60">
        <v>0</v>
      </c>
      <c r="I69" s="60">
        <f>257000+749000+52000+179000</f>
        <v>1237000</v>
      </c>
      <c r="J69" s="115">
        <f t="shared" si="15"/>
        <v>2924000</v>
      </c>
      <c r="K69" s="115">
        <f t="shared" si="14"/>
        <v>2924000</v>
      </c>
      <c r="L69" s="60">
        <v>0</v>
      </c>
      <c r="M69" s="61" t="s">
        <v>99</v>
      </c>
      <c r="N69" s="60"/>
      <c r="O69" s="73">
        <v>1977</v>
      </c>
      <c r="P69" s="61">
        <v>2016</v>
      </c>
      <c r="Q69" s="69" t="s">
        <v>213</v>
      </c>
      <c r="R69" s="116">
        <f>55.13+10.74</f>
        <v>65.87</v>
      </c>
      <c r="S69" s="117">
        <f t="shared" si="0"/>
        <v>0</v>
      </c>
      <c r="T69" s="116">
        <f>55.13+10.74</f>
        <v>65.87</v>
      </c>
      <c r="U69" s="61">
        <v>2016</v>
      </c>
      <c r="V69" s="61">
        <v>2017</v>
      </c>
      <c r="W69" s="118">
        <f t="shared" si="1"/>
        <v>2016</v>
      </c>
      <c r="X69" s="67" t="s">
        <v>653</v>
      </c>
      <c r="Y69" s="61">
        <f>16.8+10+50*2</f>
        <v>126.8</v>
      </c>
      <c r="Z69" s="73"/>
      <c r="AA69" s="73"/>
      <c r="AB69" s="73">
        <v>126.8</v>
      </c>
      <c r="AC69" s="73"/>
      <c r="AD69" s="73"/>
      <c r="AE69" s="112">
        <f t="shared" si="12"/>
        <v>73.188888888888897</v>
      </c>
      <c r="AF69" s="113">
        <f t="shared" si="6"/>
        <v>114.12</v>
      </c>
      <c r="AG69" s="110">
        <f t="shared" si="2"/>
        <v>0</v>
      </c>
      <c r="AH69" s="113">
        <f t="shared" si="3"/>
        <v>0</v>
      </c>
      <c r="AI69" s="114">
        <f>LOOKUP(W69,'2018 Escalator'!$A$9:$A$41,'2018 Escalator'!$G$9:$G$41)</f>
        <v>1.038286218119775</v>
      </c>
      <c r="AJ69" s="115">
        <f t="shared" si="4"/>
        <v>3035948.9017822221</v>
      </c>
      <c r="AK69" s="104">
        <f t="shared" si="5"/>
        <v>3035948.9017822221</v>
      </c>
    </row>
    <row r="70" spans="1:37" x14ac:dyDescent="0.2">
      <c r="A70" s="57">
        <v>1382</v>
      </c>
      <c r="B70" s="68" t="s">
        <v>92</v>
      </c>
      <c r="C70" s="58" t="s">
        <v>654</v>
      </c>
      <c r="D70" s="73" t="s">
        <v>655</v>
      </c>
      <c r="E70" s="61" t="s">
        <v>108</v>
      </c>
      <c r="F70" s="58" t="s">
        <v>505</v>
      </c>
      <c r="G70" s="60">
        <v>1357283</v>
      </c>
      <c r="H70" s="60">
        <v>0</v>
      </c>
      <c r="I70" s="60">
        <f>136430+721267+10310+77941</f>
        <v>945948</v>
      </c>
      <c r="J70" s="115">
        <f t="shared" si="15"/>
        <v>2303231</v>
      </c>
      <c r="K70" s="115">
        <f t="shared" si="14"/>
        <v>423031</v>
      </c>
      <c r="L70" s="60">
        <v>1880200</v>
      </c>
      <c r="M70" s="61" t="s">
        <v>99</v>
      </c>
      <c r="N70" s="60"/>
      <c r="O70" s="73" t="s">
        <v>565</v>
      </c>
      <c r="P70" s="61">
        <v>2016</v>
      </c>
      <c r="Q70" s="69" t="s">
        <v>100</v>
      </c>
      <c r="R70" s="116">
        <v>24.2</v>
      </c>
      <c r="S70" s="117">
        <f t="shared" si="0"/>
        <v>11.900000000000002</v>
      </c>
      <c r="T70" s="116">
        <v>36.1</v>
      </c>
      <c r="U70" s="61">
        <v>2013</v>
      </c>
      <c r="V70" s="61">
        <v>2014</v>
      </c>
      <c r="W70" s="118">
        <f t="shared" si="1"/>
        <v>2013</v>
      </c>
      <c r="X70" s="67" t="s">
        <v>515</v>
      </c>
      <c r="Y70" s="61">
        <f>25+42</f>
        <v>67</v>
      </c>
      <c r="Z70" s="73"/>
      <c r="AA70" s="73"/>
      <c r="AB70" s="61">
        <v>67</v>
      </c>
      <c r="AC70" s="73"/>
      <c r="AD70" s="73"/>
      <c r="AE70" s="112">
        <f t="shared" si="12"/>
        <v>26.888888888888886</v>
      </c>
      <c r="AF70" s="113">
        <f t="shared" si="6"/>
        <v>60.300000000000004</v>
      </c>
      <c r="AG70" s="110">
        <f t="shared" si="2"/>
        <v>0</v>
      </c>
      <c r="AH70" s="113">
        <f t="shared" si="3"/>
        <v>0</v>
      </c>
      <c r="AI70" s="114">
        <f>LOOKUP(W70,'2018 Escalator'!$A$9:$A$41,'2018 Escalator'!$G$9:$G$41)</f>
        <v>1.0630440922306721</v>
      </c>
      <c r="AJ70" s="115">
        <f t="shared" si="4"/>
        <v>2448436.1075925431</v>
      </c>
      <c r="AK70" s="104">
        <f t="shared" si="5"/>
        <v>2448436.1075925431</v>
      </c>
    </row>
    <row r="71" spans="1:37" x14ac:dyDescent="0.2">
      <c r="A71" s="57">
        <v>1638</v>
      </c>
      <c r="B71" s="68" t="s">
        <v>92</v>
      </c>
      <c r="C71" s="58" t="s">
        <v>656</v>
      </c>
      <c r="D71" s="73" t="s">
        <v>655</v>
      </c>
      <c r="E71" s="61" t="s">
        <v>108</v>
      </c>
      <c r="F71" s="58" t="s">
        <v>505</v>
      </c>
      <c r="G71" s="60">
        <f>1309806-732734</f>
        <v>577072</v>
      </c>
      <c r="H71" s="60">
        <v>0</v>
      </c>
      <c r="I71" s="60">
        <f>198898+332466+90530+194541</f>
        <v>816435</v>
      </c>
      <c r="J71" s="115">
        <f t="shared" si="15"/>
        <v>1393507</v>
      </c>
      <c r="K71" s="115">
        <f t="shared" si="14"/>
        <v>1393507</v>
      </c>
      <c r="L71" s="60">
        <v>0</v>
      </c>
      <c r="M71" s="61" t="s">
        <v>99</v>
      </c>
      <c r="N71" s="60"/>
      <c r="O71" s="73" t="s">
        <v>565</v>
      </c>
      <c r="P71" s="61">
        <v>2017</v>
      </c>
      <c r="Q71" s="69" t="s">
        <v>100</v>
      </c>
      <c r="R71" s="116">
        <v>36.1</v>
      </c>
      <c r="S71" s="117">
        <f t="shared" si="0"/>
        <v>0</v>
      </c>
      <c r="T71" s="116">
        <v>36.1</v>
      </c>
      <c r="U71" s="61">
        <v>2015</v>
      </c>
      <c r="V71" s="61">
        <v>2016</v>
      </c>
      <c r="W71" s="118">
        <f t="shared" si="1"/>
        <v>2015</v>
      </c>
      <c r="X71" s="120" t="s">
        <v>657</v>
      </c>
      <c r="Y71" s="61">
        <f>25+42</f>
        <v>67</v>
      </c>
      <c r="Z71" s="121"/>
      <c r="AA71" s="121"/>
      <c r="AB71" s="73">
        <v>84</v>
      </c>
      <c r="AC71" s="121"/>
      <c r="AD71" s="121"/>
      <c r="AE71" s="112">
        <f t="shared" si="12"/>
        <v>40.111111111111114</v>
      </c>
      <c r="AF71" s="113">
        <f t="shared" si="6"/>
        <v>60.300000000000004</v>
      </c>
      <c r="AG71" s="110">
        <f t="shared" si="2"/>
        <v>17</v>
      </c>
      <c r="AH71" s="113">
        <f t="shared" si="3"/>
        <v>15.3</v>
      </c>
      <c r="AI71" s="114">
        <f>LOOKUP(W71,'2018 Escalator'!$A$9:$A$41,'2018 Escalator'!$G$9:$G$41)</f>
        <v>1.0267399975608473</v>
      </c>
      <c r="AJ71" s="115">
        <f t="shared" si="4"/>
        <v>1430769.3737810238</v>
      </c>
      <c r="AK71" s="104">
        <f t="shared" si="5"/>
        <v>1430769.3737810238</v>
      </c>
    </row>
    <row r="72" spans="1:37" x14ac:dyDescent="0.2">
      <c r="A72" s="57">
        <v>874</v>
      </c>
      <c r="B72" s="58" t="s">
        <v>92</v>
      </c>
      <c r="C72" s="58" t="s">
        <v>658</v>
      </c>
      <c r="D72" s="61" t="s">
        <v>452</v>
      </c>
      <c r="E72" s="61" t="s">
        <v>108</v>
      </c>
      <c r="F72" s="58" t="s">
        <v>505</v>
      </c>
      <c r="G72" s="60">
        <v>2163234</v>
      </c>
      <c r="H72" s="60">
        <v>0</v>
      </c>
      <c r="I72" s="60">
        <v>915081</v>
      </c>
      <c r="J72" s="115">
        <f t="shared" si="15"/>
        <v>3078315</v>
      </c>
      <c r="K72" s="115">
        <f t="shared" si="14"/>
        <v>2731815</v>
      </c>
      <c r="L72" s="60">
        <v>346500</v>
      </c>
      <c r="M72" s="61" t="s">
        <v>99</v>
      </c>
      <c r="N72" s="60"/>
      <c r="O72" s="73">
        <v>1997</v>
      </c>
      <c r="P72" s="73">
        <v>2011</v>
      </c>
      <c r="Q72" s="69" t="s">
        <v>100</v>
      </c>
      <c r="R72" s="116">
        <v>6.4</v>
      </c>
      <c r="S72" s="117">
        <f t="shared" ref="S72:S126" si="16">T72-R72</f>
        <v>0.5</v>
      </c>
      <c r="T72" s="116">
        <v>6.9</v>
      </c>
      <c r="U72" s="61">
        <v>2010</v>
      </c>
      <c r="V72" s="61">
        <v>2010</v>
      </c>
      <c r="W72" s="118">
        <f t="shared" ref="W72:W135" si="17">V72-1</f>
        <v>2009</v>
      </c>
      <c r="X72" s="57" t="s">
        <v>659</v>
      </c>
      <c r="Y72" s="61">
        <v>8.4</v>
      </c>
      <c r="Z72" s="73" t="s">
        <v>520</v>
      </c>
      <c r="AA72" s="73" t="s">
        <v>520</v>
      </c>
      <c r="AB72" s="61">
        <v>25</v>
      </c>
      <c r="AC72" s="73" t="s">
        <v>520</v>
      </c>
      <c r="AD72" s="73" t="s">
        <v>520</v>
      </c>
      <c r="AE72" s="112">
        <f t="shared" si="12"/>
        <v>7.1111111111111116</v>
      </c>
      <c r="AF72" s="113">
        <f t="shared" si="6"/>
        <v>7.5600000000000005</v>
      </c>
      <c r="AG72" s="110">
        <f t="shared" ref="AG72:AG135" si="18">AB72-Y72</f>
        <v>16.600000000000001</v>
      </c>
      <c r="AH72" s="113">
        <f t="shared" ref="AH72:AH135" si="19">AG72*0.9</f>
        <v>14.940000000000001</v>
      </c>
      <c r="AI72" s="114">
        <f>LOOKUP(W72,'2018 Escalator'!$A$9:$A$41,'2018 Escalator'!$G$9:$G$41)</f>
        <v>1.1803081251084759</v>
      </c>
      <c r="AJ72" s="115">
        <f t="shared" ref="AJ72:AJ135" si="20">J72*AI72</f>
        <v>3633360.2061432982</v>
      </c>
      <c r="AK72" s="104">
        <f t="shared" ref="AK72:AK135" si="21">(J72+N72)*AI72</f>
        <v>3633360.2061432982</v>
      </c>
    </row>
    <row r="73" spans="1:37" x14ac:dyDescent="0.2">
      <c r="A73" s="57">
        <v>491</v>
      </c>
      <c r="B73" s="58" t="s">
        <v>92</v>
      </c>
      <c r="C73" s="58" t="s">
        <v>660</v>
      </c>
      <c r="D73" s="61" t="s">
        <v>661</v>
      </c>
      <c r="E73" s="61" t="s">
        <v>108</v>
      </c>
      <c r="F73" s="58" t="s">
        <v>505</v>
      </c>
      <c r="G73" s="60">
        <v>145513</v>
      </c>
      <c r="H73" s="60">
        <v>0</v>
      </c>
      <c r="I73" s="60">
        <v>0</v>
      </c>
      <c r="J73" s="115">
        <f t="shared" si="15"/>
        <v>145513</v>
      </c>
      <c r="K73" s="115">
        <f t="shared" si="14"/>
        <v>0</v>
      </c>
      <c r="L73" s="60">
        <v>145513</v>
      </c>
      <c r="M73" s="61" t="s">
        <v>99</v>
      </c>
      <c r="N73" s="60"/>
      <c r="O73" s="73">
        <v>1984</v>
      </c>
      <c r="P73" s="61">
        <v>2007</v>
      </c>
      <c r="Q73" s="58" t="s">
        <v>100</v>
      </c>
      <c r="R73" s="116">
        <v>27.9</v>
      </c>
      <c r="S73" s="117">
        <f t="shared" si="16"/>
        <v>1</v>
      </c>
      <c r="T73" s="116">
        <v>28.9</v>
      </c>
      <c r="U73" s="61">
        <v>2006</v>
      </c>
      <c r="V73" s="61">
        <v>2007</v>
      </c>
      <c r="W73" s="118">
        <f t="shared" si="17"/>
        <v>2006</v>
      </c>
      <c r="X73" s="57" t="s">
        <v>515</v>
      </c>
      <c r="Y73" s="61">
        <f>42*2</f>
        <v>84</v>
      </c>
      <c r="Z73" s="73" t="s">
        <v>509</v>
      </c>
      <c r="AA73" s="73" t="s">
        <v>509</v>
      </c>
      <c r="AB73" s="61">
        <v>84</v>
      </c>
      <c r="AC73" s="73" t="s">
        <v>509</v>
      </c>
      <c r="AD73" s="73" t="s">
        <v>509</v>
      </c>
      <c r="AE73" s="112">
        <f t="shared" si="12"/>
        <v>30.999999999999996</v>
      </c>
      <c r="AF73" s="113">
        <f t="shared" si="6"/>
        <v>75.600000000000009</v>
      </c>
      <c r="AG73" s="110">
        <f t="shared" si="18"/>
        <v>0</v>
      </c>
      <c r="AH73" s="113">
        <f t="shared" si="19"/>
        <v>0</v>
      </c>
      <c r="AI73" s="114">
        <f>LOOKUP(W73,'2018 Escalator'!$A$9:$A$41,'2018 Escalator'!$G$9:$G$41)</f>
        <v>1.3230619810637019</v>
      </c>
      <c r="AJ73" s="115">
        <f t="shared" si="20"/>
        <v>192522.71805052244</v>
      </c>
      <c r="AK73" s="104">
        <f t="shared" si="21"/>
        <v>192522.71805052244</v>
      </c>
    </row>
    <row r="74" spans="1:37" x14ac:dyDescent="0.2">
      <c r="A74" s="57">
        <v>1396</v>
      </c>
      <c r="B74" s="68" t="s">
        <v>92</v>
      </c>
      <c r="C74" s="58" t="s">
        <v>662</v>
      </c>
      <c r="D74" s="73" t="s">
        <v>180</v>
      </c>
      <c r="E74" s="61" t="s">
        <v>108</v>
      </c>
      <c r="F74" s="58" t="s">
        <v>505</v>
      </c>
      <c r="G74" s="60">
        <v>197185</v>
      </c>
      <c r="H74" s="60">
        <v>0</v>
      </c>
      <c r="I74" s="60">
        <f>106030+37696+0+10449</f>
        <v>154175</v>
      </c>
      <c r="J74" s="115">
        <f t="shared" si="15"/>
        <v>351360</v>
      </c>
      <c r="K74" s="115">
        <f t="shared" si="14"/>
        <v>0</v>
      </c>
      <c r="L74" s="60">
        <v>351360</v>
      </c>
      <c r="M74" s="61" t="s">
        <v>99</v>
      </c>
      <c r="N74" s="60"/>
      <c r="O74" s="73">
        <v>2009</v>
      </c>
      <c r="P74" s="61">
        <v>2015</v>
      </c>
      <c r="Q74" s="68" t="s">
        <v>100</v>
      </c>
      <c r="R74" s="116">
        <v>20.6</v>
      </c>
      <c r="S74" s="117">
        <f t="shared" si="16"/>
        <v>5.3999999999999986</v>
      </c>
      <c r="T74" s="116">
        <v>26</v>
      </c>
      <c r="U74" s="61">
        <v>2013</v>
      </c>
      <c r="V74" s="61">
        <v>2014</v>
      </c>
      <c r="W74" s="118">
        <f t="shared" si="17"/>
        <v>2013</v>
      </c>
      <c r="X74" s="67" t="s">
        <v>663</v>
      </c>
      <c r="Y74" s="73">
        <v>42</v>
      </c>
      <c r="Z74" s="73"/>
      <c r="AA74" s="73"/>
      <c r="AB74" s="73">
        <v>42</v>
      </c>
      <c r="AC74" s="73"/>
      <c r="AD74" s="73"/>
      <c r="AE74" s="112">
        <f t="shared" si="12"/>
        <v>22.888888888888889</v>
      </c>
      <c r="AF74" s="113">
        <f t="shared" ref="AF74:AF137" si="22">Y74*0.9</f>
        <v>37.800000000000004</v>
      </c>
      <c r="AG74" s="110">
        <f t="shared" si="18"/>
        <v>0</v>
      </c>
      <c r="AH74" s="113">
        <f t="shared" si="19"/>
        <v>0</v>
      </c>
      <c r="AI74" s="114">
        <f>LOOKUP(W74,'2018 Escalator'!$A$9:$A$41,'2018 Escalator'!$G$9:$G$41)</f>
        <v>1.0630440922306721</v>
      </c>
      <c r="AJ74" s="115">
        <f t="shared" si="20"/>
        <v>373511.17224616895</v>
      </c>
      <c r="AK74" s="104">
        <f t="shared" si="21"/>
        <v>373511.17224616895</v>
      </c>
    </row>
    <row r="75" spans="1:37" x14ac:dyDescent="0.2">
      <c r="A75" s="57">
        <v>1597</v>
      </c>
      <c r="B75" s="68" t="s">
        <v>92</v>
      </c>
      <c r="C75" s="58" t="s">
        <v>664</v>
      </c>
      <c r="D75" s="73" t="s">
        <v>180</v>
      </c>
      <c r="E75" s="61" t="s">
        <v>108</v>
      </c>
      <c r="F75" s="58" t="s">
        <v>505</v>
      </c>
      <c r="G75" s="60">
        <v>3179254</v>
      </c>
      <c r="H75" s="60">
        <v>0</v>
      </c>
      <c r="I75" s="60">
        <f>220677+329286+0+396055</f>
        <v>946018</v>
      </c>
      <c r="J75" s="115">
        <f t="shared" si="15"/>
        <v>4125272</v>
      </c>
      <c r="K75" s="115">
        <f t="shared" si="14"/>
        <v>0</v>
      </c>
      <c r="L75" s="60">
        <v>4125272</v>
      </c>
      <c r="M75" s="61" t="s">
        <v>99</v>
      </c>
      <c r="N75" s="60"/>
      <c r="O75" s="73">
        <v>2009</v>
      </c>
      <c r="P75" s="61">
        <v>2016</v>
      </c>
      <c r="Q75" s="68" t="s">
        <v>100</v>
      </c>
      <c r="R75" s="116">
        <v>26</v>
      </c>
      <c r="S75" s="117">
        <f t="shared" si="16"/>
        <v>27.299999999999997</v>
      </c>
      <c r="T75" s="116">
        <v>53.3</v>
      </c>
      <c r="U75" s="61">
        <v>2015</v>
      </c>
      <c r="V75" s="61">
        <v>2016</v>
      </c>
      <c r="W75" s="118">
        <f t="shared" si="17"/>
        <v>2015</v>
      </c>
      <c r="X75" s="67" t="s">
        <v>665</v>
      </c>
      <c r="Y75" s="73">
        <v>42</v>
      </c>
      <c r="Z75" s="73"/>
      <c r="AA75" s="73"/>
      <c r="AB75" s="73">
        <v>84</v>
      </c>
      <c r="AC75" s="73"/>
      <c r="AD75" s="73"/>
      <c r="AE75" s="112">
        <f t="shared" si="12"/>
        <v>28.888888888888889</v>
      </c>
      <c r="AF75" s="113">
        <f t="shared" si="22"/>
        <v>37.800000000000004</v>
      </c>
      <c r="AG75" s="110">
        <f t="shared" si="18"/>
        <v>42</v>
      </c>
      <c r="AH75" s="113">
        <f t="shared" si="19"/>
        <v>37.800000000000004</v>
      </c>
      <c r="AI75" s="114">
        <f>LOOKUP(W75,'2018 Escalator'!$A$9:$A$41,'2018 Escalator'!$G$9:$G$41)</f>
        <v>1.0267399975608473</v>
      </c>
      <c r="AJ75" s="115">
        <f t="shared" si="20"/>
        <v>4235581.763217832</v>
      </c>
      <c r="AK75" s="104">
        <f t="shared" si="21"/>
        <v>4235581.763217832</v>
      </c>
    </row>
    <row r="76" spans="1:37" x14ac:dyDescent="0.2">
      <c r="A76" s="57">
        <v>1292</v>
      </c>
      <c r="B76" s="68" t="s">
        <v>92</v>
      </c>
      <c r="C76" s="58" t="s">
        <v>666</v>
      </c>
      <c r="D76" s="73" t="s">
        <v>667</v>
      </c>
      <c r="E76" s="61" t="s">
        <v>108</v>
      </c>
      <c r="F76" s="58" t="s">
        <v>505</v>
      </c>
      <c r="G76" s="60">
        <f>3540843-818000</f>
        <v>2722843</v>
      </c>
      <c r="H76" s="60">
        <v>0</v>
      </c>
      <c r="I76" s="60">
        <f>312699+924296+100000+146168</f>
        <v>1483163</v>
      </c>
      <c r="J76" s="115">
        <f t="shared" si="15"/>
        <v>4206006</v>
      </c>
      <c r="K76" s="115">
        <f t="shared" si="14"/>
        <v>3811006</v>
      </c>
      <c r="L76" s="60">
        <v>395000</v>
      </c>
      <c r="M76" s="61" t="s">
        <v>99</v>
      </c>
      <c r="N76" s="60"/>
      <c r="O76" s="73" t="s">
        <v>565</v>
      </c>
      <c r="P76" s="61">
        <v>2016</v>
      </c>
      <c r="Q76" s="68" t="s">
        <v>100</v>
      </c>
      <c r="R76" s="116">
        <v>30.3</v>
      </c>
      <c r="S76" s="117">
        <f t="shared" si="16"/>
        <v>2.4999999999999964</v>
      </c>
      <c r="T76" s="116">
        <v>32.799999999999997</v>
      </c>
      <c r="U76" s="61">
        <v>2013</v>
      </c>
      <c r="V76" s="61">
        <v>2014</v>
      </c>
      <c r="W76" s="118">
        <f t="shared" si="17"/>
        <v>2013</v>
      </c>
      <c r="X76" s="67" t="s">
        <v>668</v>
      </c>
      <c r="Y76" s="61">
        <v>28.1</v>
      </c>
      <c r="Z76" s="73"/>
      <c r="AA76" s="73"/>
      <c r="AB76" s="61">
        <v>42</v>
      </c>
      <c r="AC76" s="73"/>
      <c r="AD76" s="73"/>
      <c r="AE76" s="112">
        <f t="shared" si="12"/>
        <v>33.666666666666664</v>
      </c>
      <c r="AF76" s="113">
        <f t="shared" si="22"/>
        <v>25.290000000000003</v>
      </c>
      <c r="AG76" s="110">
        <f t="shared" si="18"/>
        <v>13.899999999999999</v>
      </c>
      <c r="AH76" s="113">
        <f t="shared" si="19"/>
        <v>12.51</v>
      </c>
      <c r="AI76" s="114">
        <f>LOOKUP(W76,'2018 Escalator'!$A$9:$A$41,'2018 Escalator'!$G$9:$G$41)</f>
        <v>1.0630440922306721</v>
      </c>
      <c r="AJ76" s="115">
        <f t="shared" si="20"/>
        <v>4471169.8301867601</v>
      </c>
      <c r="AK76" s="104">
        <f t="shared" si="21"/>
        <v>4471169.8301867601</v>
      </c>
    </row>
    <row r="77" spans="1:37" x14ac:dyDescent="0.2">
      <c r="A77" s="57">
        <v>364</v>
      </c>
      <c r="B77" s="58" t="s">
        <v>92</v>
      </c>
      <c r="C77" s="58" t="s">
        <v>669</v>
      </c>
      <c r="D77" s="61" t="s">
        <v>670</v>
      </c>
      <c r="E77" s="61" t="s">
        <v>108</v>
      </c>
      <c r="F77" s="58" t="s">
        <v>505</v>
      </c>
      <c r="G77" s="60">
        <v>887927</v>
      </c>
      <c r="H77" s="60">
        <v>0</v>
      </c>
      <c r="I77" s="60">
        <v>0</v>
      </c>
      <c r="J77" s="115">
        <v>887927</v>
      </c>
      <c r="K77" s="115">
        <v>0</v>
      </c>
      <c r="L77" s="60">
        <v>887927</v>
      </c>
      <c r="M77" s="61" t="s">
        <v>99</v>
      </c>
      <c r="N77" s="60"/>
      <c r="O77" s="122">
        <v>1975</v>
      </c>
      <c r="P77" s="61">
        <v>2006</v>
      </c>
      <c r="Q77" s="58" t="s">
        <v>100</v>
      </c>
      <c r="R77" s="116">
        <v>44.904000000000003</v>
      </c>
      <c r="S77" s="117">
        <f t="shared" si="16"/>
        <v>2</v>
      </c>
      <c r="T77" s="116">
        <v>46.904000000000003</v>
      </c>
      <c r="U77" s="61">
        <v>2003</v>
      </c>
      <c r="V77" s="61">
        <v>2005</v>
      </c>
      <c r="W77" s="118">
        <f t="shared" si="17"/>
        <v>2004</v>
      </c>
      <c r="X77" s="57" t="s">
        <v>671</v>
      </c>
      <c r="Y77" s="61">
        <f>42+47</f>
        <v>89</v>
      </c>
      <c r="Z77" s="73" t="s">
        <v>525</v>
      </c>
      <c r="AA77" s="73" t="s">
        <v>525</v>
      </c>
      <c r="AB77" s="61">
        <v>89</v>
      </c>
      <c r="AC77" s="73" t="s">
        <v>525</v>
      </c>
      <c r="AD77" s="73" t="s">
        <v>525</v>
      </c>
      <c r="AE77" s="112">
        <f t="shared" si="12"/>
        <v>49.893333333333338</v>
      </c>
      <c r="AF77" s="113">
        <f t="shared" si="22"/>
        <v>80.100000000000009</v>
      </c>
      <c r="AG77" s="110">
        <f t="shared" si="18"/>
        <v>0</v>
      </c>
      <c r="AH77" s="113">
        <f t="shared" si="19"/>
        <v>0</v>
      </c>
      <c r="AI77" s="114">
        <f>LOOKUP(W77,'2018 Escalator'!$A$9:$A$41,'2018 Escalator'!$G$9:$G$41)</f>
        <v>1.483782020350688</v>
      </c>
      <c r="AJ77" s="115">
        <f t="shared" si="20"/>
        <v>1317490.1179839254</v>
      </c>
      <c r="AK77" s="104">
        <f t="shared" si="21"/>
        <v>1317490.1179839254</v>
      </c>
    </row>
    <row r="78" spans="1:37" x14ac:dyDescent="0.2">
      <c r="A78" s="57">
        <v>1306</v>
      </c>
      <c r="B78" s="68" t="s">
        <v>92</v>
      </c>
      <c r="C78" s="68" t="s">
        <v>672</v>
      </c>
      <c r="D78" s="119" t="s">
        <v>673</v>
      </c>
      <c r="E78" s="119" t="s">
        <v>108</v>
      </c>
      <c r="F78" s="68" t="s">
        <v>505</v>
      </c>
      <c r="G78" s="60">
        <v>4382015</v>
      </c>
      <c r="H78" s="60">
        <v>0</v>
      </c>
      <c r="I78" s="60">
        <f>218755+843127+14500+171530</f>
        <v>1247912</v>
      </c>
      <c r="J78" s="115">
        <f>SUM(G78:I78)</f>
        <v>5629927</v>
      </c>
      <c r="K78" s="115">
        <f>J78-L78</f>
        <v>5298127</v>
      </c>
      <c r="L78" s="60">
        <v>331800</v>
      </c>
      <c r="M78" s="61" t="s">
        <v>99</v>
      </c>
      <c r="N78" s="60"/>
      <c r="O78" s="73">
        <v>1985</v>
      </c>
      <c r="P78" s="61">
        <v>2016</v>
      </c>
      <c r="Q78" s="69" t="s">
        <v>100</v>
      </c>
      <c r="R78" s="116">
        <v>23.1</v>
      </c>
      <c r="S78" s="117">
        <f t="shared" si="16"/>
        <v>2.0999999999999979</v>
      </c>
      <c r="T78" s="116">
        <v>25.2</v>
      </c>
      <c r="U78" s="61">
        <v>2013</v>
      </c>
      <c r="V78" s="61">
        <v>2014</v>
      </c>
      <c r="W78" s="118">
        <f t="shared" si="17"/>
        <v>2013</v>
      </c>
      <c r="X78" s="57" t="s">
        <v>533</v>
      </c>
      <c r="Y78" s="61">
        <v>42</v>
      </c>
      <c r="Z78" s="73" t="s">
        <v>509</v>
      </c>
      <c r="AA78" s="73" t="s">
        <v>509</v>
      </c>
      <c r="AB78" s="61">
        <v>84</v>
      </c>
      <c r="AC78" s="73" t="s">
        <v>509</v>
      </c>
      <c r="AD78" s="73" t="s">
        <v>509</v>
      </c>
      <c r="AE78" s="112">
        <f t="shared" si="12"/>
        <v>25.666666666666668</v>
      </c>
      <c r="AF78" s="113">
        <f t="shared" si="22"/>
        <v>37.800000000000004</v>
      </c>
      <c r="AG78" s="110">
        <f t="shared" si="18"/>
        <v>42</v>
      </c>
      <c r="AH78" s="113">
        <f t="shared" si="19"/>
        <v>37.800000000000004</v>
      </c>
      <c r="AI78" s="114">
        <f>LOOKUP(W78,'2018 Escalator'!$A$9:$A$41,'2018 Escalator'!$G$9:$G$41)</f>
        <v>1.0630440922306721</v>
      </c>
      <c r="AJ78" s="115">
        <f t="shared" si="20"/>
        <v>5984860.637039951</v>
      </c>
      <c r="AK78" s="104">
        <f t="shared" si="21"/>
        <v>5984860.637039951</v>
      </c>
    </row>
    <row r="79" spans="1:37" x14ac:dyDescent="0.2">
      <c r="A79" s="57">
        <v>858</v>
      </c>
      <c r="B79" s="58" t="s">
        <v>92</v>
      </c>
      <c r="C79" s="58" t="s">
        <v>674</v>
      </c>
      <c r="D79" s="61" t="s">
        <v>200</v>
      </c>
      <c r="E79" s="61" t="s">
        <v>108</v>
      </c>
      <c r="F79" s="58" t="s">
        <v>505</v>
      </c>
      <c r="G79" s="60">
        <v>3144753</v>
      </c>
      <c r="H79" s="60">
        <v>0</v>
      </c>
      <c r="I79" s="60">
        <v>1526289</v>
      </c>
      <c r="J79" s="115">
        <v>4671042</v>
      </c>
      <c r="K79" s="115">
        <v>3648042</v>
      </c>
      <c r="L79" s="60">
        <v>1023000</v>
      </c>
      <c r="M79" s="61" t="s">
        <v>99</v>
      </c>
      <c r="N79" s="60"/>
      <c r="O79" s="73">
        <v>2009</v>
      </c>
      <c r="P79" s="61">
        <v>2012</v>
      </c>
      <c r="Q79" s="69" t="s">
        <v>100</v>
      </c>
      <c r="R79" s="116">
        <v>28.4</v>
      </c>
      <c r="S79" s="117">
        <f t="shared" si="16"/>
        <v>13.300000000000004</v>
      </c>
      <c r="T79" s="116">
        <v>41.7</v>
      </c>
      <c r="U79" s="61">
        <v>2011</v>
      </c>
      <c r="V79" s="61">
        <v>2011</v>
      </c>
      <c r="W79" s="118">
        <f t="shared" si="17"/>
        <v>2010</v>
      </c>
      <c r="X79" s="57" t="s">
        <v>533</v>
      </c>
      <c r="Y79" s="61">
        <v>42</v>
      </c>
      <c r="Z79" s="73" t="s">
        <v>520</v>
      </c>
      <c r="AA79" s="73" t="s">
        <v>520</v>
      </c>
      <c r="AB79" s="61">
        <v>84</v>
      </c>
      <c r="AC79" s="73" t="s">
        <v>520</v>
      </c>
      <c r="AD79" s="73" t="s">
        <v>520</v>
      </c>
      <c r="AE79" s="112">
        <f t="shared" si="12"/>
        <v>31.555555555555554</v>
      </c>
      <c r="AF79" s="113">
        <f t="shared" si="22"/>
        <v>37.800000000000004</v>
      </c>
      <c r="AG79" s="110">
        <f t="shared" si="18"/>
        <v>42</v>
      </c>
      <c r="AH79" s="113">
        <f t="shared" si="19"/>
        <v>37.800000000000004</v>
      </c>
      <c r="AI79" s="114">
        <f>LOOKUP(W79,'2018 Escalator'!$A$9:$A$41,'2018 Escalator'!$G$9:$G$41)</f>
        <v>1.1637398045803473</v>
      </c>
      <c r="AJ79" s="115">
        <f t="shared" si="20"/>
        <v>5435877.5042665945</v>
      </c>
      <c r="AK79" s="104">
        <f t="shared" si="21"/>
        <v>5435877.5042665945</v>
      </c>
    </row>
    <row r="80" spans="1:37" x14ac:dyDescent="0.2">
      <c r="A80" s="57">
        <v>1454</v>
      </c>
      <c r="B80" s="58" t="s">
        <v>92</v>
      </c>
      <c r="C80" s="58" t="s">
        <v>675</v>
      </c>
      <c r="D80" s="73" t="s">
        <v>200</v>
      </c>
      <c r="E80" s="61" t="s">
        <v>108</v>
      </c>
      <c r="F80" s="58" t="s">
        <v>505</v>
      </c>
      <c r="G80" s="60">
        <v>157630</v>
      </c>
      <c r="H80" s="60">
        <v>0</v>
      </c>
      <c r="I80" s="60">
        <f>128394+130089+0+14370</f>
        <v>272853</v>
      </c>
      <c r="J80" s="115">
        <f t="shared" ref="J80:J86" si="23">SUM(G80:I80)</f>
        <v>430483</v>
      </c>
      <c r="K80" s="115">
        <f t="shared" ref="K80:K89" si="24">J80-L80</f>
        <v>0</v>
      </c>
      <c r="L80" s="60">
        <v>430483</v>
      </c>
      <c r="M80" s="61" t="s">
        <v>99</v>
      </c>
      <c r="N80" s="60"/>
      <c r="O80" s="73">
        <v>2009</v>
      </c>
      <c r="P80" s="61">
        <v>2015</v>
      </c>
      <c r="Q80" s="69" t="s">
        <v>100</v>
      </c>
      <c r="R80" s="116">
        <v>41.7</v>
      </c>
      <c r="S80" s="117">
        <f t="shared" si="16"/>
        <v>5.6999999999999957</v>
      </c>
      <c r="T80" s="116">
        <v>47.4</v>
      </c>
      <c r="U80" s="61">
        <v>2013</v>
      </c>
      <c r="V80" s="61">
        <v>2014</v>
      </c>
      <c r="W80" s="118">
        <f t="shared" si="17"/>
        <v>2013</v>
      </c>
      <c r="X80" s="67" t="s">
        <v>515</v>
      </c>
      <c r="Y80" s="61">
        <f>42*2</f>
        <v>84</v>
      </c>
      <c r="Z80" s="73"/>
      <c r="AA80" s="73"/>
      <c r="AB80" s="61">
        <v>84</v>
      </c>
      <c r="AC80" s="73"/>
      <c r="AD80" s="73"/>
      <c r="AE80" s="112">
        <f t="shared" si="12"/>
        <v>46.333333333333336</v>
      </c>
      <c r="AF80" s="113">
        <f t="shared" si="22"/>
        <v>75.600000000000009</v>
      </c>
      <c r="AG80" s="110">
        <f t="shared" si="18"/>
        <v>0</v>
      </c>
      <c r="AH80" s="113">
        <f t="shared" si="19"/>
        <v>0</v>
      </c>
      <c r="AI80" s="114">
        <f>LOOKUP(W80,'2018 Escalator'!$A$9:$A$41,'2018 Escalator'!$G$9:$G$41)</f>
        <v>1.0630440922306721</v>
      </c>
      <c r="AJ80" s="115">
        <f t="shared" si="20"/>
        <v>457622.40995573642</v>
      </c>
      <c r="AK80" s="104">
        <f t="shared" si="21"/>
        <v>457622.40995573642</v>
      </c>
    </row>
    <row r="81" spans="1:37" x14ac:dyDescent="0.2">
      <c r="A81" s="57">
        <v>637</v>
      </c>
      <c r="B81" s="58" t="s">
        <v>92</v>
      </c>
      <c r="C81" s="58" t="s">
        <v>676</v>
      </c>
      <c r="D81" s="61" t="s">
        <v>677</v>
      </c>
      <c r="E81" s="61" t="s">
        <v>108</v>
      </c>
      <c r="F81" s="58" t="s">
        <v>505</v>
      </c>
      <c r="G81" s="60">
        <f>2499282</f>
        <v>2499282</v>
      </c>
      <c r="H81" s="60">
        <v>117586</v>
      </c>
      <c r="I81" s="60">
        <v>1428014</v>
      </c>
      <c r="J81" s="115">
        <f t="shared" si="23"/>
        <v>4044882</v>
      </c>
      <c r="K81" s="115">
        <f t="shared" si="24"/>
        <v>2822382</v>
      </c>
      <c r="L81" s="60">
        <v>1222500</v>
      </c>
      <c r="M81" s="61" t="s">
        <v>129</v>
      </c>
      <c r="N81" s="60">
        <v>1355008</v>
      </c>
      <c r="O81" s="73">
        <v>1989</v>
      </c>
      <c r="P81" s="61">
        <v>2009</v>
      </c>
      <c r="Q81" s="58" t="s">
        <v>100</v>
      </c>
      <c r="R81" s="116">
        <f>23.9-8.4</f>
        <v>15.499999999999998</v>
      </c>
      <c r="S81" s="117">
        <f t="shared" si="16"/>
        <v>8.4</v>
      </c>
      <c r="T81" s="116">
        <v>23.9</v>
      </c>
      <c r="U81" s="61">
        <v>2006</v>
      </c>
      <c r="V81" s="61">
        <v>2008</v>
      </c>
      <c r="W81" s="118">
        <f t="shared" si="17"/>
        <v>2007</v>
      </c>
      <c r="X81" s="57" t="s">
        <v>678</v>
      </c>
      <c r="Y81" s="61">
        <v>25</v>
      </c>
      <c r="Z81" s="73" t="s">
        <v>520</v>
      </c>
      <c r="AA81" s="73" t="s">
        <v>520</v>
      </c>
      <c r="AB81" s="61">
        <v>50</v>
      </c>
      <c r="AC81" s="73" t="s">
        <v>520</v>
      </c>
      <c r="AD81" s="73" t="s">
        <v>520</v>
      </c>
      <c r="AE81" s="112">
        <f t="shared" si="12"/>
        <v>17.222222222222221</v>
      </c>
      <c r="AF81" s="113">
        <f t="shared" si="22"/>
        <v>22.5</v>
      </c>
      <c r="AG81" s="110">
        <f t="shared" si="18"/>
        <v>25</v>
      </c>
      <c r="AH81" s="113">
        <f t="shared" si="19"/>
        <v>22.5</v>
      </c>
      <c r="AI81" s="114">
        <f>LOOKUP(W81,'2018 Escalator'!$A$9:$A$41,'2018 Escalator'!$G$9:$G$41)</f>
        <v>1.2531539462632446</v>
      </c>
      <c r="AJ81" s="115">
        <f t="shared" si="20"/>
        <v>5068859.8404691657</v>
      </c>
      <c r="AK81" s="104">
        <f t="shared" si="21"/>
        <v>6766893.4628874315</v>
      </c>
    </row>
    <row r="82" spans="1:37" x14ac:dyDescent="0.2">
      <c r="A82" s="57">
        <v>1254</v>
      </c>
      <c r="B82" s="68" t="s">
        <v>92</v>
      </c>
      <c r="C82" s="68" t="s">
        <v>679</v>
      </c>
      <c r="D82" s="119" t="s">
        <v>677</v>
      </c>
      <c r="E82" s="119" t="s">
        <v>108</v>
      </c>
      <c r="F82" s="68" t="s">
        <v>505</v>
      </c>
      <c r="G82" s="60">
        <v>5552898</v>
      </c>
      <c r="H82" s="60">
        <v>0</v>
      </c>
      <c r="I82" s="60">
        <v>422718</v>
      </c>
      <c r="J82" s="115">
        <f t="shared" si="23"/>
        <v>5975616</v>
      </c>
      <c r="K82" s="115">
        <f t="shared" si="24"/>
        <v>3634816</v>
      </c>
      <c r="L82" s="60">
        <v>2340800</v>
      </c>
      <c r="M82" s="61" t="s">
        <v>99</v>
      </c>
      <c r="N82" s="60"/>
      <c r="O82" s="73">
        <v>1989</v>
      </c>
      <c r="P82" s="61">
        <v>2014</v>
      </c>
      <c r="Q82" s="69" t="s">
        <v>100</v>
      </c>
      <c r="R82" s="116">
        <v>23.9</v>
      </c>
      <c r="S82" s="117">
        <f t="shared" si="16"/>
        <v>15.399999999999999</v>
      </c>
      <c r="T82" s="116">
        <v>39.299999999999997</v>
      </c>
      <c r="U82" s="61">
        <v>2011</v>
      </c>
      <c r="V82" s="61">
        <v>2013</v>
      </c>
      <c r="W82" s="118">
        <f t="shared" si="17"/>
        <v>2012</v>
      </c>
      <c r="X82" s="57" t="s">
        <v>680</v>
      </c>
      <c r="Y82" s="61">
        <f>25*2</f>
        <v>50</v>
      </c>
      <c r="Z82" s="73" t="s">
        <v>509</v>
      </c>
      <c r="AA82" s="73" t="s">
        <v>509</v>
      </c>
      <c r="AB82" s="61">
        <v>84</v>
      </c>
      <c r="AC82" s="73" t="s">
        <v>509</v>
      </c>
      <c r="AD82" s="73" t="s">
        <v>509</v>
      </c>
      <c r="AE82" s="112">
        <f t="shared" si="12"/>
        <v>26.555555555555554</v>
      </c>
      <c r="AF82" s="113">
        <f t="shared" si="22"/>
        <v>45</v>
      </c>
      <c r="AG82" s="110">
        <f t="shared" si="18"/>
        <v>34</v>
      </c>
      <c r="AH82" s="113">
        <f t="shared" si="19"/>
        <v>30.6</v>
      </c>
      <c r="AI82" s="114">
        <f>LOOKUP(W82,'2018 Escalator'!$A$9:$A$41,'2018 Escalator'!$G$9:$G$41)</f>
        <v>1.0925127659799037</v>
      </c>
      <c r="AJ82" s="115">
        <f t="shared" si="20"/>
        <v>6528436.7645937679</v>
      </c>
      <c r="AK82" s="104">
        <f t="shared" si="21"/>
        <v>6528436.7645937679</v>
      </c>
    </row>
    <row r="83" spans="1:37" x14ac:dyDescent="0.2">
      <c r="A83" s="57">
        <v>734</v>
      </c>
      <c r="B83" s="58" t="s">
        <v>92</v>
      </c>
      <c r="C83" s="58" t="s">
        <v>681</v>
      </c>
      <c r="D83" s="61" t="s">
        <v>682</v>
      </c>
      <c r="E83" s="61" t="s">
        <v>108</v>
      </c>
      <c r="F83" s="58" t="s">
        <v>505</v>
      </c>
      <c r="G83" s="60">
        <v>6963195</v>
      </c>
      <c r="H83" s="60">
        <v>14619</v>
      </c>
      <c r="I83" s="60">
        <f>148163+2063646+243231+474700</f>
        <v>2929740</v>
      </c>
      <c r="J83" s="115">
        <f t="shared" si="23"/>
        <v>9907554</v>
      </c>
      <c r="K83" s="115">
        <f t="shared" si="24"/>
        <v>9238754</v>
      </c>
      <c r="L83" s="60">
        <v>668800</v>
      </c>
      <c r="M83" s="61" t="s">
        <v>99</v>
      </c>
      <c r="N83" s="60"/>
      <c r="O83" s="73">
        <v>1974</v>
      </c>
      <c r="P83" s="61">
        <v>2012</v>
      </c>
      <c r="Q83" s="69" t="s">
        <v>100</v>
      </c>
      <c r="R83" s="116">
        <v>20</v>
      </c>
      <c r="S83" s="117">
        <f t="shared" si="16"/>
        <v>4.3999999999999986</v>
      </c>
      <c r="T83" s="116">
        <v>24.4</v>
      </c>
      <c r="U83" s="61">
        <v>2011</v>
      </c>
      <c r="V83" s="61">
        <v>2012</v>
      </c>
      <c r="W83" s="118">
        <f t="shared" si="17"/>
        <v>2011</v>
      </c>
      <c r="X83" s="57" t="s">
        <v>533</v>
      </c>
      <c r="Y83" s="61">
        <v>42</v>
      </c>
      <c r="Z83" s="73" t="s">
        <v>509</v>
      </c>
      <c r="AA83" s="73" t="s">
        <v>509</v>
      </c>
      <c r="AB83" s="61">
        <v>84</v>
      </c>
      <c r="AC83" s="73" t="s">
        <v>509</v>
      </c>
      <c r="AD83" s="73" t="s">
        <v>509</v>
      </c>
      <c r="AE83" s="112">
        <f t="shared" si="12"/>
        <v>22.222222222222221</v>
      </c>
      <c r="AF83" s="113">
        <f t="shared" si="22"/>
        <v>37.800000000000004</v>
      </c>
      <c r="AG83" s="110">
        <f t="shared" si="18"/>
        <v>42</v>
      </c>
      <c r="AH83" s="113">
        <f t="shared" si="19"/>
        <v>37.800000000000004</v>
      </c>
      <c r="AI83" s="114">
        <f>LOOKUP(W83,'2018 Escalator'!$A$9:$A$41,'2018 Escalator'!$G$9:$G$41)</f>
        <v>1.1366200577120069</v>
      </c>
      <c r="AJ83" s="115">
        <f t="shared" si="20"/>
        <v>11261124.599264825</v>
      </c>
      <c r="AK83" s="104">
        <f t="shared" si="21"/>
        <v>11261124.599264825</v>
      </c>
    </row>
    <row r="84" spans="1:37" x14ac:dyDescent="0.2">
      <c r="A84" s="57">
        <v>1594</v>
      </c>
      <c r="B84" s="58" t="s">
        <v>92</v>
      </c>
      <c r="C84" s="58" t="s">
        <v>683</v>
      </c>
      <c r="D84" s="61" t="s">
        <v>682</v>
      </c>
      <c r="E84" s="61" t="s">
        <v>108</v>
      </c>
      <c r="F84" s="58" t="s">
        <v>505</v>
      </c>
      <c r="G84" s="60">
        <f>1535000+0</f>
        <v>1535000</v>
      </c>
      <c r="H84" s="60">
        <v>5600000</v>
      </c>
      <c r="I84" s="60">
        <f>4633000+3066000+473000+1534000</f>
        <v>9706000</v>
      </c>
      <c r="J84" s="115">
        <f t="shared" si="23"/>
        <v>16841000</v>
      </c>
      <c r="K84" s="115">
        <f t="shared" si="24"/>
        <v>16841000</v>
      </c>
      <c r="L84" s="60">
        <v>0</v>
      </c>
      <c r="M84" s="61" t="s">
        <v>99</v>
      </c>
      <c r="N84" s="60"/>
      <c r="O84" s="73">
        <v>1974</v>
      </c>
      <c r="P84" s="61">
        <v>2016</v>
      </c>
      <c r="Q84" s="69" t="s">
        <v>213</v>
      </c>
      <c r="R84" s="116">
        <v>24.4</v>
      </c>
      <c r="S84" s="117">
        <f t="shared" si="16"/>
        <v>0</v>
      </c>
      <c r="T84" s="116">
        <v>24.4</v>
      </c>
      <c r="U84" s="61">
        <v>2017</v>
      </c>
      <c r="V84" s="61">
        <v>2018</v>
      </c>
      <c r="W84" s="118">
        <f t="shared" si="17"/>
        <v>2017</v>
      </c>
      <c r="X84" s="57" t="s">
        <v>684</v>
      </c>
      <c r="Y84" s="61">
        <v>84</v>
      </c>
      <c r="Z84" s="73" t="s">
        <v>509</v>
      </c>
      <c r="AA84" s="73" t="s">
        <v>509</v>
      </c>
      <c r="AB84" s="61">
        <v>84</v>
      </c>
      <c r="AC84" s="73" t="s">
        <v>509</v>
      </c>
      <c r="AD84" s="73" t="s">
        <v>509</v>
      </c>
      <c r="AE84" s="112">
        <f t="shared" si="12"/>
        <v>27.111111111111107</v>
      </c>
      <c r="AF84" s="113">
        <f t="shared" si="22"/>
        <v>75.600000000000009</v>
      </c>
      <c r="AG84" s="110">
        <f t="shared" si="18"/>
        <v>0</v>
      </c>
      <c r="AH84" s="113">
        <f t="shared" si="19"/>
        <v>0</v>
      </c>
      <c r="AI84" s="114">
        <f>LOOKUP(W84,'2018 Escalator'!$A$9:$A$41,'2018 Escalator'!$G$9:$G$41)</f>
        <v>1.0233029717800486</v>
      </c>
      <c r="AJ84" s="115">
        <f t="shared" si="20"/>
        <v>17233445.347747799</v>
      </c>
      <c r="AK84" s="104">
        <f t="shared" si="21"/>
        <v>17233445.347747799</v>
      </c>
    </row>
    <row r="85" spans="1:37" x14ac:dyDescent="0.2">
      <c r="A85" s="57">
        <v>1674</v>
      </c>
      <c r="B85" s="58" t="s">
        <v>92</v>
      </c>
      <c r="C85" s="58" t="s">
        <v>685</v>
      </c>
      <c r="D85" s="73" t="s">
        <v>686</v>
      </c>
      <c r="E85" s="61" t="s">
        <v>108</v>
      </c>
      <c r="F85" s="58" t="s">
        <v>505</v>
      </c>
      <c r="G85" s="60">
        <v>6214452</v>
      </c>
      <c r="H85" s="60">
        <v>0</v>
      </c>
      <c r="I85" s="60">
        <f>496641+2507183+65227+662963</f>
        <v>3732014</v>
      </c>
      <c r="J85" s="115">
        <f t="shared" si="23"/>
        <v>9946466</v>
      </c>
      <c r="K85" s="115">
        <f t="shared" si="24"/>
        <v>8921566</v>
      </c>
      <c r="L85" s="60">
        <v>1024900</v>
      </c>
      <c r="M85" s="61" t="s">
        <v>99</v>
      </c>
      <c r="N85" s="60"/>
      <c r="O85" s="73"/>
      <c r="P85" s="61">
        <v>2016</v>
      </c>
      <c r="Q85" s="69" t="s">
        <v>213</v>
      </c>
      <c r="R85" s="116">
        <v>17.399999999999999</v>
      </c>
      <c r="S85" s="117">
        <f t="shared" si="16"/>
        <v>3.7000000000000028</v>
      </c>
      <c r="T85" s="116">
        <v>21.1</v>
      </c>
      <c r="U85" s="61">
        <v>2015</v>
      </c>
      <c r="V85" s="61">
        <v>2017</v>
      </c>
      <c r="W85" s="118">
        <f t="shared" si="17"/>
        <v>2016</v>
      </c>
      <c r="X85" s="67" t="s">
        <v>687</v>
      </c>
      <c r="Y85" s="73">
        <v>28</v>
      </c>
      <c r="Z85" s="73"/>
      <c r="AA85" s="73"/>
      <c r="AB85" s="73">
        <v>70</v>
      </c>
      <c r="AC85" s="73"/>
      <c r="AD85" s="73"/>
      <c r="AE85" s="112">
        <f t="shared" si="12"/>
        <v>19.333333333333332</v>
      </c>
      <c r="AF85" s="113">
        <f t="shared" si="22"/>
        <v>25.2</v>
      </c>
      <c r="AG85" s="110">
        <f t="shared" si="18"/>
        <v>42</v>
      </c>
      <c r="AH85" s="113">
        <f t="shared" si="19"/>
        <v>37.800000000000004</v>
      </c>
      <c r="AI85" s="114">
        <f>LOOKUP(W85,'2018 Escalator'!$A$9:$A$41,'2018 Escalator'!$G$9:$G$41)</f>
        <v>1.038286218119775</v>
      </c>
      <c r="AJ85" s="115">
        <f t="shared" si="20"/>
        <v>10327278.566796925</v>
      </c>
      <c r="AK85" s="104">
        <f t="shared" si="21"/>
        <v>10327278.566796925</v>
      </c>
    </row>
    <row r="86" spans="1:37" x14ac:dyDescent="0.2">
      <c r="A86" s="57">
        <v>711</v>
      </c>
      <c r="B86" s="58" t="s">
        <v>92</v>
      </c>
      <c r="C86" s="58" t="s">
        <v>688</v>
      </c>
      <c r="D86" s="61" t="s">
        <v>689</v>
      </c>
      <c r="E86" s="61" t="s">
        <v>132</v>
      </c>
      <c r="F86" s="58" t="s">
        <v>505</v>
      </c>
      <c r="G86" s="60">
        <f>5536857+5131</f>
        <v>5541988</v>
      </c>
      <c r="H86" s="60">
        <f>0+157667</f>
        <v>157667</v>
      </c>
      <c r="I86" s="60">
        <f>117850+1460108+135295+370505+1+34549+8330+4390+1226+15015</f>
        <v>2147269</v>
      </c>
      <c r="J86" s="115">
        <f t="shared" si="23"/>
        <v>7846924</v>
      </c>
      <c r="K86" s="115">
        <f t="shared" si="24"/>
        <v>5167924</v>
      </c>
      <c r="L86" s="60">
        <v>2679000</v>
      </c>
      <c r="M86" s="61" t="s">
        <v>99</v>
      </c>
      <c r="N86" s="60"/>
      <c r="O86" s="73">
        <v>1976</v>
      </c>
      <c r="P86" s="61">
        <v>2012</v>
      </c>
      <c r="Q86" s="58" t="s">
        <v>100</v>
      </c>
      <c r="R86" s="116">
        <v>11.5</v>
      </c>
      <c r="S86" s="117">
        <f t="shared" si="16"/>
        <v>13.7</v>
      </c>
      <c r="T86" s="116">
        <v>25.2</v>
      </c>
      <c r="U86" s="61">
        <v>2010</v>
      </c>
      <c r="V86" s="61">
        <v>2010</v>
      </c>
      <c r="W86" s="118">
        <f t="shared" si="17"/>
        <v>2009</v>
      </c>
      <c r="X86" s="57" t="s">
        <v>690</v>
      </c>
      <c r="Y86" s="61">
        <v>25</v>
      </c>
      <c r="Z86" s="73" t="s">
        <v>509</v>
      </c>
      <c r="AA86" s="73" t="s">
        <v>509</v>
      </c>
      <c r="AB86" s="61">
        <v>50</v>
      </c>
      <c r="AC86" s="73" t="s">
        <v>509</v>
      </c>
      <c r="AD86" s="73" t="s">
        <v>509</v>
      </c>
      <c r="AE86" s="112">
        <f t="shared" si="12"/>
        <v>12.777777777777777</v>
      </c>
      <c r="AF86" s="113">
        <f t="shared" si="22"/>
        <v>22.5</v>
      </c>
      <c r="AG86" s="110">
        <f t="shared" si="18"/>
        <v>25</v>
      </c>
      <c r="AH86" s="113">
        <f t="shared" si="19"/>
        <v>22.5</v>
      </c>
      <c r="AI86" s="114">
        <f>LOOKUP(W86,'2018 Escalator'!$A$9:$A$41,'2018 Escalator'!$G$9:$G$41)</f>
        <v>1.1803081251084759</v>
      </c>
      <c r="AJ86" s="115">
        <f t="shared" si="20"/>
        <v>9261788.1543087028</v>
      </c>
      <c r="AK86" s="104">
        <f t="shared" si="21"/>
        <v>9261788.1543087028</v>
      </c>
    </row>
    <row r="87" spans="1:37" x14ac:dyDescent="0.2">
      <c r="A87" s="57">
        <v>408</v>
      </c>
      <c r="B87" s="58" t="s">
        <v>92</v>
      </c>
      <c r="C87" s="58" t="s">
        <v>691</v>
      </c>
      <c r="D87" s="61" t="s">
        <v>692</v>
      </c>
      <c r="E87" s="61" t="s">
        <v>108</v>
      </c>
      <c r="F87" s="58" t="s">
        <v>505</v>
      </c>
      <c r="G87" s="60">
        <v>391000</v>
      </c>
      <c r="H87" s="60">
        <v>0</v>
      </c>
      <c r="I87" s="60">
        <v>0</v>
      </c>
      <c r="J87" s="115">
        <f t="shared" ref="J87:J89" si="25">SUM(G87:I87)</f>
        <v>391000</v>
      </c>
      <c r="K87" s="115">
        <f t="shared" si="24"/>
        <v>0</v>
      </c>
      <c r="L87" s="60">
        <v>391000</v>
      </c>
      <c r="M87" s="61" t="s">
        <v>99</v>
      </c>
      <c r="N87" s="60"/>
      <c r="O87" s="73">
        <v>1976</v>
      </c>
      <c r="P87" s="61">
        <v>2005</v>
      </c>
      <c r="Q87" s="58" t="s">
        <v>100</v>
      </c>
      <c r="R87" s="116">
        <v>37.700000000000003</v>
      </c>
      <c r="S87" s="117">
        <f t="shared" si="16"/>
        <v>2.0419999999999945</v>
      </c>
      <c r="T87" s="116">
        <v>39.741999999999997</v>
      </c>
      <c r="U87" s="61">
        <v>2003</v>
      </c>
      <c r="V87" s="61">
        <v>2005</v>
      </c>
      <c r="W87" s="118">
        <f t="shared" si="17"/>
        <v>2004</v>
      </c>
      <c r="X87" s="57" t="s">
        <v>515</v>
      </c>
      <c r="Y87" s="61">
        <f>47*2</f>
        <v>94</v>
      </c>
      <c r="Z87" s="73" t="s">
        <v>525</v>
      </c>
      <c r="AA87" s="73" t="s">
        <v>525</v>
      </c>
      <c r="AB87" s="61">
        <v>94</v>
      </c>
      <c r="AC87" s="73" t="s">
        <v>525</v>
      </c>
      <c r="AD87" s="73" t="s">
        <v>525</v>
      </c>
      <c r="AE87" s="112">
        <f t="shared" si="12"/>
        <v>41.888888888888893</v>
      </c>
      <c r="AF87" s="113">
        <f t="shared" si="22"/>
        <v>84.600000000000009</v>
      </c>
      <c r="AG87" s="110">
        <f t="shared" si="18"/>
        <v>0</v>
      </c>
      <c r="AH87" s="113">
        <f t="shared" si="19"/>
        <v>0</v>
      </c>
      <c r="AI87" s="114">
        <f>LOOKUP(W87,'2018 Escalator'!$A$9:$A$41,'2018 Escalator'!$G$9:$G$41)</f>
        <v>1.483782020350688</v>
      </c>
      <c r="AJ87" s="115">
        <f t="shared" si="20"/>
        <v>580158.76995711902</v>
      </c>
      <c r="AK87" s="104">
        <f t="shared" si="21"/>
        <v>580158.76995711902</v>
      </c>
    </row>
    <row r="88" spans="1:37" x14ac:dyDescent="0.2">
      <c r="A88" s="57">
        <v>698</v>
      </c>
      <c r="B88" s="58" t="s">
        <v>92</v>
      </c>
      <c r="C88" s="58" t="s">
        <v>693</v>
      </c>
      <c r="D88" s="61" t="s">
        <v>692</v>
      </c>
      <c r="E88" s="61" t="s">
        <v>108</v>
      </c>
      <c r="F88" s="58" t="s">
        <v>505</v>
      </c>
      <c r="G88" s="60">
        <v>704757</v>
      </c>
      <c r="H88" s="60">
        <v>0</v>
      </c>
      <c r="I88" s="60">
        <v>444888</v>
      </c>
      <c r="J88" s="115">
        <f t="shared" si="25"/>
        <v>1149645</v>
      </c>
      <c r="K88" s="115">
        <f t="shared" si="24"/>
        <v>84284</v>
      </c>
      <c r="L88" s="60">
        <v>1065361</v>
      </c>
      <c r="M88" s="61" t="s">
        <v>99</v>
      </c>
      <c r="N88" s="60"/>
      <c r="O88" s="73">
        <v>1976</v>
      </c>
      <c r="P88" s="61">
        <v>2009</v>
      </c>
      <c r="Q88" s="58" t="s">
        <v>100</v>
      </c>
      <c r="R88" s="116">
        <v>39.700000000000003</v>
      </c>
      <c r="S88" s="117">
        <f t="shared" si="16"/>
        <v>20.9</v>
      </c>
      <c r="T88" s="116">
        <v>60.6</v>
      </c>
      <c r="U88" s="61">
        <v>2003</v>
      </c>
      <c r="V88" s="61">
        <v>2008</v>
      </c>
      <c r="W88" s="118">
        <f t="shared" si="17"/>
        <v>2007</v>
      </c>
      <c r="X88" s="57" t="s">
        <v>515</v>
      </c>
      <c r="Y88" s="61">
        <f>47*2</f>
        <v>94</v>
      </c>
      <c r="Z88" s="73" t="s">
        <v>516</v>
      </c>
      <c r="AA88" s="73" t="s">
        <v>516</v>
      </c>
      <c r="AB88" s="61">
        <v>94</v>
      </c>
      <c r="AC88" s="73" t="s">
        <v>516</v>
      </c>
      <c r="AD88" s="73" t="s">
        <v>516</v>
      </c>
      <c r="AE88" s="112">
        <f t="shared" si="12"/>
        <v>44.111111111111114</v>
      </c>
      <c r="AF88" s="113">
        <f t="shared" si="22"/>
        <v>84.600000000000009</v>
      </c>
      <c r="AG88" s="110">
        <f t="shared" si="18"/>
        <v>0</v>
      </c>
      <c r="AH88" s="113">
        <f t="shared" si="19"/>
        <v>0</v>
      </c>
      <c r="AI88" s="114">
        <f>LOOKUP(W88,'2018 Escalator'!$A$9:$A$41,'2018 Escalator'!$G$9:$G$41)</f>
        <v>1.2531539462632446</v>
      </c>
      <c r="AJ88" s="115">
        <f t="shared" si="20"/>
        <v>1440682.1685518078</v>
      </c>
      <c r="AK88" s="104">
        <f t="shared" si="21"/>
        <v>1440682.1685518078</v>
      </c>
    </row>
    <row r="89" spans="1:37" x14ac:dyDescent="0.2">
      <c r="A89" s="57">
        <v>696</v>
      </c>
      <c r="B89" s="58" t="s">
        <v>92</v>
      </c>
      <c r="C89" s="58" t="s">
        <v>694</v>
      </c>
      <c r="D89" s="61" t="s">
        <v>695</v>
      </c>
      <c r="E89" s="61" t="s">
        <v>108</v>
      </c>
      <c r="F89" s="58" t="s">
        <v>505</v>
      </c>
      <c r="G89" s="60">
        <v>166322</v>
      </c>
      <c r="H89" s="60">
        <v>0</v>
      </c>
      <c r="I89" s="60">
        <v>47621</v>
      </c>
      <c r="J89" s="115">
        <f t="shared" si="25"/>
        <v>213943</v>
      </c>
      <c r="K89" s="115">
        <f t="shared" si="24"/>
        <v>0</v>
      </c>
      <c r="L89" s="60">
        <v>213943</v>
      </c>
      <c r="M89" s="61" t="s">
        <v>99</v>
      </c>
      <c r="N89" s="60"/>
      <c r="O89" s="73">
        <v>1981</v>
      </c>
      <c r="P89" s="61">
        <v>2007</v>
      </c>
      <c r="Q89" s="58" t="s">
        <v>100</v>
      </c>
      <c r="R89" s="116">
        <v>9.1370000000000005</v>
      </c>
      <c r="S89" s="117">
        <f t="shared" si="16"/>
        <v>8.0629999999999988</v>
      </c>
      <c r="T89" s="116">
        <v>17.2</v>
      </c>
      <c r="U89" s="61">
        <v>2006</v>
      </c>
      <c r="V89" s="61">
        <v>2008</v>
      </c>
      <c r="W89" s="118">
        <f t="shared" si="17"/>
        <v>2007</v>
      </c>
      <c r="X89" s="57" t="s">
        <v>696</v>
      </c>
      <c r="Y89" s="61">
        <v>28</v>
      </c>
      <c r="Z89" s="73" t="s">
        <v>522</v>
      </c>
      <c r="AA89" s="73" t="s">
        <v>522</v>
      </c>
      <c r="AB89" s="61">
        <v>28</v>
      </c>
      <c r="AC89" s="73" t="s">
        <v>522</v>
      </c>
      <c r="AD89" s="73" t="s">
        <v>522</v>
      </c>
      <c r="AE89" s="112">
        <f t="shared" si="12"/>
        <v>10.152222222222223</v>
      </c>
      <c r="AF89" s="113">
        <f t="shared" si="22"/>
        <v>25.2</v>
      </c>
      <c r="AG89" s="110">
        <f t="shared" si="18"/>
        <v>0</v>
      </c>
      <c r="AH89" s="113">
        <f t="shared" si="19"/>
        <v>0</v>
      </c>
      <c r="AI89" s="114">
        <f>LOOKUP(W89,'2018 Escalator'!$A$9:$A$41,'2018 Escalator'!$G$9:$G$41)</f>
        <v>1.2531539462632446</v>
      </c>
      <c r="AJ89" s="115">
        <f t="shared" si="20"/>
        <v>268103.51472539734</v>
      </c>
      <c r="AK89" s="104">
        <f t="shared" si="21"/>
        <v>268103.51472539734</v>
      </c>
    </row>
    <row r="90" spans="1:37" x14ac:dyDescent="0.2">
      <c r="A90" s="57">
        <v>1636</v>
      </c>
      <c r="B90" s="58" t="s">
        <v>92</v>
      </c>
      <c r="C90" s="58" t="s">
        <v>697</v>
      </c>
      <c r="D90" s="73" t="s">
        <v>695</v>
      </c>
      <c r="E90" s="61" t="s">
        <v>108</v>
      </c>
      <c r="F90" s="58" t="s">
        <v>505</v>
      </c>
      <c r="G90" s="60">
        <f>4524775+76672</f>
        <v>4601447</v>
      </c>
      <c r="H90" s="60">
        <v>274261</v>
      </c>
      <c r="I90" s="60">
        <f>269179+599168+107258+582543</f>
        <v>1558148</v>
      </c>
      <c r="J90" s="115">
        <f t="shared" ref="J90:J98" si="26">SUM(G90:I90)</f>
        <v>6433856</v>
      </c>
      <c r="K90" s="115">
        <f>J90-L90</f>
        <v>6433856</v>
      </c>
      <c r="L90" s="60">
        <v>0</v>
      </c>
      <c r="M90" s="61" t="s">
        <v>99</v>
      </c>
      <c r="N90" s="60"/>
      <c r="O90" s="73">
        <v>1981</v>
      </c>
      <c r="P90" s="61">
        <v>2017</v>
      </c>
      <c r="Q90" s="58" t="s">
        <v>100</v>
      </c>
      <c r="R90" s="116">
        <v>17.2</v>
      </c>
      <c r="S90" s="117">
        <f t="shared" si="16"/>
        <v>0</v>
      </c>
      <c r="T90" s="116">
        <v>17.2</v>
      </c>
      <c r="U90" s="61">
        <v>2015</v>
      </c>
      <c r="V90" s="61">
        <v>2016</v>
      </c>
      <c r="W90" s="118">
        <f t="shared" si="17"/>
        <v>2015</v>
      </c>
      <c r="X90" s="67" t="s">
        <v>698</v>
      </c>
      <c r="Y90" s="61">
        <v>25</v>
      </c>
      <c r="Z90" s="73"/>
      <c r="AA90" s="73"/>
      <c r="AB90" s="61">
        <f>25+42</f>
        <v>67</v>
      </c>
      <c r="AC90" s="73"/>
      <c r="AD90" s="73"/>
      <c r="AE90" s="112">
        <f t="shared" si="12"/>
        <v>19.111111111111111</v>
      </c>
      <c r="AF90" s="113">
        <f t="shared" si="22"/>
        <v>22.5</v>
      </c>
      <c r="AG90" s="110">
        <f t="shared" si="18"/>
        <v>42</v>
      </c>
      <c r="AH90" s="113">
        <f t="shared" si="19"/>
        <v>37.800000000000004</v>
      </c>
      <c r="AI90" s="114">
        <f>LOOKUP(W90,'2018 Escalator'!$A$9:$A$41,'2018 Escalator'!$G$9:$G$41)</f>
        <v>1.0267399975608473</v>
      </c>
      <c r="AJ90" s="115">
        <f t="shared" si="20"/>
        <v>6605897.293746843</v>
      </c>
      <c r="AK90" s="104">
        <f t="shared" si="21"/>
        <v>6605897.293746843</v>
      </c>
    </row>
    <row r="91" spans="1:37" x14ac:dyDescent="0.2">
      <c r="A91" s="57">
        <v>1185</v>
      </c>
      <c r="B91" s="58" t="s">
        <v>92</v>
      </c>
      <c r="C91" s="58" t="s">
        <v>699</v>
      </c>
      <c r="D91" s="61" t="s">
        <v>700</v>
      </c>
      <c r="E91" s="61" t="s">
        <v>108</v>
      </c>
      <c r="F91" s="58" t="s">
        <v>505</v>
      </c>
      <c r="G91" s="60">
        <v>1760732</v>
      </c>
      <c r="H91" s="60">
        <v>255396</v>
      </c>
      <c r="I91" s="60">
        <v>455044</v>
      </c>
      <c r="J91" s="115">
        <f t="shared" si="26"/>
        <v>2471172</v>
      </c>
      <c r="K91" s="115">
        <f>J91-L91</f>
        <v>2091172</v>
      </c>
      <c r="L91" s="60">
        <v>380000</v>
      </c>
      <c r="M91" s="61" t="s">
        <v>99</v>
      </c>
      <c r="N91" s="60"/>
      <c r="O91" s="73">
        <v>1988</v>
      </c>
      <c r="P91" s="61">
        <v>2014</v>
      </c>
      <c r="Q91" s="69" t="s">
        <v>100</v>
      </c>
      <c r="R91" s="116">
        <v>32.4</v>
      </c>
      <c r="S91" s="117">
        <f t="shared" si="16"/>
        <v>2.5</v>
      </c>
      <c r="T91" s="116">
        <v>34.9</v>
      </c>
      <c r="U91" s="61">
        <v>2011</v>
      </c>
      <c r="V91" s="61">
        <v>2012</v>
      </c>
      <c r="W91" s="118">
        <f t="shared" si="17"/>
        <v>2011</v>
      </c>
      <c r="X91" s="57" t="s">
        <v>515</v>
      </c>
      <c r="Y91" s="61">
        <f>28+42</f>
        <v>70</v>
      </c>
      <c r="Z91" s="73" t="s">
        <v>525</v>
      </c>
      <c r="AA91" s="73" t="s">
        <v>525</v>
      </c>
      <c r="AB91" s="61">
        <v>70</v>
      </c>
      <c r="AC91" s="73" t="s">
        <v>525</v>
      </c>
      <c r="AD91" s="73" t="s">
        <v>525</v>
      </c>
      <c r="AE91" s="112">
        <f t="shared" si="12"/>
        <v>36</v>
      </c>
      <c r="AF91" s="113">
        <f t="shared" si="22"/>
        <v>63</v>
      </c>
      <c r="AG91" s="110">
        <f t="shared" si="18"/>
        <v>0</v>
      </c>
      <c r="AH91" s="113">
        <f t="shared" si="19"/>
        <v>0</v>
      </c>
      <c r="AI91" s="114">
        <f>LOOKUP(W91,'2018 Escalator'!$A$9:$A$41,'2018 Escalator'!$G$9:$G$41)</f>
        <v>1.1366200577120069</v>
      </c>
      <c r="AJ91" s="115">
        <f t="shared" si="20"/>
        <v>2808783.6612562956</v>
      </c>
      <c r="AK91" s="104">
        <f t="shared" si="21"/>
        <v>2808783.6612562956</v>
      </c>
    </row>
    <row r="92" spans="1:37" x14ac:dyDescent="0.2">
      <c r="A92" s="57">
        <v>568</v>
      </c>
      <c r="B92" s="58" t="s">
        <v>92</v>
      </c>
      <c r="C92" s="58" t="s">
        <v>701</v>
      </c>
      <c r="D92" s="61" t="s">
        <v>702</v>
      </c>
      <c r="E92" s="61" t="s">
        <v>108</v>
      </c>
      <c r="F92" s="58" t="s">
        <v>505</v>
      </c>
      <c r="G92" s="60">
        <v>16550</v>
      </c>
      <c r="H92" s="60">
        <v>0</v>
      </c>
      <c r="I92" s="60">
        <v>5232</v>
      </c>
      <c r="J92" s="115">
        <f t="shared" si="26"/>
        <v>21782</v>
      </c>
      <c r="K92" s="115">
        <f>J92-L92</f>
        <v>0</v>
      </c>
      <c r="L92" s="60">
        <v>21782</v>
      </c>
      <c r="M92" s="61" t="s">
        <v>99</v>
      </c>
      <c r="N92" s="60"/>
      <c r="O92" s="73">
        <v>1978</v>
      </c>
      <c r="P92" s="61">
        <v>2007</v>
      </c>
      <c r="Q92" s="58" t="s">
        <v>100</v>
      </c>
      <c r="R92" s="116">
        <v>38.04</v>
      </c>
      <c r="S92" s="117">
        <f t="shared" si="16"/>
        <v>1</v>
      </c>
      <c r="T92" s="116">
        <v>39.04</v>
      </c>
      <c r="U92" s="61">
        <v>2006</v>
      </c>
      <c r="V92" s="61">
        <v>2007</v>
      </c>
      <c r="W92" s="118">
        <f t="shared" si="17"/>
        <v>2006</v>
      </c>
      <c r="X92" s="57" t="s">
        <v>703</v>
      </c>
      <c r="Y92" s="61">
        <f>42*2</f>
        <v>84</v>
      </c>
      <c r="Z92" s="73" t="s">
        <v>525</v>
      </c>
      <c r="AA92" s="73" t="s">
        <v>525</v>
      </c>
      <c r="AB92" s="61">
        <v>84</v>
      </c>
      <c r="AC92" s="73" t="s">
        <v>525</v>
      </c>
      <c r="AD92" s="73" t="s">
        <v>525</v>
      </c>
      <c r="AE92" s="112">
        <f t="shared" si="12"/>
        <v>42.266666666666666</v>
      </c>
      <c r="AF92" s="113">
        <f t="shared" si="22"/>
        <v>75.600000000000009</v>
      </c>
      <c r="AG92" s="110">
        <f t="shared" si="18"/>
        <v>0</v>
      </c>
      <c r="AH92" s="113">
        <f t="shared" si="19"/>
        <v>0</v>
      </c>
      <c r="AI92" s="114">
        <f>LOOKUP(W92,'2018 Escalator'!$A$9:$A$41,'2018 Escalator'!$G$9:$G$41)</f>
        <v>1.3230619810637019</v>
      </c>
      <c r="AJ92" s="115">
        <f t="shared" si="20"/>
        <v>28818.936071529555</v>
      </c>
      <c r="AK92" s="104">
        <f t="shared" si="21"/>
        <v>28818.936071529555</v>
      </c>
    </row>
    <row r="93" spans="1:37" x14ac:dyDescent="0.2">
      <c r="A93" s="57">
        <v>853</v>
      </c>
      <c r="B93" s="58" t="s">
        <v>92</v>
      </c>
      <c r="C93" s="58" t="s">
        <v>704</v>
      </c>
      <c r="D93" s="61" t="s">
        <v>705</v>
      </c>
      <c r="E93" s="61" t="s">
        <v>108</v>
      </c>
      <c r="F93" s="58" t="s">
        <v>505</v>
      </c>
      <c r="G93" s="60">
        <f>4234404-2000000</f>
        <v>2234404</v>
      </c>
      <c r="H93" s="60">
        <v>0</v>
      </c>
      <c r="I93" s="60">
        <f>90518+973470+0+29584+277544</f>
        <v>1371116</v>
      </c>
      <c r="J93" s="115">
        <f t="shared" si="26"/>
        <v>3605520</v>
      </c>
      <c r="K93" s="115">
        <v>363020</v>
      </c>
      <c r="L93" s="60">
        <v>3242800</v>
      </c>
      <c r="M93" s="61" t="s">
        <v>99</v>
      </c>
      <c r="N93" s="60"/>
      <c r="O93" s="73">
        <v>1991</v>
      </c>
      <c r="P93" s="61">
        <v>2011</v>
      </c>
      <c r="Q93" s="58" t="s">
        <v>100</v>
      </c>
      <c r="R93" s="116">
        <v>20</v>
      </c>
      <c r="S93" s="117">
        <f t="shared" si="16"/>
        <v>21.700000000000003</v>
      </c>
      <c r="T93" s="116">
        <v>41.7</v>
      </c>
      <c r="U93" s="61">
        <v>2010</v>
      </c>
      <c r="V93" s="61">
        <v>2010</v>
      </c>
      <c r="W93" s="118">
        <f t="shared" si="17"/>
        <v>2009</v>
      </c>
      <c r="X93" s="57" t="s">
        <v>706</v>
      </c>
      <c r="Y93" s="61">
        <f>25+25</f>
        <v>50</v>
      </c>
      <c r="Z93" s="73" t="s">
        <v>522</v>
      </c>
      <c r="AA93" s="73" t="s">
        <v>522</v>
      </c>
      <c r="AB93" s="61">
        <f>42+42</f>
        <v>84</v>
      </c>
      <c r="AC93" s="73" t="s">
        <v>522</v>
      </c>
      <c r="AD93" s="73" t="s">
        <v>522</v>
      </c>
      <c r="AE93" s="112">
        <f t="shared" si="12"/>
        <v>22.222222222222221</v>
      </c>
      <c r="AF93" s="113">
        <f t="shared" si="22"/>
        <v>45</v>
      </c>
      <c r="AG93" s="110">
        <f t="shared" si="18"/>
        <v>34</v>
      </c>
      <c r="AH93" s="113">
        <f t="shared" si="19"/>
        <v>30.6</v>
      </c>
      <c r="AI93" s="114">
        <f>LOOKUP(W93,'2018 Escalator'!$A$9:$A$41,'2018 Escalator'!$G$9:$G$41)</f>
        <v>1.1803081251084759</v>
      </c>
      <c r="AJ93" s="115">
        <f t="shared" si="20"/>
        <v>4255624.5512411119</v>
      </c>
      <c r="AK93" s="104">
        <f t="shared" si="21"/>
        <v>4255624.5512411119</v>
      </c>
    </row>
    <row r="94" spans="1:37" x14ac:dyDescent="0.2">
      <c r="A94" s="57">
        <v>1201</v>
      </c>
      <c r="B94" s="58" t="s">
        <v>92</v>
      </c>
      <c r="C94" s="58" t="s">
        <v>707</v>
      </c>
      <c r="D94" s="61" t="s">
        <v>708</v>
      </c>
      <c r="E94" s="61" t="s">
        <v>108</v>
      </c>
      <c r="F94" s="58" t="s">
        <v>505</v>
      </c>
      <c r="G94" s="60">
        <v>5079868</v>
      </c>
      <c r="H94" s="60">
        <v>0</v>
      </c>
      <c r="I94" s="60">
        <f>204661+1504989+200322</f>
        <v>1909972</v>
      </c>
      <c r="J94" s="115">
        <f t="shared" si="26"/>
        <v>6989840</v>
      </c>
      <c r="K94" s="115">
        <f>J94-L94</f>
        <v>5012340</v>
      </c>
      <c r="L94" s="60">
        <v>1977500</v>
      </c>
      <c r="M94" s="61" t="s">
        <v>99</v>
      </c>
      <c r="N94" s="60"/>
      <c r="O94" s="73" t="s">
        <v>565</v>
      </c>
      <c r="P94" s="61">
        <v>2016</v>
      </c>
      <c r="Q94" s="69" t="s">
        <v>100</v>
      </c>
      <c r="R94" s="116">
        <v>13.3</v>
      </c>
      <c r="S94" s="117">
        <f t="shared" si="16"/>
        <v>10.599999999999998</v>
      </c>
      <c r="T94" s="116">
        <v>23.9</v>
      </c>
      <c r="U94" s="61">
        <v>2011</v>
      </c>
      <c r="V94" s="61">
        <v>2013</v>
      </c>
      <c r="W94" s="118">
        <f t="shared" si="17"/>
        <v>2012</v>
      </c>
      <c r="X94" s="57" t="s">
        <v>533</v>
      </c>
      <c r="Y94" s="61">
        <v>28</v>
      </c>
      <c r="Z94" s="73" t="s">
        <v>520</v>
      </c>
      <c r="AA94" s="73" t="s">
        <v>520</v>
      </c>
      <c r="AB94" s="61">
        <f>28+42</f>
        <v>70</v>
      </c>
      <c r="AC94" s="73" t="s">
        <v>520</v>
      </c>
      <c r="AD94" s="73" t="s">
        <v>520</v>
      </c>
      <c r="AE94" s="112">
        <f t="shared" si="12"/>
        <v>14.777777777777779</v>
      </c>
      <c r="AF94" s="113">
        <f t="shared" si="22"/>
        <v>25.2</v>
      </c>
      <c r="AG94" s="110">
        <f t="shared" si="18"/>
        <v>42</v>
      </c>
      <c r="AH94" s="113">
        <f t="shared" si="19"/>
        <v>37.800000000000004</v>
      </c>
      <c r="AI94" s="114">
        <f>LOOKUP(W94,'2018 Escalator'!$A$9:$A$41,'2018 Escalator'!$G$9:$G$41)</f>
        <v>1.0925127659799037</v>
      </c>
      <c r="AJ94" s="115">
        <f t="shared" si="20"/>
        <v>7636489.4321569698</v>
      </c>
      <c r="AK94" s="104">
        <f t="shared" si="21"/>
        <v>7636489.4321569698</v>
      </c>
    </row>
    <row r="95" spans="1:37" x14ac:dyDescent="0.2">
      <c r="A95" s="57">
        <v>654</v>
      </c>
      <c r="B95" s="58" t="s">
        <v>92</v>
      </c>
      <c r="C95" s="58" t="s">
        <v>709</v>
      </c>
      <c r="D95" s="61" t="s">
        <v>710</v>
      </c>
      <c r="E95" s="61" t="s">
        <v>108</v>
      </c>
      <c r="F95" s="58" t="s">
        <v>505</v>
      </c>
      <c r="G95" s="60">
        <v>462365</v>
      </c>
      <c r="H95" s="60">
        <v>0</v>
      </c>
      <c r="I95" s="60">
        <v>125532</v>
      </c>
      <c r="J95" s="115">
        <f t="shared" si="26"/>
        <v>587897</v>
      </c>
      <c r="K95" s="115">
        <f>J95-L95</f>
        <v>0</v>
      </c>
      <c r="L95" s="60">
        <v>587897</v>
      </c>
      <c r="M95" s="61" t="s">
        <v>129</v>
      </c>
      <c r="N95" s="60"/>
      <c r="O95" s="73">
        <v>1976</v>
      </c>
      <c r="P95" s="61">
        <v>2007</v>
      </c>
      <c r="Q95" s="58" t="s">
        <v>100</v>
      </c>
      <c r="R95" s="116">
        <v>7.29</v>
      </c>
      <c r="S95" s="117">
        <f t="shared" si="16"/>
        <v>4.4099999999999993</v>
      </c>
      <c r="T95" s="116">
        <v>11.7</v>
      </c>
      <c r="U95" s="61">
        <v>2006</v>
      </c>
      <c r="V95" s="61">
        <v>2008</v>
      </c>
      <c r="W95" s="118">
        <f t="shared" si="17"/>
        <v>2007</v>
      </c>
      <c r="X95" s="57" t="s">
        <v>711</v>
      </c>
      <c r="Y95" s="61">
        <v>25</v>
      </c>
      <c r="Z95" s="73" t="s">
        <v>509</v>
      </c>
      <c r="AA95" s="73" t="s">
        <v>509</v>
      </c>
      <c r="AB95" s="61">
        <v>25</v>
      </c>
      <c r="AC95" s="73" t="s">
        <v>509</v>
      </c>
      <c r="AD95" s="73" t="s">
        <v>509</v>
      </c>
      <c r="AE95" s="112">
        <f t="shared" si="12"/>
        <v>8.1</v>
      </c>
      <c r="AF95" s="113">
        <f t="shared" si="22"/>
        <v>22.5</v>
      </c>
      <c r="AG95" s="110">
        <f t="shared" si="18"/>
        <v>0</v>
      </c>
      <c r="AH95" s="113">
        <f t="shared" si="19"/>
        <v>0</v>
      </c>
      <c r="AI95" s="114">
        <f>LOOKUP(W95,'2018 Escalator'!$A$9:$A$41,'2018 Escalator'!$G$9:$G$41)</f>
        <v>1.2531539462632446</v>
      </c>
      <c r="AJ95" s="115">
        <f t="shared" si="20"/>
        <v>736725.44554632274</v>
      </c>
      <c r="AK95" s="104">
        <f t="shared" si="21"/>
        <v>736725.44554632274</v>
      </c>
    </row>
    <row r="96" spans="1:37" x14ac:dyDescent="0.2">
      <c r="A96" s="57">
        <v>1394</v>
      </c>
      <c r="B96" s="58" t="s">
        <v>92</v>
      </c>
      <c r="C96" s="58" t="s">
        <v>712</v>
      </c>
      <c r="D96" s="73" t="s">
        <v>710</v>
      </c>
      <c r="E96" s="61" t="s">
        <v>108</v>
      </c>
      <c r="F96" s="58" t="s">
        <v>505</v>
      </c>
      <c r="G96" s="60">
        <v>4002584</v>
      </c>
      <c r="H96" s="60">
        <v>0</v>
      </c>
      <c r="I96" s="60">
        <f>160006+515275+18370+169019</f>
        <v>862670</v>
      </c>
      <c r="J96" s="115">
        <f t="shared" si="26"/>
        <v>4865254</v>
      </c>
      <c r="K96" s="115">
        <f>J96-L96</f>
        <v>2739354</v>
      </c>
      <c r="L96" s="60">
        <v>2125900</v>
      </c>
      <c r="M96" s="61" t="s">
        <v>99</v>
      </c>
      <c r="N96" s="60"/>
      <c r="O96" s="73">
        <v>1976</v>
      </c>
      <c r="P96" s="61">
        <v>2016</v>
      </c>
      <c r="Q96" s="58" t="s">
        <v>100</v>
      </c>
      <c r="R96" s="116">
        <v>11.7</v>
      </c>
      <c r="S96" s="117">
        <f t="shared" si="16"/>
        <v>10</v>
      </c>
      <c r="T96" s="116">
        <v>21.7</v>
      </c>
      <c r="U96" s="61">
        <v>2013</v>
      </c>
      <c r="V96" s="61">
        <v>2015</v>
      </c>
      <c r="W96" s="118">
        <f t="shared" si="17"/>
        <v>2014</v>
      </c>
      <c r="X96" s="67" t="s">
        <v>603</v>
      </c>
      <c r="Y96" s="61">
        <v>25</v>
      </c>
      <c r="Z96" s="73"/>
      <c r="AA96" s="73"/>
      <c r="AB96" s="73">
        <f>25+42</f>
        <v>67</v>
      </c>
      <c r="AC96" s="73"/>
      <c r="AD96" s="73"/>
      <c r="AE96" s="112">
        <f t="shared" si="12"/>
        <v>12.999999999999998</v>
      </c>
      <c r="AF96" s="113">
        <f t="shared" si="22"/>
        <v>22.5</v>
      </c>
      <c r="AG96" s="110">
        <f t="shared" si="18"/>
        <v>42</v>
      </c>
      <c r="AH96" s="113">
        <f t="shared" si="19"/>
        <v>37.800000000000004</v>
      </c>
      <c r="AI96" s="114">
        <f>LOOKUP(W96,'2018 Escalator'!$A$9:$A$41,'2018 Escalator'!$G$9:$G$41)</f>
        <v>1.0288837306891399</v>
      </c>
      <c r="AJ96" s="115">
        <f t="shared" si="20"/>
        <v>5005780.6862702603</v>
      </c>
      <c r="AK96" s="104">
        <f t="shared" si="21"/>
        <v>5005780.6862702603</v>
      </c>
    </row>
    <row r="97" spans="1:37" x14ac:dyDescent="0.2">
      <c r="A97" s="57">
        <v>1294</v>
      </c>
      <c r="B97" s="68" t="s">
        <v>92</v>
      </c>
      <c r="C97" s="68" t="s">
        <v>713</v>
      </c>
      <c r="D97" s="73" t="s">
        <v>470</v>
      </c>
      <c r="E97" s="119" t="s">
        <v>108</v>
      </c>
      <c r="F97" s="68" t="s">
        <v>505</v>
      </c>
      <c r="G97" s="60">
        <v>3151036</v>
      </c>
      <c r="H97" s="60">
        <v>0</v>
      </c>
      <c r="I97" s="60">
        <f>426887+636997+4000+215004</f>
        <v>1282888</v>
      </c>
      <c r="J97" s="115">
        <f t="shared" si="26"/>
        <v>4433924</v>
      </c>
      <c r="K97" s="115">
        <f>J97-L97</f>
        <v>4016324</v>
      </c>
      <c r="L97" s="60">
        <v>417600</v>
      </c>
      <c r="M97" s="61" t="s">
        <v>99</v>
      </c>
      <c r="N97" s="60"/>
      <c r="O97" s="73"/>
      <c r="P97" s="61">
        <v>2016</v>
      </c>
      <c r="Q97" s="58" t="s">
        <v>100</v>
      </c>
      <c r="R97" s="116">
        <v>8.5</v>
      </c>
      <c r="S97" s="117">
        <f t="shared" si="16"/>
        <v>1.5999999999999996</v>
      </c>
      <c r="T97" s="116">
        <v>10.1</v>
      </c>
      <c r="U97" s="61">
        <v>2013</v>
      </c>
      <c r="V97" s="61">
        <v>2015</v>
      </c>
      <c r="W97" s="118">
        <f t="shared" si="17"/>
        <v>2014</v>
      </c>
      <c r="X97" s="67" t="s">
        <v>714</v>
      </c>
      <c r="Y97" s="73">
        <f>14.9</f>
        <v>14.9</v>
      </c>
      <c r="Z97" s="73"/>
      <c r="AA97" s="73"/>
      <c r="AB97" s="73">
        <f>14.9+25</f>
        <v>39.9</v>
      </c>
      <c r="AC97" s="73"/>
      <c r="AD97" s="73"/>
      <c r="AE97" s="112">
        <f t="shared" si="12"/>
        <v>9.4444444444444446</v>
      </c>
      <c r="AF97" s="113">
        <f t="shared" si="22"/>
        <v>13.41</v>
      </c>
      <c r="AG97" s="110">
        <f t="shared" si="18"/>
        <v>25</v>
      </c>
      <c r="AH97" s="113">
        <f t="shared" si="19"/>
        <v>22.5</v>
      </c>
      <c r="AI97" s="114">
        <f>LOOKUP(W97,'2018 Escalator'!$A$9:$A$41,'2018 Escalator'!$G$9:$G$41)</f>
        <v>1.0288837306891399</v>
      </c>
      <c r="AJ97" s="115">
        <f t="shared" si="20"/>
        <v>4561992.2667121133</v>
      </c>
      <c r="AK97" s="104">
        <f t="shared" si="21"/>
        <v>4561992.2667121133</v>
      </c>
    </row>
    <row r="98" spans="1:37" x14ac:dyDescent="0.2">
      <c r="A98" s="57">
        <v>1670</v>
      </c>
      <c r="B98" s="68" t="s">
        <v>92</v>
      </c>
      <c r="C98" s="68" t="s">
        <v>715</v>
      </c>
      <c r="D98" s="73" t="s">
        <v>716</v>
      </c>
      <c r="E98" s="119" t="s">
        <v>108</v>
      </c>
      <c r="F98" s="68" t="s">
        <v>505</v>
      </c>
      <c r="G98" s="60">
        <v>1296525</v>
      </c>
      <c r="H98" s="60">
        <v>0</v>
      </c>
      <c r="I98" s="60">
        <f>574161+561272+29409+229945</f>
        <v>1394787</v>
      </c>
      <c r="J98" s="115">
        <f t="shared" si="26"/>
        <v>2691312</v>
      </c>
      <c r="K98" s="115">
        <f>J98-L98</f>
        <v>0</v>
      </c>
      <c r="L98" s="60">
        <v>2691312</v>
      </c>
      <c r="M98" s="61" t="s">
        <v>99</v>
      </c>
      <c r="N98" s="60"/>
      <c r="O98" s="73"/>
      <c r="P98" s="61">
        <v>2016</v>
      </c>
      <c r="Q98" s="69" t="s">
        <v>213</v>
      </c>
      <c r="R98" s="116">
        <v>31.45</v>
      </c>
      <c r="S98" s="117">
        <f t="shared" si="16"/>
        <v>24.250000000000004</v>
      </c>
      <c r="T98" s="116">
        <v>55.7</v>
      </c>
      <c r="U98" s="61">
        <v>2016</v>
      </c>
      <c r="V98" s="61">
        <v>2017</v>
      </c>
      <c r="W98" s="118">
        <f t="shared" si="17"/>
        <v>2016</v>
      </c>
      <c r="X98" s="67" t="s">
        <v>528</v>
      </c>
      <c r="Y98" s="73">
        <f>42+42</f>
        <v>84</v>
      </c>
      <c r="Z98" s="73"/>
      <c r="AA98" s="73"/>
      <c r="AB98" s="73">
        <v>84</v>
      </c>
      <c r="AC98" s="73"/>
      <c r="AD98" s="73"/>
      <c r="AE98" s="112">
        <f t="shared" si="12"/>
        <v>34.944444444444443</v>
      </c>
      <c r="AF98" s="113">
        <f t="shared" si="22"/>
        <v>75.600000000000009</v>
      </c>
      <c r="AG98" s="110">
        <f t="shared" si="18"/>
        <v>0</v>
      </c>
      <c r="AH98" s="113">
        <f t="shared" si="19"/>
        <v>0</v>
      </c>
      <c r="AI98" s="114">
        <f>LOOKUP(W98,'2018 Escalator'!$A$9:$A$41,'2018 Escalator'!$G$9:$G$41)</f>
        <v>1.038286218119775</v>
      </c>
      <c r="AJ98" s="115">
        <f t="shared" si="20"/>
        <v>2794352.1582603678</v>
      </c>
      <c r="AK98" s="104">
        <f t="shared" si="21"/>
        <v>2794352.1582603678</v>
      </c>
    </row>
    <row r="99" spans="1:37" x14ac:dyDescent="0.2">
      <c r="A99" s="57">
        <v>579</v>
      </c>
      <c r="B99" s="58" t="s">
        <v>717</v>
      </c>
      <c r="C99" s="58" t="s">
        <v>718</v>
      </c>
      <c r="D99" s="61" t="s">
        <v>719</v>
      </c>
      <c r="E99" s="61" t="s">
        <v>108</v>
      </c>
      <c r="F99" s="58" t="s">
        <v>505</v>
      </c>
      <c r="G99" s="60">
        <v>1971113</v>
      </c>
      <c r="H99" s="60">
        <v>0</v>
      </c>
      <c r="I99" s="60">
        <v>1073197</v>
      </c>
      <c r="J99" s="115">
        <v>3044310</v>
      </c>
      <c r="K99" s="115">
        <v>1684627</v>
      </c>
      <c r="L99" s="60">
        <v>1725000</v>
      </c>
      <c r="M99" s="61" t="s">
        <v>129</v>
      </c>
      <c r="N99" s="60"/>
      <c r="O99" s="73" t="s">
        <v>565</v>
      </c>
      <c r="P99" s="61">
        <v>2007</v>
      </c>
      <c r="Q99" s="58" t="s">
        <v>100</v>
      </c>
      <c r="R99" s="116">
        <v>17.100000000000001</v>
      </c>
      <c r="S99" s="117">
        <f t="shared" si="16"/>
        <v>11</v>
      </c>
      <c r="T99" s="116">
        <v>28.1</v>
      </c>
      <c r="U99" s="61">
        <v>2006</v>
      </c>
      <c r="V99" s="61">
        <v>2009</v>
      </c>
      <c r="W99" s="118">
        <f t="shared" si="17"/>
        <v>2008</v>
      </c>
      <c r="X99" s="57" t="s">
        <v>720</v>
      </c>
      <c r="Y99" s="61">
        <v>30</v>
      </c>
      <c r="Z99" s="73" t="s">
        <v>721</v>
      </c>
      <c r="AA99" s="73" t="s">
        <v>721</v>
      </c>
      <c r="AB99" s="61">
        <v>60</v>
      </c>
      <c r="AC99" s="73" t="s">
        <v>721</v>
      </c>
      <c r="AD99" s="73" t="s">
        <v>721</v>
      </c>
      <c r="AE99" s="112">
        <f t="shared" si="12"/>
        <v>19</v>
      </c>
      <c r="AF99" s="113">
        <f t="shared" si="22"/>
        <v>27</v>
      </c>
      <c r="AG99" s="110">
        <f t="shared" si="18"/>
        <v>30</v>
      </c>
      <c r="AH99" s="113">
        <f t="shared" si="19"/>
        <v>27</v>
      </c>
      <c r="AI99" s="114">
        <f>LOOKUP(W99,'2018 Escalator'!$A$9:$A$41,'2018 Escalator'!$G$9:$G$41)</f>
        <v>1.199491188497166</v>
      </c>
      <c r="AJ99" s="115">
        <f t="shared" si="20"/>
        <v>3651623.0200538072</v>
      </c>
      <c r="AK99" s="104">
        <f t="shared" si="21"/>
        <v>3651623.0200538072</v>
      </c>
    </row>
    <row r="100" spans="1:37" x14ac:dyDescent="0.2">
      <c r="A100" s="57">
        <v>1670</v>
      </c>
      <c r="B100" s="68" t="s">
        <v>92</v>
      </c>
      <c r="C100" s="68" t="s">
        <v>715</v>
      </c>
      <c r="D100" s="73" t="s">
        <v>722</v>
      </c>
      <c r="E100" s="119" t="s">
        <v>108</v>
      </c>
      <c r="F100" s="68" t="s">
        <v>505</v>
      </c>
      <c r="G100" s="60">
        <v>7923052</v>
      </c>
      <c r="H100" s="60">
        <v>0</v>
      </c>
      <c r="I100" s="60">
        <f>4019124+3928899+205862+1609610</f>
        <v>9763495</v>
      </c>
      <c r="J100" s="115">
        <f>SUM(G100:I100)</f>
        <v>17686547</v>
      </c>
      <c r="K100" s="115">
        <f>J100-L100</f>
        <v>10146677</v>
      </c>
      <c r="L100" s="60">
        <v>7539870</v>
      </c>
      <c r="M100" s="61" t="s">
        <v>99</v>
      </c>
      <c r="N100" s="60"/>
      <c r="O100" s="73"/>
      <c r="P100" s="61">
        <v>2016</v>
      </c>
      <c r="Q100" s="69" t="s">
        <v>213</v>
      </c>
      <c r="R100" s="116">
        <v>18.79</v>
      </c>
      <c r="S100" s="117">
        <f t="shared" si="16"/>
        <v>30.509999999999998</v>
      </c>
      <c r="T100" s="116">
        <v>49.3</v>
      </c>
      <c r="U100" s="61">
        <v>2016</v>
      </c>
      <c r="V100" s="61">
        <v>2017</v>
      </c>
      <c r="W100" s="118">
        <f t="shared" si="17"/>
        <v>2016</v>
      </c>
      <c r="X100" s="67" t="s">
        <v>723</v>
      </c>
      <c r="Y100" s="73">
        <f>42+28.1</f>
        <v>70.099999999999994</v>
      </c>
      <c r="Z100" s="73"/>
      <c r="AA100" s="73"/>
      <c r="AB100" s="73">
        <v>112.1</v>
      </c>
      <c r="AC100" s="73"/>
      <c r="AD100" s="73"/>
      <c r="AE100" s="112">
        <f t="shared" si="12"/>
        <v>20.877777777777776</v>
      </c>
      <c r="AF100" s="113">
        <f t="shared" si="22"/>
        <v>63.089999999999996</v>
      </c>
      <c r="AG100" s="110">
        <f t="shared" si="18"/>
        <v>42</v>
      </c>
      <c r="AH100" s="113">
        <f t="shared" si="19"/>
        <v>37.800000000000004</v>
      </c>
      <c r="AI100" s="114">
        <f>LOOKUP(W100,'2018 Escalator'!$A$9:$A$41,'2018 Escalator'!$G$9:$G$41)</f>
        <v>1.038286218119775</v>
      </c>
      <c r="AJ100" s="115">
        <f t="shared" si="20"/>
        <v>18363697.996227652</v>
      </c>
      <c r="AK100" s="104">
        <f t="shared" si="21"/>
        <v>18363697.996227652</v>
      </c>
    </row>
    <row r="101" spans="1:37" x14ac:dyDescent="0.2">
      <c r="A101" s="57">
        <v>1083</v>
      </c>
      <c r="B101" s="58" t="s">
        <v>92</v>
      </c>
      <c r="C101" s="58" t="s">
        <v>724</v>
      </c>
      <c r="D101" s="61" t="s">
        <v>725</v>
      </c>
      <c r="E101" s="61" t="s">
        <v>108</v>
      </c>
      <c r="F101" s="58" t="s">
        <v>505</v>
      </c>
      <c r="G101" s="60">
        <f>4102187+269073</f>
        <v>4371260</v>
      </c>
      <c r="H101" s="60">
        <v>0</v>
      </c>
      <c r="I101" s="60">
        <f>109881+1667654+74602+202214+29562+56310+10434-379</f>
        <v>2150278</v>
      </c>
      <c r="J101" s="115">
        <f>SUM(G101:I101)</f>
        <v>6521538</v>
      </c>
      <c r="K101" s="115">
        <f>J101-L101</f>
        <v>5048168</v>
      </c>
      <c r="L101" s="60">
        <v>1473370</v>
      </c>
      <c r="M101" s="61" t="s">
        <v>99</v>
      </c>
      <c r="N101" s="60"/>
      <c r="O101" s="73">
        <v>1981</v>
      </c>
      <c r="P101" s="61">
        <v>2016</v>
      </c>
      <c r="Q101" s="69" t="s">
        <v>100</v>
      </c>
      <c r="R101" s="116">
        <v>7.53</v>
      </c>
      <c r="S101" s="117">
        <f t="shared" si="16"/>
        <v>5.87</v>
      </c>
      <c r="T101" s="116">
        <v>13.4</v>
      </c>
      <c r="U101" s="61">
        <v>2011</v>
      </c>
      <c r="V101" s="61">
        <v>2012</v>
      </c>
      <c r="W101" s="118">
        <f t="shared" si="17"/>
        <v>2011</v>
      </c>
      <c r="X101" s="57" t="s">
        <v>726</v>
      </c>
      <c r="Y101" s="61">
        <v>42</v>
      </c>
      <c r="Z101" s="73" t="s">
        <v>509</v>
      </c>
      <c r="AA101" s="73" t="s">
        <v>509</v>
      </c>
      <c r="AB101" s="61">
        <v>92</v>
      </c>
      <c r="AC101" s="73" t="s">
        <v>509</v>
      </c>
      <c r="AD101" s="73" t="s">
        <v>509</v>
      </c>
      <c r="AE101" s="112">
        <f t="shared" si="12"/>
        <v>8.3666666666666671</v>
      </c>
      <c r="AF101" s="113">
        <f t="shared" si="22"/>
        <v>37.800000000000004</v>
      </c>
      <c r="AG101" s="110">
        <f t="shared" si="18"/>
        <v>50</v>
      </c>
      <c r="AH101" s="113">
        <f t="shared" si="19"/>
        <v>45</v>
      </c>
      <c r="AI101" s="114">
        <f>LOOKUP(W101,'2018 Escalator'!$A$9:$A$41,'2018 Escalator'!$G$9:$G$41)</f>
        <v>1.1366200577120069</v>
      </c>
      <c r="AJ101" s="115">
        <f t="shared" si="20"/>
        <v>7412510.8979310459</v>
      </c>
      <c r="AK101" s="104">
        <f t="shared" si="21"/>
        <v>7412510.8979310459</v>
      </c>
    </row>
    <row r="102" spans="1:37" x14ac:dyDescent="0.2">
      <c r="A102" s="57">
        <v>552</v>
      </c>
      <c r="B102" s="58" t="s">
        <v>131</v>
      </c>
      <c r="C102" s="58" t="s">
        <v>727</v>
      </c>
      <c r="D102" s="61" t="s">
        <v>728</v>
      </c>
      <c r="E102" s="61" t="s">
        <v>108</v>
      </c>
      <c r="F102" s="58" t="s">
        <v>505</v>
      </c>
      <c r="G102" s="60">
        <v>785000</v>
      </c>
      <c r="H102" s="60">
        <v>0</v>
      </c>
      <c r="I102" s="60">
        <v>81000</v>
      </c>
      <c r="J102" s="115">
        <v>866000</v>
      </c>
      <c r="K102" s="115">
        <v>0</v>
      </c>
      <c r="L102" s="60">
        <v>866000</v>
      </c>
      <c r="M102" s="61" t="s">
        <v>99</v>
      </c>
      <c r="N102" s="60"/>
      <c r="O102" s="73">
        <v>1991</v>
      </c>
      <c r="P102" s="61">
        <v>2006</v>
      </c>
      <c r="Q102" s="58" t="s">
        <v>100</v>
      </c>
      <c r="R102" s="116">
        <f>30.7-10.47</f>
        <v>20.229999999999997</v>
      </c>
      <c r="S102" s="117">
        <f t="shared" si="16"/>
        <v>10.470000000000002</v>
      </c>
      <c r="T102" s="116">
        <v>30.7</v>
      </c>
      <c r="U102" s="61">
        <v>2006</v>
      </c>
      <c r="V102" s="61">
        <v>2007</v>
      </c>
      <c r="W102" s="118">
        <f t="shared" si="17"/>
        <v>2006</v>
      </c>
      <c r="X102" s="57" t="s">
        <v>729</v>
      </c>
      <c r="Y102" s="61">
        <v>42</v>
      </c>
      <c r="Z102" s="73" t="s">
        <v>525</v>
      </c>
      <c r="AA102" s="73" t="s">
        <v>525</v>
      </c>
      <c r="AB102" s="61">
        <v>42</v>
      </c>
      <c r="AC102" s="73" t="s">
        <v>525</v>
      </c>
      <c r="AD102" s="73" t="s">
        <v>525</v>
      </c>
      <c r="AE102" s="112">
        <f t="shared" si="12"/>
        <v>22.477777777777774</v>
      </c>
      <c r="AF102" s="113">
        <f t="shared" si="22"/>
        <v>37.800000000000004</v>
      </c>
      <c r="AG102" s="110">
        <f t="shared" si="18"/>
        <v>0</v>
      </c>
      <c r="AH102" s="113">
        <f t="shared" si="19"/>
        <v>0</v>
      </c>
      <c r="AI102" s="114">
        <f>LOOKUP(W102,'2018 Escalator'!$A$9:$A$41,'2018 Escalator'!$G$9:$G$41)</f>
        <v>1.3230619810637019</v>
      </c>
      <c r="AJ102" s="115">
        <f t="shared" si="20"/>
        <v>1145771.6756011657</v>
      </c>
      <c r="AK102" s="104">
        <f t="shared" si="21"/>
        <v>1145771.6756011657</v>
      </c>
    </row>
    <row r="103" spans="1:37" x14ac:dyDescent="0.2">
      <c r="A103" s="57">
        <v>1311</v>
      </c>
      <c r="B103" s="58" t="s">
        <v>131</v>
      </c>
      <c r="C103" s="58" t="s">
        <v>730</v>
      </c>
      <c r="D103" s="73" t="s">
        <v>728</v>
      </c>
      <c r="E103" s="61" t="s">
        <v>108</v>
      </c>
      <c r="F103" s="58" t="s">
        <v>505</v>
      </c>
      <c r="G103" s="60">
        <f>3946670+11445</f>
        <v>3958115</v>
      </c>
      <c r="H103" s="60">
        <v>0</v>
      </c>
      <c r="I103" s="60">
        <f>390988+774648+0+505501</f>
        <v>1671137</v>
      </c>
      <c r="J103" s="115">
        <f>SUM(G103:I103)</f>
        <v>5629252</v>
      </c>
      <c r="K103" s="115">
        <f>J103-L103</f>
        <v>3593182</v>
      </c>
      <c r="L103" s="60">
        <v>2036070</v>
      </c>
      <c r="M103" s="61" t="s">
        <v>99</v>
      </c>
      <c r="N103" s="60"/>
      <c r="O103" s="73">
        <v>1991</v>
      </c>
      <c r="P103" s="61">
        <v>2015</v>
      </c>
      <c r="Q103" s="58" t="s">
        <v>100</v>
      </c>
      <c r="R103" s="116">
        <v>30.7</v>
      </c>
      <c r="S103" s="117">
        <f t="shared" si="16"/>
        <v>19.3</v>
      </c>
      <c r="T103" s="116">
        <v>50</v>
      </c>
      <c r="U103" s="61">
        <v>2013</v>
      </c>
      <c r="V103" s="61">
        <v>2014</v>
      </c>
      <c r="W103" s="118">
        <f t="shared" si="17"/>
        <v>2013</v>
      </c>
      <c r="X103" s="67" t="s">
        <v>731</v>
      </c>
      <c r="Y103" s="73">
        <v>42</v>
      </c>
      <c r="Z103" s="73"/>
      <c r="AA103" s="73"/>
      <c r="AB103" s="73">
        <v>84</v>
      </c>
      <c r="AC103" s="73"/>
      <c r="AD103" s="73"/>
      <c r="AE103" s="112">
        <f t="shared" si="12"/>
        <v>34.111111111111107</v>
      </c>
      <c r="AF103" s="113">
        <f t="shared" si="22"/>
        <v>37.800000000000004</v>
      </c>
      <c r="AG103" s="110">
        <f t="shared" si="18"/>
        <v>42</v>
      </c>
      <c r="AH103" s="113">
        <f t="shared" si="19"/>
        <v>37.800000000000004</v>
      </c>
      <c r="AI103" s="114">
        <f>LOOKUP(W103,'2018 Escalator'!$A$9:$A$41,'2018 Escalator'!$G$9:$G$41)</f>
        <v>1.0630440922306721</v>
      </c>
      <c r="AJ103" s="115">
        <f t="shared" si="20"/>
        <v>5984143.0822776956</v>
      </c>
      <c r="AK103" s="104">
        <f t="shared" si="21"/>
        <v>5984143.0822776956</v>
      </c>
    </row>
    <row r="104" spans="1:37" x14ac:dyDescent="0.2">
      <c r="A104" s="57">
        <v>1078</v>
      </c>
      <c r="B104" s="58" t="s">
        <v>131</v>
      </c>
      <c r="C104" s="58" t="s">
        <v>732</v>
      </c>
      <c r="D104" s="61" t="s">
        <v>733</v>
      </c>
      <c r="E104" s="61" t="s">
        <v>108</v>
      </c>
      <c r="F104" s="69" t="s">
        <v>505</v>
      </c>
      <c r="G104" s="60">
        <v>622947</v>
      </c>
      <c r="H104" s="60">
        <v>0</v>
      </c>
      <c r="I104" s="60">
        <v>339238</v>
      </c>
      <c r="J104" s="115">
        <v>962185</v>
      </c>
      <c r="K104" s="115">
        <v>0</v>
      </c>
      <c r="L104" s="60">
        <v>962185</v>
      </c>
      <c r="M104" s="61" t="s">
        <v>99</v>
      </c>
      <c r="N104" s="60"/>
      <c r="O104" s="73">
        <v>1957</v>
      </c>
      <c r="P104" s="61">
        <v>2012</v>
      </c>
      <c r="Q104" s="69" t="s">
        <v>100</v>
      </c>
      <c r="R104" s="116">
        <v>17.66</v>
      </c>
      <c r="S104" s="117">
        <f t="shared" si="16"/>
        <v>7.34</v>
      </c>
      <c r="T104" s="116">
        <v>25</v>
      </c>
      <c r="U104" s="61">
        <v>2011</v>
      </c>
      <c r="V104" s="61">
        <v>2012</v>
      </c>
      <c r="W104" s="118">
        <f t="shared" si="17"/>
        <v>2011</v>
      </c>
      <c r="X104" s="57" t="s">
        <v>734</v>
      </c>
      <c r="Y104" s="61">
        <f>5+8*2+8.8+41.7</f>
        <v>71.5</v>
      </c>
      <c r="Z104" s="73" t="s">
        <v>516</v>
      </c>
      <c r="AA104" s="73" t="s">
        <v>516</v>
      </c>
      <c r="AB104" s="61">
        <v>71.5</v>
      </c>
      <c r="AC104" s="73" t="s">
        <v>516</v>
      </c>
      <c r="AD104" s="73" t="s">
        <v>516</v>
      </c>
      <c r="AE104" s="112">
        <f t="shared" si="12"/>
        <v>19.622222222222224</v>
      </c>
      <c r="AF104" s="113">
        <f t="shared" si="22"/>
        <v>64.350000000000009</v>
      </c>
      <c r="AG104" s="110">
        <f t="shared" si="18"/>
        <v>0</v>
      </c>
      <c r="AH104" s="113">
        <f t="shared" si="19"/>
        <v>0</v>
      </c>
      <c r="AI104" s="114">
        <f>LOOKUP(W104,'2018 Escalator'!$A$9:$A$41,'2018 Escalator'!$G$9:$G$41)</f>
        <v>1.1366200577120069</v>
      </c>
      <c r="AJ104" s="115">
        <f t="shared" si="20"/>
        <v>1093638.7702296274</v>
      </c>
      <c r="AK104" s="104">
        <f t="shared" si="21"/>
        <v>1093638.7702296274</v>
      </c>
    </row>
    <row r="105" spans="1:37" x14ac:dyDescent="0.2">
      <c r="A105" s="57">
        <v>495</v>
      </c>
      <c r="B105" s="58" t="s">
        <v>131</v>
      </c>
      <c r="C105" s="58" t="s">
        <v>735</v>
      </c>
      <c r="D105" s="61" t="s">
        <v>736</v>
      </c>
      <c r="E105" s="61" t="s">
        <v>108</v>
      </c>
      <c r="F105" s="58" t="s">
        <v>505</v>
      </c>
      <c r="G105" s="60">
        <v>2469000</v>
      </c>
      <c r="H105" s="60">
        <v>0</v>
      </c>
      <c r="I105" s="60">
        <v>245000</v>
      </c>
      <c r="J105" s="115">
        <v>2714000</v>
      </c>
      <c r="K105" s="115">
        <v>2714000</v>
      </c>
      <c r="L105" s="60">
        <v>0</v>
      </c>
      <c r="M105" s="61" t="s">
        <v>99</v>
      </c>
      <c r="N105" s="60"/>
      <c r="O105" s="73">
        <v>1982</v>
      </c>
      <c r="P105" s="61">
        <v>2008</v>
      </c>
      <c r="Q105" s="58" t="s">
        <v>100</v>
      </c>
      <c r="R105" s="116">
        <v>12.974</v>
      </c>
      <c r="S105" s="117">
        <f t="shared" si="16"/>
        <v>0</v>
      </c>
      <c r="T105" s="116">
        <v>12.974</v>
      </c>
      <c r="U105" s="61">
        <v>2003</v>
      </c>
      <c r="V105" s="61">
        <v>2007</v>
      </c>
      <c r="W105" s="118">
        <f t="shared" si="17"/>
        <v>2006</v>
      </c>
      <c r="X105" s="57" t="s">
        <v>737</v>
      </c>
      <c r="Y105" s="61">
        <v>41.6</v>
      </c>
      <c r="Z105" s="73" t="s">
        <v>522</v>
      </c>
      <c r="AA105" s="73" t="s">
        <v>522</v>
      </c>
      <c r="AB105" s="61">
        <v>83.2</v>
      </c>
      <c r="AC105" s="73" t="s">
        <v>522</v>
      </c>
      <c r="AD105" s="73" t="s">
        <v>522</v>
      </c>
      <c r="AE105" s="112">
        <f t="shared" si="12"/>
        <v>14.415555555555555</v>
      </c>
      <c r="AF105" s="113">
        <f t="shared" si="22"/>
        <v>37.440000000000005</v>
      </c>
      <c r="AG105" s="110">
        <f t="shared" si="18"/>
        <v>41.6</v>
      </c>
      <c r="AH105" s="113">
        <f t="shared" si="19"/>
        <v>37.440000000000005</v>
      </c>
      <c r="AI105" s="114">
        <f>LOOKUP(W105,'2018 Escalator'!$A$9:$A$41,'2018 Escalator'!$G$9:$G$41)</f>
        <v>1.3230619810637019</v>
      </c>
      <c r="AJ105" s="115">
        <f t="shared" si="20"/>
        <v>3590790.2166068871</v>
      </c>
      <c r="AK105" s="104">
        <f t="shared" si="21"/>
        <v>3590790.2166068871</v>
      </c>
    </row>
    <row r="106" spans="1:37" x14ac:dyDescent="0.2">
      <c r="A106" s="57">
        <v>383</v>
      </c>
      <c r="B106" s="58" t="s">
        <v>131</v>
      </c>
      <c r="C106" s="58" t="s">
        <v>738</v>
      </c>
      <c r="D106" s="61" t="s">
        <v>739</v>
      </c>
      <c r="E106" s="61" t="s">
        <v>132</v>
      </c>
      <c r="F106" s="58" t="s">
        <v>505</v>
      </c>
      <c r="G106" s="60">
        <v>2812615</v>
      </c>
      <c r="H106" s="60">
        <v>0</v>
      </c>
      <c r="I106" s="60">
        <v>0</v>
      </c>
      <c r="J106" s="115">
        <v>2812615</v>
      </c>
      <c r="K106" s="115">
        <v>0</v>
      </c>
      <c r="L106" s="60">
        <v>2812615</v>
      </c>
      <c r="M106" s="61" t="s">
        <v>99</v>
      </c>
      <c r="N106" s="60"/>
      <c r="O106" s="73">
        <v>1984</v>
      </c>
      <c r="P106" s="61">
        <v>2006</v>
      </c>
      <c r="Q106" s="58" t="s">
        <v>100</v>
      </c>
      <c r="R106" s="116">
        <v>0.51</v>
      </c>
      <c r="S106" s="117">
        <f t="shared" si="16"/>
        <v>8</v>
      </c>
      <c r="T106" s="116">
        <v>8.51</v>
      </c>
      <c r="U106" s="61">
        <v>2003</v>
      </c>
      <c r="V106" s="61">
        <v>2006</v>
      </c>
      <c r="W106" s="118">
        <f t="shared" si="17"/>
        <v>2005</v>
      </c>
      <c r="X106" s="57" t="s">
        <v>740</v>
      </c>
      <c r="Y106" s="61">
        <f>30*2</f>
        <v>60</v>
      </c>
      <c r="Z106" s="73" t="s">
        <v>741</v>
      </c>
      <c r="AA106" s="73" t="s">
        <v>741</v>
      </c>
      <c r="AB106" s="61">
        <v>110</v>
      </c>
      <c r="AC106" s="73" t="s">
        <v>741</v>
      </c>
      <c r="AD106" s="73" t="s">
        <v>741</v>
      </c>
      <c r="AE106" s="112">
        <f t="shared" si="12"/>
        <v>0.56666666666666665</v>
      </c>
      <c r="AF106" s="113">
        <f t="shared" si="22"/>
        <v>54</v>
      </c>
      <c r="AG106" s="110">
        <f t="shared" si="18"/>
        <v>50</v>
      </c>
      <c r="AH106" s="113">
        <f t="shared" si="19"/>
        <v>45</v>
      </c>
      <c r="AI106" s="114">
        <f>LOOKUP(W106,'2018 Escalator'!$A$9:$A$41,'2018 Escalator'!$G$9:$G$41)</f>
        <v>1.4044483059526309</v>
      </c>
      <c r="AJ106" s="115">
        <f t="shared" si="20"/>
        <v>3950172.3720469591</v>
      </c>
      <c r="AK106" s="104">
        <f t="shared" si="21"/>
        <v>3950172.3720469591</v>
      </c>
    </row>
    <row r="107" spans="1:37" x14ac:dyDescent="0.2">
      <c r="A107" s="57">
        <v>1020</v>
      </c>
      <c r="B107" s="58" t="s">
        <v>131</v>
      </c>
      <c r="C107" s="58" t="s">
        <v>742</v>
      </c>
      <c r="D107" s="61" t="s">
        <v>743</v>
      </c>
      <c r="E107" s="61" t="s">
        <v>108</v>
      </c>
      <c r="F107" s="58" t="s">
        <v>505</v>
      </c>
      <c r="G107" s="60">
        <v>5209320</v>
      </c>
      <c r="H107" s="60">
        <v>0</v>
      </c>
      <c r="I107" s="60">
        <v>1102210</v>
      </c>
      <c r="J107" s="115">
        <v>6311530</v>
      </c>
      <c r="K107" s="115">
        <v>4512530</v>
      </c>
      <c r="L107" s="60">
        <v>1799000</v>
      </c>
      <c r="M107" s="61" t="s">
        <v>99</v>
      </c>
      <c r="N107" s="60"/>
      <c r="O107" s="73">
        <v>1977</v>
      </c>
      <c r="P107" s="61">
        <v>2011</v>
      </c>
      <c r="Q107" s="69" t="s">
        <v>100</v>
      </c>
      <c r="R107" s="116">
        <v>13</v>
      </c>
      <c r="S107" s="117">
        <f t="shared" si="16"/>
        <v>9</v>
      </c>
      <c r="T107" s="116">
        <v>22</v>
      </c>
      <c r="U107" s="61">
        <v>2010</v>
      </c>
      <c r="V107" s="61">
        <v>2011</v>
      </c>
      <c r="W107" s="118">
        <f t="shared" si="17"/>
        <v>2010</v>
      </c>
      <c r="X107" s="57" t="s">
        <v>744</v>
      </c>
      <c r="Y107" s="61">
        <v>33.299999999999997</v>
      </c>
      <c r="Z107" s="73" t="s">
        <v>525</v>
      </c>
      <c r="AA107" s="73" t="s">
        <v>525</v>
      </c>
      <c r="AB107" s="61">
        <v>83.3</v>
      </c>
      <c r="AC107" s="73" t="s">
        <v>525</v>
      </c>
      <c r="AD107" s="73" t="s">
        <v>525</v>
      </c>
      <c r="AE107" s="112">
        <f t="shared" si="12"/>
        <v>14.444444444444445</v>
      </c>
      <c r="AF107" s="113">
        <f t="shared" si="22"/>
        <v>29.97</v>
      </c>
      <c r="AG107" s="110">
        <f t="shared" si="18"/>
        <v>50</v>
      </c>
      <c r="AH107" s="113">
        <f t="shared" si="19"/>
        <v>45</v>
      </c>
      <c r="AI107" s="114">
        <f>LOOKUP(W107,'2018 Escalator'!$A$9:$A$41,'2018 Escalator'!$G$9:$G$41)</f>
        <v>1.1637398045803473</v>
      </c>
      <c r="AJ107" s="115">
        <f t="shared" si="20"/>
        <v>7344978.6888029994</v>
      </c>
      <c r="AK107" s="104">
        <f t="shared" si="21"/>
        <v>7344978.6888029994</v>
      </c>
    </row>
    <row r="108" spans="1:37" x14ac:dyDescent="0.2">
      <c r="A108" s="57">
        <v>1364</v>
      </c>
      <c r="B108" s="68" t="s">
        <v>131</v>
      </c>
      <c r="C108" s="58" t="s">
        <v>745</v>
      </c>
      <c r="D108" s="73" t="s">
        <v>746</v>
      </c>
      <c r="E108" s="61" t="s">
        <v>132</v>
      </c>
      <c r="F108" s="58" t="s">
        <v>505</v>
      </c>
      <c r="G108" s="60">
        <f>5537560+431872</f>
        <v>5969432</v>
      </c>
      <c r="H108" s="60">
        <v>0</v>
      </c>
      <c r="I108" s="60">
        <f>473679+1078156+752256</f>
        <v>2304091</v>
      </c>
      <c r="J108" s="115">
        <f>SUM(G108:I108)</f>
        <v>8273523</v>
      </c>
      <c r="K108" s="115">
        <f>J108-L108</f>
        <v>3236310</v>
      </c>
      <c r="L108" s="60">
        <v>5037213</v>
      </c>
      <c r="M108" s="61" t="s">
        <v>99</v>
      </c>
      <c r="N108" s="60"/>
      <c r="O108" s="122"/>
      <c r="P108" s="61">
        <v>2015</v>
      </c>
      <c r="Q108" s="69" t="s">
        <v>100</v>
      </c>
      <c r="R108" s="116">
        <v>8.5</v>
      </c>
      <c r="S108" s="117">
        <f t="shared" si="16"/>
        <v>34</v>
      </c>
      <c r="T108" s="116">
        <v>42.5</v>
      </c>
      <c r="U108" s="61">
        <v>2013</v>
      </c>
      <c r="V108" s="61">
        <v>2014</v>
      </c>
      <c r="W108" s="118">
        <f t="shared" si="17"/>
        <v>2013</v>
      </c>
      <c r="X108" s="57" t="s">
        <v>747</v>
      </c>
      <c r="Y108" s="61">
        <v>33</v>
      </c>
      <c r="Z108" s="73"/>
      <c r="AA108" s="73"/>
      <c r="AB108" s="61">
        <v>83</v>
      </c>
      <c r="AC108" s="73"/>
      <c r="AD108" s="73"/>
      <c r="AE108" s="112">
        <f t="shared" si="12"/>
        <v>9.4444444444444446</v>
      </c>
      <c r="AF108" s="113">
        <f t="shared" si="22"/>
        <v>29.7</v>
      </c>
      <c r="AG108" s="110">
        <f t="shared" si="18"/>
        <v>50</v>
      </c>
      <c r="AH108" s="113">
        <f t="shared" si="19"/>
        <v>45</v>
      </c>
      <c r="AI108" s="114">
        <f>LOOKUP(W108,'2018 Escalator'!$A$9:$A$41,'2018 Escalator'!$G$9:$G$41)</f>
        <v>1.0630440922306721</v>
      </c>
      <c r="AJ108" s="115">
        <f t="shared" si="20"/>
        <v>8795119.7470845859</v>
      </c>
      <c r="AK108" s="104">
        <f t="shared" si="21"/>
        <v>8795119.7470845859</v>
      </c>
    </row>
    <row r="109" spans="1:37" x14ac:dyDescent="0.2">
      <c r="A109" s="57">
        <v>503</v>
      </c>
      <c r="B109" s="58" t="s">
        <v>131</v>
      </c>
      <c r="C109" s="58" t="s">
        <v>748</v>
      </c>
      <c r="D109" s="61" t="s">
        <v>749</v>
      </c>
      <c r="E109" s="61" t="s">
        <v>108</v>
      </c>
      <c r="F109" s="58" t="s">
        <v>505</v>
      </c>
      <c r="G109" s="60">
        <v>2670000</v>
      </c>
      <c r="H109" s="60">
        <v>0</v>
      </c>
      <c r="I109" s="60">
        <v>365000</v>
      </c>
      <c r="J109" s="115">
        <v>3035000</v>
      </c>
      <c r="K109" s="115">
        <v>1492931</v>
      </c>
      <c r="L109" s="60">
        <v>1542069</v>
      </c>
      <c r="M109" s="61" t="s">
        <v>99</v>
      </c>
      <c r="N109" s="60"/>
      <c r="O109" s="73">
        <v>1972</v>
      </c>
      <c r="P109" s="61">
        <v>2010</v>
      </c>
      <c r="Q109" s="58" t="s">
        <v>100</v>
      </c>
      <c r="R109" s="116">
        <v>31</v>
      </c>
      <c r="S109" s="117">
        <f t="shared" si="16"/>
        <v>16</v>
      </c>
      <c r="T109" s="116">
        <v>47</v>
      </c>
      <c r="U109" s="61">
        <v>2007</v>
      </c>
      <c r="V109" s="61">
        <v>2008</v>
      </c>
      <c r="W109" s="118">
        <f t="shared" si="17"/>
        <v>2007</v>
      </c>
      <c r="X109" s="57" t="s">
        <v>740</v>
      </c>
      <c r="Y109" s="61">
        <v>50</v>
      </c>
      <c r="Z109" s="73" t="s">
        <v>750</v>
      </c>
      <c r="AA109" s="73" t="s">
        <v>750</v>
      </c>
      <c r="AB109" s="61">
        <v>100</v>
      </c>
      <c r="AC109" s="73" t="s">
        <v>750</v>
      </c>
      <c r="AD109" s="73" t="s">
        <v>750</v>
      </c>
      <c r="AE109" s="112">
        <f t="shared" si="12"/>
        <v>34.444444444444443</v>
      </c>
      <c r="AF109" s="113">
        <f t="shared" si="22"/>
        <v>45</v>
      </c>
      <c r="AG109" s="110">
        <f t="shared" si="18"/>
        <v>50</v>
      </c>
      <c r="AH109" s="113">
        <f t="shared" si="19"/>
        <v>45</v>
      </c>
      <c r="AI109" s="114">
        <f>LOOKUP(W109,'2018 Escalator'!$A$9:$A$41,'2018 Escalator'!$G$9:$G$41)</f>
        <v>1.2531539462632446</v>
      </c>
      <c r="AJ109" s="115">
        <f t="shared" si="20"/>
        <v>3803322.2269089473</v>
      </c>
      <c r="AK109" s="104">
        <f t="shared" si="21"/>
        <v>3803322.2269089473</v>
      </c>
    </row>
    <row r="110" spans="1:37" x14ac:dyDescent="0.2">
      <c r="A110" s="57">
        <v>925</v>
      </c>
      <c r="B110" s="58" t="s">
        <v>131</v>
      </c>
      <c r="C110" s="58" t="s">
        <v>751</v>
      </c>
      <c r="D110" s="61" t="s">
        <v>749</v>
      </c>
      <c r="E110" s="61" t="s">
        <v>108</v>
      </c>
      <c r="F110" s="58" t="s">
        <v>505</v>
      </c>
      <c r="G110" s="60">
        <v>2072635</v>
      </c>
      <c r="H110" s="60">
        <v>0</v>
      </c>
      <c r="I110" s="60">
        <v>845200</v>
      </c>
      <c r="J110" s="115">
        <v>2917835</v>
      </c>
      <c r="K110" s="115">
        <v>2245835</v>
      </c>
      <c r="L110" s="60">
        <v>672000</v>
      </c>
      <c r="M110" s="61" t="s">
        <v>99</v>
      </c>
      <c r="N110" s="60"/>
      <c r="O110" s="73">
        <v>1972</v>
      </c>
      <c r="P110" s="61">
        <v>2012</v>
      </c>
      <c r="Q110" s="68" t="s">
        <v>100</v>
      </c>
      <c r="R110" s="116">
        <v>47</v>
      </c>
      <c r="S110" s="117">
        <f t="shared" si="16"/>
        <v>9</v>
      </c>
      <c r="T110" s="116">
        <v>56</v>
      </c>
      <c r="U110" s="61">
        <v>2010</v>
      </c>
      <c r="V110" s="61">
        <v>2012</v>
      </c>
      <c r="W110" s="118">
        <f t="shared" si="17"/>
        <v>2011</v>
      </c>
      <c r="X110" s="57" t="s">
        <v>508</v>
      </c>
      <c r="Y110" s="61">
        <f>50*2</f>
        <v>100</v>
      </c>
      <c r="Z110" s="73" t="s">
        <v>750</v>
      </c>
      <c r="AA110" s="73" t="s">
        <v>750</v>
      </c>
      <c r="AB110" s="61">
        <v>100</v>
      </c>
      <c r="AC110" s="73" t="s">
        <v>750</v>
      </c>
      <c r="AD110" s="73" t="s">
        <v>750</v>
      </c>
      <c r="AE110" s="112">
        <v>81</v>
      </c>
      <c r="AF110" s="113">
        <f t="shared" si="22"/>
        <v>90</v>
      </c>
      <c r="AG110" s="110">
        <f t="shared" si="18"/>
        <v>0</v>
      </c>
      <c r="AH110" s="113">
        <f t="shared" si="19"/>
        <v>0</v>
      </c>
      <c r="AI110" s="114">
        <f>LOOKUP(W110,'2018 Escalator'!$A$9:$A$41,'2018 Escalator'!$G$9:$G$41)</f>
        <v>1.1366200577120069</v>
      </c>
      <c r="AJ110" s="115">
        <f t="shared" si="20"/>
        <v>3316469.7860941137</v>
      </c>
      <c r="AK110" s="104">
        <f t="shared" si="21"/>
        <v>3316469.7860941137</v>
      </c>
    </row>
    <row r="111" spans="1:37" x14ac:dyDescent="0.2">
      <c r="A111" s="57">
        <v>821</v>
      </c>
      <c r="B111" s="58" t="s">
        <v>92</v>
      </c>
      <c r="C111" s="58" t="s">
        <v>752</v>
      </c>
      <c r="D111" s="61" t="s">
        <v>239</v>
      </c>
      <c r="E111" s="61" t="s">
        <v>108</v>
      </c>
      <c r="F111" s="58" t="s">
        <v>505</v>
      </c>
      <c r="G111" s="60">
        <v>6174012</v>
      </c>
      <c r="H111" s="60">
        <v>0</v>
      </c>
      <c r="I111" s="60">
        <v>2111727</v>
      </c>
      <c r="J111" s="115">
        <f>SUM(G111:I111)</f>
        <v>8285739</v>
      </c>
      <c r="K111" s="115">
        <f>J111-L111</f>
        <v>4532739</v>
      </c>
      <c r="L111" s="60">
        <v>3753000</v>
      </c>
      <c r="M111" s="61" t="s">
        <v>99</v>
      </c>
      <c r="N111" s="60"/>
      <c r="O111" s="73">
        <v>2006</v>
      </c>
      <c r="P111" s="61">
        <v>2011</v>
      </c>
      <c r="Q111" s="68" t="s">
        <v>100</v>
      </c>
      <c r="R111" s="116">
        <v>25</v>
      </c>
      <c r="S111" s="117">
        <f t="shared" si="16"/>
        <v>32</v>
      </c>
      <c r="T111" s="116">
        <v>57</v>
      </c>
      <c r="U111" s="61">
        <v>2007</v>
      </c>
      <c r="V111" s="61">
        <v>2012</v>
      </c>
      <c r="W111" s="118">
        <f t="shared" si="17"/>
        <v>2011</v>
      </c>
      <c r="X111" s="57" t="s">
        <v>753</v>
      </c>
      <c r="Y111" s="61">
        <v>50</v>
      </c>
      <c r="Z111" s="73" t="s">
        <v>525</v>
      </c>
      <c r="AA111" s="73" t="s">
        <v>525</v>
      </c>
      <c r="AB111" s="61">
        <v>100</v>
      </c>
      <c r="AC111" s="73" t="s">
        <v>525</v>
      </c>
      <c r="AD111" s="73" t="s">
        <v>525</v>
      </c>
      <c r="AE111" s="112">
        <f t="shared" ref="AE111:AE133" si="27">R111/0.9</f>
        <v>27.777777777777779</v>
      </c>
      <c r="AF111" s="113">
        <f t="shared" si="22"/>
        <v>45</v>
      </c>
      <c r="AG111" s="110">
        <f t="shared" si="18"/>
        <v>50</v>
      </c>
      <c r="AH111" s="113">
        <f t="shared" si="19"/>
        <v>45</v>
      </c>
      <c r="AI111" s="114">
        <f>LOOKUP(W111,'2018 Escalator'!$A$9:$A$41,'2018 Escalator'!$G$9:$G$41)</f>
        <v>1.1366200577120069</v>
      </c>
      <c r="AJ111" s="115">
        <f t="shared" si="20"/>
        <v>9417737.1403666269</v>
      </c>
      <c r="AK111" s="104">
        <f t="shared" si="21"/>
        <v>9417737.1403666269</v>
      </c>
    </row>
    <row r="112" spans="1:37" x14ac:dyDescent="0.2">
      <c r="A112" s="57">
        <v>486</v>
      </c>
      <c r="B112" s="58" t="s">
        <v>131</v>
      </c>
      <c r="C112" s="58" t="s">
        <v>754</v>
      </c>
      <c r="D112" s="61" t="s">
        <v>755</v>
      </c>
      <c r="E112" s="61" t="s">
        <v>108</v>
      </c>
      <c r="F112" s="58" t="s">
        <v>505</v>
      </c>
      <c r="G112" s="60">
        <v>247016</v>
      </c>
      <c r="H112" s="60">
        <v>0</v>
      </c>
      <c r="I112" s="60">
        <v>0</v>
      </c>
      <c r="J112" s="115">
        <v>247016</v>
      </c>
      <c r="K112" s="115">
        <v>0</v>
      </c>
      <c r="L112" s="60">
        <v>247016</v>
      </c>
      <c r="M112" s="61" t="s">
        <v>99</v>
      </c>
      <c r="N112" s="60"/>
      <c r="O112" s="73">
        <v>1993</v>
      </c>
      <c r="P112" s="61">
        <v>2007</v>
      </c>
      <c r="Q112" s="58" t="s">
        <v>100</v>
      </c>
      <c r="R112" s="116">
        <v>10.81</v>
      </c>
      <c r="S112" s="117">
        <f t="shared" si="16"/>
        <v>3.1399999999999988</v>
      </c>
      <c r="T112" s="116">
        <v>13.95</v>
      </c>
      <c r="U112" s="61">
        <v>2003</v>
      </c>
      <c r="V112" s="61">
        <v>2006</v>
      </c>
      <c r="W112" s="118">
        <f t="shared" si="17"/>
        <v>2005</v>
      </c>
      <c r="X112" s="57" t="s">
        <v>756</v>
      </c>
      <c r="Y112" s="61">
        <v>13.3</v>
      </c>
      <c r="Z112" s="73" t="s">
        <v>522</v>
      </c>
      <c r="AA112" s="73" t="s">
        <v>522</v>
      </c>
      <c r="AB112" s="61">
        <v>16</v>
      </c>
      <c r="AC112" s="73" t="s">
        <v>522</v>
      </c>
      <c r="AD112" s="73" t="s">
        <v>522</v>
      </c>
      <c r="AE112" s="112">
        <f t="shared" si="27"/>
        <v>12.011111111111111</v>
      </c>
      <c r="AF112" s="113">
        <f t="shared" si="22"/>
        <v>11.97</v>
      </c>
      <c r="AG112" s="110">
        <f t="shared" si="18"/>
        <v>2.6999999999999993</v>
      </c>
      <c r="AH112" s="113">
        <f t="shared" si="19"/>
        <v>2.4299999999999993</v>
      </c>
      <c r="AI112" s="114">
        <f>LOOKUP(W112,'2018 Escalator'!$A$9:$A$41,'2018 Escalator'!$G$9:$G$41)</f>
        <v>1.4044483059526309</v>
      </c>
      <c r="AJ112" s="115">
        <f t="shared" si="20"/>
        <v>346921.20274319506</v>
      </c>
      <c r="AK112" s="104">
        <f t="shared" si="21"/>
        <v>346921.20274319506</v>
      </c>
    </row>
    <row r="113" spans="1:37" x14ac:dyDescent="0.2">
      <c r="A113" s="57">
        <v>779</v>
      </c>
      <c r="B113" s="58" t="s">
        <v>131</v>
      </c>
      <c r="C113" s="58" t="s">
        <v>757</v>
      </c>
      <c r="D113" s="61" t="s">
        <v>755</v>
      </c>
      <c r="E113" s="61" t="s">
        <v>108</v>
      </c>
      <c r="F113" s="58" t="s">
        <v>505</v>
      </c>
      <c r="G113" s="60">
        <f>1236284-650000</f>
        <v>586284</v>
      </c>
      <c r="H113" s="60">
        <v>0</v>
      </c>
      <c r="I113" s="60">
        <v>177172</v>
      </c>
      <c r="J113" s="115">
        <f>SUM(G113:I113)</f>
        <v>763456</v>
      </c>
      <c r="K113" s="115">
        <f>J113-L113</f>
        <v>35456</v>
      </c>
      <c r="L113" s="60">
        <v>728000</v>
      </c>
      <c r="M113" s="61" t="s">
        <v>99</v>
      </c>
      <c r="N113" s="60"/>
      <c r="O113" s="73">
        <v>1993</v>
      </c>
      <c r="P113" s="61">
        <v>2010</v>
      </c>
      <c r="Q113" s="58" t="s">
        <v>100</v>
      </c>
      <c r="R113" s="116">
        <v>13.95</v>
      </c>
      <c r="S113" s="117">
        <f t="shared" si="16"/>
        <v>4.0500000000000007</v>
      </c>
      <c r="T113" s="116">
        <v>18</v>
      </c>
      <c r="U113" s="61">
        <v>2007</v>
      </c>
      <c r="V113" s="61">
        <v>2009</v>
      </c>
      <c r="W113" s="118">
        <f t="shared" si="17"/>
        <v>2008</v>
      </c>
      <c r="X113" s="57" t="s">
        <v>758</v>
      </c>
      <c r="Y113" s="61">
        <v>16</v>
      </c>
      <c r="Z113" s="73" t="s">
        <v>522</v>
      </c>
      <c r="AA113" s="73" t="s">
        <v>522</v>
      </c>
      <c r="AB113" s="61">
        <v>41.6</v>
      </c>
      <c r="AC113" s="73" t="s">
        <v>522</v>
      </c>
      <c r="AD113" s="73" t="s">
        <v>522</v>
      </c>
      <c r="AE113" s="112">
        <f t="shared" si="27"/>
        <v>15.499999999999998</v>
      </c>
      <c r="AF113" s="113">
        <f t="shared" si="22"/>
        <v>14.4</v>
      </c>
      <c r="AG113" s="110">
        <f t="shared" si="18"/>
        <v>25.6</v>
      </c>
      <c r="AH113" s="113">
        <f t="shared" si="19"/>
        <v>23.040000000000003</v>
      </c>
      <c r="AI113" s="114">
        <f>LOOKUP(W113,'2018 Escalator'!$A$9:$A$41,'2018 Escalator'!$G$9:$G$41)</f>
        <v>1.199491188497166</v>
      </c>
      <c r="AJ113" s="115">
        <f t="shared" si="20"/>
        <v>915758.74480529234</v>
      </c>
      <c r="AK113" s="104">
        <f t="shared" si="21"/>
        <v>915758.74480529234</v>
      </c>
    </row>
    <row r="114" spans="1:37" ht="12" customHeight="1" x14ac:dyDescent="0.2">
      <c r="A114" s="57">
        <v>1416</v>
      </c>
      <c r="B114" s="58" t="s">
        <v>131</v>
      </c>
      <c r="C114" s="58" t="s">
        <v>759</v>
      </c>
      <c r="D114" s="73" t="s">
        <v>755</v>
      </c>
      <c r="E114" s="61" t="s">
        <v>108</v>
      </c>
      <c r="F114" s="58" t="s">
        <v>505</v>
      </c>
      <c r="G114" s="60">
        <v>794186</v>
      </c>
      <c r="H114" s="60">
        <v>0</v>
      </c>
      <c r="I114" s="60">
        <f>177674+292813+113672</f>
        <v>584159</v>
      </c>
      <c r="J114" s="115">
        <f>SUM(G114:I114)</f>
        <v>1378345</v>
      </c>
      <c r="K114" s="115">
        <f>J114-L114</f>
        <v>430345</v>
      </c>
      <c r="L114" s="60">
        <v>948000</v>
      </c>
      <c r="M114" s="61" t="s">
        <v>99</v>
      </c>
      <c r="N114" s="60"/>
      <c r="O114" s="73">
        <v>1993</v>
      </c>
      <c r="P114" s="61">
        <v>2015</v>
      </c>
      <c r="Q114" s="58" t="s">
        <v>100</v>
      </c>
      <c r="R114" s="116">
        <v>18</v>
      </c>
      <c r="S114" s="117">
        <f t="shared" si="16"/>
        <v>6</v>
      </c>
      <c r="T114" s="116">
        <v>24</v>
      </c>
      <c r="U114" s="61">
        <v>2013</v>
      </c>
      <c r="V114" s="61">
        <v>2015</v>
      </c>
      <c r="W114" s="118">
        <f t="shared" si="17"/>
        <v>2014</v>
      </c>
      <c r="X114" s="57" t="s">
        <v>515</v>
      </c>
      <c r="Y114" s="73">
        <v>41.6</v>
      </c>
      <c r="Z114" s="73"/>
      <c r="AA114" s="73"/>
      <c r="AB114" s="73">
        <v>41.6</v>
      </c>
      <c r="AC114" s="73"/>
      <c r="AD114" s="73"/>
      <c r="AE114" s="112">
        <f t="shared" si="27"/>
        <v>20</v>
      </c>
      <c r="AF114" s="113">
        <f t="shared" si="22"/>
        <v>37.440000000000005</v>
      </c>
      <c r="AG114" s="110">
        <f t="shared" si="18"/>
        <v>0</v>
      </c>
      <c r="AH114" s="113">
        <f t="shared" si="19"/>
        <v>0</v>
      </c>
      <c r="AI114" s="114">
        <f>LOOKUP(W114,'2018 Escalator'!$A$9:$A$41,'2018 Escalator'!$G$9:$G$41)</f>
        <v>1.0288837306891399</v>
      </c>
      <c r="AJ114" s="115">
        <f t="shared" si="20"/>
        <v>1418156.7457767224</v>
      </c>
      <c r="AK114" s="104">
        <f t="shared" si="21"/>
        <v>1418156.7457767224</v>
      </c>
    </row>
    <row r="115" spans="1:37" x14ac:dyDescent="0.2">
      <c r="A115" s="57">
        <v>554</v>
      </c>
      <c r="B115" s="58" t="s">
        <v>131</v>
      </c>
      <c r="C115" s="58" t="s">
        <v>760</v>
      </c>
      <c r="D115" s="61" t="s">
        <v>761</v>
      </c>
      <c r="E115" s="61" t="s">
        <v>108</v>
      </c>
      <c r="F115" s="58" t="s">
        <v>505</v>
      </c>
      <c r="G115" s="60">
        <v>725000</v>
      </c>
      <c r="H115" s="60">
        <v>0</v>
      </c>
      <c r="I115" s="60">
        <v>77000</v>
      </c>
      <c r="J115" s="115">
        <v>802000</v>
      </c>
      <c r="K115" s="115">
        <v>0</v>
      </c>
      <c r="L115" s="60">
        <v>802000</v>
      </c>
      <c r="M115" s="61" t="s">
        <v>129</v>
      </c>
      <c r="N115" s="60"/>
      <c r="O115" s="73">
        <v>1968</v>
      </c>
      <c r="P115" s="61">
        <v>2007</v>
      </c>
      <c r="Q115" s="58" t="s">
        <v>100</v>
      </c>
      <c r="R115" s="116">
        <v>23</v>
      </c>
      <c r="S115" s="117">
        <f t="shared" si="16"/>
        <v>8.2600000000000016</v>
      </c>
      <c r="T115" s="116">
        <v>31.26</v>
      </c>
      <c r="U115" s="61">
        <v>2006</v>
      </c>
      <c r="V115" s="61">
        <v>2007</v>
      </c>
      <c r="W115" s="118">
        <f t="shared" si="17"/>
        <v>2006</v>
      </c>
      <c r="X115" s="57" t="s">
        <v>762</v>
      </c>
      <c r="Y115" s="61">
        <f>41.6*2+50</f>
        <v>133.19999999999999</v>
      </c>
      <c r="Z115" s="73" t="s">
        <v>525</v>
      </c>
      <c r="AA115" s="73" t="s">
        <v>525</v>
      </c>
      <c r="AB115" s="61">
        <v>133.19999999999999</v>
      </c>
      <c r="AC115" s="73" t="s">
        <v>525</v>
      </c>
      <c r="AD115" s="73" t="s">
        <v>525</v>
      </c>
      <c r="AE115" s="112">
        <f t="shared" si="27"/>
        <v>25.555555555555554</v>
      </c>
      <c r="AF115" s="113">
        <f t="shared" si="22"/>
        <v>119.88</v>
      </c>
      <c r="AG115" s="110">
        <f t="shared" si="18"/>
        <v>0</v>
      </c>
      <c r="AH115" s="113">
        <f t="shared" si="19"/>
        <v>0</v>
      </c>
      <c r="AI115" s="114">
        <f>LOOKUP(W115,'2018 Escalator'!$A$9:$A$41,'2018 Escalator'!$G$9:$G$41)</f>
        <v>1.3230619810637019</v>
      </c>
      <c r="AJ115" s="115">
        <f t="shared" si="20"/>
        <v>1061095.7088130889</v>
      </c>
      <c r="AK115" s="104">
        <f t="shared" si="21"/>
        <v>1061095.7088130889</v>
      </c>
    </row>
    <row r="116" spans="1:37" x14ac:dyDescent="0.2">
      <c r="A116" s="57">
        <v>1581</v>
      </c>
      <c r="B116" s="58" t="s">
        <v>131</v>
      </c>
      <c r="C116" s="58" t="s">
        <v>763</v>
      </c>
      <c r="D116" s="73" t="s">
        <v>764</v>
      </c>
      <c r="E116" s="61" t="s">
        <v>108</v>
      </c>
      <c r="F116" s="58" t="s">
        <v>505</v>
      </c>
      <c r="G116" s="60">
        <v>3400241</v>
      </c>
      <c r="H116" s="60">
        <v>0</v>
      </c>
      <c r="I116" s="60">
        <f>379129+637121+150681+677420-1</f>
        <v>1844350</v>
      </c>
      <c r="J116" s="115">
        <f>SUM(G116:I116)</f>
        <v>5244591</v>
      </c>
      <c r="K116" s="115">
        <f>J116-L116</f>
        <v>1589691</v>
      </c>
      <c r="L116" s="60">
        <v>3654900</v>
      </c>
      <c r="M116" s="61" t="s">
        <v>99</v>
      </c>
      <c r="N116" s="60"/>
      <c r="O116" s="73" t="s">
        <v>565</v>
      </c>
      <c r="P116" s="61">
        <v>2016</v>
      </c>
      <c r="Q116" s="68" t="s">
        <v>100</v>
      </c>
      <c r="R116" s="116">
        <v>7.44</v>
      </c>
      <c r="S116" s="117">
        <f t="shared" si="16"/>
        <v>9.36</v>
      </c>
      <c r="T116" s="116">
        <v>16.8</v>
      </c>
      <c r="U116" s="61">
        <v>2015</v>
      </c>
      <c r="V116" s="61">
        <v>2016</v>
      </c>
      <c r="W116" s="118">
        <f t="shared" si="17"/>
        <v>2015</v>
      </c>
      <c r="X116" s="67" t="s">
        <v>765</v>
      </c>
      <c r="Y116" s="73">
        <v>13</v>
      </c>
      <c r="Z116" s="73"/>
      <c r="AA116" s="73"/>
      <c r="AB116" s="73">
        <v>50</v>
      </c>
      <c r="AC116" s="73"/>
      <c r="AD116" s="73"/>
      <c r="AE116" s="112">
        <f t="shared" si="27"/>
        <v>8.2666666666666675</v>
      </c>
      <c r="AF116" s="113">
        <f t="shared" si="22"/>
        <v>11.700000000000001</v>
      </c>
      <c r="AG116" s="110">
        <f t="shared" si="18"/>
        <v>37</v>
      </c>
      <c r="AH116" s="113">
        <f t="shared" si="19"/>
        <v>33.300000000000004</v>
      </c>
      <c r="AI116" s="114">
        <f>LOOKUP(W116,'2018 Escalator'!$A$9:$A$41,'2018 Escalator'!$G$9:$G$41)</f>
        <v>1.0267399975608473</v>
      </c>
      <c r="AJ116" s="115">
        <f t="shared" si="20"/>
        <v>5384831.3505476415</v>
      </c>
      <c r="AK116" s="104">
        <f t="shared" si="21"/>
        <v>5384831.3505476415</v>
      </c>
    </row>
    <row r="117" spans="1:37" x14ac:dyDescent="0.2">
      <c r="A117" s="57">
        <v>880</v>
      </c>
      <c r="B117" s="58" t="s">
        <v>131</v>
      </c>
      <c r="C117" s="58" t="s">
        <v>766</v>
      </c>
      <c r="D117" s="61" t="s">
        <v>767</v>
      </c>
      <c r="E117" s="61" t="s">
        <v>108</v>
      </c>
      <c r="F117" s="58" t="s">
        <v>505</v>
      </c>
      <c r="G117" s="60">
        <v>3062663</v>
      </c>
      <c r="H117" s="60">
        <v>0</v>
      </c>
      <c r="I117" s="60">
        <v>869825</v>
      </c>
      <c r="J117" s="115">
        <v>3932488</v>
      </c>
      <c r="K117" s="115">
        <v>3406971</v>
      </c>
      <c r="L117" s="60">
        <v>525517</v>
      </c>
      <c r="M117" s="61" t="s">
        <v>99</v>
      </c>
      <c r="N117" s="60"/>
      <c r="O117" s="73">
        <v>1966</v>
      </c>
      <c r="P117" s="61">
        <v>2012</v>
      </c>
      <c r="Q117" s="69" t="s">
        <v>100</v>
      </c>
      <c r="R117" s="116">
        <v>8.9499999999999993</v>
      </c>
      <c r="S117" s="117">
        <f t="shared" si="16"/>
        <v>2.0500000000000007</v>
      </c>
      <c r="T117" s="116">
        <v>11</v>
      </c>
      <c r="U117" s="61">
        <v>2010</v>
      </c>
      <c r="V117" s="61">
        <v>2011</v>
      </c>
      <c r="W117" s="118">
        <f t="shared" si="17"/>
        <v>2010</v>
      </c>
      <c r="X117" s="57" t="s">
        <v>768</v>
      </c>
      <c r="Y117" s="61">
        <f>8+25</f>
        <v>33</v>
      </c>
      <c r="Z117" s="73" t="s">
        <v>522</v>
      </c>
      <c r="AA117" s="73" t="s">
        <v>522</v>
      </c>
      <c r="AB117" s="61">
        <v>66.599999999999994</v>
      </c>
      <c r="AC117" s="73" t="s">
        <v>522</v>
      </c>
      <c r="AD117" s="73" t="s">
        <v>522</v>
      </c>
      <c r="AE117" s="112">
        <f t="shared" si="27"/>
        <v>9.9444444444444429</v>
      </c>
      <c r="AF117" s="113">
        <f t="shared" si="22"/>
        <v>29.7</v>
      </c>
      <c r="AG117" s="110">
        <f t="shared" si="18"/>
        <v>33.599999999999994</v>
      </c>
      <c r="AH117" s="113">
        <f t="shared" si="19"/>
        <v>30.239999999999995</v>
      </c>
      <c r="AI117" s="114">
        <f>LOOKUP(W117,'2018 Escalator'!$A$9:$A$41,'2018 Escalator'!$G$9:$G$41)</f>
        <v>1.1637398045803473</v>
      </c>
      <c r="AJ117" s="115">
        <f t="shared" si="20"/>
        <v>4576392.8166345609</v>
      </c>
      <c r="AK117" s="104">
        <f t="shared" si="21"/>
        <v>4576392.8166345609</v>
      </c>
    </row>
    <row r="118" spans="1:37" x14ac:dyDescent="0.2">
      <c r="A118" s="57">
        <v>1047</v>
      </c>
      <c r="B118" s="58" t="s">
        <v>131</v>
      </c>
      <c r="C118" s="58" t="s">
        <v>769</v>
      </c>
      <c r="D118" s="61" t="s">
        <v>770</v>
      </c>
      <c r="E118" s="61" t="s">
        <v>108</v>
      </c>
      <c r="F118" s="58" t="s">
        <v>505</v>
      </c>
      <c r="G118" s="60">
        <v>3969490</v>
      </c>
      <c r="H118" s="60">
        <v>0</v>
      </c>
      <c r="I118" s="60">
        <v>1087178</v>
      </c>
      <c r="J118" s="115">
        <v>5728668</v>
      </c>
      <c r="K118" s="115">
        <v>4473668</v>
      </c>
      <c r="L118" s="60">
        <v>1255000</v>
      </c>
      <c r="M118" s="61" t="s">
        <v>99</v>
      </c>
      <c r="N118" s="60"/>
      <c r="O118" s="73">
        <v>1965</v>
      </c>
      <c r="P118" s="61">
        <v>2013</v>
      </c>
      <c r="Q118" s="69" t="s">
        <v>100</v>
      </c>
      <c r="R118" s="116">
        <v>10</v>
      </c>
      <c r="S118" s="117">
        <f t="shared" si="16"/>
        <v>5</v>
      </c>
      <c r="T118" s="116">
        <v>15</v>
      </c>
      <c r="U118" s="61">
        <v>2011</v>
      </c>
      <c r="V118" s="61">
        <v>2013</v>
      </c>
      <c r="W118" s="118">
        <f t="shared" si="17"/>
        <v>2012</v>
      </c>
      <c r="X118" s="57" t="s">
        <v>771</v>
      </c>
      <c r="Y118" s="124">
        <f>8*2</f>
        <v>16</v>
      </c>
      <c r="Z118" s="73" t="s">
        <v>525</v>
      </c>
      <c r="AA118" s="73" t="s">
        <v>525</v>
      </c>
      <c r="AB118" s="125">
        <v>33</v>
      </c>
      <c r="AC118" s="73" t="s">
        <v>525</v>
      </c>
      <c r="AD118" s="73" t="s">
        <v>525</v>
      </c>
      <c r="AE118" s="112">
        <f t="shared" si="27"/>
        <v>11.111111111111111</v>
      </c>
      <c r="AF118" s="113">
        <f t="shared" si="22"/>
        <v>14.4</v>
      </c>
      <c r="AG118" s="110">
        <f t="shared" si="18"/>
        <v>17</v>
      </c>
      <c r="AH118" s="113">
        <f t="shared" si="19"/>
        <v>15.3</v>
      </c>
      <c r="AI118" s="114">
        <f>LOOKUP(W118,'2018 Escalator'!$A$9:$A$41,'2018 Escalator'!$G$9:$G$41)</f>
        <v>1.0925127659799037</v>
      </c>
      <c r="AJ118" s="115">
        <f t="shared" si="20"/>
        <v>6258642.9220605623</v>
      </c>
      <c r="AK118" s="104">
        <f t="shared" si="21"/>
        <v>6258642.9220605623</v>
      </c>
    </row>
    <row r="119" spans="1:37" x14ac:dyDescent="0.2">
      <c r="A119" s="57">
        <v>1045</v>
      </c>
      <c r="B119" s="58" t="s">
        <v>131</v>
      </c>
      <c r="C119" s="58" t="s">
        <v>772</v>
      </c>
      <c r="D119" s="61" t="s">
        <v>773</v>
      </c>
      <c r="E119" s="61" t="s">
        <v>108</v>
      </c>
      <c r="F119" s="58" t="s">
        <v>505</v>
      </c>
      <c r="G119" s="60">
        <v>2677127</v>
      </c>
      <c r="H119" s="60">
        <v>0</v>
      </c>
      <c r="I119" s="60">
        <v>1326928</v>
      </c>
      <c r="J119" s="115">
        <v>3344055</v>
      </c>
      <c r="K119" s="115">
        <v>2138087</v>
      </c>
      <c r="L119" s="60">
        <v>1205968</v>
      </c>
      <c r="M119" s="61" t="s">
        <v>99</v>
      </c>
      <c r="N119" s="60"/>
      <c r="O119" s="73">
        <v>1971</v>
      </c>
      <c r="P119" s="61">
        <v>2013</v>
      </c>
      <c r="Q119" s="69" t="s">
        <v>100</v>
      </c>
      <c r="R119" s="116">
        <v>24.065999999999999</v>
      </c>
      <c r="S119" s="117">
        <f t="shared" si="16"/>
        <v>7.9340000000000011</v>
      </c>
      <c r="T119" s="116">
        <v>32</v>
      </c>
      <c r="U119" s="61">
        <v>2011</v>
      </c>
      <c r="V119" s="61">
        <v>2012</v>
      </c>
      <c r="W119" s="118">
        <f t="shared" si="17"/>
        <v>2011</v>
      </c>
      <c r="X119" s="57" t="s">
        <v>774</v>
      </c>
      <c r="Y119" s="73">
        <f>8.8*2+60</f>
        <v>77.599999999999994</v>
      </c>
      <c r="Z119" s="73" t="s">
        <v>525</v>
      </c>
      <c r="AA119" s="73" t="s">
        <v>525</v>
      </c>
      <c r="AB119" s="73">
        <v>101.6</v>
      </c>
      <c r="AC119" s="73" t="s">
        <v>525</v>
      </c>
      <c r="AD119" s="73" t="s">
        <v>525</v>
      </c>
      <c r="AE119" s="112">
        <f t="shared" si="27"/>
        <v>26.74</v>
      </c>
      <c r="AF119" s="113">
        <f t="shared" si="22"/>
        <v>69.84</v>
      </c>
      <c r="AG119" s="110">
        <f t="shared" si="18"/>
        <v>24</v>
      </c>
      <c r="AH119" s="113">
        <f t="shared" si="19"/>
        <v>21.6</v>
      </c>
      <c r="AI119" s="114">
        <f>LOOKUP(W119,'2018 Escalator'!$A$9:$A$41,'2018 Escalator'!$G$9:$G$41)</f>
        <v>1.1366200577120069</v>
      </c>
      <c r="AJ119" s="115">
        <f t="shared" si="20"/>
        <v>3800919.9870921252</v>
      </c>
      <c r="AK119" s="104">
        <f t="shared" si="21"/>
        <v>3800919.9870921252</v>
      </c>
    </row>
    <row r="120" spans="1:37" x14ac:dyDescent="0.2">
      <c r="A120" s="57">
        <v>1616</v>
      </c>
      <c r="B120" s="58" t="s">
        <v>131</v>
      </c>
      <c r="C120" s="58" t="s">
        <v>775</v>
      </c>
      <c r="D120" s="73" t="s">
        <v>776</v>
      </c>
      <c r="E120" s="61" t="s">
        <v>108</v>
      </c>
      <c r="F120" s="58" t="s">
        <v>505</v>
      </c>
      <c r="G120" s="60">
        <v>404411</v>
      </c>
      <c r="H120" s="60">
        <v>0</v>
      </c>
      <c r="I120" s="60">
        <f>207216+104867+1850+107752</f>
        <v>421685</v>
      </c>
      <c r="J120" s="115">
        <f>SUM(G120:I120)</f>
        <v>826096</v>
      </c>
      <c r="K120" s="115">
        <f>J120-L120</f>
        <v>0</v>
      </c>
      <c r="L120" s="60">
        <v>826096</v>
      </c>
      <c r="M120" s="61" t="s">
        <v>99</v>
      </c>
      <c r="N120" s="60"/>
      <c r="O120" s="73" t="s">
        <v>565</v>
      </c>
      <c r="P120" s="61">
        <v>2016</v>
      </c>
      <c r="Q120" s="69" t="s">
        <v>100</v>
      </c>
      <c r="R120" s="116">
        <v>21.68</v>
      </c>
      <c r="S120" s="117">
        <f t="shared" si="16"/>
        <v>25.75</v>
      </c>
      <c r="T120" s="116">
        <v>47.43</v>
      </c>
      <c r="U120" s="61">
        <v>2016</v>
      </c>
      <c r="V120" s="61">
        <v>2016</v>
      </c>
      <c r="W120" s="118">
        <f t="shared" si="17"/>
        <v>2015</v>
      </c>
      <c r="X120" s="57" t="s">
        <v>515</v>
      </c>
      <c r="Y120" s="73">
        <f>41.6*2</f>
        <v>83.2</v>
      </c>
      <c r="Z120" s="73"/>
      <c r="AA120" s="73"/>
      <c r="AB120" s="73">
        <v>83.2</v>
      </c>
      <c r="AC120" s="73"/>
      <c r="AD120" s="73"/>
      <c r="AE120" s="112">
        <f t="shared" si="27"/>
        <v>24.088888888888889</v>
      </c>
      <c r="AF120" s="113">
        <f t="shared" si="22"/>
        <v>74.88000000000001</v>
      </c>
      <c r="AG120" s="110">
        <f t="shared" si="18"/>
        <v>0</v>
      </c>
      <c r="AH120" s="113">
        <f t="shared" si="19"/>
        <v>0</v>
      </c>
      <c r="AI120" s="114">
        <f>LOOKUP(W120,'2018 Escalator'!$A$9:$A$41,'2018 Escalator'!$G$9:$G$41)</f>
        <v>1.0267399975608473</v>
      </c>
      <c r="AJ120" s="115">
        <f t="shared" si="20"/>
        <v>848185.80502502574</v>
      </c>
      <c r="AK120" s="104">
        <f t="shared" si="21"/>
        <v>848185.80502502574</v>
      </c>
    </row>
    <row r="121" spans="1:37" x14ac:dyDescent="0.2">
      <c r="A121" s="57">
        <v>362</v>
      </c>
      <c r="B121" s="58" t="s">
        <v>92</v>
      </c>
      <c r="C121" s="58" t="s">
        <v>777</v>
      </c>
      <c r="D121" s="61" t="s">
        <v>778</v>
      </c>
      <c r="E121" s="61" t="s">
        <v>108</v>
      </c>
      <c r="F121" s="58" t="s">
        <v>505</v>
      </c>
      <c r="G121" s="60">
        <v>531399</v>
      </c>
      <c r="H121" s="60">
        <v>0</v>
      </c>
      <c r="I121" s="60">
        <v>0</v>
      </c>
      <c r="J121" s="115">
        <v>531399</v>
      </c>
      <c r="K121" s="115">
        <v>0</v>
      </c>
      <c r="L121" s="60">
        <v>531399</v>
      </c>
      <c r="M121" s="61" t="s">
        <v>99</v>
      </c>
      <c r="N121" s="60"/>
      <c r="O121" s="122">
        <v>1971</v>
      </c>
      <c r="P121" s="61">
        <v>2006</v>
      </c>
      <c r="Q121" s="58" t="s">
        <v>100</v>
      </c>
      <c r="R121" s="116">
        <v>51.8</v>
      </c>
      <c r="S121" s="117">
        <f t="shared" si="16"/>
        <v>1</v>
      </c>
      <c r="T121" s="116">
        <v>52.8</v>
      </c>
      <c r="U121" s="61">
        <v>2003</v>
      </c>
      <c r="V121" s="61">
        <v>2005</v>
      </c>
      <c r="W121" s="118">
        <f t="shared" si="17"/>
        <v>2004</v>
      </c>
      <c r="X121" s="57" t="s">
        <v>515</v>
      </c>
      <c r="Y121" s="73">
        <f>47*2</f>
        <v>94</v>
      </c>
      <c r="Z121" s="73" t="s">
        <v>779</v>
      </c>
      <c r="AA121" s="73" t="s">
        <v>779</v>
      </c>
      <c r="AB121" s="73">
        <v>94</v>
      </c>
      <c r="AC121" s="73" t="s">
        <v>779</v>
      </c>
      <c r="AD121" s="73" t="s">
        <v>779</v>
      </c>
      <c r="AE121" s="112">
        <f t="shared" si="27"/>
        <v>57.55555555555555</v>
      </c>
      <c r="AF121" s="113">
        <f t="shared" si="22"/>
        <v>84.600000000000009</v>
      </c>
      <c r="AG121" s="110">
        <f t="shared" si="18"/>
        <v>0</v>
      </c>
      <c r="AH121" s="113">
        <f t="shared" si="19"/>
        <v>0</v>
      </c>
      <c r="AI121" s="114">
        <f>LOOKUP(W121,'2018 Escalator'!$A$9:$A$41,'2018 Escalator'!$G$9:$G$41)</f>
        <v>1.483782020350688</v>
      </c>
      <c r="AJ121" s="115">
        <f t="shared" si="20"/>
        <v>788480.28183233528</v>
      </c>
      <c r="AK121" s="104">
        <f t="shared" si="21"/>
        <v>788480.28183233528</v>
      </c>
    </row>
    <row r="122" spans="1:37" x14ac:dyDescent="0.2">
      <c r="A122" s="57">
        <v>924</v>
      </c>
      <c r="B122" s="58" t="s">
        <v>131</v>
      </c>
      <c r="C122" s="58" t="s">
        <v>780</v>
      </c>
      <c r="D122" s="61" t="s">
        <v>781</v>
      </c>
      <c r="E122" s="61" t="s">
        <v>108</v>
      </c>
      <c r="F122" s="58" t="s">
        <v>505</v>
      </c>
      <c r="G122" s="60">
        <v>734184</v>
      </c>
      <c r="H122" s="60">
        <v>0</v>
      </c>
      <c r="I122" s="60">
        <v>491546</v>
      </c>
      <c r="J122" s="115">
        <v>1225730</v>
      </c>
      <c r="K122" s="115">
        <v>716690</v>
      </c>
      <c r="L122" s="60">
        <v>509040</v>
      </c>
      <c r="M122" s="61" t="s">
        <v>99</v>
      </c>
      <c r="N122" s="60"/>
      <c r="O122" s="73">
        <v>1982</v>
      </c>
      <c r="P122" s="61">
        <v>2012</v>
      </c>
      <c r="Q122" s="68" t="s">
        <v>100</v>
      </c>
      <c r="R122" s="116">
        <v>45.94</v>
      </c>
      <c r="S122" s="117">
        <f t="shared" si="16"/>
        <v>6.0600000000000023</v>
      </c>
      <c r="T122" s="116">
        <v>52</v>
      </c>
      <c r="U122" s="61">
        <v>2010</v>
      </c>
      <c r="V122" s="61">
        <v>2011</v>
      </c>
      <c r="W122" s="118">
        <f t="shared" si="17"/>
        <v>2010</v>
      </c>
      <c r="X122" s="57" t="s">
        <v>515</v>
      </c>
      <c r="Y122" s="73">
        <f>50*2</f>
        <v>100</v>
      </c>
      <c r="Z122" s="73" t="s">
        <v>782</v>
      </c>
      <c r="AA122" s="73" t="s">
        <v>782</v>
      </c>
      <c r="AB122" s="73">
        <v>100</v>
      </c>
      <c r="AC122" s="73" t="s">
        <v>782</v>
      </c>
      <c r="AD122" s="73" t="s">
        <v>782</v>
      </c>
      <c r="AE122" s="112">
        <f t="shared" si="27"/>
        <v>51.044444444444437</v>
      </c>
      <c r="AF122" s="113">
        <f t="shared" si="22"/>
        <v>90</v>
      </c>
      <c r="AG122" s="110">
        <f t="shared" si="18"/>
        <v>0</v>
      </c>
      <c r="AH122" s="113">
        <f t="shared" si="19"/>
        <v>0</v>
      </c>
      <c r="AI122" s="114">
        <f>LOOKUP(W122,'2018 Escalator'!$A$9:$A$41,'2018 Escalator'!$G$9:$G$41)</f>
        <v>1.1637398045803473</v>
      </c>
      <c r="AJ122" s="115">
        <f t="shared" si="20"/>
        <v>1426430.7906682692</v>
      </c>
      <c r="AK122" s="104">
        <f t="shared" si="21"/>
        <v>1426430.7906682692</v>
      </c>
    </row>
    <row r="123" spans="1:37" x14ac:dyDescent="0.2">
      <c r="A123" s="57">
        <v>1241</v>
      </c>
      <c r="B123" s="68" t="s">
        <v>131</v>
      </c>
      <c r="C123" s="68" t="s">
        <v>783</v>
      </c>
      <c r="D123" s="119" t="s">
        <v>784</v>
      </c>
      <c r="E123" s="119" t="s">
        <v>108</v>
      </c>
      <c r="F123" s="68" t="s">
        <v>505</v>
      </c>
      <c r="G123" s="60">
        <v>1384843</v>
      </c>
      <c r="H123" s="60">
        <v>0</v>
      </c>
      <c r="I123" s="60">
        <v>1017882</v>
      </c>
      <c r="J123" s="115">
        <f>SUM(G123:I123)</f>
        <v>2402725</v>
      </c>
      <c r="K123" s="115">
        <f>J123-L123</f>
        <v>1490725</v>
      </c>
      <c r="L123" s="60">
        <v>912000</v>
      </c>
      <c r="M123" s="61" t="s">
        <v>99</v>
      </c>
      <c r="N123" s="60"/>
      <c r="O123" s="73" t="s">
        <v>565</v>
      </c>
      <c r="P123" s="61">
        <v>2014</v>
      </c>
      <c r="Q123" s="69" t="s">
        <v>100</v>
      </c>
      <c r="R123" s="116">
        <v>20.29</v>
      </c>
      <c r="S123" s="117">
        <f t="shared" si="16"/>
        <v>6</v>
      </c>
      <c r="T123" s="116">
        <v>26.29</v>
      </c>
      <c r="U123" s="61">
        <v>2011</v>
      </c>
      <c r="V123" s="61">
        <v>2013</v>
      </c>
      <c r="W123" s="118">
        <f t="shared" si="17"/>
        <v>2012</v>
      </c>
      <c r="X123" s="57" t="s">
        <v>785</v>
      </c>
      <c r="Y123" s="73">
        <v>41.6</v>
      </c>
      <c r="Z123" s="73" t="s">
        <v>522</v>
      </c>
      <c r="AA123" s="73" t="s">
        <v>522</v>
      </c>
      <c r="AB123" s="73">
        <v>41.6</v>
      </c>
      <c r="AC123" s="73" t="s">
        <v>522</v>
      </c>
      <c r="AD123" s="73" t="s">
        <v>522</v>
      </c>
      <c r="AE123" s="112">
        <f t="shared" si="27"/>
        <v>22.544444444444444</v>
      </c>
      <c r="AF123" s="113">
        <f t="shared" si="22"/>
        <v>37.440000000000005</v>
      </c>
      <c r="AG123" s="110">
        <f t="shared" si="18"/>
        <v>0</v>
      </c>
      <c r="AH123" s="113">
        <f t="shared" si="19"/>
        <v>0</v>
      </c>
      <c r="AI123" s="114">
        <f>LOOKUP(W123,'2018 Escalator'!$A$9:$A$41,'2018 Escalator'!$G$9:$G$41)</f>
        <v>1.0925127659799037</v>
      </c>
      <c r="AJ123" s="115">
        <f t="shared" si="20"/>
        <v>2625007.7356390641</v>
      </c>
      <c r="AK123" s="104">
        <f t="shared" si="21"/>
        <v>2625007.7356390641</v>
      </c>
    </row>
    <row r="124" spans="1:37" x14ac:dyDescent="0.2">
      <c r="A124" s="57">
        <v>438</v>
      </c>
      <c r="B124" s="58" t="s">
        <v>131</v>
      </c>
      <c r="C124" s="58" t="s">
        <v>786</v>
      </c>
      <c r="D124" s="61" t="s">
        <v>787</v>
      </c>
      <c r="E124" s="61" t="s">
        <v>108</v>
      </c>
      <c r="F124" s="58" t="s">
        <v>505</v>
      </c>
      <c r="G124" s="60">
        <v>121954</v>
      </c>
      <c r="H124" s="60">
        <v>0</v>
      </c>
      <c r="I124" s="60">
        <v>0</v>
      </c>
      <c r="J124" s="115">
        <v>121954</v>
      </c>
      <c r="K124" s="115">
        <v>8848</v>
      </c>
      <c r="L124" s="60">
        <v>113106</v>
      </c>
      <c r="M124" s="61" t="s">
        <v>99</v>
      </c>
      <c r="N124" s="60"/>
      <c r="O124" s="73">
        <v>1978</v>
      </c>
      <c r="P124" s="61">
        <v>2006</v>
      </c>
      <c r="Q124" s="58" t="s">
        <v>100</v>
      </c>
      <c r="R124" s="116">
        <v>8.2460000000000004</v>
      </c>
      <c r="S124" s="117">
        <f t="shared" si="16"/>
        <v>1</v>
      </c>
      <c r="T124" s="116">
        <v>9.2460000000000004</v>
      </c>
      <c r="U124" s="61">
        <v>2003</v>
      </c>
      <c r="V124" s="61">
        <v>2005</v>
      </c>
      <c r="W124" s="118">
        <f t="shared" si="17"/>
        <v>2004</v>
      </c>
      <c r="X124" s="57" t="s">
        <v>788</v>
      </c>
      <c r="Y124" s="73">
        <f>25+5</f>
        <v>30</v>
      </c>
      <c r="Z124" s="73" t="s">
        <v>509</v>
      </c>
      <c r="AA124" s="73" t="s">
        <v>509</v>
      </c>
      <c r="AB124" s="73">
        <v>31.67</v>
      </c>
      <c r="AC124" s="73" t="s">
        <v>509</v>
      </c>
      <c r="AD124" s="73" t="s">
        <v>509</v>
      </c>
      <c r="AE124" s="112">
        <f t="shared" si="27"/>
        <v>9.1622222222222227</v>
      </c>
      <c r="AF124" s="113">
        <f t="shared" si="22"/>
        <v>27</v>
      </c>
      <c r="AG124" s="110">
        <f t="shared" si="18"/>
        <v>1.6700000000000017</v>
      </c>
      <c r="AH124" s="113">
        <f t="shared" si="19"/>
        <v>1.5030000000000017</v>
      </c>
      <c r="AI124" s="114">
        <f>LOOKUP(W124,'2018 Escalator'!$A$9:$A$41,'2018 Escalator'!$G$9:$G$41)</f>
        <v>1.483782020350688</v>
      </c>
      <c r="AJ124" s="115">
        <f t="shared" si="20"/>
        <v>180953.1525098478</v>
      </c>
      <c r="AK124" s="104">
        <f t="shared" si="21"/>
        <v>180953.1525098478</v>
      </c>
    </row>
    <row r="125" spans="1:37" x14ac:dyDescent="0.2">
      <c r="A125" s="57">
        <v>748</v>
      </c>
      <c r="B125" s="58" t="s">
        <v>131</v>
      </c>
      <c r="C125" s="58" t="s">
        <v>789</v>
      </c>
      <c r="D125" s="61" t="s">
        <v>790</v>
      </c>
      <c r="E125" s="61" t="s">
        <v>108</v>
      </c>
      <c r="F125" s="58" t="s">
        <v>505</v>
      </c>
      <c r="G125" s="60">
        <v>251730</v>
      </c>
      <c r="H125" s="60">
        <v>0</v>
      </c>
      <c r="I125" s="60">
        <v>72228</v>
      </c>
      <c r="J125" s="115">
        <v>323958</v>
      </c>
      <c r="K125" s="115">
        <v>205958</v>
      </c>
      <c r="L125" s="60">
        <v>118000</v>
      </c>
      <c r="M125" s="61" t="s">
        <v>99</v>
      </c>
      <c r="N125" s="60"/>
      <c r="O125" s="73">
        <v>1995</v>
      </c>
      <c r="P125" s="61">
        <v>2010</v>
      </c>
      <c r="Q125" s="58" t="s">
        <v>100</v>
      </c>
      <c r="R125" s="116">
        <v>25.541</v>
      </c>
      <c r="S125" s="117">
        <f t="shared" si="16"/>
        <v>1</v>
      </c>
      <c r="T125" s="116">
        <v>26.541</v>
      </c>
      <c r="U125" s="61">
        <v>2007</v>
      </c>
      <c r="V125" s="61">
        <v>2009</v>
      </c>
      <c r="W125" s="118">
        <f t="shared" si="17"/>
        <v>2008</v>
      </c>
      <c r="X125" s="57" t="s">
        <v>515</v>
      </c>
      <c r="Y125" s="61">
        <v>41.7</v>
      </c>
      <c r="Z125" s="73" t="s">
        <v>516</v>
      </c>
      <c r="AA125" s="73" t="s">
        <v>516</v>
      </c>
      <c r="AB125" s="61">
        <v>41.7</v>
      </c>
      <c r="AC125" s="73" t="s">
        <v>516</v>
      </c>
      <c r="AD125" s="73" t="s">
        <v>516</v>
      </c>
      <c r="AE125" s="112">
        <f t="shared" si="27"/>
        <v>28.378888888888888</v>
      </c>
      <c r="AF125" s="113">
        <f t="shared" si="22"/>
        <v>37.53</v>
      </c>
      <c r="AG125" s="110">
        <f t="shared" si="18"/>
        <v>0</v>
      </c>
      <c r="AH125" s="113">
        <f t="shared" si="19"/>
        <v>0</v>
      </c>
      <c r="AI125" s="114">
        <f>LOOKUP(W125,'2018 Escalator'!$A$9:$A$41,'2018 Escalator'!$G$9:$G$41)</f>
        <v>1.199491188497166</v>
      </c>
      <c r="AJ125" s="115">
        <f t="shared" si="20"/>
        <v>388584.7664431649</v>
      </c>
      <c r="AK125" s="104">
        <f t="shared" si="21"/>
        <v>388584.7664431649</v>
      </c>
    </row>
    <row r="126" spans="1:37" x14ac:dyDescent="0.2">
      <c r="A126" s="57">
        <v>1319</v>
      </c>
      <c r="B126" s="58" t="s">
        <v>131</v>
      </c>
      <c r="C126" s="58" t="s">
        <v>791</v>
      </c>
      <c r="D126" s="73" t="s">
        <v>792</v>
      </c>
      <c r="E126" s="61" t="s">
        <v>108</v>
      </c>
      <c r="F126" s="58" t="s">
        <v>505</v>
      </c>
      <c r="G126" s="60">
        <f>2365133-574031</f>
        <v>1791102</v>
      </c>
      <c r="H126" s="60">
        <v>0</v>
      </c>
      <c r="I126" s="60">
        <f>345049+556948+111836+341852</f>
        <v>1355685</v>
      </c>
      <c r="J126" s="115">
        <f>SUM(G126:I126)</f>
        <v>3146787</v>
      </c>
      <c r="K126" s="115">
        <f>J126-L126</f>
        <v>2336097</v>
      </c>
      <c r="L126" s="60">
        <v>810690</v>
      </c>
      <c r="M126" s="61" t="s">
        <v>99</v>
      </c>
      <c r="N126" s="60"/>
      <c r="O126" s="73"/>
      <c r="P126" s="61">
        <v>2015</v>
      </c>
      <c r="Q126" s="68" t="s">
        <v>100</v>
      </c>
      <c r="R126" s="116">
        <v>15.71</v>
      </c>
      <c r="S126" s="117">
        <f t="shared" si="16"/>
        <v>4.2899999999999991</v>
      </c>
      <c r="T126" s="116">
        <v>20</v>
      </c>
      <c r="U126" s="61">
        <v>2013</v>
      </c>
      <c r="V126" s="61">
        <v>2015</v>
      </c>
      <c r="W126" s="118">
        <f t="shared" si="17"/>
        <v>2014</v>
      </c>
      <c r="X126" s="67" t="s">
        <v>793</v>
      </c>
      <c r="Y126" s="73">
        <f>20+20</f>
        <v>40</v>
      </c>
      <c r="Z126" s="73"/>
      <c r="AA126" s="73"/>
      <c r="AB126" s="73">
        <f>20+41.6</f>
        <v>61.6</v>
      </c>
      <c r="AC126" s="73"/>
      <c r="AD126" s="73"/>
      <c r="AE126" s="112">
        <f t="shared" si="27"/>
        <v>17.455555555555556</v>
      </c>
      <c r="AF126" s="113">
        <f t="shared" si="22"/>
        <v>36</v>
      </c>
      <c r="AG126" s="110">
        <f t="shared" si="18"/>
        <v>21.6</v>
      </c>
      <c r="AH126" s="113">
        <f t="shared" si="19"/>
        <v>19.440000000000001</v>
      </c>
      <c r="AI126" s="114">
        <f>LOOKUP(W126,'2018 Escalator'!$A$9:$A$41,'2018 Escalator'!$G$9:$G$41)</f>
        <v>1.0288837306891399</v>
      </c>
      <c r="AJ126" s="115">
        <f t="shared" si="20"/>
        <v>3237677.9482440865</v>
      </c>
      <c r="AK126" s="104">
        <f t="shared" si="21"/>
        <v>3237677.9482440865</v>
      </c>
    </row>
    <row r="127" spans="1:37" x14ac:dyDescent="0.2">
      <c r="A127" s="57">
        <v>892</v>
      </c>
      <c r="B127" s="58" t="s">
        <v>131</v>
      </c>
      <c r="C127" s="58" t="s">
        <v>794</v>
      </c>
      <c r="D127" s="61" t="s">
        <v>795</v>
      </c>
      <c r="E127" s="61" t="s">
        <v>108</v>
      </c>
      <c r="F127" s="58" t="s">
        <v>505</v>
      </c>
      <c r="G127" s="60">
        <v>2668457</v>
      </c>
      <c r="H127" s="60">
        <v>0</v>
      </c>
      <c r="I127" s="60">
        <v>1020090</v>
      </c>
      <c r="J127" s="115">
        <v>2858547</v>
      </c>
      <c r="K127" s="115">
        <v>2858547</v>
      </c>
      <c r="L127" s="60">
        <v>0</v>
      </c>
      <c r="M127" s="61" t="s">
        <v>99</v>
      </c>
      <c r="N127" s="60"/>
      <c r="O127" s="73">
        <v>1972</v>
      </c>
      <c r="P127" s="61">
        <v>2012</v>
      </c>
      <c r="Q127" s="69" t="s">
        <v>100</v>
      </c>
      <c r="R127" s="116">
        <v>13.05</v>
      </c>
      <c r="S127" s="117">
        <v>0</v>
      </c>
      <c r="T127" s="116">
        <v>13.05</v>
      </c>
      <c r="U127" s="61">
        <v>2010</v>
      </c>
      <c r="V127" s="61">
        <v>2012</v>
      </c>
      <c r="W127" s="118">
        <f t="shared" si="17"/>
        <v>2011</v>
      </c>
      <c r="X127" s="57" t="s">
        <v>796</v>
      </c>
      <c r="Y127" s="73">
        <f>10+20</f>
        <v>30</v>
      </c>
      <c r="Z127" s="73" t="s">
        <v>797</v>
      </c>
      <c r="AA127" s="73" t="s">
        <v>797</v>
      </c>
      <c r="AB127" s="73">
        <f>20+25</f>
        <v>45</v>
      </c>
      <c r="AC127" s="73" t="s">
        <v>797</v>
      </c>
      <c r="AD127" s="73" t="s">
        <v>797</v>
      </c>
      <c r="AE127" s="112">
        <f t="shared" si="27"/>
        <v>14.5</v>
      </c>
      <c r="AF127" s="113">
        <f t="shared" si="22"/>
        <v>27</v>
      </c>
      <c r="AG127" s="110">
        <f t="shared" si="18"/>
        <v>15</v>
      </c>
      <c r="AH127" s="113">
        <f t="shared" si="19"/>
        <v>13.5</v>
      </c>
      <c r="AI127" s="114">
        <f>LOOKUP(W127,'2018 Escalator'!$A$9:$A$41,'2018 Escalator'!$G$9:$G$41)</f>
        <v>1.1366200577120069</v>
      </c>
      <c r="AJ127" s="115">
        <f t="shared" si="20"/>
        <v>3249081.8561124844</v>
      </c>
      <c r="AK127" s="104">
        <f t="shared" si="21"/>
        <v>3249081.8561124844</v>
      </c>
    </row>
    <row r="128" spans="1:37" ht="12.75" customHeight="1" x14ac:dyDescent="0.2">
      <c r="A128" s="57">
        <v>504</v>
      </c>
      <c r="B128" s="58" t="s">
        <v>131</v>
      </c>
      <c r="C128" s="58" t="s">
        <v>798</v>
      </c>
      <c r="D128" s="61" t="s">
        <v>799</v>
      </c>
      <c r="E128" s="61" t="s">
        <v>108</v>
      </c>
      <c r="F128" s="58" t="s">
        <v>505</v>
      </c>
      <c r="G128" s="60">
        <v>1520000</v>
      </c>
      <c r="H128" s="60">
        <v>0</v>
      </c>
      <c r="I128" s="60">
        <v>137000</v>
      </c>
      <c r="J128" s="115">
        <v>1657000</v>
      </c>
      <c r="K128" s="115">
        <v>1657000</v>
      </c>
      <c r="L128" s="60">
        <v>0</v>
      </c>
      <c r="M128" s="61" t="s">
        <v>99</v>
      </c>
      <c r="N128" s="60"/>
      <c r="O128" s="73">
        <v>2007</v>
      </c>
      <c r="P128" s="61">
        <v>2008</v>
      </c>
      <c r="Q128" s="58" t="s">
        <v>100</v>
      </c>
      <c r="R128" s="116">
        <v>10.496</v>
      </c>
      <c r="S128" s="117">
        <f t="shared" ref="S128:S188" si="28">T128-R128</f>
        <v>0</v>
      </c>
      <c r="T128" s="116">
        <v>10.496</v>
      </c>
      <c r="U128" s="61">
        <v>2003</v>
      </c>
      <c r="V128" s="61">
        <v>2007</v>
      </c>
      <c r="W128" s="118">
        <f t="shared" si="17"/>
        <v>2006</v>
      </c>
      <c r="X128" s="57" t="s">
        <v>800</v>
      </c>
      <c r="Y128" s="61">
        <f>13.3</f>
        <v>13.3</v>
      </c>
      <c r="Z128" s="73" t="s">
        <v>525</v>
      </c>
      <c r="AA128" s="73" t="s">
        <v>525</v>
      </c>
      <c r="AB128" s="61">
        <f>13.3+25</f>
        <v>38.299999999999997</v>
      </c>
      <c r="AC128" s="73" t="s">
        <v>525</v>
      </c>
      <c r="AD128" s="73" t="s">
        <v>525</v>
      </c>
      <c r="AE128" s="112">
        <f t="shared" si="27"/>
        <v>11.662222222222223</v>
      </c>
      <c r="AF128" s="113">
        <f t="shared" si="22"/>
        <v>11.97</v>
      </c>
      <c r="AG128" s="110">
        <f t="shared" si="18"/>
        <v>24.999999999999996</v>
      </c>
      <c r="AH128" s="113">
        <f t="shared" si="19"/>
        <v>22.499999999999996</v>
      </c>
      <c r="AI128" s="114">
        <f>LOOKUP(W128,'2018 Escalator'!$A$9:$A$41,'2018 Escalator'!$G$9:$G$41)</f>
        <v>1.3230619810637019</v>
      </c>
      <c r="AJ128" s="115">
        <f t="shared" si="20"/>
        <v>2192313.7026225538</v>
      </c>
      <c r="AK128" s="104">
        <f t="shared" si="21"/>
        <v>2192313.7026225538</v>
      </c>
    </row>
    <row r="129" spans="1:37" ht="12.75" customHeight="1" x14ac:dyDescent="0.2">
      <c r="A129" s="57">
        <v>618</v>
      </c>
      <c r="B129" s="58" t="s">
        <v>131</v>
      </c>
      <c r="C129" s="58" t="s">
        <v>801</v>
      </c>
      <c r="D129" s="61" t="s">
        <v>802</v>
      </c>
      <c r="E129" s="61" t="s">
        <v>132</v>
      </c>
      <c r="F129" s="58" t="s">
        <v>505</v>
      </c>
      <c r="G129" s="60">
        <v>1462259</v>
      </c>
      <c r="H129" s="60">
        <v>0</v>
      </c>
      <c r="I129" s="60">
        <v>311252</v>
      </c>
      <c r="J129" s="115">
        <v>1773511</v>
      </c>
      <c r="K129" s="115">
        <v>218511</v>
      </c>
      <c r="L129" s="60">
        <v>1555000</v>
      </c>
      <c r="M129" s="61" t="s">
        <v>129</v>
      </c>
      <c r="N129" s="60"/>
      <c r="O129" s="73">
        <v>1995</v>
      </c>
      <c r="P129" s="61">
        <v>2009</v>
      </c>
      <c r="Q129" s="58" t="s">
        <v>100</v>
      </c>
      <c r="R129" s="116">
        <v>11</v>
      </c>
      <c r="S129" s="117">
        <f t="shared" si="28"/>
        <v>11.5</v>
      </c>
      <c r="T129" s="116">
        <v>22.5</v>
      </c>
      <c r="U129" s="61">
        <v>2006</v>
      </c>
      <c r="V129" s="61">
        <v>2007</v>
      </c>
      <c r="W129" s="118">
        <f t="shared" si="17"/>
        <v>2006</v>
      </c>
      <c r="X129" s="57" t="s">
        <v>803</v>
      </c>
      <c r="Y129" s="61">
        <v>25</v>
      </c>
      <c r="Z129" s="73" t="s">
        <v>509</v>
      </c>
      <c r="AA129" s="73" t="s">
        <v>509</v>
      </c>
      <c r="AB129" s="61">
        <v>41.6</v>
      </c>
      <c r="AC129" s="73" t="s">
        <v>509</v>
      </c>
      <c r="AD129" s="73" t="s">
        <v>509</v>
      </c>
      <c r="AE129" s="112">
        <f t="shared" si="27"/>
        <v>12.222222222222221</v>
      </c>
      <c r="AF129" s="113">
        <f t="shared" si="22"/>
        <v>22.5</v>
      </c>
      <c r="AG129" s="110">
        <f t="shared" si="18"/>
        <v>16.600000000000001</v>
      </c>
      <c r="AH129" s="113">
        <f t="shared" si="19"/>
        <v>14.940000000000001</v>
      </c>
      <c r="AI129" s="114">
        <f>LOOKUP(W129,'2018 Escalator'!$A$9:$A$41,'2018 Escalator'!$G$9:$G$41)</f>
        <v>1.3230619810637019</v>
      </c>
      <c r="AJ129" s="115">
        <f t="shared" si="20"/>
        <v>2346464.9770982671</v>
      </c>
      <c r="AK129" s="104">
        <f t="shared" si="21"/>
        <v>2346464.9770982671</v>
      </c>
    </row>
    <row r="130" spans="1:37" x14ac:dyDescent="0.2">
      <c r="A130" s="57">
        <v>712</v>
      </c>
      <c r="B130" s="58" t="s">
        <v>131</v>
      </c>
      <c r="C130" s="58" t="s">
        <v>804</v>
      </c>
      <c r="D130" s="61" t="s">
        <v>805</v>
      </c>
      <c r="E130" s="61" t="s">
        <v>108</v>
      </c>
      <c r="F130" s="58" t="s">
        <v>505</v>
      </c>
      <c r="G130" s="60">
        <v>5460396</v>
      </c>
      <c r="H130" s="60">
        <v>0</v>
      </c>
      <c r="I130" s="60">
        <f>121663+731036+0+628903</f>
        <v>1481602</v>
      </c>
      <c r="J130" s="115">
        <f>SUM(G130:I130)</f>
        <v>6941998</v>
      </c>
      <c r="K130" s="115">
        <f>J130-L130</f>
        <v>6685998</v>
      </c>
      <c r="L130" s="60">
        <v>256000</v>
      </c>
      <c r="M130" s="61" t="s">
        <v>129</v>
      </c>
      <c r="N130" s="60"/>
      <c r="O130" s="73">
        <v>1980</v>
      </c>
      <c r="P130" s="61">
        <v>2010</v>
      </c>
      <c r="Q130" s="69" t="s">
        <v>100</v>
      </c>
      <c r="R130" s="116">
        <v>7.5</v>
      </c>
      <c r="S130" s="117">
        <f t="shared" si="28"/>
        <v>1</v>
      </c>
      <c r="T130" s="116">
        <v>8.5</v>
      </c>
      <c r="U130" s="61">
        <v>2010</v>
      </c>
      <c r="V130" s="61">
        <v>2012</v>
      </c>
      <c r="W130" s="118">
        <f t="shared" si="17"/>
        <v>2011</v>
      </c>
      <c r="X130" s="57" t="s">
        <v>806</v>
      </c>
      <c r="Y130" s="61">
        <v>16.600000000000001</v>
      </c>
      <c r="Z130" s="73" t="s">
        <v>520</v>
      </c>
      <c r="AA130" s="73" t="s">
        <v>520</v>
      </c>
      <c r="AB130" s="61">
        <f>16.6+16.6</f>
        <v>33.200000000000003</v>
      </c>
      <c r="AC130" s="73" t="s">
        <v>520</v>
      </c>
      <c r="AD130" s="73" t="s">
        <v>520</v>
      </c>
      <c r="AE130" s="112">
        <f t="shared" si="27"/>
        <v>8.3333333333333339</v>
      </c>
      <c r="AF130" s="113">
        <f t="shared" si="22"/>
        <v>14.940000000000001</v>
      </c>
      <c r="AG130" s="110">
        <f t="shared" si="18"/>
        <v>16.600000000000001</v>
      </c>
      <c r="AH130" s="113">
        <f t="shared" si="19"/>
        <v>14.940000000000001</v>
      </c>
      <c r="AI130" s="114">
        <f>LOOKUP(W130,'2018 Escalator'!$A$9:$A$41,'2018 Escalator'!$G$9:$G$41)</f>
        <v>1.1366200577120069</v>
      </c>
      <c r="AJ130" s="115">
        <f t="shared" si="20"/>
        <v>7890414.1673966367</v>
      </c>
      <c r="AK130" s="104">
        <f t="shared" si="21"/>
        <v>7890414.1673966367</v>
      </c>
    </row>
    <row r="131" spans="1:37" x14ac:dyDescent="0.2">
      <c r="A131" s="57">
        <v>726</v>
      </c>
      <c r="B131" s="58" t="s">
        <v>131</v>
      </c>
      <c r="C131" s="58" t="s">
        <v>807</v>
      </c>
      <c r="D131" s="61" t="s">
        <v>808</v>
      </c>
      <c r="E131" s="61" t="s">
        <v>108</v>
      </c>
      <c r="F131" s="58" t="s">
        <v>505</v>
      </c>
      <c r="G131" s="60">
        <v>736991</v>
      </c>
      <c r="H131" s="60">
        <v>0</v>
      </c>
      <c r="I131" s="60">
        <v>123068</v>
      </c>
      <c r="J131" s="115">
        <v>860059</v>
      </c>
      <c r="K131" s="115">
        <v>227036</v>
      </c>
      <c r="L131" s="60">
        <v>633023</v>
      </c>
      <c r="M131" s="61" t="s">
        <v>99</v>
      </c>
      <c r="N131" s="60"/>
      <c r="O131" s="73">
        <v>1982</v>
      </c>
      <c r="P131" s="61">
        <v>2010</v>
      </c>
      <c r="Q131" s="58" t="s">
        <v>100</v>
      </c>
      <c r="R131" s="116">
        <v>25.635400000000001</v>
      </c>
      <c r="S131" s="117">
        <f t="shared" si="28"/>
        <v>5.3645999999999994</v>
      </c>
      <c r="T131" s="116">
        <v>31</v>
      </c>
      <c r="U131" s="61">
        <v>2007</v>
      </c>
      <c r="V131" s="61">
        <v>2009</v>
      </c>
      <c r="W131" s="118">
        <f t="shared" si="17"/>
        <v>2008</v>
      </c>
      <c r="X131" s="57" t="s">
        <v>528</v>
      </c>
      <c r="Y131" s="73">
        <f>33+50*2</f>
        <v>133</v>
      </c>
      <c r="Z131" s="73" t="s">
        <v>525</v>
      </c>
      <c r="AA131" s="73" t="s">
        <v>525</v>
      </c>
      <c r="AB131" s="73">
        <v>133</v>
      </c>
      <c r="AC131" s="73" t="s">
        <v>525</v>
      </c>
      <c r="AD131" s="73" t="s">
        <v>525</v>
      </c>
      <c r="AE131" s="112">
        <f t="shared" si="27"/>
        <v>28.483777777777778</v>
      </c>
      <c r="AF131" s="113">
        <f t="shared" si="22"/>
        <v>119.7</v>
      </c>
      <c r="AG131" s="110">
        <f t="shared" si="18"/>
        <v>0</v>
      </c>
      <c r="AH131" s="113">
        <f t="shared" si="19"/>
        <v>0</v>
      </c>
      <c r="AI131" s="114">
        <f>LOOKUP(W131,'2018 Escalator'!$A$9:$A$41,'2018 Escalator'!$G$9:$G$41)</f>
        <v>1.199491188497166</v>
      </c>
      <c r="AJ131" s="115">
        <f t="shared" si="20"/>
        <v>1031633.1920876841</v>
      </c>
      <c r="AK131" s="104">
        <f t="shared" si="21"/>
        <v>1031633.1920876841</v>
      </c>
    </row>
    <row r="132" spans="1:37" x14ac:dyDescent="0.2">
      <c r="A132" s="57">
        <v>530</v>
      </c>
      <c r="B132" s="58" t="s">
        <v>131</v>
      </c>
      <c r="C132" s="58" t="s">
        <v>809</v>
      </c>
      <c r="D132" s="61" t="s">
        <v>810</v>
      </c>
      <c r="E132" s="61" t="s">
        <v>132</v>
      </c>
      <c r="F132" s="58" t="s">
        <v>505</v>
      </c>
      <c r="G132" s="60">
        <v>3177204</v>
      </c>
      <c r="H132" s="60">
        <v>0</v>
      </c>
      <c r="I132" s="60">
        <v>225706</v>
      </c>
      <c r="J132" s="115">
        <v>3402910</v>
      </c>
      <c r="K132" s="115">
        <v>1186259</v>
      </c>
      <c r="L132" s="60">
        <v>2625000</v>
      </c>
      <c r="M132" s="61" t="s">
        <v>129</v>
      </c>
      <c r="N132" s="60"/>
      <c r="O132" s="73">
        <v>1982</v>
      </c>
      <c r="P132" s="61">
        <v>2008</v>
      </c>
      <c r="Q132" s="58" t="s">
        <v>100</v>
      </c>
      <c r="R132" s="116">
        <v>25</v>
      </c>
      <c r="S132" s="117">
        <f t="shared" si="28"/>
        <v>20</v>
      </c>
      <c r="T132" s="116">
        <v>45</v>
      </c>
      <c r="U132" s="61">
        <v>2006</v>
      </c>
      <c r="V132" s="61">
        <v>2007</v>
      </c>
      <c r="W132" s="118">
        <f t="shared" si="17"/>
        <v>2006</v>
      </c>
      <c r="X132" s="67" t="s">
        <v>811</v>
      </c>
      <c r="Y132" s="61">
        <v>41.6</v>
      </c>
      <c r="Z132" s="73" t="s">
        <v>812</v>
      </c>
      <c r="AA132" s="73" t="s">
        <v>812</v>
      </c>
      <c r="AB132" s="61">
        <v>83.2</v>
      </c>
      <c r="AC132" s="73" t="s">
        <v>812</v>
      </c>
      <c r="AD132" s="73" t="s">
        <v>812</v>
      </c>
      <c r="AE132" s="112">
        <f t="shared" si="27"/>
        <v>27.777777777777779</v>
      </c>
      <c r="AF132" s="113">
        <f t="shared" si="22"/>
        <v>37.440000000000005</v>
      </c>
      <c r="AG132" s="110">
        <f t="shared" si="18"/>
        <v>41.6</v>
      </c>
      <c r="AH132" s="113">
        <f t="shared" si="19"/>
        <v>37.440000000000005</v>
      </c>
      <c r="AI132" s="114">
        <f>LOOKUP(W132,'2018 Escalator'!$A$9:$A$41,'2018 Escalator'!$G$9:$G$41)</f>
        <v>1.3230619810637019</v>
      </c>
      <c r="AJ132" s="115">
        <f t="shared" si="20"/>
        <v>4502260.8459814815</v>
      </c>
      <c r="AK132" s="104">
        <f t="shared" si="21"/>
        <v>4502260.8459814815</v>
      </c>
    </row>
    <row r="133" spans="1:37" x14ac:dyDescent="0.2">
      <c r="A133" s="57">
        <v>755</v>
      </c>
      <c r="B133" s="58" t="s">
        <v>131</v>
      </c>
      <c r="C133" s="58" t="s">
        <v>813</v>
      </c>
      <c r="D133" s="61" t="s">
        <v>814</v>
      </c>
      <c r="E133" s="61" t="s">
        <v>108</v>
      </c>
      <c r="F133" s="58" t="s">
        <v>505</v>
      </c>
      <c r="G133" s="60">
        <v>512564</v>
      </c>
      <c r="H133" s="60">
        <v>0</v>
      </c>
      <c r="I133" s="60">
        <v>109776</v>
      </c>
      <c r="J133" s="115">
        <v>622340</v>
      </c>
      <c r="K133" s="115">
        <v>22026</v>
      </c>
      <c r="L133" s="60">
        <v>620400</v>
      </c>
      <c r="M133" s="61" t="s">
        <v>129</v>
      </c>
      <c r="N133" s="60"/>
      <c r="O133" s="73">
        <v>1983</v>
      </c>
      <c r="P133" s="61">
        <v>2010</v>
      </c>
      <c r="Q133" s="58" t="s">
        <v>100</v>
      </c>
      <c r="R133" s="116">
        <v>8.6980000000000004</v>
      </c>
      <c r="S133" s="117">
        <f t="shared" si="28"/>
        <v>3.3019999999999996</v>
      </c>
      <c r="T133" s="116">
        <v>12</v>
      </c>
      <c r="U133" s="61">
        <v>2007</v>
      </c>
      <c r="V133" s="61">
        <v>2009</v>
      </c>
      <c r="W133" s="118">
        <f t="shared" si="17"/>
        <v>2008</v>
      </c>
      <c r="X133" s="57" t="s">
        <v>815</v>
      </c>
      <c r="Y133" s="73">
        <f>13*2</f>
        <v>26</v>
      </c>
      <c r="Z133" s="73" t="s">
        <v>520</v>
      </c>
      <c r="AA133" s="73" t="s">
        <v>520</v>
      </c>
      <c r="AB133" s="73">
        <v>26</v>
      </c>
      <c r="AC133" s="73" t="s">
        <v>520</v>
      </c>
      <c r="AD133" s="73" t="s">
        <v>520</v>
      </c>
      <c r="AE133" s="112">
        <f t="shared" si="27"/>
        <v>9.6644444444444453</v>
      </c>
      <c r="AF133" s="113">
        <f t="shared" si="22"/>
        <v>23.400000000000002</v>
      </c>
      <c r="AG133" s="110">
        <f t="shared" si="18"/>
        <v>0</v>
      </c>
      <c r="AH133" s="113">
        <f t="shared" si="19"/>
        <v>0</v>
      </c>
      <c r="AI133" s="114">
        <f>LOOKUP(W133,'2018 Escalator'!$A$9:$A$41,'2018 Escalator'!$G$9:$G$41)</f>
        <v>1.199491188497166</v>
      </c>
      <c r="AJ133" s="115">
        <f t="shared" si="20"/>
        <v>746491.34624932625</v>
      </c>
      <c r="AK133" s="104">
        <f t="shared" si="21"/>
        <v>746491.34624932625</v>
      </c>
    </row>
    <row r="134" spans="1:37" x14ac:dyDescent="0.2">
      <c r="A134" s="57">
        <v>1081</v>
      </c>
      <c r="B134" s="58" t="s">
        <v>131</v>
      </c>
      <c r="C134" s="58" t="s">
        <v>816</v>
      </c>
      <c r="D134" s="61" t="s">
        <v>814</v>
      </c>
      <c r="E134" s="61" t="s">
        <v>108</v>
      </c>
      <c r="F134" s="58" t="s">
        <v>505</v>
      </c>
      <c r="G134" s="60">
        <v>482776</v>
      </c>
      <c r="H134" s="60">
        <v>0</v>
      </c>
      <c r="I134" s="60">
        <v>158397</v>
      </c>
      <c r="J134" s="115">
        <v>641173</v>
      </c>
      <c r="K134" s="115">
        <v>0</v>
      </c>
      <c r="L134" s="60">
        <v>641173</v>
      </c>
      <c r="M134" s="61" t="s">
        <v>99</v>
      </c>
      <c r="N134" s="60"/>
      <c r="O134" s="73">
        <v>1983</v>
      </c>
      <c r="P134" s="61">
        <v>2012</v>
      </c>
      <c r="Q134" s="69" t="s">
        <v>100</v>
      </c>
      <c r="R134" s="116">
        <v>12</v>
      </c>
      <c r="S134" s="117">
        <f t="shared" si="28"/>
        <v>4</v>
      </c>
      <c r="T134" s="116">
        <v>16</v>
      </c>
      <c r="U134" s="61">
        <v>2011</v>
      </c>
      <c r="V134" s="61">
        <v>2011</v>
      </c>
      <c r="W134" s="118">
        <f t="shared" si="17"/>
        <v>2010</v>
      </c>
      <c r="X134" s="57" t="s">
        <v>515</v>
      </c>
      <c r="Y134" s="73">
        <f>13*2</f>
        <v>26</v>
      </c>
      <c r="Z134" s="73" t="s">
        <v>520</v>
      </c>
      <c r="AA134" s="73" t="s">
        <v>520</v>
      </c>
      <c r="AB134" s="73">
        <v>26</v>
      </c>
      <c r="AC134" s="73" t="s">
        <v>520</v>
      </c>
      <c r="AD134" s="73" t="s">
        <v>520</v>
      </c>
      <c r="AE134" s="112">
        <f>AE133+AG133</f>
        <v>9.6644444444444453</v>
      </c>
      <c r="AF134" s="113">
        <f t="shared" si="22"/>
        <v>23.400000000000002</v>
      </c>
      <c r="AG134" s="110">
        <f t="shared" si="18"/>
        <v>0</v>
      </c>
      <c r="AH134" s="113">
        <f t="shared" si="19"/>
        <v>0</v>
      </c>
      <c r="AI134" s="114">
        <f>LOOKUP(W134,'2018 Escalator'!$A$9:$A$41,'2018 Escalator'!$G$9:$G$41)</f>
        <v>1.1637398045803473</v>
      </c>
      <c r="AJ134" s="115">
        <f t="shared" si="20"/>
        <v>746158.54172219499</v>
      </c>
      <c r="AK134" s="104">
        <f t="shared" si="21"/>
        <v>746158.54172219499</v>
      </c>
    </row>
    <row r="135" spans="1:37" x14ac:dyDescent="0.2">
      <c r="A135" s="57">
        <v>307</v>
      </c>
      <c r="B135" s="58" t="s">
        <v>131</v>
      </c>
      <c r="C135" s="58" t="s">
        <v>817</v>
      </c>
      <c r="D135" s="61" t="s">
        <v>818</v>
      </c>
      <c r="E135" s="61" t="s">
        <v>108</v>
      </c>
      <c r="F135" s="58" t="s">
        <v>505</v>
      </c>
      <c r="G135" s="60"/>
      <c r="H135" s="60"/>
      <c r="I135" s="60"/>
      <c r="J135" s="115">
        <v>1660000</v>
      </c>
      <c r="K135" s="115">
        <f t="shared" ref="K135:K140" si="29">J135-L135</f>
        <v>0</v>
      </c>
      <c r="L135" s="60">
        <v>1660000</v>
      </c>
      <c r="M135" s="73" t="s">
        <v>99</v>
      </c>
      <c r="N135" s="60"/>
      <c r="O135" s="73">
        <v>1985</v>
      </c>
      <c r="P135" s="61"/>
      <c r="R135" s="116">
        <v>9.07</v>
      </c>
      <c r="S135" s="117">
        <f t="shared" si="28"/>
        <v>1.0019999999999989</v>
      </c>
      <c r="T135" s="116">
        <v>10.071999999999999</v>
      </c>
      <c r="U135" s="61">
        <v>2001</v>
      </c>
      <c r="V135" s="61">
        <v>2004</v>
      </c>
      <c r="W135" s="118">
        <f t="shared" si="17"/>
        <v>2003</v>
      </c>
      <c r="X135" s="67" t="s">
        <v>819</v>
      </c>
      <c r="Y135" s="61">
        <v>13.3</v>
      </c>
      <c r="Z135" s="73" t="s">
        <v>520</v>
      </c>
      <c r="AA135" s="73" t="s">
        <v>520</v>
      </c>
      <c r="AB135" s="61">
        <v>15.5</v>
      </c>
      <c r="AC135" s="73" t="s">
        <v>520</v>
      </c>
      <c r="AD135" s="73" t="s">
        <v>520</v>
      </c>
      <c r="AE135" s="112">
        <f t="shared" ref="AE135:AE146" si="30">R135/0.9</f>
        <v>10.077777777777778</v>
      </c>
      <c r="AF135" s="113">
        <f t="shared" si="22"/>
        <v>11.97</v>
      </c>
      <c r="AG135" s="110">
        <f t="shared" si="18"/>
        <v>2.1999999999999993</v>
      </c>
      <c r="AH135" s="113">
        <f t="shared" si="19"/>
        <v>1.9799999999999993</v>
      </c>
      <c r="AI135" s="114">
        <f>LOOKUP(W135,'2018 Escalator'!$A$9:$A$41,'2018 Escalator'!$G$9:$G$41)</f>
        <v>1.5199278197444033</v>
      </c>
      <c r="AJ135" s="115">
        <f t="shared" si="20"/>
        <v>2523080.1807757095</v>
      </c>
      <c r="AK135" s="104">
        <f t="shared" si="21"/>
        <v>2523080.1807757095</v>
      </c>
    </row>
    <row r="136" spans="1:37" x14ac:dyDescent="0.2">
      <c r="A136" s="57">
        <v>1466</v>
      </c>
      <c r="B136" s="58" t="s">
        <v>131</v>
      </c>
      <c r="C136" s="58" t="s">
        <v>820</v>
      </c>
      <c r="D136" s="73" t="s">
        <v>818</v>
      </c>
      <c r="E136" s="61" t="s">
        <v>108</v>
      </c>
      <c r="F136" s="58" t="s">
        <v>505</v>
      </c>
      <c r="G136" s="60">
        <f>3064182-750000</f>
        <v>2314182</v>
      </c>
      <c r="H136" s="60">
        <v>0</v>
      </c>
      <c r="I136" s="60">
        <f>349155+1172270+41066+637459</f>
        <v>2199950</v>
      </c>
      <c r="J136" s="115">
        <f>SUM(G136:I136)</f>
        <v>4514132</v>
      </c>
      <c r="K136" s="115">
        <f t="shared" si="29"/>
        <v>3227924</v>
      </c>
      <c r="L136" s="60">
        <v>1286208</v>
      </c>
      <c r="M136" s="61" t="s">
        <v>99</v>
      </c>
      <c r="N136" s="60"/>
      <c r="O136" s="73">
        <v>1985</v>
      </c>
      <c r="P136" s="61">
        <v>2016</v>
      </c>
      <c r="Q136" s="58" t="s">
        <v>100</v>
      </c>
      <c r="R136" s="116">
        <v>10.07</v>
      </c>
      <c r="S136" s="117">
        <f t="shared" si="28"/>
        <v>4.93</v>
      </c>
      <c r="T136" s="116">
        <v>15</v>
      </c>
      <c r="U136" s="61">
        <v>2013</v>
      </c>
      <c r="V136" s="61">
        <v>2016</v>
      </c>
      <c r="W136" s="118">
        <f t="shared" ref="W136:W188" si="31">V136-1</f>
        <v>2015</v>
      </c>
      <c r="X136" s="120" t="s">
        <v>821</v>
      </c>
      <c r="Y136" s="61">
        <v>15.5</v>
      </c>
      <c r="Z136" s="121"/>
      <c r="AA136" s="121"/>
      <c r="AB136" s="73">
        <v>25</v>
      </c>
      <c r="AC136" s="121"/>
      <c r="AD136" s="121"/>
      <c r="AE136" s="112">
        <f t="shared" si="30"/>
        <v>11.188888888888888</v>
      </c>
      <c r="AF136" s="113">
        <f t="shared" si="22"/>
        <v>13.950000000000001</v>
      </c>
      <c r="AG136" s="110">
        <f t="shared" ref="AG136:AG188" si="32">AB136-Y136</f>
        <v>9.5</v>
      </c>
      <c r="AH136" s="113">
        <f t="shared" ref="AH136:AH188" si="33">AG136*0.9</f>
        <v>8.5500000000000007</v>
      </c>
      <c r="AI136" s="114">
        <f>LOOKUP(W136,'2018 Escalator'!$A$9:$A$41,'2018 Escalator'!$G$9:$G$41)</f>
        <v>1.0267399975608473</v>
      </c>
      <c r="AJ136" s="115">
        <f t="shared" ref="AJ136:AJ188" si="34">J136*AI136</f>
        <v>4634839.878669343</v>
      </c>
      <c r="AK136" s="104">
        <f t="shared" ref="AK136:AK188" si="35">(J136+N136)*AI136</f>
        <v>4634839.878669343</v>
      </c>
    </row>
    <row r="137" spans="1:37" x14ac:dyDescent="0.2">
      <c r="A137" s="57">
        <v>1091</v>
      </c>
      <c r="B137" s="58" t="s">
        <v>92</v>
      </c>
      <c r="C137" s="58" t="s">
        <v>822</v>
      </c>
      <c r="D137" s="61" t="s">
        <v>823</v>
      </c>
      <c r="E137" s="61" t="s">
        <v>108</v>
      </c>
      <c r="F137" s="58" t="s">
        <v>505</v>
      </c>
      <c r="G137" s="60">
        <f>4362354+44007</f>
        <v>4406361</v>
      </c>
      <c r="H137" s="60">
        <v>0</v>
      </c>
      <c r="I137" s="60">
        <f>250731+1884187+0+201377</f>
        <v>2336295</v>
      </c>
      <c r="J137" s="115">
        <f>SUM(G137:I137)</f>
        <v>6742656</v>
      </c>
      <c r="K137" s="115">
        <f t="shared" si="29"/>
        <v>3279692</v>
      </c>
      <c r="L137" s="60">
        <v>3462964</v>
      </c>
      <c r="M137" s="61" t="s">
        <v>99</v>
      </c>
      <c r="N137" s="60"/>
      <c r="O137" s="73">
        <v>1982</v>
      </c>
      <c r="P137" s="61">
        <v>2016</v>
      </c>
      <c r="Q137" s="69" t="s">
        <v>100</v>
      </c>
      <c r="R137" s="116">
        <v>16.059999999999999</v>
      </c>
      <c r="S137" s="117">
        <f t="shared" si="28"/>
        <v>24.34</v>
      </c>
      <c r="T137" s="116">
        <v>40.4</v>
      </c>
      <c r="U137" s="61">
        <v>2011</v>
      </c>
      <c r="V137" s="61">
        <v>2012</v>
      </c>
      <c r="W137" s="118">
        <f t="shared" si="31"/>
        <v>2011</v>
      </c>
      <c r="X137" s="57" t="s">
        <v>824</v>
      </c>
      <c r="Y137" s="61">
        <v>25</v>
      </c>
      <c r="Z137" s="73" t="s">
        <v>525</v>
      </c>
      <c r="AA137" s="73" t="s">
        <v>525</v>
      </c>
      <c r="AB137" s="61">
        <f>25+42</f>
        <v>67</v>
      </c>
      <c r="AC137" s="73" t="s">
        <v>525</v>
      </c>
      <c r="AD137" s="73" t="s">
        <v>525</v>
      </c>
      <c r="AE137" s="112">
        <f t="shared" si="30"/>
        <v>17.844444444444441</v>
      </c>
      <c r="AF137" s="113">
        <f t="shared" si="22"/>
        <v>22.5</v>
      </c>
      <c r="AG137" s="110">
        <f t="shared" si="32"/>
        <v>42</v>
      </c>
      <c r="AH137" s="113">
        <f t="shared" si="33"/>
        <v>37.800000000000004</v>
      </c>
      <c r="AI137" s="114">
        <f>LOOKUP(W137,'2018 Escalator'!$A$9:$A$41,'2018 Escalator'!$G$9:$G$41)</f>
        <v>1.1366200577120069</v>
      </c>
      <c r="AJ137" s="115">
        <f t="shared" si="34"/>
        <v>7663838.0518522095</v>
      </c>
      <c r="AK137" s="104">
        <f t="shared" si="35"/>
        <v>7663838.0518522095</v>
      </c>
    </row>
    <row r="138" spans="1:37" x14ac:dyDescent="0.2">
      <c r="A138" s="57">
        <v>666</v>
      </c>
      <c r="B138" s="58" t="s">
        <v>131</v>
      </c>
      <c r="C138" s="58" t="s">
        <v>825</v>
      </c>
      <c r="D138" s="61" t="s">
        <v>244</v>
      </c>
      <c r="E138" s="61" t="s">
        <v>108</v>
      </c>
      <c r="F138" s="58" t="s">
        <v>505</v>
      </c>
      <c r="G138" s="60">
        <f>2710205</f>
        <v>2710205</v>
      </c>
      <c r="H138" s="60">
        <v>0</v>
      </c>
      <c r="I138" s="60">
        <v>365079</v>
      </c>
      <c r="J138" s="115">
        <f>SUM(G138:I138)+358127*0</f>
        <v>3075284</v>
      </c>
      <c r="K138" s="115">
        <f t="shared" si="29"/>
        <v>1610284</v>
      </c>
      <c r="L138" s="60">
        <v>1465000</v>
      </c>
      <c r="M138" s="61" t="s">
        <v>129</v>
      </c>
      <c r="N138" s="60">
        <v>90895</v>
      </c>
      <c r="O138" s="73">
        <v>1987</v>
      </c>
      <c r="P138" s="61">
        <v>2009</v>
      </c>
      <c r="Q138" s="58" t="s">
        <v>100</v>
      </c>
      <c r="R138" s="116">
        <v>25.92</v>
      </c>
      <c r="S138" s="117">
        <f t="shared" si="28"/>
        <v>14.079999999999998</v>
      </c>
      <c r="T138" s="116">
        <f>R138+14.08</f>
        <v>40</v>
      </c>
      <c r="U138" s="61">
        <v>2006</v>
      </c>
      <c r="V138" s="61">
        <v>2009</v>
      </c>
      <c r="W138" s="118">
        <f t="shared" si="31"/>
        <v>2008</v>
      </c>
      <c r="X138" s="57" t="s">
        <v>826</v>
      </c>
      <c r="Y138" s="61">
        <v>41.6</v>
      </c>
      <c r="Z138" s="73" t="s">
        <v>750</v>
      </c>
      <c r="AA138" s="73" t="s">
        <v>750</v>
      </c>
      <c r="AB138" s="61">
        <f>41.6+42</f>
        <v>83.6</v>
      </c>
      <c r="AC138" s="73" t="s">
        <v>750</v>
      </c>
      <c r="AD138" s="73" t="s">
        <v>750</v>
      </c>
      <c r="AE138" s="112">
        <f t="shared" si="30"/>
        <v>28.8</v>
      </c>
      <c r="AF138" s="113">
        <f t="shared" ref="AF138:AF188" si="36">Y138*0.9</f>
        <v>37.440000000000005</v>
      </c>
      <c r="AG138" s="110">
        <f t="shared" si="32"/>
        <v>41.999999999999993</v>
      </c>
      <c r="AH138" s="113">
        <f t="shared" si="33"/>
        <v>37.799999999999997</v>
      </c>
      <c r="AI138" s="114">
        <f>LOOKUP(W138,'2018 Escalator'!$A$9:$A$41,'2018 Escalator'!$G$9:$G$41)</f>
        <v>1.199491188497166</v>
      </c>
      <c r="AJ138" s="115">
        <f t="shared" si="34"/>
        <v>3688776.0601263186</v>
      </c>
      <c r="AK138" s="104">
        <f t="shared" si="35"/>
        <v>3797803.8117047683</v>
      </c>
    </row>
    <row r="139" spans="1:37" x14ac:dyDescent="0.2">
      <c r="A139" s="57">
        <v>556</v>
      </c>
      <c r="B139" s="58" t="s">
        <v>131</v>
      </c>
      <c r="C139" s="58" t="s">
        <v>827</v>
      </c>
      <c r="D139" s="61" t="s">
        <v>828</v>
      </c>
      <c r="E139" s="61" t="s">
        <v>108</v>
      </c>
      <c r="F139" s="58" t="s">
        <v>505</v>
      </c>
      <c r="G139" s="60">
        <f>2115352+22262-66450</f>
        <v>2071164</v>
      </c>
      <c r="H139" s="60">
        <v>0</v>
      </c>
      <c r="I139" s="60">
        <f>27818+19365+274820</f>
        <v>322003</v>
      </c>
      <c r="J139" s="115">
        <f>SUM(G139:I139)+198988</f>
        <v>2592155</v>
      </c>
      <c r="K139" s="115">
        <f t="shared" si="29"/>
        <v>1682155</v>
      </c>
      <c r="L139" s="60">
        <v>910000</v>
      </c>
      <c r="M139" s="61" t="s">
        <v>129</v>
      </c>
      <c r="N139" s="60">
        <v>734936</v>
      </c>
      <c r="O139" s="73">
        <v>1985</v>
      </c>
      <c r="P139" s="61">
        <v>2008</v>
      </c>
      <c r="Q139" s="58" t="s">
        <v>100</v>
      </c>
      <c r="R139" s="116">
        <v>8.6560000000000006</v>
      </c>
      <c r="S139" s="117">
        <f t="shared" si="28"/>
        <v>4.3439999999999994</v>
      </c>
      <c r="T139" s="116">
        <v>13</v>
      </c>
      <c r="U139" s="61">
        <v>2006</v>
      </c>
      <c r="V139" s="61">
        <v>2008</v>
      </c>
      <c r="W139" s="118">
        <f t="shared" si="31"/>
        <v>2007</v>
      </c>
      <c r="X139" s="57" t="s">
        <v>829</v>
      </c>
      <c r="Y139" s="73">
        <v>13.3</v>
      </c>
      <c r="Z139" s="73" t="s">
        <v>509</v>
      </c>
      <c r="AA139" s="73" t="s">
        <v>509</v>
      </c>
      <c r="AB139" s="73">
        <f>13.3+25</f>
        <v>38.299999999999997</v>
      </c>
      <c r="AC139" s="73" t="s">
        <v>509</v>
      </c>
      <c r="AD139" s="73" t="s">
        <v>509</v>
      </c>
      <c r="AE139" s="112">
        <f t="shared" si="30"/>
        <v>9.6177777777777784</v>
      </c>
      <c r="AF139" s="113">
        <f t="shared" si="36"/>
        <v>11.97</v>
      </c>
      <c r="AG139" s="110">
        <f t="shared" si="32"/>
        <v>24.999999999999996</v>
      </c>
      <c r="AH139" s="113">
        <f t="shared" si="33"/>
        <v>22.499999999999996</v>
      </c>
      <c r="AI139" s="114">
        <f>LOOKUP(W139,'2018 Escalator'!$A$9:$A$41,'2018 Escalator'!$G$9:$G$41)</f>
        <v>1.2531539462632446</v>
      </c>
      <c r="AJ139" s="115">
        <f t="shared" si="34"/>
        <v>3248369.2675760007</v>
      </c>
      <c r="AK139" s="104">
        <f t="shared" si="35"/>
        <v>4169357.2162269247</v>
      </c>
    </row>
    <row r="140" spans="1:37" x14ac:dyDescent="0.2">
      <c r="A140" s="57">
        <v>452</v>
      </c>
      <c r="B140" s="58" t="s">
        <v>131</v>
      </c>
      <c r="C140" s="58" t="s">
        <v>830</v>
      </c>
      <c r="D140" s="61" t="s">
        <v>831</v>
      </c>
      <c r="E140" s="61" t="s">
        <v>108</v>
      </c>
      <c r="F140" s="58" t="s">
        <v>505</v>
      </c>
      <c r="G140" s="60">
        <v>2324000</v>
      </c>
      <c r="H140" s="60">
        <v>0</v>
      </c>
      <c r="I140" s="60">
        <f>18000+15000+95000</f>
        <v>128000</v>
      </c>
      <c r="J140" s="115">
        <f>SUM(G140:I140)</f>
        <v>2452000</v>
      </c>
      <c r="K140" s="115">
        <f t="shared" si="29"/>
        <v>1032482</v>
      </c>
      <c r="L140" s="60">
        <v>1419518</v>
      </c>
      <c r="M140" s="61" t="s">
        <v>99</v>
      </c>
      <c r="N140" s="60"/>
      <c r="O140" s="73">
        <v>1986</v>
      </c>
      <c r="P140" s="61">
        <v>2005</v>
      </c>
      <c r="Q140" s="58" t="s">
        <v>100</v>
      </c>
      <c r="R140" s="116">
        <v>10.781000000000001</v>
      </c>
      <c r="S140" s="117">
        <f t="shared" si="28"/>
        <v>3.6189999999999998</v>
      </c>
      <c r="T140" s="116">
        <v>14.4</v>
      </c>
      <c r="U140" s="61">
        <v>2003</v>
      </c>
      <c r="V140" s="61">
        <v>2006</v>
      </c>
      <c r="W140" s="118">
        <f t="shared" si="31"/>
        <v>2005</v>
      </c>
      <c r="X140" s="57" t="s">
        <v>515</v>
      </c>
      <c r="Y140" s="73">
        <v>16</v>
      </c>
      <c r="Z140" s="73" t="s">
        <v>522</v>
      </c>
      <c r="AA140" s="73" t="s">
        <v>522</v>
      </c>
      <c r="AB140" s="73">
        <v>16</v>
      </c>
      <c r="AC140" s="73" t="s">
        <v>522</v>
      </c>
      <c r="AD140" s="73" t="s">
        <v>522</v>
      </c>
      <c r="AE140" s="112">
        <f t="shared" si="30"/>
        <v>11.978888888888889</v>
      </c>
      <c r="AF140" s="113">
        <f t="shared" si="36"/>
        <v>14.4</v>
      </c>
      <c r="AG140" s="110">
        <f t="shared" si="32"/>
        <v>0</v>
      </c>
      <c r="AH140" s="113">
        <f t="shared" si="33"/>
        <v>0</v>
      </c>
      <c r="AI140" s="114">
        <f>LOOKUP(W140,'2018 Escalator'!$A$9:$A$41,'2018 Escalator'!$G$9:$G$41)</f>
        <v>1.4044483059526309</v>
      </c>
      <c r="AJ140" s="115">
        <f t="shared" si="34"/>
        <v>3443707.2461958509</v>
      </c>
      <c r="AK140" s="104">
        <f t="shared" si="35"/>
        <v>3443707.2461958509</v>
      </c>
    </row>
    <row r="141" spans="1:37" x14ac:dyDescent="0.2">
      <c r="A141" s="57">
        <v>613</v>
      </c>
      <c r="B141" s="58" t="s">
        <v>131</v>
      </c>
      <c r="C141" s="58" t="s">
        <v>832</v>
      </c>
      <c r="D141" s="61" t="s">
        <v>249</v>
      </c>
      <c r="E141" s="61" t="s">
        <v>132</v>
      </c>
      <c r="F141" s="58" t="s">
        <v>505</v>
      </c>
      <c r="G141" s="60">
        <v>288000</v>
      </c>
      <c r="H141" s="60">
        <v>0</v>
      </c>
      <c r="I141" s="60">
        <v>38000</v>
      </c>
      <c r="J141" s="115">
        <v>326000</v>
      </c>
      <c r="K141" s="115">
        <v>0</v>
      </c>
      <c r="L141" s="60">
        <v>326000</v>
      </c>
      <c r="M141" s="61" t="s">
        <v>99</v>
      </c>
      <c r="N141" s="60"/>
      <c r="O141" s="73">
        <v>1999</v>
      </c>
      <c r="P141" s="61">
        <v>2008</v>
      </c>
      <c r="Q141" s="58" t="s">
        <v>100</v>
      </c>
      <c r="R141" s="116">
        <v>6.2</v>
      </c>
      <c r="S141" s="117">
        <f t="shared" si="28"/>
        <v>2.2000000000000002</v>
      </c>
      <c r="T141" s="116">
        <v>8.4</v>
      </c>
      <c r="U141" s="61">
        <v>2000</v>
      </c>
      <c r="V141" s="61">
        <v>2007</v>
      </c>
      <c r="W141" s="118">
        <f t="shared" si="31"/>
        <v>2006</v>
      </c>
      <c r="X141" s="57" t="s">
        <v>833</v>
      </c>
      <c r="Y141" s="61">
        <v>25</v>
      </c>
      <c r="Z141" s="73" t="s">
        <v>520</v>
      </c>
      <c r="AA141" s="73" t="s">
        <v>520</v>
      </c>
      <c r="AB141" s="61">
        <v>25</v>
      </c>
      <c r="AC141" s="73" t="s">
        <v>520</v>
      </c>
      <c r="AD141" s="73" t="s">
        <v>520</v>
      </c>
      <c r="AE141" s="112">
        <f t="shared" si="30"/>
        <v>6.8888888888888893</v>
      </c>
      <c r="AF141" s="113">
        <f t="shared" si="36"/>
        <v>22.5</v>
      </c>
      <c r="AG141" s="110">
        <f t="shared" si="32"/>
        <v>0</v>
      </c>
      <c r="AH141" s="113">
        <f t="shared" si="33"/>
        <v>0</v>
      </c>
      <c r="AI141" s="114">
        <f>LOOKUP(W141,'2018 Escalator'!$A$9:$A$41,'2018 Escalator'!$G$9:$G$41)</f>
        <v>1.3230619810637019</v>
      </c>
      <c r="AJ141" s="115">
        <f t="shared" si="34"/>
        <v>431318.20582676679</v>
      </c>
      <c r="AK141" s="104">
        <f t="shared" si="35"/>
        <v>431318.20582676679</v>
      </c>
    </row>
    <row r="142" spans="1:37" x14ac:dyDescent="0.2">
      <c r="A142" s="57">
        <v>778</v>
      </c>
      <c r="B142" s="58" t="s">
        <v>131</v>
      </c>
      <c r="C142" s="58" t="s">
        <v>834</v>
      </c>
      <c r="D142" s="61" t="s">
        <v>835</v>
      </c>
      <c r="E142" s="61" t="s">
        <v>132</v>
      </c>
      <c r="F142" s="58" t="s">
        <v>505</v>
      </c>
      <c r="G142" s="60">
        <v>347983</v>
      </c>
      <c r="H142" s="60">
        <v>0</v>
      </c>
      <c r="I142" s="60">
        <v>58031</v>
      </c>
      <c r="J142" s="115">
        <v>406014</v>
      </c>
      <c r="K142" s="115">
        <v>0</v>
      </c>
      <c r="L142" s="60">
        <v>406014</v>
      </c>
      <c r="M142" s="61" t="s">
        <v>99</v>
      </c>
      <c r="N142" s="60"/>
      <c r="O142" s="73">
        <v>1988</v>
      </c>
      <c r="P142" s="61">
        <v>2010</v>
      </c>
      <c r="Q142" s="58" t="s">
        <v>100</v>
      </c>
      <c r="R142" s="116">
        <v>0.1</v>
      </c>
      <c r="S142" s="117">
        <f t="shared" si="28"/>
        <v>1.9</v>
      </c>
      <c r="T142" s="116">
        <v>2</v>
      </c>
      <c r="U142" s="61">
        <v>2007</v>
      </c>
      <c r="V142" s="61">
        <v>2009</v>
      </c>
      <c r="W142" s="118">
        <f t="shared" si="31"/>
        <v>2008</v>
      </c>
      <c r="X142" s="57" t="s">
        <v>515</v>
      </c>
      <c r="Y142" s="73">
        <f>41.6+41.6</f>
        <v>83.2</v>
      </c>
      <c r="Z142" s="73">
        <f t="shared" ref="Z142:AB143" si="37">41.6+41.6</f>
        <v>83.2</v>
      </c>
      <c r="AA142" s="73">
        <f t="shared" si="37"/>
        <v>83.2</v>
      </c>
      <c r="AB142" s="73">
        <f t="shared" si="37"/>
        <v>83.2</v>
      </c>
      <c r="AC142" s="73" t="s">
        <v>522</v>
      </c>
      <c r="AD142" s="73" t="s">
        <v>522</v>
      </c>
      <c r="AE142" s="112">
        <f t="shared" si="30"/>
        <v>0.11111111111111112</v>
      </c>
      <c r="AF142" s="113">
        <f t="shared" si="36"/>
        <v>74.88000000000001</v>
      </c>
      <c r="AG142" s="110">
        <f t="shared" si="32"/>
        <v>0</v>
      </c>
      <c r="AH142" s="113">
        <f t="shared" si="33"/>
        <v>0</v>
      </c>
      <c r="AI142" s="114">
        <f>LOOKUP(W142,'2018 Escalator'!$A$9:$A$41,'2018 Escalator'!$G$9:$G$41)</f>
        <v>1.199491188497166</v>
      </c>
      <c r="AJ142" s="115">
        <f t="shared" si="34"/>
        <v>487010.21540648834</v>
      </c>
      <c r="AK142" s="104">
        <f t="shared" si="35"/>
        <v>487010.21540648834</v>
      </c>
    </row>
    <row r="143" spans="1:37" x14ac:dyDescent="0.2">
      <c r="A143" s="57">
        <v>1571</v>
      </c>
      <c r="B143" s="58" t="s">
        <v>131</v>
      </c>
      <c r="C143" s="58" t="s">
        <v>836</v>
      </c>
      <c r="D143" s="73" t="s">
        <v>835</v>
      </c>
      <c r="E143" s="61" t="s">
        <v>132</v>
      </c>
      <c r="F143" s="58" t="s">
        <v>505</v>
      </c>
      <c r="G143" s="60">
        <v>726580</v>
      </c>
      <c r="H143" s="60">
        <v>0</v>
      </c>
      <c r="I143" s="60">
        <f>246327+324518+2000+233915</f>
        <v>806760</v>
      </c>
      <c r="J143" s="115">
        <f>SUM(G143:I143)</f>
        <v>1533340</v>
      </c>
      <c r="K143" s="115">
        <f>J143-L143</f>
        <v>0</v>
      </c>
      <c r="L143" s="60">
        <v>1533340</v>
      </c>
      <c r="M143" s="61" t="s">
        <v>99</v>
      </c>
      <c r="N143" s="60"/>
      <c r="O143" s="73">
        <v>1988</v>
      </c>
      <c r="P143" s="61">
        <v>2016</v>
      </c>
      <c r="Q143" s="58" t="s">
        <v>213</v>
      </c>
      <c r="R143" s="116">
        <v>2</v>
      </c>
      <c r="S143" s="117">
        <f t="shared" si="28"/>
        <v>11</v>
      </c>
      <c r="T143" s="116">
        <v>13</v>
      </c>
      <c r="U143" s="61">
        <v>2014</v>
      </c>
      <c r="V143" s="61">
        <v>2017</v>
      </c>
      <c r="W143" s="118">
        <f t="shared" si="31"/>
        <v>2016</v>
      </c>
      <c r="X143" s="57" t="s">
        <v>515</v>
      </c>
      <c r="Y143" s="73">
        <f t="shared" ref="Y143" si="38">41.6+41.6</f>
        <v>83.2</v>
      </c>
      <c r="Z143" s="73">
        <f t="shared" si="37"/>
        <v>83.2</v>
      </c>
      <c r="AA143" s="73">
        <f t="shared" si="37"/>
        <v>83.2</v>
      </c>
      <c r="AB143" s="73">
        <f t="shared" si="37"/>
        <v>83.2</v>
      </c>
      <c r="AC143" s="73"/>
      <c r="AD143" s="73"/>
      <c r="AE143" s="112">
        <f t="shared" si="30"/>
        <v>2.2222222222222223</v>
      </c>
      <c r="AF143" s="113">
        <f t="shared" si="36"/>
        <v>74.88000000000001</v>
      </c>
      <c r="AG143" s="110">
        <f t="shared" si="32"/>
        <v>0</v>
      </c>
      <c r="AH143" s="113">
        <f t="shared" si="33"/>
        <v>0</v>
      </c>
      <c r="AI143" s="114">
        <f>LOOKUP(W143,'2018 Escalator'!$A$9:$A$41,'2018 Escalator'!$G$9:$G$41)</f>
        <v>1.038286218119775</v>
      </c>
      <c r="AJ143" s="115">
        <f t="shared" si="34"/>
        <v>1592045.7896917758</v>
      </c>
      <c r="AK143" s="104">
        <f t="shared" si="35"/>
        <v>1592045.7896917758</v>
      </c>
    </row>
    <row r="144" spans="1:37" x14ac:dyDescent="0.2">
      <c r="A144" s="57">
        <v>525</v>
      </c>
      <c r="B144" s="58" t="s">
        <v>131</v>
      </c>
      <c r="C144" s="58" t="s">
        <v>837</v>
      </c>
      <c r="D144" s="61" t="s">
        <v>838</v>
      </c>
      <c r="E144" s="61" t="s">
        <v>132</v>
      </c>
      <c r="F144" s="58" t="s">
        <v>505</v>
      </c>
      <c r="G144" s="60"/>
      <c r="H144" s="60"/>
      <c r="I144" s="60"/>
      <c r="J144" s="115">
        <v>1593137</v>
      </c>
      <c r="K144" s="115">
        <v>342327</v>
      </c>
      <c r="L144" s="60">
        <v>1250810</v>
      </c>
      <c r="M144" s="61" t="s">
        <v>99</v>
      </c>
      <c r="N144" s="60"/>
      <c r="O144" s="73">
        <v>1995</v>
      </c>
      <c r="P144" s="61"/>
      <c r="Q144" s="58" t="s">
        <v>100</v>
      </c>
      <c r="R144" s="116">
        <v>11.55</v>
      </c>
      <c r="S144" s="117">
        <f t="shared" si="28"/>
        <v>14</v>
      </c>
      <c r="T144" s="116">
        <v>25.55</v>
      </c>
      <c r="U144" s="61">
        <v>2006</v>
      </c>
      <c r="V144" s="61">
        <v>2007</v>
      </c>
      <c r="W144" s="118">
        <f t="shared" si="31"/>
        <v>2006</v>
      </c>
      <c r="X144" s="57" t="s">
        <v>839</v>
      </c>
      <c r="Y144" s="73">
        <f>25+75+67</f>
        <v>167</v>
      </c>
      <c r="Z144" s="73" t="s">
        <v>797</v>
      </c>
      <c r="AA144" s="73" t="s">
        <v>797</v>
      </c>
      <c r="AB144" s="73">
        <f>25+75+67+50</f>
        <v>217</v>
      </c>
      <c r="AC144" s="73" t="s">
        <v>797</v>
      </c>
      <c r="AD144" s="73" t="s">
        <v>797</v>
      </c>
      <c r="AE144" s="112">
        <f t="shared" si="30"/>
        <v>12.833333333333334</v>
      </c>
      <c r="AF144" s="113">
        <f t="shared" si="36"/>
        <v>150.30000000000001</v>
      </c>
      <c r="AG144" s="110">
        <f t="shared" si="32"/>
        <v>50</v>
      </c>
      <c r="AH144" s="113">
        <f t="shared" si="33"/>
        <v>45</v>
      </c>
      <c r="AI144" s="114">
        <f>LOOKUP(W144,'2018 Escalator'!$A$9:$A$41,'2018 Escalator'!$G$9:$G$41)</f>
        <v>1.3230619810637019</v>
      </c>
      <c r="AJ144" s="115">
        <f t="shared" si="34"/>
        <v>2107818.9953258829</v>
      </c>
      <c r="AK144" s="104">
        <f t="shared" si="35"/>
        <v>2107818.9953258829</v>
      </c>
    </row>
    <row r="145" spans="1:37" x14ac:dyDescent="0.2">
      <c r="A145" s="57">
        <v>1324</v>
      </c>
      <c r="B145" s="58" t="s">
        <v>92</v>
      </c>
      <c r="C145" s="58" t="s">
        <v>840</v>
      </c>
      <c r="D145" s="73" t="s">
        <v>257</v>
      </c>
      <c r="E145" s="61" t="s">
        <v>108</v>
      </c>
      <c r="F145" s="58" t="s">
        <v>505</v>
      </c>
      <c r="G145" s="60">
        <v>1892666</v>
      </c>
      <c r="H145" s="60">
        <v>0</v>
      </c>
      <c r="I145" s="60">
        <f>81428+160985+70514</f>
        <v>312927</v>
      </c>
      <c r="J145" s="115">
        <f>SUM(G145:I145)</f>
        <v>2205593</v>
      </c>
      <c r="K145" s="115">
        <f>J145-L145</f>
        <v>0</v>
      </c>
      <c r="L145" s="60">
        <v>2205593</v>
      </c>
      <c r="M145" s="61" t="s">
        <v>99</v>
      </c>
      <c r="N145" s="60"/>
      <c r="O145" s="73">
        <v>2012</v>
      </c>
      <c r="P145" s="61">
        <v>2015</v>
      </c>
      <c r="Q145" s="58" t="s">
        <v>100</v>
      </c>
      <c r="R145" s="116">
        <v>15.8</v>
      </c>
      <c r="S145" s="117">
        <f t="shared" si="28"/>
        <v>12.3</v>
      </c>
      <c r="T145" s="116">
        <v>28.1</v>
      </c>
      <c r="U145" s="61">
        <v>2013</v>
      </c>
      <c r="V145" s="61">
        <v>2015</v>
      </c>
      <c r="W145" s="118">
        <f t="shared" si="31"/>
        <v>2014</v>
      </c>
      <c r="X145" s="57" t="s">
        <v>515</v>
      </c>
      <c r="Y145" s="73">
        <f>50*2</f>
        <v>100</v>
      </c>
      <c r="Z145" s="73"/>
      <c r="AA145" s="73"/>
      <c r="AB145" s="73">
        <v>100</v>
      </c>
      <c r="AC145" s="73"/>
      <c r="AD145" s="73"/>
      <c r="AE145" s="112">
        <f t="shared" si="30"/>
        <v>17.555555555555557</v>
      </c>
      <c r="AF145" s="113">
        <f t="shared" si="36"/>
        <v>90</v>
      </c>
      <c r="AG145" s="110">
        <f t="shared" si="32"/>
        <v>0</v>
      </c>
      <c r="AH145" s="113">
        <f t="shared" si="33"/>
        <v>0</v>
      </c>
      <c r="AI145" s="114">
        <f>LOOKUP(W145,'2018 Escalator'!$A$9:$A$41,'2018 Escalator'!$G$9:$G$41)</f>
        <v>1.0288837306891399</v>
      </c>
      <c r="AJ145" s="115">
        <f t="shared" si="34"/>
        <v>2269298.7542218519</v>
      </c>
      <c r="AK145" s="104">
        <f t="shared" si="35"/>
        <v>2269298.7542218519</v>
      </c>
    </row>
    <row r="146" spans="1:37" x14ac:dyDescent="0.2">
      <c r="A146" s="57">
        <v>511</v>
      </c>
      <c r="B146" s="58" t="s">
        <v>131</v>
      </c>
      <c r="C146" s="58" t="s">
        <v>841</v>
      </c>
      <c r="D146" s="61" t="s">
        <v>260</v>
      </c>
      <c r="E146" s="73" t="s">
        <v>132</v>
      </c>
      <c r="F146" s="58" t="s">
        <v>505</v>
      </c>
      <c r="G146" s="60">
        <v>256176</v>
      </c>
      <c r="H146" s="60">
        <v>0</v>
      </c>
      <c r="I146" s="60">
        <v>32974</v>
      </c>
      <c r="J146" s="115">
        <f>SUM(G146:I146)</f>
        <v>289150</v>
      </c>
      <c r="K146" s="115">
        <f>J146-L146</f>
        <v>0</v>
      </c>
      <c r="L146" s="60">
        <v>289150</v>
      </c>
      <c r="M146" s="61" t="s">
        <v>99</v>
      </c>
      <c r="N146" s="60"/>
      <c r="O146" s="73">
        <v>2004</v>
      </c>
      <c r="P146" s="61">
        <v>2006</v>
      </c>
      <c r="Q146" s="58" t="s">
        <v>100</v>
      </c>
      <c r="R146" s="116">
        <v>13.95</v>
      </c>
      <c r="S146" s="117">
        <f t="shared" si="28"/>
        <v>4.0500000000000007</v>
      </c>
      <c r="T146" s="116">
        <v>18</v>
      </c>
      <c r="U146" s="61">
        <v>2003</v>
      </c>
      <c r="V146" s="61">
        <v>2005</v>
      </c>
      <c r="W146" s="118">
        <f t="shared" si="31"/>
        <v>2004</v>
      </c>
      <c r="X146" s="57" t="s">
        <v>515</v>
      </c>
      <c r="Y146" s="73">
        <f>50+200</f>
        <v>250</v>
      </c>
      <c r="Z146" s="73" t="s">
        <v>525</v>
      </c>
      <c r="AA146" s="73" t="s">
        <v>525</v>
      </c>
      <c r="AB146" s="73">
        <v>250</v>
      </c>
      <c r="AC146" s="73" t="s">
        <v>525</v>
      </c>
      <c r="AD146" s="73" t="s">
        <v>525</v>
      </c>
      <c r="AE146" s="112">
        <f t="shared" si="30"/>
        <v>15.499999999999998</v>
      </c>
      <c r="AF146" s="113">
        <f t="shared" si="36"/>
        <v>225</v>
      </c>
      <c r="AG146" s="110">
        <f t="shared" si="32"/>
        <v>0</v>
      </c>
      <c r="AH146" s="113">
        <f t="shared" si="33"/>
        <v>0</v>
      </c>
      <c r="AI146" s="114">
        <f>LOOKUP(W146,'2018 Escalator'!$A$9:$A$41,'2018 Escalator'!$G$9:$G$41)</f>
        <v>1.483782020350688</v>
      </c>
      <c r="AJ146" s="115">
        <f t="shared" si="34"/>
        <v>429035.5711844014</v>
      </c>
      <c r="AK146" s="104">
        <f t="shared" si="35"/>
        <v>429035.5711844014</v>
      </c>
    </row>
    <row r="147" spans="1:37" x14ac:dyDescent="0.2">
      <c r="A147" s="57">
        <v>1094</v>
      </c>
      <c r="B147" s="58" t="s">
        <v>131</v>
      </c>
      <c r="C147" s="58" t="s">
        <v>842</v>
      </c>
      <c r="D147" s="61" t="s">
        <v>260</v>
      </c>
      <c r="E147" s="73" t="s">
        <v>132</v>
      </c>
      <c r="F147" s="58" t="s">
        <v>505</v>
      </c>
      <c r="G147" s="60">
        <v>634919</v>
      </c>
      <c r="H147" s="60">
        <v>0</v>
      </c>
      <c r="I147" s="60">
        <v>301758</v>
      </c>
      <c r="J147" s="115">
        <f>SUM(G147:I147)</f>
        <v>936677</v>
      </c>
      <c r="K147" s="115">
        <f>J147-L147</f>
        <v>24677</v>
      </c>
      <c r="L147" s="60">
        <v>912000</v>
      </c>
      <c r="M147" s="61" t="s">
        <v>99</v>
      </c>
      <c r="N147" s="60"/>
      <c r="O147" s="73">
        <v>2004</v>
      </c>
      <c r="P147" s="61">
        <v>2013</v>
      </c>
      <c r="Q147" s="69" t="s">
        <v>100</v>
      </c>
      <c r="R147" s="116">
        <v>18</v>
      </c>
      <c r="S147" s="117">
        <f t="shared" si="28"/>
        <v>6</v>
      </c>
      <c r="T147" s="116">
        <v>24</v>
      </c>
      <c r="U147" s="61">
        <v>2011</v>
      </c>
      <c r="V147" s="61">
        <v>2012</v>
      </c>
      <c r="W147" s="118">
        <f t="shared" si="31"/>
        <v>2011</v>
      </c>
      <c r="X147" s="57" t="s">
        <v>515</v>
      </c>
      <c r="Y147" s="73">
        <f>50+200</f>
        <v>250</v>
      </c>
      <c r="Z147" s="73" t="s">
        <v>516</v>
      </c>
      <c r="AA147" s="73" t="s">
        <v>516</v>
      </c>
      <c r="AB147" s="73">
        <v>250</v>
      </c>
      <c r="AC147" s="73" t="s">
        <v>516</v>
      </c>
      <c r="AD147" s="73" t="s">
        <v>516</v>
      </c>
      <c r="AE147" s="112">
        <f>AE146+AG146</f>
        <v>15.499999999999998</v>
      </c>
      <c r="AF147" s="113">
        <f t="shared" si="36"/>
        <v>225</v>
      </c>
      <c r="AG147" s="110">
        <f t="shared" si="32"/>
        <v>0</v>
      </c>
      <c r="AH147" s="113">
        <f t="shared" si="33"/>
        <v>0</v>
      </c>
      <c r="AI147" s="114">
        <f>LOOKUP(W147,'2018 Escalator'!$A$9:$A$41,'2018 Escalator'!$G$9:$G$41)</f>
        <v>1.1366200577120069</v>
      </c>
      <c r="AJ147" s="115">
        <f t="shared" si="34"/>
        <v>1064645.8657975094</v>
      </c>
      <c r="AK147" s="104">
        <f t="shared" si="35"/>
        <v>1064645.8657975094</v>
      </c>
    </row>
    <row r="148" spans="1:37" x14ac:dyDescent="0.2">
      <c r="A148" s="57">
        <v>775</v>
      </c>
      <c r="B148" s="58" t="s">
        <v>131</v>
      </c>
      <c r="C148" s="58" t="s">
        <v>843</v>
      </c>
      <c r="D148" s="61" t="s">
        <v>265</v>
      </c>
      <c r="E148" s="61" t="s">
        <v>108</v>
      </c>
      <c r="F148" s="58" t="s">
        <v>505</v>
      </c>
      <c r="G148" s="60">
        <v>979400</v>
      </c>
      <c r="H148" s="60">
        <v>0</v>
      </c>
      <c r="I148" s="60">
        <v>192659</v>
      </c>
      <c r="J148" s="115">
        <v>1172059</v>
      </c>
      <c r="K148" s="115">
        <v>267059</v>
      </c>
      <c r="L148" s="60">
        <v>905000</v>
      </c>
      <c r="M148" s="61" t="s">
        <v>99</v>
      </c>
      <c r="N148" s="60"/>
      <c r="O148" s="73">
        <v>2002</v>
      </c>
      <c r="P148" s="61">
        <v>2010</v>
      </c>
      <c r="Q148" s="58" t="s">
        <v>100</v>
      </c>
      <c r="R148" s="116">
        <v>8</v>
      </c>
      <c r="S148" s="117">
        <f t="shared" si="28"/>
        <v>7</v>
      </c>
      <c r="T148" s="116">
        <v>15</v>
      </c>
      <c r="U148" s="61">
        <v>2007</v>
      </c>
      <c r="V148" s="61">
        <v>2009</v>
      </c>
      <c r="W148" s="118">
        <f t="shared" si="31"/>
        <v>2008</v>
      </c>
      <c r="X148" s="67" t="s">
        <v>711</v>
      </c>
      <c r="Y148" s="61">
        <v>16.600000000000001</v>
      </c>
      <c r="Z148" s="73" t="s">
        <v>543</v>
      </c>
      <c r="AA148" s="73" t="s">
        <v>543</v>
      </c>
      <c r="AB148" s="61">
        <v>16.600000000000001</v>
      </c>
      <c r="AC148" s="73" t="s">
        <v>543</v>
      </c>
      <c r="AD148" s="73" t="s">
        <v>543</v>
      </c>
      <c r="AE148" s="112">
        <f t="shared" ref="AE148:AE165" si="39">R148/0.9</f>
        <v>8.8888888888888893</v>
      </c>
      <c r="AF148" s="113">
        <f t="shared" si="36"/>
        <v>14.940000000000001</v>
      </c>
      <c r="AG148" s="110">
        <f t="shared" si="32"/>
        <v>0</v>
      </c>
      <c r="AH148" s="113">
        <f t="shared" si="33"/>
        <v>0</v>
      </c>
      <c r="AI148" s="114">
        <f>LOOKUP(W148,'2018 Escalator'!$A$9:$A$41,'2018 Escalator'!$G$9:$G$41)</f>
        <v>1.199491188497166</v>
      </c>
      <c r="AJ148" s="115">
        <f t="shared" si="34"/>
        <v>1405874.4428987999</v>
      </c>
      <c r="AK148" s="104">
        <f t="shared" si="35"/>
        <v>1405874.4428987999</v>
      </c>
    </row>
    <row r="149" spans="1:37" x14ac:dyDescent="0.2">
      <c r="A149" s="57">
        <v>1646</v>
      </c>
      <c r="B149" s="68" t="s">
        <v>131</v>
      </c>
      <c r="C149" s="69" t="s">
        <v>844</v>
      </c>
      <c r="D149" s="73" t="s">
        <v>845</v>
      </c>
      <c r="E149" s="61" t="s">
        <v>108</v>
      </c>
      <c r="F149" s="58" t="s">
        <v>505</v>
      </c>
      <c r="G149" s="60">
        <f>3883306+140669</f>
        <v>4023975</v>
      </c>
      <c r="H149" s="60">
        <v>0</v>
      </c>
      <c r="I149" s="60">
        <f>299858+1245283+33400+840378</f>
        <v>2418919</v>
      </c>
      <c r="J149" s="115">
        <f>SUM(G149:I149)</f>
        <v>6442894</v>
      </c>
      <c r="K149" s="115">
        <f>J149-L149</f>
        <v>4207694</v>
      </c>
      <c r="L149" s="60">
        <v>2235200</v>
      </c>
      <c r="M149" s="61" t="s">
        <v>99</v>
      </c>
      <c r="N149" s="60"/>
      <c r="O149" s="73" t="s">
        <v>565</v>
      </c>
      <c r="P149" s="61">
        <v>2016</v>
      </c>
      <c r="Q149" s="68" t="s">
        <v>213</v>
      </c>
      <c r="R149" s="116">
        <v>2.88</v>
      </c>
      <c r="S149" s="117">
        <f t="shared" si="28"/>
        <v>3.5200000000000005</v>
      </c>
      <c r="T149" s="116">
        <v>6.4</v>
      </c>
      <c r="U149" s="61">
        <v>2016</v>
      </c>
      <c r="V149" s="61">
        <v>2017</v>
      </c>
      <c r="W149" s="118">
        <f t="shared" si="31"/>
        <v>2016</v>
      </c>
      <c r="X149" s="120" t="s">
        <v>846</v>
      </c>
      <c r="Y149" s="73">
        <v>8</v>
      </c>
      <c r="Z149" s="121"/>
      <c r="AA149" s="121"/>
      <c r="AB149" s="73">
        <f>8+16.6</f>
        <v>24.6</v>
      </c>
      <c r="AC149" s="121"/>
      <c r="AD149" s="121"/>
      <c r="AE149" s="112">
        <f t="shared" si="39"/>
        <v>3.1999999999999997</v>
      </c>
      <c r="AF149" s="113">
        <f t="shared" si="36"/>
        <v>7.2</v>
      </c>
      <c r="AG149" s="110">
        <f t="shared" si="32"/>
        <v>16.600000000000001</v>
      </c>
      <c r="AH149" s="113">
        <f t="shared" si="33"/>
        <v>14.940000000000001</v>
      </c>
      <c r="AI149" s="114">
        <f>LOOKUP(W149,'2018 Escalator'!$A$9:$A$41,'2018 Escalator'!$G$9:$G$41)</f>
        <v>1.038286218119775</v>
      </c>
      <c r="AJ149" s="115">
        <f t="shared" si="34"/>
        <v>6689568.045006589</v>
      </c>
      <c r="AK149" s="104">
        <f t="shared" si="35"/>
        <v>6689568.045006589</v>
      </c>
    </row>
    <row r="150" spans="1:37" x14ac:dyDescent="0.2">
      <c r="A150" s="57">
        <v>467</v>
      </c>
      <c r="B150" s="58" t="s">
        <v>131</v>
      </c>
      <c r="C150" s="58" t="s">
        <v>847</v>
      </c>
      <c r="D150" s="61" t="s">
        <v>848</v>
      </c>
      <c r="E150" s="61" t="s">
        <v>108</v>
      </c>
      <c r="F150" s="58" t="s">
        <v>505</v>
      </c>
      <c r="G150" s="60">
        <v>2220759</v>
      </c>
      <c r="H150" s="60">
        <v>110000</v>
      </c>
      <c r="I150" s="60">
        <v>151000</v>
      </c>
      <c r="J150" s="115">
        <v>2481759</v>
      </c>
      <c r="K150" s="115">
        <v>1141470</v>
      </c>
      <c r="L150" s="60">
        <v>1340289</v>
      </c>
      <c r="M150" s="61" t="s">
        <v>99</v>
      </c>
      <c r="N150" s="60"/>
      <c r="O150" s="73">
        <v>1996</v>
      </c>
      <c r="P150" s="61">
        <v>2005</v>
      </c>
      <c r="Q150" s="58" t="s">
        <v>100</v>
      </c>
      <c r="R150" s="116">
        <v>5.7</v>
      </c>
      <c r="S150" s="117">
        <f t="shared" si="28"/>
        <v>7.8999999999999995</v>
      </c>
      <c r="T150" s="116">
        <v>13.6</v>
      </c>
      <c r="U150" s="61">
        <v>2003</v>
      </c>
      <c r="V150" s="61">
        <v>2006</v>
      </c>
      <c r="W150" s="118">
        <f t="shared" si="31"/>
        <v>2005</v>
      </c>
      <c r="X150" s="57" t="s">
        <v>849</v>
      </c>
      <c r="Y150" s="61">
        <f>13.3</f>
        <v>13.3</v>
      </c>
      <c r="Z150" s="73" t="s">
        <v>509</v>
      </c>
      <c r="AA150" s="73" t="s">
        <v>509</v>
      </c>
      <c r="AB150" s="61">
        <f>13.3+35</f>
        <v>48.3</v>
      </c>
      <c r="AC150" s="73" t="s">
        <v>509</v>
      </c>
      <c r="AD150" s="73" t="s">
        <v>509</v>
      </c>
      <c r="AE150" s="112">
        <f t="shared" si="39"/>
        <v>6.333333333333333</v>
      </c>
      <c r="AF150" s="113">
        <f t="shared" si="36"/>
        <v>11.97</v>
      </c>
      <c r="AG150" s="110">
        <f t="shared" si="32"/>
        <v>35</v>
      </c>
      <c r="AH150" s="113">
        <f t="shared" si="33"/>
        <v>31.5</v>
      </c>
      <c r="AI150" s="114">
        <f>LOOKUP(W150,'2018 Escalator'!$A$9:$A$41,'2018 Escalator'!$G$9:$G$41)</f>
        <v>1.4044483059526309</v>
      </c>
      <c r="AJ150" s="115">
        <f t="shared" si="34"/>
        <v>3485502.2233326952</v>
      </c>
      <c r="AK150" s="104">
        <f t="shared" si="35"/>
        <v>3485502.2233326952</v>
      </c>
    </row>
    <row r="151" spans="1:37" x14ac:dyDescent="0.2">
      <c r="A151" s="57">
        <v>437</v>
      </c>
      <c r="B151" s="58" t="s">
        <v>131</v>
      </c>
      <c r="C151" s="58" t="s">
        <v>850</v>
      </c>
      <c r="D151" s="61" t="s">
        <v>274</v>
      </c>
      <c r="E151" s="61" t="s">
        <v>108</v>
      </c>
      <c r="F151" s="58" t="s">
        <v>505</v>
      </c>
      <c r="G151" s="60">
        <v>3027434</v>
      </c>
      <c r="H151" s="60">
        <v>0</v>
      </c>
      <c r="I151" s="60">
        <v>0</v>
      </c>
      <c r="J151" s="115">
        <v>3027434</v>
      </c>
      <c r="K151" s="115">
        <v>1021434</v>
      </c>
      <c r="L151" s="60">
        <v>2006000</v>
      </c>
      <c r="M151" s="61" t="s">
        <v>99</v>
      </c>
      <c r="N151" s="60"/>
      <c r="O151" s="73">
        <v>2001</v>
      </c>
      <c r="P151" s="61">
        <v>2009</v>
      </c>
      <c r="Q151" s="58" t="s">
        <v>213</v>
      </c>
      <c r="R151" s="116">
        <v>23</v>
      </c>
      <c r="S151" s="117">
        <f t="shared" si="28"/>
        <v>17</v>
      </c>
      <c r="T151" s="116">
        <v>40</v>
      </c>
      <c r="U151" s="61">
        <v>2007</v>
      </c>
      <c r="V151" s="61">
        <v>2009</v>
      </c>
      <c r="W151" s="118">
        <f t="shared" si="31"/>
        <v>2008</v>
      </c>
      <c r="X151" s="67" t="s">
        <v>851</v>
      </c>
      <c r="Y151" s="61">
        <f>46.7</f>
        <v>46.7</v>
      </c>
      <c r="Z151" s="73" t="s">
        <v>509</v>
      </c>
      <c r="AA151" s="73" t="s">
        <v>509</v>
      </c>
      <c r="AB151" s="61">
        <f>46.7+50</f>
        <v>96.7</v>
      </c>
      <c r="AC151" s="73" t="s">
        <v>509</v>
      </c>
      <c r="AD151" s="73" t="s">
        <v>509</v>
      </c>
      <c r="AE151" s="112">
        <f t="shared" si="39"/>
        <v>25.555555555555554</v>
      </c>
      <c r="AF151" s="113">
        <f t="shared" si="36"/>
        <v>42.03</v>
      </c>
      <c r="AG151" s="110">
        <f t="shared" si="32"/>
        <v>50</v>
      </c>
      <c r="AH151" s="113">
        <f t="shared" si="33"/>
        <v>45</v>
      </c>
      <c r="AI151" s="114">
        <f>LOOKUP(W151,'2018 Escalator'!$A$9:$A$41,'2018 Escalator'!$G$9:$G$41)</f>
        <v>1.199491188497166</v>
      </c>
      <c r="AJ151" s="115">
        <f t="shared" si="34"/>
        <v>3631380.4067567294</v>
      </c>
      <c r="AK151" s="104">
        <f t="shared" si="35"/>
        <v>3631380.4067567294</v>
      </c>
    </row>
    <row r="152" spans="1:37" x14ac:dyDescent="0.2">
      <c r="A152" s="57">
        <v>1233</v>
      </c>
      <c r="B152" s="69" t="s">
        <v>131</v>
      </c>
      <c r="C152" s="68" t="s">
        <v>852</v>
      </c>
      <c r="D152" s="119" t="s">
        <v>274</v>
      </c>
      <c r="E152" s="119" t="s">
        <v>108</v>
      </c>
      <c r="F152" s="68" t="s">
        <v>505</v>
      </c>
      <c r="G152" s="60">
        <v>2270653</v>
      </c>
      <c r="H152" s="60">
        <v>0</v>
      </c>
      <c r="I152" s="60">
        <f>205902+640907+0+305328</f>
        <v>1152137</v>
      </c>
      <c r="J152" s="115">
        <f>SUM(G152:I152)</f>
        <v>3422790</v>
      </c>
      <c r="K152" s="115">
        <f>J152-L152</f>
        <v>2602790</v>
      </c>
      <c r="L152" s="60">
        <v>820000</v>
      </c>
      <c r="M152" s="61" t="s">
        <v>99</v>
      </c>
      <c r="N152" s="60"/>
      <c r="O152" s="73">
        <v>2001</v>
      </c>
      <c r="P152" s="61">
        <v>2014</v>
      </c>
      <c r="Q152" s="69" t="s">
        <v>100</v>
      </c>
      <c r="R152" s="116">
        <v>40</v>
      </c>
      <c r="S152" s="117">
        <f t="shared" si="28"/>
        <v>10</v>
      </c>
      <c r="T152" s="116">
        <v>50</v>
      </c>
      <c r="U152" s="61">
        <v>2011</v>
      </c>
      <c r="V152" s="61">
        <v>2012</v>
      </c>
      <c r="W152" s="118">
        <f t="shared" si="31"/>
        <v>2011</v>
      </c>
      <c r="X152" s="57" t="s">
        <v>528</v>
      </c>
      <c r="Y152" s="73">
        <f>46.7+50</f>
        <v>96.7</v>
      </c>
      <c r="Z152" s="73" t="s">
        <v>509</v>
      </c>
      <c r="AA152" s="73" t="s">
        <v>509</v>
      </c>
      <c r="AB152" s="73">
        <v>96.7</v>
      </c>
      <c r="AC152" s="73" t="s">
        <v>509</v>
      </c>
      <c r="AD152" s="73" t="s">
        <v>509</v>
      </c>
      <c r="AE152" s="112">
        <f t="shared" si="39"/>
        <v>44.444444444444443</v>
      </c>
      <c r="AF152" s="113">
        <f t="shared" si="36"/>
        <v>87.03</v>
      </c>
      <c r="AG152" s="110">
        <f t="shared" si="32"/>
        <v>0</v>
      </c>
      <c r="AH152" s="113">
        <f t="shared" si="33"/>
        <v>0</v>
      </c>
      <c r="AI152" s="114">
        <f>LOOKUP(W152,'2018 Escalator'!$A$9:$A$41,'2018 Escalator'!$G$9:$G$41)</f>
        <v>1.1366200577120069</v>
      </c>
      <c r="AJ152" s="115">
        <f t="shared" si="34"/>
        <v>3890411.7673360803</v>
      </c>
      <c r="AK152" s="104">
        <f t="shared" si="35"/>
        <v>3890411.7673360803</v>
      </c>
    </row>
    <row r="153" spans="1:37" x14ac:dyDescent="0.2">
      <c r="A153" s="57">
        <v>361</v>
      </c>
      <c r="B153" s="58" t="s">
        <v>92</v>
      </c>
      <c r="C153" s="58" t="s">
        <v>853</v>
      </c>
      <c r="D153" s="61" t="s">
        <v>854</v>
      </c>
      <c r="E153" s="61" t="s">
        <v>108</v>
      </c>
      <c r="F153" s="58" t="s">
        <v>505</v>
      </c>
      <c r="G153" s="60"/>
      <c r="H153" s="60"/>
      <c r="I153" s="60"/>
      <c r="J153" s="115">
        <v>761205</v>
      </c>
      <c r="K153" s="115">
        <v>0</v>
      </c>
      <c r="L153" s="60">
        <v>761205</v>
      </c>
      <c r="M153" s="73" t="s">
        <v>99</v>
      </c>
      <c r="N153" s="60"/>
      <c r="O153" s="122">
        <v>1986</v>
      </c>
      <c r="P153" s="61"/>
      <c r="R153" s="116">
        <v>12.22</v>
      </c>
      <c r="S153" s="117">
        <f t="shared" si="28"/>
        <v>12.999999999999998</v>
      </c>
      <c r="T153" s="116">
        <v>25.22</v>
      </c>
      <c r="U153" s="61">
        <v>2001</v>
      </c>
      <c r="V153" s="61">
        <v>2003</v>
      </c>
      <c r="W153" s="118">
        <f t="shared" si="31"/>
        <v>2002</v>
      </c>
      <c r="X153" s="67" t="s">
        <v>515</v>
      </c>
      <c r="Y153" s="73">
        <f>25+6</f>
        <v>31</v>
      </c>
      <c r="Z153" s="73" t="s">
        <v>509</v>
      </c>
      <c r="AA153" s="73" t="s">
        <v>509</v>
      </c>
      <c r="AB153" s="73">
        <f>25+42</f>
        <v>67</v>
      </c>
      <c r="AC153" s="73" t="s">
        <v>509</v>
      </c>
      <c r="AD153" s="73" t="s">
        <v>509</v>
      </c>
      <c r="AE153" s="112">
        <f t="shared" si="39"/>
        <v>13.577777777777778</v>
      </c>
      <c r="AF153" s="113">
        <f t="shared" si="36"/>
        <v>27.900000000000002</v>
      </c>
      <c r="AG153" s="110">
        <f t="shared" si="32"/>
        <v>36</v>
      </c>
      <c r="AH153" s="113">
        <f t="shared" si="33"/>
        <v>32.4</v>
      </c>
      <c r="AI153" s="114">
        <f>LOOKUP(W153,'2018 Escalator'!$A$9:$A$41,'2018 Escalator'!$G$9:$G$41)</f>
        <v>1.5396352510354376</v>
      </c>
      <c r="AJ153" s="115">
        <f t="shared" si="34"/>
        <v>1171978.0512644304</v>
      </c>
      <c r="AK153" s="104">
        <f t="shared" si="35"/>
        <v>1171978.0512644304</v>
      </c>
    </row>
    <row r="154" spans="1:37" x14ac:dyDescent="0.2">
      <c r="A154" s="57">
        <v>645</v>
      </c>
      <c r="B154" s="58" t="s">
        <v>92</v>
      </c>
      <c r="C154" s="58" t="s">
        <v>855</v>
      </c>
      <c r="D154" s="61" t="s">
        <v>854</v>
      </c>
      <c r="E154" s="61" t="s">
        <v>108</v>
      </c>
      <c r="F154" s="58" t="s">
        <v>505</v>
      </c>
      <c r="G154" s="60">
        <v>125437</v>
      </c>
      <c r="H154" s="60">
        <v>0</v>
      </c>
      <c r="I154" s="60">
        <v>45891</v>
      </c>
      <c r="J154" s="115">
        <v>171328</v>
      </c>
      <c r="K154" s="115">
        <v>0</v>
      </c>
      <c r="L154" s="60">
        <v>171328</v>
      </c>
      <c r="M154" s="61" t="s">
        <v>99</v>
      </c>
      <c r="N154" s="60"/>
      <c r="O154" s="73">
        <v>1986</v>
      </c>
      <c r="P154" s="61">
        <v>2008</v>
      </c>
      <c r="Q154" s="58" t="s">
        <v>100</v>
      </c>
      <c r="R154" s="116">
        <v>25.22</v>
      </c>
      <c r="S154" s="117">
        <f t="shared" si="28"/>
        <v>1</v>
      </c>
      <c r="T154" s="116">
        <v>26.22</v>
      </c>
      <c r="U154" s="61">
        <v>2003</v>
      </c>
      <c r="V154" s="61">
        <v>2007</v>
      </c>
      <c r="W154" s="118">
        <f t="shared" si="31"/>
        <v>2006</v>
      </c>
      <c r="X154" s="57" t="s">
        <v>515</v>
      </c>
      <c r="Y154" s="73">
        <f>25+42</f>
        <v>67</v>
      </c>
      <c r="Z154" s="73" t="s">
        <v>522</v>
      </c>
      <c r="AA154" s="73" t="s">
        <v>522</v>
      </c>
      <c r="AB154" s="73">
        <v>67</v>
      </c>
      <c r="AC154" s="73" t="s">
        <v>522</v>
      </c>
      <c r="AD154" s="73" t="s">
        <v>522</v>
      </c>
      <c r="AE154" s="112">
        <f t="shared" si="39"/>
        <v>28.022222222222219</v>
      </c>
      <c r="AF154" s="113">
        <f t="shared" si="36"/>
        <v>60.300000000000004</v>
      </c>
      <c r="AG154" s="110">
        <f t="shared" si="32"/>
        <v>0</v>
      </c>
      <c r="AH154" s="113">
        <f t="shared" si="33"/>
        <v>0</v>
      </c>
      <c r="AI154" s="114">
        <f>LOOKUP(W154,'2018 Escalator'!$A$9:$A$41,'2018 Escalator'!$G$9:$G$41)</f>
        <v>1.3230619810637019</v>
      </c>
      <c r="AJ154" s="115">
        <f t="shared" si="34"/>
        <v>226677.56309168192</v>
      </c>
      <c r="AK154" s="104">
        <f t="shared" si="35"/>
        <v>226677.56309168192</v>
      </c>
    </row>
    <row r="155" spans="1:37" x14ac:dyDescent="0.2">
      <c r="A155" s="57">
        <v>720</v>
      </c>
      <c r="B155" s="58" t="s">
        <v>92</v>
      </c>
      <c r="C155" s="58" t="s">
        <v>856</v>
      </c>
      <c r="D155" s="61" t="s">
        <v>857</v>
      </c>
      <c r="E155" s="61" t="s">
        <v>108</v>
      </c>
      <c r="F155" s="58" t="s">
        <v>505</v>
      </c>
      <c r="G155" s="60">
        <v>3598589</v>
      </c>
      <c r="H155" s="60">
        <v>0</v>
      </c>
      <c r="I155" s="60">
        <v>0</v>
      </c>
      <c r="J155" s="115">
        <v>2723589</v>
      </c>
      <c r="K155" s="115">
        <v>1103319</v>
      </c>
      <c r="L155" s="60">
        <v>1620270</v>
      </c>
      <c r="M155" s="61" t="s">
        <v>129</v>
      </c>
      <c r="N155" s="60"/>
      <c r="O155" s="73">
        <v>1974</v>
      </c>
      <c r="P155" s="61">
        <v>2011</v>
      </c>
      <c r="Q155" s="58" t="s">
        <v>100</v>
      </c>
      <c r="R155" s="116">
        <v>5.29</v>
      </c>
      <c r="S155" s="117">
        <f t="shared" si="28"/>
        <v>3.9099999999999993</v>
      </c>
      <c r="T155" s="116">
        <v>9.1999999999999993</v>
      </c>
      <c r="U155" s="61">
        <v>2007</v>
      </c>
      <c r="V155" s="61">
        <v>2010</v>
      </c>
      <c r="W155" s="118">
        <f t="shared" si="31"/>
        <v>2009</v>
      </c>
      <c r="X155" s="57" t="s">
        <v>858</v>
      </c>
      <c r="Y155" s="61">
        <f>6+10+25</f>
        <v>41</v>
      </c>
      <c r="Z155" s="73" t="s">
        <v>509</v>
      </c>
      <c r="AA155" s="73" t="s">
        <v>509</v>
      </c>
      <c r="AB155" s="61">
        <f>6+25+25</f>
        <v>56</v>
      </c>
      <c r="AC155" s="73" t="s">
        <v>509</v>
      </c>
      <c r="AD155" s="73" t="s">
        <v>509</v>
      </c>
      <c r="AE155" s="112">
        <f t="shared" si="39"/>
        <v>5.8777777777777773</v>
      </c>
      <c r="AF155" s="113">
        <f t="shared" si="36"/>
        <v>36.9</v>
      </c>
      <c r="AG155" s="110">
        <f t="shared" si="32"/>
        <v>15</v>
      </c>
      <c r="AH155" s="113">
        <f t="shared" si="33"/>
        <v>13.5</v>
      </c>
      <c r="AI155" s="114">
        <f>LOOKUP(W155,'2018 Escalator'!$A$9:$A$41,'2018 Escalator'!$G$9:$G$41)</f>
        <v>1.1803081251084759</v>
      </c>
      <c r="AJ155" s="115">
        <f t="shared" si="34"/>
        <v>3214674.226156069</v>
      </c>
      <c r="AK155" s="104">
        <f t="shared" si="35"/>
        <v>3214674.226156069</v>
      </c>
    </row>
    <row r="156" spans="1:37" x14ac:dyDescent="0.2">
      <c r="A156" s="57">
        <v>1554</v>
      </c>
      <c r="B156" s="58" t="s">
        <v>131</v>
      </c>
      <c r="C156" s="58" t="s">
        <v>859</v>
      </c>
      <c r="D156" s="73" t="s">
        <v>302</v>
      </c>
      <c r="E156" s="61" t="s">
        <v>132</v>
      </c>
      <c r="F156" s="58" t="s">
        <v>505</v>
      </c>
      <c r="G156" s="60">
        <f>2523545+0</f>
        <v>2523545</v>
      </c>
      <c r="H156" s="60">
        <v>0</v>
      </c>
      <c r="I156" s="60">
        <f>309118+547385+519764</f>
        <v>1376267</v>
      </c>
      <c r="J156" s="115">
        <f>SUM(G156:I156)</f>
        <v>3899812</v>
      </c>
      <c r="K156" s="115">
        <f>J156-L156</f>
        <v>298812</v>
      </c>
      <c r="L156" s="60">
        <v>3601000</v>
      </c>
      <c r="M156" s="61" t="s">
        <v>99</v>
      </c>
      <c r="N156" s="60"/>
      <c r="O156" s="73">
        <v>2013</v>
      </c>
      <c r="P156" s="61">
        <v>2017</v>
      </c>
      <c r="Q156" s="58" t="s">
        <v>100</v>
      </c>
      <c r="R156" s="116">
        <v>18</v>
      </c>
      <c r="S156" s="117">
        <f t="shared" si="28"/>
        <v>13</v>
      </c>
      <c r="T156" s="116">
        <v>31</v>
      </c>
      <c r="U156" s="61">
        <v>2016</v>
      </c>
      <c r="V156" s="61">
        <v>2016</v>
      </c>
      <c r="W156" s="118">
        <f t="shared" si="31"/>
        <v>2015</v>
      </c>
      <c r="X156" s="57" t="s">
        <v>860</v>
      </c>
      <c r="Y156" s="73">
        <f>25</f>
        <v>25</v>
      </c>
      <c r="Z156" s="73"/>
      <c r="AA156" s="73"/>
      <c r="AB156" s="73">
        <f>25+25</f>
        <v>50</v>
      </c>
      <c r="AC156" s="73"/>
      <c r="AD156" s="73"/>
      <c r="AE156" s="112">
        <f t="shared" si="39"/>
        <v>20</v>
      </c>
      <c r="AF156" s="113">
        <f t="shared" si="36"/>
        <v>22.5</v>
      </c>
      <c r="AG156" s="110">
        <f t="shared" si="32"/>
        <v>25</v>
      </c>
      <c r="AH156" s="113">
        <f t="shared" si="33"/>
        <v>22.5</v>
      </c>
      <c r="AI156" s="114">
        <f>LOOKUP(W156,'2018 Escalator'!$A$9:$A$41,'2018 Escalator'!$G$9:$G$41)</f>
        <v>1.0267399975608473</v>
      </c>
      <c r="AJ156" s="115">
        <f t="shared" si="34"/>
        <v>4004092.963367763</v>
      </c>
      <c r="AK156" s="104">
        <f t="shared" si="35"/>
        <v>4004092.963367763</v>
      </c>
    </row>
    <row r="157" spans="1:37" x14ac:dyDescent="0.2">
      <c r="A157" s="57">
        <v>1570</v>
      </c>
      <c r="B157" s="68" t="s">
        <v>131</v>
      </c>
      <c r="C157" s="58" t="s">
        <v>861</v>
      </c>
      <c r="D157" s="73" t="s">
        <v>315</v>
      </c>
      <c r="E157" s="61" t="s">
        <v>132</v>
      </c>
      <c r="F157" s="58" t="s">
        <v>505</v>
      </c>
      <c r="G157" s="60">
        <f>3106813</f>
        <v>3106813</v>
      </c>
      <c r="H157" s="60">
        <v>190132</v>
      </c>
      <c r="I157" s="60">
        <f>325151+1152288+10150+717680</f>
        <v>2205269</v>
      </c>
      <c r="J157" s="115">
        <f>SUM(G157:I157)</f>
        <v>5502214</v>
      </c>
      <c r="K157" s="115">
        <f>J157-L157</f>
        <v>2958214</v>
      </c>
      <c r="L157" s="60">
        <v>2544000</v>
      </c>
      <c r="M157" s="61" t="s">
        <v>99</v>
      </c>
      <c r="N157" s="60"/>
      <c r="O157" s="122"/>
      <c r="P157" s="61">
        <v>2016</v>
      </c>
      <c r="Q157" s="58" t="s">
        <v>213</v>
      </c>
      <c r="R157" s="116">
        <v>12</v>
      </c>
      <c r="S157" s="117">
        <f t="shared" si="28"/>
        <v>7</v>
      </c>
      <c r="T157" s="116">
        <v>19</v>
      </c>
      <c r="U157" s="61">
        <v>2014</v>
      </c>
      <c r="V157" s="61">
        <v>2017</v>
      </c>
      <c r="W157" s="118">
        <f t="shared" si="31"/>
        <v>2016</v>
      </c>
      <c r="X157" s="57" t="s">
        <v>862</v>
      </c>
      <c r="Y157" s="61">
        <v>25</v>
      </c>
      <c r="Z157" s="73"/>
      <c r="AA157" s="73"/>
      <c r="AB157" s="61">
        <f>25+25</f>
        <v>50</v>
      </c>
      <c r="AC157" s="73"/>
      <c r="AD157" s="73"/>
      <c r="AE157" s="112">
        <f t="shared" si="39"/>
        <v>13.333333333333332</v>
      </c>
      <c r="AF157" s="113">
        <f t="shared" si="36"/>
        <v>22.5</v>
      </c>
      <c r="AG157" s="110">
        <f t="shared" si="32"/>
        <v>25</v>
      </c>
      <c r="AH157" s="113">
        <f t="shared" si="33"/>
        <v>22.5</v>
      </c>
      <c r="AI157" s="114">
        <f>LOOKUP(W157,'2018 Escalator'!$A$9:$A$41,'2018 Escalator'!$G$9:$G$41)</f>
        <v>1.038286218119775</v>
      </c>
      <c r="AJ157" s="115">
        <f t="shared" si="34"/>
        <v>5712872.9653456798</v>
      </c>
      <c r="AK157" s="104">
        <f t="shared" si="35"/>
        <v>5712872.9653456798</v>
      </c>
    </row>
    <row r="158" spans="1:37" x14ac:dyDescent="0.2">
      <c r="A158" s="57">
        <v>1280</v>
      </c>
      <c r="B158" s="68" t="s">
        <v>131</v>
      </c>
      <c r="C158" s="58" t="s">
        <v>863</v>
      </c>
      <c r="D158" s="73" t="s">
        <v>325</v>
      </c>
      <c r="E158" s="61" t="s">
        <v>132</v>
      </c>
      <c r="F158" s="58" t="s">
        <v>505</v>
      </c>
      <c r="G158" s="60">
        <v>2719392</v>
      </c>
      <c r="H158" s="60">
        <v>0</v>
      </c>
      <c r="I158" s="60">
        <f>171719+495823+335124</f>
        <v>1002666</v>
      </c>
      <c r="J158" s="115">
        <f>SUM(G158:I158)</f>
        <v>3722058</v>
      </c>
      <c r="K158" s="115">
        <f>J158-L158</f>
        <v>1421058</v>
      </c>
      <c r="L158" s="60">
        <v>2301000</v>
      </c>
      <c r="M158" s="61" t="s">
        <v>99</v>
      </c>
      <c r="N158" s="60"/>
      <c r="O158" s="122"/>
      <c r="P158" s="61">
        <v>2015</v>
      </c>
      <c r="Q158" s="58" t="s">
        <v>100</v>
      </c>
      <c r="R158" s="116">
        <v>10</v>
      </c>
      <c r="S158" s="117">
        <f t="shared" si="28"/>
        <v>10</v>
      </c>
      <c r="T158" s="116">
        <v>20</v>
      </c>
      <c r="U158" s="61">
        <v>2013</v>
      </c>
      <c r="V158" s="61">
        <v>2014</v>
      </c>
      <c r="W158" s="118">
        <f t="shared" si="31"/>
        <v>2013</v>
      </c>
      <c r="X158" s="57" t="s">
        <v>860</v>
      </c>
      <c r="Y158" s="61">
        <v>25</v>
      </c>
      <c r="Z158" s="73"/>
      <c r="AA158" s="73"/>
      <c r="AB158" s="61">
        <v>50</v>
      </c>
      <c r="AC158" s="73"/>
      <c r="AD158" s="73"/>
      <c r="AE158" s="112">
        <f t="shared" si="39"/>
        <v>11.111111111111111</v>
      </c>
      <c r="AF158" s="113">
        <f t="shared" si="36"/>
        <v>22.5</v>
      </c>
      <c r="AG158" s="110">
        <f t="shared" si="32"/>
        <v>25</v>
      </c>
      <c r="AH158" s="113">
        <f t="shared" si="33"/>
        <v>22.5</v>
      </c>
      <c r="AI158" s="114">
        <f>LOOKUP(W158,'2018 Escalator'!$A$9:$A$41,'2018 Escalator'!$G$9:$G$41)</f>
        <v>1.0630440922306721</v>
      </c>
      <c r="AJ158" s="115">
        <f t="shared" si="34"/>
        <v>3956711.7678399109</v>
      </c>
      <c r="AK158" s="104">
        <f t="shared" si="35"/>
        <v>3956711.7678399109</v>
      </c>
    </row>
    <row r="159" spans="1:37" x14ac:dyDescent="0.2">
      <c r="A159" s="57">
        <v>659</v>
      </c>
      <c r="B159" s="58" t="s">
        <v>92</v>
      </c>
      <c r="C159" s="58" t="s">
        <v>864</v>
      </c>
      <c r="D159" s="61" t="s">
        <v>865</v>
      </c>
      <c r="E159" s="61" t="s">
        <v>132</v>
      </c>
      <c r="F159" s="58" t="s">
        <v>505</v>
      </c>
      <c r="G159" s="60"/>
      <c r="H159" s="60"/>
      <c r="I159" s="60"/>
      <c r="J159" s="115">
        <v>143900</v>
      </c>
      <c r="K159" s="115">
        <v>0</v>
      </c>
      <c r="L159" s="60">
        <v>143900</v>
      </c>
      <c r="M159" s="61"/>
      <c r="N159" s="60"/>
      <c r="O159" s="73">
        <v>1974</v>
      </c>
      <c r="P159" s="61"/>
      <c r="R159" s="116">
        <v>51</v>
      </c>
      <c r="S159" s="117">
        <f t="shared" si="28"/>
        <v>7</v>
      </c>
      <c r="T159" s="116">
        <v>58</v>
      </c>
      <c r="U159" s="61">
        <v>2006</v>
      </c>
      <c r="V159" s="61">
        <v>2007</v>
      </c>
      <c r="W159" s="118">
        <f t="shared" si="31"/>
        <v>2006</v>
      </c>
      <c r="X159" s="57" t="s">
        <v>866</v>
      </c>
      <c r="Y159" s="73">
        <f>74.7*2</f>
        <v>149.4</v>
      </c>
      <c r="Z159" s="73" t="s">
        <v>867</v>
      </c>
      <c r="AA159" s="73" t="s">
        <v>867</v>
      </c>
      <c r="AB159" s="73">
        <v>149.4</v>
      </c>
      <c r="AC159" s="73" t="s">
        <v>867</v>
      </c>
      <c r="AD159" s="73" t="s">
        <v>867</v>
      </c>
      <c r="AE159" s="112">
        <f t="shared" si="39"/>
        <v>56.666666666666664</v>
      </c>
      <c r="AF159" s="113">
        <f t="shared" si="36"/>
        <v>134.46</v>
      </c>
      <c r="AG159" s="110">
        <f t="shared" si="32"/>
        <v>0</v>
      </c>
      <c r="AH159" s="113">
        <f t="shared" si="33"/>
        <v>0</v>
      </c>
      <c r="AI159" s="114">
        <f>LOOKUP(W159,'2018 Escalator'!$A$9:$A$41,'2018 Escalator'!$G$9:$G$41)</f>
        <v>1.3230619810637019</v>
      </c>
      <c r="AJ159" s="115">
        <f t="shared" si="34"/>
        <v>190388.6190750667</v>
      </c>
      <c r="AK159" s="104">
        <f t="shared" si="35"/>
        <v>190388.6190750667</v>
      </c>
    </row>
    <row r="160" spans="1:37" x14ac:dyDescent="0.2">
      <c r="A160" s="57">
        <v>1240</v>
      </c>
      <c r="B160" s="58" t="s">
        <v>131</v>
      </c>
      <c r="C160" s="58" t="s">
        <v>868</v>
      </c>
      <c r="D160" s="73" t="s">
        <v>338</v>
      </c>
      <c r="E160" s="61" t="s">
        <v>132</v>
      </c>
      <c r="F160" s="58" t="s">
        <v>505</v>
      </c>
      <c r="G160" s="60">
        <v>1378938</v>
      </c>
      <c r="H160" s="60">
        <v>0</v>
      </c>
      <c r="I160" s="60">
        <f>285521+453578+0+211347+1</f>
        <v>950447</v>
      </c>
      <c r="J160" s="115">
        <f>SUM(G160:I160)</f>
        <v>2329385</v>
      </c>
      <c r="K160" s="115">
        <f>J160-L160</f>
        <v>0</v>
      </c>
      <c r="L160" s="60">
        <v>2329385</v>
      </c>
      <c r="M160" s="61" t="s">
        <v>99</v>
      </c>
      <c r="N160" s="60"/>
      <c r="O160" s="73"/>
      <c r="P160" s="61">
        <v>2014</v>
      </c>
      <c r="Q160" s="58" t="s">
        <v>100</v>
      </c>
      <c r="R160" s="116">
        <v>9</v>
      </c>
      <c r="S160" s="117">
        <f t="shared" si="28"/>
        <v>12</v>
      </c>
      <c r="T160" s="116">
        <v>21</v>
      </c>
      <c r="U160" s="61">
        <v>2011</v>
      </c>
      <c r="V160" s="61">
        <v>2014</v>
      </c>
      <c r="W160" s="118">
        <f t="shared" si="31"/>
        <v>2013</v>
      </c>
      <c r="X160" s="57" t="s">
        <v>515</v>
      </c>
      <c r="Y160" s="73">
        <v>16.7</v>
      </c>
      <c r="Z160" s="73"/>
      <c r="AA160" s="73"/>
      <c r="AB160" s="73">
        <v>16.7</v>
      </c>
      <c r="AC160" s="73"/>
      <c r="AD160" s="73"/>
      <c r="AE160" s="112">
        <f t="shared" si="39"/>
        <v>10</v>
      </c>
      <c r="AF160" s="113">
        <f t="shared" si="36"/>
        <v>15.03</v>
      </c>
      <c r="AG160" s="110">
        <f t="shared" si="32"/>
        <v>0</v>
      </c>
      <c r="AH160" s="113">
        <f t="shared" si="33"/>
        <v>0</v>
      </c>
      <c r="AI160" s="114">
        <f>LOOKUP(W160,'2018 Escalator'!$A$9:$A$41,'2018 Escalator'!$G$9:$G$41)</f>
        <v>1.0630440922306721</v>
      </c>
      <c r="AJ160" s="115">
        <f t="shared" si="34"/>
        <v>2476238.9627807443</v>
      </c>
      <c r="AK160" s="104">
        <f t="shared" si="35"/>
        <v>2476238.9627807443</v>
      </c>
    </row>
    <row r="161" spans="1:37" x14ac:dyDescent="0.2">
      <c r="A161" s="57">
        <v>317</v>
      </c>
      <c r="B161" s="69" t="s">
        <v>92</v>
      </c>
      <c r="C161" s="58" t="s">
        <v>869</v>
      </c>
      <c r="D161" s="61" t="s">
        <v>870</v>
      </c>
      <c r="E161" s="61" t="s">
        <v>108</v>
      </c>
      <c r="F161" s="58" t="s">
        <v>505</v>
      </c>
      <c r="G161" s="60"/>
      <c r="H161" s="60"/>
      <c r="I161" s="60"/>
      <c r="J161" s="115">
        <v>2425000</v>
      </c>
      <c r="K161" s="115">
        <v>0</v>
      </c>
      <c r="L161" s="60">
        <v>2425000</v>
      </c>
      <c r="M161" s="73" t="s">
        <v>99</v>
      </c>
      <c r="N161" s="60"/>
      <c r="O161" s="122">
        <v>1978</v>
      </c>
      <c r="P161" s="61"/>
      <c r="R161" s="116">
        <v>26.67</v>
      </c>
      <c r="S161" s="117">
        <f t="shared" si="28"/>
        <v>8.4600000000000009</v>
      </c>
      <c r="T161" s="116">
        <v>35.130000000000003</v>
      </c>
      <c r="U161" s="61">
        <v>2001</v>
      </c>
      <c r="V161" s="61">
        <v>2003</v>
      </c>
      <c r="W161" s="118">
        <f t="shared" si="31"/>
        <v>2002</v>
      </c>
      <c r="X161" s="57" t="s">
        <v>871</v>
      </c>
      <c r="Y161" s="61">
        <v>47</v>
      </c>
      <c r="Z161" s="73" t="s">
        <v>522</v>
      </c>
      <c r="AA161" s="73" t="s">
        <v>522</v>
      </c>
      <c r="AB161" s="61">
        <f>47+42</f>
        <v>89</v>
      </c>
      <c r="AC161" s="73" t="s">
        <v>522</v>
      </c>
      <c r="AD161" s="73" t="s">
        <v>522</v>
      </c>
      <c r="AE161" s="112">
        <f t="shared" si="39"/>
        <v>29.633333333333333</v>
      </c>
      <c r="AF161" s="113">
        <f t="shared" si="36"/>
        <v>42.300000000000004</v>
      </c>
      <c r="AG161" s="110">
        <f t="shared" si="32"/>
        <v>42</v>
      </c>
      <c r="AH161" s="113">
        <f t="shared" si="33"/>
        <v>37.800000000000004</v>
      </c>
      <c r="AI161" s="114">
        <f>LOOKUP(W161,'2018 Escalator'!$A$9:$A$41,'2018 Escalator'!$G$9:$G$41)</f>
        <v>1.5396352510354376</v>
      </c>
      <c r="AJ161" s="115">
        <f t="shared" si="34"/>
        <v>3733615.4837609362</v>
      </c>
      <c r="AK161" s="104">
        <f t="shared" si="35"/>
        <v>3733615.4837609362</v>
      </c>
    </row>
    <row r="162" spans="1:37" x14ac:dyDescent="0.2">
      <c r="A162" s="57">
        <v>1510</v>
      </c>
      <c r="B162" s="69" t="s">
        <v>92</v>
      </c>
      <c r="C162" s="58" t="s">
        <v>872</v>
      </c>
      <c r="D162" s="73" t="s">
        <v>870</v>
      </c>
      <c r="E162" s="61" t="s">
        <v>108</v>
      </c>
      <c r="F162" s="58" t="s">
        <v>505</v>
      </c>
      <c r="G162" s="60">
        <v>521742</v>
      </c>
      <c r="H162" s="60">
        <v>0</v>
      </c>
      <c r="I162" s="60">
        <f>217342+195109+19075+55441</f>
        <v>486967</v>
      </c>
      <c r="J162" s="115">
        <f>SUM(G162:I162)</f>
        <v>1008709</v>
      </c>
      <c r="K162" s="115">
        <f>J162-L162</f>
        <v>1008709</v>
      </c>
      <c r="L162" s="60">
        <v>0</v>
      </c>
      <c r="M162" s="61" t="s">
        <v>99</v>
      </c>
      <c r="N162" s="60"/>
      <c r="O162" s="73">
        <v>1978</v>
      </c>
      <c r="P162" s="61">
        <v>2016</v>
      </c>
      <c r="Q162" s="68" t="s">
        <v>100</v>
      </c>
      <c r="R162" s="116">
        <v>35.130000000000003</v>
      </c>
      <c r="S162" s="117">
        <f t="shared" si="28"/>
        <v>0</v>
      </c>
      <c r="T162" s="116">
        <v>35.130000000000003</v>
      </c>
      <c r="U162" s="61">
        <v>2013</v>
      </c>
      <c r="V162" s="61">
        <v>2015</v>
      </c>
      <c r="W162" s="118">
        <f t="shared" si="31"/>
        <v>2014</v>
      </c>
      <c r="X162" s="67" t="s">
        <v>515</v>
      </c>
      <c r="Y162" s="61">
        <f>47+42</f>
        <v>89</v>
      </c>
      <c r="Z162" s="73"/>
      <c r="AA162" s="73"/>
      <c r="AB162" s="61">
        <f>47+42</f>
        <v>89</v>
      </c>
      <c r="AC162" s="73"/>
      <c r="AD162" s="73"/>
      <c r="AE162" s="112">
        <f t="shared" si="39"/>
        <v>39.033333333333339</v>
      </c>
      <c r="AF162" s="113">
        <f t="shared" si="36"/>
        <v>80.100000000000009</v>
      </c>
      <c r="AG162" s="110">
        <f t="shared" si="32"/>
        <v>0</v>
      </c>
      <c r="AH162" s="113">
        <f t="shared" si="33"/>
        <v>0</v>
      </c>
      <c r="AI162" s="114">
        <f>LOOKUP(W162,'2018 Escalator'!$A$9:$A$41,'2018 Escalator'!$G$9:$G$41)</f>
        <v>1.0288837306891399</v>
      </c>
      <c r="AJ162" s="115">
        <f t="shared" si="34"/>
        <v>1037844.2790997116</v>
      </c>
      <c r="AK162" s="104">
        <f t="shared" si="35"/>
        <v>1037844.2790997116</v>
      </c>
    </row>
    <row r="163" spans="1:37" x14ac:dyDescent="0.2">
      <c r="A163" s="57">
        <v>1678</v>
      </c>
      <c r="B163" s="69" t="s">
        <v>168</v>
      </c>
      <c r="C163" s="58" t="s">
        <v>873</v>
      </c>
      <c r="D163" s="73" t="s">
        <v>874</v>
      </c>
      <c r="E163" s="61" t="s">
        <v>108</v>
      </c>
      <c r="F163" s="58" t="s">
        <v>505</v>
      </c>
      <c r="G163" s="60">
        <v>149469</v>
      </c>
      <c r="H163" s="60">
        <v>0</v>
      </c>
      <c r="I163" s="60">
        <f>3754+29577</f>
        <v>33331</v>
      </c>
      <c r="J163" s="115">
        <f>SUM(G163:I163)</f>
        <v>182800</v>
      </c>
      <c r="K163" s="115">
        <f>J163-L163</f>
        <v>0</v>
      </c>
      <c r="L163" s="60">
        <v>182800</v>
      </c>
      <c r="M163" s="61" t="s">
        <v>99</v>
      </c>
      <c r="N163" s="60"/>
      <c r="O163" s="73"/>
      <c r="P163" s="61">
        <v>2016</v>
      </c>
      <c r="Q163" s="68" t="s">
        <v>100</v>
      </c>
      <c r="R163" s="116">
        <v>71.19</v>
      </c>
      <c r="S163" s="117">
        <f t="shared" si="28"/>
        <v>3.8100000000000023</v>
      </c>
      <c r="T163" s="116">
        <v>75</v>
      </c>
      <c r="U163" s="61">
        <v>2016</v>
      </c>
      <c r="V163" s="61">
        <v>2016</v>
      </c>
      <c r="W163" s="118">
        <f t="shared" si="31"/>
        <v>2015</v>
      </c>
      <c r="X163" s="67" t="s">
        <v>875</v>
      </c>
      <c r="Y163" s="73">
        <v>500</v>
      </c>
      <c r="Z163" s="73"/>
      <c r="AA163" s="73"/>
      <c r="AB163" s="73">
        <v>500</v>
      </c>
      <c r="AC163" s="73"/>
      <c r="AD163" s="73"/>
      <c r="AE163" s="112">
        <f t="shared" si="39"/>
        <v>79.099999999999994</v>
      </c>
      <c r="AF163" s="113">
        <f t="shared" si="36"/>
        <v>450</v>
      </c>
      <c r="AG163" s="110">
        <f t="shared" si="32"/>
        <v>0</v>
      </c>
      <c r="AH163" s="113">
        <f t="shared" si="33"/>
        <v>0</v>
      </c>
      <c r="AI163" s="114">
        <f>LOOKUP(W163,'2018 Escalator'!$A$9:$A$41,'2018 Escalator'!$G$9:$G$41)</f>
        <v>1.0267399975608473</v>
      </c>
      <c r="AJ163" s="115">
        <f t="shared" si="34"/>
        <v>187688.0715541229</v>
      </c>
      <c r="AK163" s="104">
        <f t="shared" si="35"/>
        <v>187688.0715541229</v>
      </c>
    </row>
    <row r="164" spans="1:37" x14ac:dyDescent="0.2">
      <c r="A164" s="57">
        <v>409</v>
      </c>
      <c r="B164" s="58" t="s">
        <v>168</v>
      </c>
      <c r="C164" s="58" t="s">
        <v>876</v>
      </c>
      <c r="D164" s="61" t="s">
        <v>877</v>
      </c>
      <c r="E164" s="61" t="s">
        <v>108</v>
      </c>
      <c r="F164" s="58" t="s">
        <v>505</v>
      </c>
      <c r="G164" s="60">
        <v>4683995</v>
      </c>
      <c r="H164" s="60">
        <v>0</v>
      </c>
      <c r="I164" s="60">
        <v>0</v>
      </c>
      <c r="J164" s="115">
        <v>4683995</v>
      </c>
      <c r="K164" s="115">
        <v>4683995</v>
      </c>
      <c r="L164" s="60">
        <v>0</v>
      </c>
      <c r="M164" s="61" t="s">
        <v>99</v>
      </c>
      <c r="N164" s="60"/>
      <c r="O164" s="73" t="s">
        <v>565</v>
      </c>
      <c r="P164" s="61">
        <v>2005</v>
      </c>
      <c r="Q164" s="58" t="s">
        <v>100</v>
      </c>
      <c r="R164" s="116">
        <f>25.9+25</f>
        <v>50.9</v>
      </c>
      <c r="S164" s="117">
        <f t="shared" si="28"/>
        <v>0</v>
      </c>
      <c r="T164" s="116">
        <f>25.9+25</f>
        <v>50.9</v>
      </c>
      <c r="U164" s="61">
        <v>2003</v>
      </c>
      <c r="V164" s="61">
        <v>2005</v>
      </c>
      <c r="W164" s="118">
        <f t="shared" si="31"/>
        <v>2004</v>
      </c>
      <c r="X164" s="57" t="s">
        <v>878</v>
      </c>
      <c r="Y164" s="73">
        <v>63</v>
      </c>
      <c r="Z164" s="73" t="s">
        <v>525</v>
      </c>
      <c r="AA164" s="73" t="s">
        <v>525</v>
      </c>
      <c r="AB164" s="73">
        <f>63+63</f>
        <v>126</v>
      </c>
      <c r="AC164" s="73" t="s">
        <v>525</v>
      </c>
      <c r="AD164" s="73" t="s">
        <v>525</v>
      </c>
      <c r="AE164" s="112">
        <f t="shared" si="39"/>
        <v>56.55555555555555</v>
      </c>
      <c r="AF164" s="113">
        <f t="shared" si="36"/>
        <v>56.7</v>
      </c>
      <c r="AG164" s="110">
        <f t="shared" si="32"/>
        <v>63</v>
      </c>
      <c r="AH164" s="113">
        <f t="shared" si="33"/>
        <v>56.7</v>
      </c>
      <c r="AI164" s="114">
        <f>LOOKUP(W164,'2018 Escalator'!$A$9:$A$41,'2018 Escalator'!$G$9:$G$41)</f>
        <v>1.483782020350688</v>
      </c>
      <c r="AJ164" s="115">
        <f t="shared" si="34"/>
        <v>6950027.5644125203</v>
      </c>
      <c r="AK164" s="104">
        <f t="shared" si="35"/>
        <v>6950027.5644125203</v>
      </c>
    </row>
    <row r="165" spans="1:37" x14ac:dyDescent="0.2">
      <c r="A165" s="57">
        <v>620</v>
      </c>
      <c r="B165" s="58" t="s">
        <v>168</v>
      </c>
      <c r="C165" s="58" t="s">
        <v>879</v>
      </c>
      <c r="D165" s="73" t="s">
        <v>880</v>
      </c>
      <c r="E165" s="61" t="s">
        <v>108</v>
      </c>
      <c r="F165" s="58" t="s">
        <v>505</v>
      </c>
      <c r="G165" s="60">
        <v>36607</v>
      </c>
      <c r="H165" s="60">
        <v>0</v>
      </c>
      <c r="I165" s="60">
        <v>2943</v>
      </c>
      <c r="J165" s="115">
        <v>39550</v>
      </c>
      <c r="K165" s="115">
        <v>0</v>
      </c>
      <c r="L165" s="60">
        <v>39550</v>
      </c>
      <c r="M165" s="61" t="s">
        <v>129</v>
      </c>
      <c r="N165" s="60"/>
      <c r="O165" s="73" t="s">
        <v>565</v>
      </c>
      <c r="P165" s="61">
        <v>2006</v>
      </c>
      <c r="Q165" s="58" t="s">
        <v>100</v>
      </c>
      <c r="R165" s="116">
        <v>66.040000000000006</v>
      </c>
      <c r="S165" s="117">
        <f t="shared" si="28"/>
        <v>1</v>
      </c>
      <c r="T165" s="116">
        <v>67.040000000000006</v>
      </c>
      <c r="U165" s="61">
        <v>2006</v>
      </c>
      <c r="V165" s="61">
        <v>2007</v>
      </c>
      <c r="W165" s="118">
        <f t="shared" si="31"/>
        <v>2006</v>
      </c>
      <c r="X165" s="67" t="s">
        <v>881</v>
      </c>
      <c r="Y165" s="73">
        <f>66.7*2</f>
        <v>133.4</v>
      </c>
      <c r="Z165" s="73" t="s">
        <v>882</v>
      </c>
      <c r="AA165" s="73" t="s">
        <v>882</v>
      </c>
      <c r="AB165" s="73">
        <f>66.7*2</f>
        <v>133.4</v>
      </c>
      <c r="AC165" s="73" t="s">
        <v>882</v>
      </c>
      <c r="AD165" s="73" t="s">
        <v>882</v>
      </c>
      <c r="AE165" s="112">
        <f t="shared" si="39"/>
        <v>73.37777777777778</v>
      </c>
      <c r="AF165" s="113">
        <f t="shared" si="36"/>
        <v>120.06</v>
      </c>
      <c r="AG165" s="110">
        <f t="shared" si="32"/>
        <v>0</v>
      </c>
      <c r="AH165" s="113">
        <f t="shared" si="33"/>
        <v>0</v>
      </c>
      <c r="AI165" s="114">
        <f>LOOKUP(W165,'2018 Escalator'!$A$9:$A$41,'2018 Escalator'!$G$9:$G$41)</f>
        <v>1.3230619810637019</v>
      </c>
      <c r="AJ165" s="115">
        <f t="shared" si="34"/>
        <v>52327.10135106941</v>
      </c>
      <c r="AK165" s="104">
        <f t="shared" si="35"/>
        <v>52327.10135106941</v>
      </c>
    </row>
    <row r="166" spans="1:37" x14ac:dyDescent="0.2">
      <c r="A166" s="57">
        <v>1085</v>
      </c>
      <c r="B166" s="69" t="s">
        <v>168</v>
      </c>
      <c r="C166" s="58" t="s">
        <v>883</v>
      </c>
      <c r="D166" s="73" t="s">
        <v>880</v>
      </c>
      <c r="E166" s="61" t="s">
        <v>108</v>
      </c>
      <c r="F166" s="58" t="s">
        <v>505</v>
      </c>
      <c r="G166" s="60">
        <v>59692</v>
      </c>
      <c r="H166" s="60">
        <v>0</v>
      </c>
      <c r="I166" s="60">
        <v>8461</v>
      </c>
      <c r="J166" s="115">
        <v>68153</v>
      </c>
      <c r="K166" s="115">
        <v>0</v>
      </c>
      <c r="L166" s="60">
        <v>68153</v>
      </c>
      <c r="M166" s="61" t="s">
        <v>99</v>
      </c>
      <c r="N166" s="60"/>
      <c r="O166" s="73" t="s">
        <v>565</v>
      </c>
      <c r="P166" s="61">
        <v>2012</v>
      </c>
      <c r="Q166" s="69" t="s">
        <v>100</v>
      </c>
      <c r="R166" s="116">
        <v>67.040000000000006</v>
      </c>
      <c r="S166" s="117">
        <f t="shared" si="28"/>
        <v>2</v>
      </c>
      <c r="T166" s="116">
        <v>69.040000000000006</v>
      </c>
      <c r="U166" s="61">
        <v>2010</v>
      </c>
      <c r="V166" s="61">
        <v>2011</v>
      </c>
      <c r="W166" s="118">
        <f t="shared" si="31"/>
        <v>2010</v>
      </c>
      <c r="X166" s="57" t="s">
        <v>881</v>
      </c>
      <c r="Y166" s="73">
        <f>66.7*2</f>
        <v>133.4</v>
      </c>
      <c r="Z166" s="73" t="s">
        <v>884</v>
      </c>
      <c r="AA166" s="73" t="s">
        <v>884</v>
      </c>
      <c r="AB166" s="73">
        <f>66.7*2</f>
        <v>133.4</v>
      </c>
      <c r="AC166" s="73" t="s">
        <v>884</v>
      </c>
      <c r="AD166" s="73" t="s">
        <v>884</v>
      </c>
      <c r="AE166" s="112">
        <f>AE165+AG165</f>
        <v>73.37777777777778</v>
      </c>
      <c r="AF166" s="113">
        <f t="shared" si="36"/>
        <v>120.06</v>
      </c>
      <c r="AG166" s="110">
        <f t="shared" si="32"/>
        <v>0</v>
      </c>
      <c r="AH166" s="113">
        <f t="shared" si="33"/>
        <v>0</v>
      </c>
      <c r="AI166" s="114">
        <f>LOOKUP(W166,'2018 Escalator'!$A$9:$A$41,'2018 Escalator'!$G$9:$G$41)</f>
        <v>1.1637398045803473</v>
      </c>
      <c r="AJ166" s="115">
        <f t="shared" si="34"/>
        <v>79312.35890156441</v>
      </c>
      <c r="AK166" s="104">
        <f t="shared" si="35"/>
        <v>79312.35890156441</v>
      </c>
    </row>
    <row r="167" spans="1:37" x14ac:dyDescent="0.2">
      <c r="A167" s="57">
        <v>589</v>
      </c>
      <c r="B167" s="58" t="s">
        <v>885</v>
      </c>
      <c r="C167" s="58" t="s">
        <v>886</v>
      </c>
      <c r="D167" s="73" t="s">
        <v>887</v>
      </c>
      <c r="E167" s="61" t="s">
        <v>108</v>
      </c>
      <c r="F167" s="58" t="s">
        <v>505</v>
      </c>
      <c r="G167" s="60">
        <v>22400</v>
      </c>
      <c r="H167" s="60">
        <v>0</v>
      </c>
      <c r="I167" s="60">
        <v>0</v>
      </c>
      <c r="J167" s="115">
        <v>22790</v>
      </c>
      <c r="K167" s="115">
        <v>22790</v>
      </c>
      <c r="L167" s="60">
        <v>0</v>
      </c>
      <c r="M167" s="61" t="s">
        <v>99</v>
      </c>
      <c r="N167" s="60"/>
      <c r="O167" s="73">
        <v>1974</v>
      </c>
      <c r="P167" s="61">
        <v>2006</v>
      </c>
      <c r="Q167" s="58" t="s">
        <v>100</v>
      </c>
      <c r="R167" s="116">
        <v>36.963000000000001</v>
      </c>
      <c r="S167" s="117">
        <f t="shared" si="28"/>
        <v>0</v>
      </c>
      <c r="T167" s="116">
        <v>36.963000000000001</v>
      </c>
      <c r="U167" s="61">
        <v>2006</v>
      </c>
      <c r="V167" s="61">
        <v>2006</v>
      </c>
      <c r="W167" s="118">
        <f t="shared" si="31"/>
        <v>2005</v>
      </c>
      <c r="X167" s="57" t="s">
        <v>888</v>
      </c>
      <c r="Y167" s="61">
        <f>40+50</f>
        <v>90</v>
      </c>
      <c r="Z167" s="73" t="s">
        <v>522</v>
      </c>
      <c r="AA167" s="73" t="s">
        <v>522</v>
      </c>
      <c r="AB167" s="61">
        <f>56+50</f>
        <v>106</v>
      </c>
      <c r="AC167" s="73" t="s">
        <v>522</v>
      </c>
      <c r="AD167" s="73" t="s">
        <v>522</v>
      </c>
      <c r="AE167" s="112">
        <f>R167/0.9+12</f>
        <v>53.07</v>
      </c>
      <c r="AF167" s="113">
        <f t="shared" si="36"/>
        <v>81</v>
      </c>
      <c r="AG167" s="110">
        <f t="shared" si="32"/>
        <v>16</v>
      </c>
      <c r="AH167" s="113">
        <f t="shared" si="33"/>
        <v>14.4</v>
      </c>
      <c r="AI167" s="114">
        <f>LOOKUP(W167,'2018 Escalator'!$A$9:$A$41,'2018 Escalator'!$G$9:$G$41)</f>
        <v>1.4044483059526309</v>
      </c>
      <c r="AJ167" s="115">
        <f t="shared" si="34"/>
        <v>32007.376892660457</v>
      </c>
      <c r="AK167" s="104">
        <f t="shared" si="35"/>
        <v>32007.376892660457</v>
      </c>
    </row>
    <row r="168" spans="1:37" x14ac:dyDescent="0.2">
      <c r="A168" s="57">
        <v>836</v>
      </c>
      <c r="B168" s="58" t="s">
        <v>885</v>
      </c>
      <c r="C168" s="58" t="s">
        <v>889</v>
      </c>
      <c r="D168" s="73" t="s">
        <v>887</v>
      </c>
      <c r="E168" s="61" t="s">
        <v>108</v>
      </c>
      <c r="F168" s="58" t="s">
        <v>505</v>
      </c>
      <c r="G168" s="60">
        <v>158614</v>
      </c>
      <c r="H168" s="60">
        <v>0</v>
      </c>
      <c r="I168" s="60">
        <v>15000</v>
      </c>
      <c r="J168" s="115">
        <v>173614</v>
      </c>
      <c r="K168" s="115">
        <v>0</v>
      </c>
      <c r="L168" s="60">
        <v>173614</v>
      </c>
      <c r="M168" s="61" t="s">
        <v>99</v>
      </c>
      <c r="N168" s="60"/>
      <c r="O168" s="73">
        <v>1974</v>
      </c>
      <c r="P168" s="61">
        <v>2010</v>
      </c>
      <c r="Q168" s="58" t="s">
        <v>100</v>
      </c>
      <c r="R168" s="116">
        <f>44-10.037</f>
        <v>33.963000000000001</v>
      </c>
      <c r="S168" s="117">
        <f t="shared" si="28"/>
        <v>10.036999999999999</v>
      </c>
      <c r="T168" s="116">
        <v>44</v>
      </c>
      <c r="U168" s="61">
        <v>2007</v>
      </c>
      <c r="V168" s="61">
        <v>2009</v>
      </c>
      <c r="W168" s="118">
        <f t="shared" si="31"/>
        <v>2008</v>
      </c>
      <c r="X168" s="57" t="s">
        <v>515</v>
      </c>
      <c r="Y168" s="61">
        <f>56+50</f>
        <v>106</v>
      </c>
      <c r="Z168" s="73" t="s">
        <v>522</v>
      </c>
      <c r="AA168" s="73" t="s">
        <v>522</v>
      </c>
      <c r="AB168" s="61">
        <f>56+50</f>
        <v>106</v>
      </c>
      <c r="AC168" s="73" t="s">
        <v>522</v>
      </c>
      <c r="AD168" s="73" t="s">
        <v>522</v>
      </c>
      <c r="AE168" s="112">
        <v>65</v>
      </c>
      <c r="AF168" s="113">
        <f t="shared" si="36"/>
        <v>95.4</v>
      </c>
      <c r="AG168" s="110">
        <f t="shared" si="32"/>
        <v>0</v>
      </c>
      <c r="AH168" s="113">
        <f t="shared" si="33"/>
        <v>0</v>
      </c>
      <c r="AI168" s="114">
        <f>LOOKUP(W168,'2018 Escalator'!$A$9:$A$41,'2018 Escalator'!$G$9:$G$41)</f>
        <v>1.199491188497166</v>
      </c>
      <c r="AJ168" s="115">
        <f t="shared" si="34"/>
        <v>208248.46319974697</v>
      </c>
      <c r="AK168" s="104">
        <f t="shared" si="35"/>
        <v>208248.46319974697</v>
      </c>
    </row>
    <row r="169" spans="1:37" x14ac:dyDescent="0.2">
      <c r="A169" s="57">
        <v>1417</v>
      </c>
      <c r="B169" s="58" t="s">
        <v>885</v>
      </c>
      <c r="C169" s="58" t="s">
        <v>890</v>
      </c>
      <c r="D169" s="73" t="s">
        <v>891</v>
      </c>
      <c r="E169" s="61" t="s">
        <v>108</v>
      </c>
      <c r="F169" s="58" t="s">
        <v>505</v>
      </c>
      <c r="G169" s="60">
        <v>329793</v>
      </c>
      <c r="H169" s="60">
        <v>0</v>
      </c>
      <c r="I169" s="60">
        <f>14800</f>
        <v>14800</v>
      </c>
      <c r="J169" s="115">
        <f>SUM(G169:I169)</f>
        <v>344593</v>
      </c>
      <c r="K169" s="115">
        <f>J169-L169</f>
        <v>134055</v>
      </c>
      <c r="L169" s="60">
        <v>210538</v>
      </c>
      <c r="M169" s="61" t="s">
        <v>99</v>
      </c>
      <c r="N169" s="60"/>
      <c r="O169" s="73"/>
      <c r="P169" s="61">
        <v>2014</v>
      </c>
      <c r="Q169" s="58" t="s">
        <v>100</v>
      </c>
      <c r="R169" s="116">
        <v>53.176000000000002</v>
      </c>
      <c r="S169" s="117">
        <f t="shared" si="28"/>
        <v>2.8239999999999981</v>
      </c>
      <c r="T169" s="116">
        <v>56</v>
      </c>
      <c r="U169" s="61">
        <v>2013</v>
      </c>
      <c r="V169" s="61">
        <v>2014</v>
      </c>
      <c r="W169" s="118">
        <f t="shared" si="31"/>
        <v>2013</v>
      </c>
      <c r="X169" s="67" t="s">
        <v>892</v>
      </c>
      <c r="Y169" s="61">
        <f>50*2</f>
        <v>100</v>
      </c>
      <c r="Z169" s="73"/>
      <c r="AA169" s="73"/>
      <c r="AB169" s="61">
        <v>100</v>
      </c>
      <c r="AC169" s="73"/>
      <c r="AD169" s="73"/>
      <c r="AE169" s="112">
        <f t="shared" ref="AE169:AE188" si="40">R169/0.9</f>
        <v>59.084444444444443</v>
      </c>
      <c r="AF169" s="113">
        <f t="shared" si="36"/>
        <v>90</v>
      </c>
      <c r="AG169" s="110">
        <f t="shared" si="32"/>
        <v>0</v>
      </c>
      <c r="AH169" s="113">
        <f t="shared" si="33"/>
        <v>0</v>
      </c>
      <c r="AI169" s="114">
        <f>LOOKUP(W169,'2018 Escalator'!$A$9:$A$41,'2018 Escalator'!$G$9:$G$41)</f>
        <v>1.0630440922306721</v>
      </c>
      <c r="AJ169" s="115">
        <f t="shared" si="34"/>
        <v>366317.55287404399</v>
      </c>
      <c r="AK169" s="104">
        <f t="shared" si="35"/>
        <v>366317.55287404399</v>
      </c>
    </row>
    <row r="170" spans="1:37" x14ac:dyDescent="0.2">
      <c r="A170" s="57">
        <v>1575</v>
      </c>
      <c r="B170" s="68" t="s">
        <v>168</v>
      </c>
      <c r="C170" s="68" t="s">
        <v>893</v>
      </c>
      <c r="D170" s="73" t="s">
        <v>894</v>
      </c>
      <c r="E170" s="119" t="s">
        <v>108</v>
      </c>
      <c r="F170" s="68" t="s">
        <v>505</v>
      </c>
      <c r="G170" s="60">
        <v>66952</v>
      </c>
      <c r="H170" s="60">
        <v>0</v>
      </c>
      <c r="I170" s="60">
        <v>15279</v>
      </c>
      <c r="J170" s="115">
        <f>SUM(G170:I170)</f>
        <v>82231</v>
      </c>
      <c r="K170" s="115">
        <f>J170-L170</f>
        <v>0</v>
      </c>
      <c r="L170" s="60">
        <v>82231</v>
      </c>
      <c r="M170" s="61" t="s">
        <v>99</v>
      </c>
      <c r="N170" s="60"/>
      <c r="O170" s="73"/>
      <c r="P170" s="61">
        <v>2016</v>
      </c>
      <c r="Q170" s="58" t="s">
        <v>100</v>
      </c>
      <c r="R170" s="116">
        <v>107.8</v>
      </c>
      <c r="S170" s="117">
        <f t="shared" si="28"/>
        <v>2.2000000000000028</v>
      </c>
      <c r="T170" s="116">
        <v>110</v>
      </c>
      <c r="U170" s="61">
        <v>2013</v>
      </c>
      <c r="V170" s="61">
        <v>2015</v>
      </c>
      <c r="W170" s="118">
        <f t="shared" si="31"/>
        <v>2014</v>
      </c>
      <c r="X170" s="67" t="s">
        <v>881</v>
      </c>
      <c r="Y170" s="73">
        <f>74.7*3+66.7</f>
        <v>290.8</v>
      </c>
      <c r="Z170" s="73"/>
      <c r="AA170" s="73"/>
      <c r="AB170" s="73">
        <v>290.8</v>
      </c>
      <c r="AC170" s="73"/>
      <c r="AD170" s="73"/>
      <c r="AE170" s="112">
        <f t="shared" si="40"/>
        <v>119.77777777777777</v>
      </c>
      <c r="AF170" s="113">
        <f t="shared" si="36"/>
        <v>261.72000000000003</v>
      </c>
      <c r="AG170" s="110">
        <f t="shared" si="32"/>
        <v>0</v>
      </c>
      <c r="AH170" s="113">
        <f t="shared" si="33"/>
        <v>0</v>
      </c>
      <c r="AI170" s="114">
        <f>LOOKUP(W170,'2018 Escalator'!$A$9:$A$41,'2018 Escalator'!$G$9:$G$41)</f>
        <v>1.0288837306891399</v>
      </c>
      <c r="AJ170" s="115">
        <f t="shared" si="34"/>
        <v>84606.13805829866</v>
      </c>
      <c r="AK170" s="104">
        <f t="shared" si="35"/>
        <v>84606.13805829866</v>
      </c>
    </row>
    <row r="171" spans="1:37" x14ac:dyDescent="0.2">
      <c r="A171" s="57">
        <v>1480</v>
      </c>
      <c r="B171" s="68" t="s">
        <v>353</v>
      </c>
      <c r="C171" s="58" t="s">
        <v>895</v>
      </c>
      <c r="D171" s="73" t="s">
        <v>896</v>
      </c>
      <c r="E171" s="61" t="s">
        <v>108</v>
      </c>
      <c r="F171" s="58" t="s">
        <v>505</v>
      </c>
      <c r="G171" s="60">
        <v>1225788</v>
      </c>
      <c r="H171" s="60">
        <v>0</v>
      </c>
      <c r="I171" s="60">
        <f>32439+46059+0+77397</f>
        <v>155895</v>
      </c>
      <c r="J171" s="115">
        <f>SUM(G171:I171)</f>
        <v>1381683</v>
      </c>
      <c r="K171" s="115">
        <f>J171-L171</f>
        <v>616683</v>
      </c>
      <c r="L171" s="60">
        <v>765000</v>
      </c>
      <c r="M171" s="61" t="s">
        <v>99</v>
      </c>
      <c r="N171" s="60"/>
      <c r="O171" s="122"/>
      <c r="P171" s="61">
        <v>2016</v>
      </c>
      <c r="Q171" s="58" t="s">
        <v>100</v>
      </c>
      <c r="R171" s="116">
        <v>92</v>
      </c>
      <c r="S171" s="117">
        <f t="shared" si="28"/>
        <v>9</v>
      </c>
      <c r="T171" s="116">
        <v>101</v>
      </c>
      <c r="U171" s="61">
        <v>2013</v>
      </c>
      <c r="V171" s="61">
        <v>2016</v>
      </c>
      <c r="W171" s="118">
        <f t="shared" si="31"/>
        <v>2015</v>
      </c>
      <c r="X171" s="57" t="s">
        <v>515</v>
      </c>
      <c r="Y171" s="61">
        <f>50*4</f>
        <v>200</v>
      </c>
      <c r="Z171" s="73"/>
      <c r="AA171" s="73"/>
      <c r="AB171" s="61">
        <v>200</v>
      </c>
      <c r="AC171" s="73"/>
      <c r="AD171" s="73"/>
      <c r="AE171" s="112">
        <f t="shared" si="40"/>
        <v>102.22222222222221</v>
      </c>
      <c r="AF171" s="113">
        <f t="shared" si="36"/>
        <v>180</v>
      </c>
      <c r="AG171" s="110">
        <f t="shared" si="32"/>
        <v>0</v>
      </c>
      <c r="AH171" s="113">
        <f t="shared" si="33"/>
        <v>0</v>
      </c>
      <c r="AI171" s="114">
        <f>LOOKUP(W171,'2018 Escalator'!$A$9:$A$41,'2018 Escalator'!$G$9:$G$41)</f>
        <v>1.0267399975608473</v>
      </c>
      <c r="AJ171" s="115">
        <f t="shared" si="34"/>
        <v>1418629.2000498641</v>
      </c>
      <c r="AK171" s="104">
        <f t="shared" si="35"/>
        <v>1418629.2000498641</v>
      </c>
    </row>
    <row r="172" spans="1:37" x14ac:dyDescent="0.2">
      <c r="A172" s="57">
        <v>1644</v>
      </c>
      <c r="B172" s="68" t="s">
        <v>353</v>
      </c>
      <c r="C172" s="58" t="s">
        <v>897</v>
      </c>
      <c r="D172" s="73" t="s">
        <v>898</v>
      </c>
      <c r="E172" s="61" t="s">
        <v>108</v>
      </c>
      <c r="F172" s="58" t="s">
        <v>505</v>
      </c>
      <c r="G172" s="60">
        <v>4352850</v>
      </c>
      <c r="H172" s="60">
        <v>0</v>
      </c>
      <c r="I172" s="60">
        <f>75500+1508185+312393+1</f>
        <v>1896079</v>
      </c>
      <c r="J172" s="115">
        <f>SUM(G172:I172)</f>
        <v>6248929</v>
      </c>
      <c r="K172" s="115">
        <f>J172-L172</f>
        <v>2454929</v>
      </c>
      <c r="L172" s="60">
        <v>3794000</v>
      </c>
      <c r="M172" s="61" t="s">
        <v>99</v>
      </c>
      <c r="N172" s="60"/>
      <c r="O172" s="73"/>
      <c r="P172" s="61">
        <v>2016</v>
      </c>
      <c r="Q172" s="68" t="s">
        <v>213</v>
      </c>
      <c r="R172" s="116">
        <v>25</v>
      </c>
      <c r="S172" s="117">
        <f t="shared" si="28"/>
        <v>14</v>
      </c>
      <c r="T172" s="116">
        <v>39</v>
      </c>
      <c r="U172" s="61">
        <v>2015</v>
      </c>
      <c r="V172" s="61">
        <v>2017</v>
      </c>
      <c r="W172" s="118">
        <f t="shared" si="31"/>
        <v>2016</v>
      </c>
      <c r="X172" s="57" t="s">
        <v>899</v>
      </c>
      <c r="Y172" s="165">
        <f>50</f>
        <v>50</v>
      </c>
      <c r="Z172" s="73"/>
      <c r="AA172" s="73"/>
      <c r="AB172" s="165">
        <f>50*2</f>
        <v>100</v>
      </c>
      <c r="AC172" s="73"/>
      <c r="AD172" s="73"/>
      <c r="AE172" s="112">
        <f t="shared" si="40"/>
        <v>27.777777777777779</v>
      </c>
      <c r="AF172" s="113">
        <f t="shared" si="36"/>
        <v>45</v>
      </c>
      <c r="AG172" s="110">
        <f t="shared" si="32"/>
        <v>50</v>
      </c>
      <c r="AH172" s="113">
        <f t="shared" si="33"/>
        <v>45</v>
      </c>
      <c r="AI172" s="114">
        <f>LOOKUP(W172,'2018 Escalator'!$A$9:$A$41,'2018 Escalator'!$G$9:$G$41)</f>
        <v>1.038286218119775</v>
      </c>
      <c r="AJ172" s="115">
        <f t="shared" si="34"/>
        <v>6488176.858708987</v>
      </c>
      <c r="AK172" s="104">
        <f t="shared" si="35"/>
        <v>6488176.858708987</v>
      </c>
    </row>
    <row r="173" spans="1:37" x14ac:dyDescent="0.2">
      <c r="A173" s="57">
        <v>1276</v>
      </c>
      <c r="B173" s="68" t="s">
        <v>353</v>
      </c>
      <c r="C173" s="68" t="s">
        <v>900</v>
      </c>
      <c r="D173" s="119" t="s">
        <v>901</v>
      </c>
      <c r="E173" s="119" t="s">
        <v>108</v>
      </c>
      <c r="F173" s="68" t="s">
        <v>505</v>
      </c>
      <c r="G173" s="60">
        <v>439201</v>
      </c>
      <c r="H173" s="60">
        <v>0</v>
      </c>
      <c r="I173" s="60">
        <v>199283</v>
      </c>
      <c r="J173" s="115">
        <v>638484</v>
      </c>
      <c r="K173" s="115">
        <v>30484</v>
      </c>
      <c r="L173" s="60">
        <v>608000</v>
      </c>
      <c r="M173" s="61" t="s">
        <v>99</v>
      </c>
      <c r="N173" s="60"/>
      <c r="O173" s="73" t="s">
        <v>565</v>
      </c>
      <c r="P173" s="61">
        <v>2014</v>
      </c>
      <c r="Q173" s="69" t="s">
        <v>100</v>
      </c>
      <c r="R173" s="116">
        <v>34</v>
      </c>
      <c r="S173" s="117">
        <f t="shared" si="28"/>
        <v>4</v>
      </c>
      <c r="T173" s="116">
        <v>38</v>
      </c>
      <c r="U173" s="61">
        <v>2011</v>
      </c>
      <c r="V173" s="61">
        <v>2013</v>
      </c>
      <c r="W173" s="118">
        <f t="shared" si="31"/>
        <v>2012</v>
      </c>
      <c r="X173" s="67" t="s">
        <v>902</v>
      </c>
      <c r="Y173" s="73">
        <f>30*2+112</f>
        <v>172</v>
      </c>
      <c r="Z173" s="73" t="s">
        <v>867</v>
      </c>
      <c r="AA173" s="73" t="s">
        <v>867</v>
      </c>
      <c r="AB173" s="73">
        <v>172</v>
      </c>
      <c r="AC173" s="73" t="s">
        <v>867</v>
      </c>
      <c r="AD173" s="73" t="s">
        <v>867</v>
      </c>
      <c r="AE173" s="112">
        <f t="shared" si="40"/>
        <v>37.777777777777779</v>
      </c>
      <c r="AF173" s="113">
        <f t="shared" si="36"/>
        <v>154.80000000000001</v>
      </c>
      <c r="AG173" s="110">
        <f t="shared" si="32"/>
        <v>0</v>
      </c>
      <c r="AH173" s="113">
        <f t="shared" si="33"/>
        <v>0</v>
      </c>
      <c r="AI173" s="114">
        <f>LOOKUP(W173,'2018 Escalator'!$A$9:$A$41,'2018 Escalator'!$G$9:$G$41)</f>
        <v>1.0925127659799037</v>
      </c>
      <c r="AJ173" s="115">
        <f t="shared" si="34"/>
        <v>697551.92087391275</v>
      </c>
      <c r="AK173" s="104">
        <f t="shared" si="35"/>
        <v>697551.92087391275</v>
      </c>
    </row>
    <row r="174" spans="1:37" x14ac:dyDescent="0.2">
      <c r="A174" s="57">
        <v>823</v>
      </c>
      <c r="B174" s="58" t="s">
        <v>353</v>
      </c>
      <c r="C174" s="58" t="s">
        <v>903</v>
      </c>
      <c r="D174" s="73" t="s">
        <v>904</v>
      </c>
      <c r="E174" s="61" t="s">
        <v>108</v>
      </c>
      <c r="F174" s="58" t="s">
        <v>505</v>
      </c>
      <c r="G174" s="60"/>
      <c r="H174" s="60"/>
      <c r="I174" s="60"/>
      <c r="J174" s="115">
        <f>7045331</f>
        <v>7045331</v>
      </c>
      <c r="K174" s="115">
        <f>J174-L174</f>
        <v>3917108</v>
      </c>
      <c r="L174" s="60">
        <v>3128223</v>
      </c>
      <c r="M174" s="61" t="s">
        <v>129</v>
      </c>
      <c r="N174" s="60">
        <v>3917108</v>
      </c>
      <c r="O174" s="73" t="s">
        <v>565</v>
      </c>
      <c r="P174" s="61">
        <v>2006</v>
      </c>
      <c r="Q174" s="68" t="s">
        <v>100</v>
      </c>
      <c r="R174" s="116">
        <v>10</v>
      </c>
      <c r="S174" s="117">
        <f t="shared" si="28"/>
        <v>25</v>
      </c>
      <c r="T174" s="116">
        <v>35</v>
      </c>
      <c r="U174" s="61">
        <v>2007</v>
      </c>
      <c r="V174" s="61">
        <v>2010</v>
      </c>
      <c r="W174" s="118">
        <f t="shared" si="31"/>
        <v>2009</v>
      </c>
      <c r="X174" s="67" t="s">
        <v>905</v>
      </c>
      <c r="Y174" s="73">
        <f>30+30</f>
        <v>60</v>
      </c>
      <c r="Z174" s="73" t="s">
        <v>721</v>
      </c>
      <c r="AA174" s="73" t="s">
        <v>721</v>
      </c>
      <c r="AB174" s="73">
        <f>50+50</f>
        <v>100</v>
      </c>
      <c r="AC174" s="73" t="s">
        <v>721</v>
      </c>
      <c r="AD174" s="73" t="s">
        <v>721</v>
      </c>
      <c r="AE174" s="112">
        <f t="shared" si="40"/>
        <v>11.111111111111111</v>
      </c>
      <c r="AF174" s="113">
        <f t="shared" si="36"/>
        <v>54</v>
      </c>
      <c r="AG174" s="110">
        <f t="shared" si="32"/>
        <v>40</v>
      </c>
      <c r="AH174" s="113">
        <f t="shared" si="33"/>
        <v>36</v>
      </c>
      <c r="AI174" s="114">
        <f>LOOKUP(W174,'2018 Escalator'!$A$9:$A$41,'2018 Escalator'!$G$9:$G$41)</f>
        <v>1.1803081251084759</v>
      </c>
      <c r="AJ174" s="115">
        <f t="shared" si="34"/>
        <v>8315661.423378624</v>
      </c>
      <c r="AK174" s="104">
        <f t="shared" si="35"/>
        <v>12939055.822706036</v>
      </c>
    </row>
    <row r="175" spans="1:37" x14ac:dyDescent="0.2">
      <c r="A175" s="57">
        <v>1601</v>
      </c>
      <c r="B175" s="58" t="s">
        <v>353</v>
      </c>
      <c r="C175" s="58" t="s">
        <v>906</v>
      </c>
      <c r="D175" s="73" t="s">
        <v>907</v>
      </c>
      <c r="E175" s="61" t="s">
        <v>108</v>
      </c>
      <c r="F175" s="58" t="s">
        <v>505</v>
      </c>
      <c r="G175" s="60">
        <v>2815328</v>
      </c>
      <c r="H175" s="60">
        <v>0</v>
      </c>
      <c r="I175" s="60">
        <f>4000+725510+0+360206</f>
        <v>1089716</v>
      </c>
      <c r="J175" s="115">
        <f>SUM(G175:I175)</f>
        <v>3905044</v>
      </c>
      <c r="K175" s="115">
        <f>J175-L175</f>
        <v>3905044</v>
      </c>
      <c r="L175" s="60">
        <v>0</v>
      </c>
      <c r="M175" s="61" t="s">
        <v>99</v>
      </c>
      <c r="N175" s="60"/>
      <c r="O175" s="73"/>
      <c r="P175" s="61">
        <v>2015</v>
      </c>
      <c r="Q175" s="68" t="s">
        <v>213</v>
      </c>
      <c r="R175" s="116">
        <v>77</v>
      </c>
      <c r="S175" s="117">
        <f t="shared" si="28"/>
        <v>0</v>
      </c>
      <c r="T175" s="116">
        <v>77</v>
      </c>
      <c r="U175" s="61">
        <v>2013</v>
      </c>
      <c r="V175" s="61">
        <v>2016</v>
      </c>
      <c r="W175" s="118">
        <f t="shared" si="31"/>
        <v>2015</v>
      </c>
      <c r="X175" s="67" t="s">
        <v>908</v>
      </c>
      <c r="Y175" s="73">
        <f>33.6+50+50</f>
        <v>133.6</v>
      </c>
      <c r="Z175" s="73"/>
      <c r="AA175" s="73"/>
      <c r="AB175" s="73">
        <f>33.6+50+50</f>
        <v>133.6</v>
      </c>
      <c r="AC175" s="73"/>
      <c r="AD175" s="73"/>
      <c r="AE175" s="112">
        <f t="shared" si="40"/>
        <v>85.555555555555557</v>
      </c>
      <c r="AF175" s="113">
        <f t="shared" si="36"/>
        <v>120.24</v>
      </c>
      <c r="AG175" s="110">
        <f t="shared" si="32"/>
        <v>0</v>
      </c>
      <c r="AH175" s="113">
        <f t="shared" si="33"/>
        <v>0</v>
      </c>
      <c r="AI175" s="114">
        <f>LOOKUP(W175,'2018 Escalator'!$A$9:$A$41,'2018 Escalator'!$G$9:$G$41)</f>
        <v>1.0267399975608473</v>
      </c>
      <c r="AJ175" s="115">
        <f t="shared" si="34"/>
        <v>4009464.8670350015</v>
      </c>
      <c r="AK175" s="104">
        <f t="shared" si="35"/>
        <v>4009464.8670350015</v>
      </c>
    </row>
    <row r="176" spans="1:37" x14ac:dyDescent="0.2">
      <c r="A176" s="57">
        <v>1046</v>
      </c>
      <c r="B176" s="58" t="s">
        <v>353</v>
      </c>
      <c r="C176" s="58" t="s">
        <v>909</v>
      </c>
      <c r="D176" s="61" t="s">
        <v>910</v>
      </c>
      <c r="E176" s="61" t="s">
        <v>108</v>
      </c>
      <c r="F176" s="58" t="s">
        <v>505</v>
      </c>
      <c r="G176" s="60">
        <v>9861296</v>
      </c>
      <c r="H176" s="60">
        <v>0</v>
      </c>
      <c r="I176" s="60">
        <v>2313486</v>
      </c>
      <c r="J176" s="115">
        <v>12174782</v>
      </c>
      <c r="K176" s="115">
        <v>10290782</v>
      </c>
      <c r="L176" s="60">
        <v>1884000</v>
      </c>
      <c r="M176" s="61" t="s">
        <v>99</v>
      </c>
      <c r="N176" s="60"/>
      <c r="O176" s="73" t="s">
        <v>565</v>
      </c>
      <c r="P176" s="61">
        <v>2014</v>
      </c>
      <c r="Q176" s="69" t="s">
        <v>100</v>
      </c>
      <c r="R176" s="116">
        <v>33</v>
      </c>
      <c r="S176" s="117">
        <f t="shared" si="28"/>
        <v>17</v>
      </c>
      <c r="T176" s="116">
        <v>50</v>
      </c>
      <c r="U176" s="61">
        <v>2011</v>
      </c>
      <c r="V176" s="61">
        <v>2012</v>
      </c>
      <c r="W176" s="118">
        <f t="shared" si="31"/>
        <v>2011</v>
      </c>
      <c r="X176" s="67" t="s">
        <v>911</v>
      </c>
      <c r="Y176" s="73">
        <f>30+30</f>
        <v>60</v>
      </c>
      <c r="Z176" s="73" t="s">
        <v>912</v>
      </c>
      <c r="AA176" s="73" t="s">
        <v>912</v>
      </c>
      <c r="AB176" s="73">
        <f>30+30+50</f>
        <v>110</v>
      </c>
      <c r="AC176" s="73" t="s">
        <v>912</v>
      </c>
      <c r="AD176" s="73" t="s">
        <v>912</v>
      </c>
      <c r="AE176" s="112">
        <f t="shared" si="40"/>
        <v>36.666666666666664</v>
      </c>
      <c r="AF176" s="113">
        <f t="shared" si="36"/>
        <v>54</v>
      </c>
      <c r="AG176" s="110">
        <f t="shared" si="32"/>
        <v>50</v>
      </c>
      <c r="AH176" s="113">
        <f t="shared" si="33"/>
        <v>45</v>
      </c>
      <c r="AI176" s="114">
        <f>LOOKUP(W176,'2018 Escalator'!$A$9:$A$41,'2018 Escalator'!$G$9:$G$41)</f>
        <v>1.1366200577120069</v>
      </c>
      <c r="AJ176" s="115">
        <f t="shared" si="34"/>
        <v>13838101.419471104</v>
      </c>
      <c r="AK176" s="104">
        <f t="shared" si="35"/>
        <v>13838101.419471104</v>
      </c>
    </row>
    <row r="177" spans="1:37" x14ac:dyDescent="0.2">
      <c r="A177" s="57">
        <v>873</v>
      </c>
      <c r="B177" s="58" t="s">
        <v>353</v>
      </c>
      <c r="C177" s="58" t="s">
        <v>913</v>
      </c>
      <c r="D177" s="61" t="s">
        <v>914</v>
      </c>
      <c r="E177" s="61" t="s">
        <v>108</v>
      </c>
      <c r="F177" s="58" t="s">
        <v>505</v>
      </c>
      <c r="G177" s="60">
        <v>7304138</v>
      </c>
      <c r="H177" s="60">
        <v>0</v>
      </c>
      <c r="I177" s="60">
        <v>2228533</v>
      </c>
      <c r="J177" s="115">
        <v>9532671</v>
      </c>
      <c r="K177" s="115">
        <v>8572671</v>
      </c>
      <c r="L177" s="60">
        <v>960000</v>
      </c>
      <c r="M177" s="61" t="s">
        <v>99</v>
      </c>
      <c r="N177" s="60"/>
      <c r="O177" s="73" t="s">
        <v>565</v>
      </c>
      <c r="P177" s="61">
        <v>2013</v>
      </c>
      <c r="Q177" s="69" t="s">
        <v>100</v>
      </c>
      <c r="R177" s="116">
        <v>38</v>
      </c>
      <c r="S177" s="117">
        <f t="shared" si="28"/>
        <v>10</v>
      </c>
      <c r="T177" s="116">
        <v>48</v>
      </c>
      <c r="U177" s="61">
        <v>2011</v>
      </c>
      <c r="V177" s="61">
        <v>2012</v>
      </c>
      <c r="W177" s="118">
        <f t="shared" si="31"/>
        <v>2011</v>
      </c>
      <c r="X177" s="67" t="s">
        <v>915</v>
      </c>
      <c r="Y177" s="73">
        <f>16.7+30+30</f>
        <v>76.7</v>
      </c>
      <c r="Z177" s="73" t="s">
        <v>721</v>
      </c>
      <c r="AA177" s="73" t="s">
        <v>721</v>
      </c>
      <c r="AB177" s="73">
        <f>16.7+30+30+50</f>
        <v>126.7</v>
      </c>
      <c r="AC177" s="73" t="s">
        <v>721</v>
      </c>
      <c r="AD177" s="73" t="s">
        <v>721</v>
      </c>
      <c r="AE177" s="112">
        <f t="shared" si="40"/>
        <v>42.222222222222221</v>
      </c>
      <c r="AF177" s="113">
        <f t="shared" si="36"/>
        <v>69.03</v>
      </c>
      <c r="AG177" s="110">
        <f t="shared" si="32"/>
        <v>50</v>
      </c>
      <c r="AH177" s="113">
        <f t="shared" si="33"/>
        <v>45</v>
      </c>
      <c r="AI177" s="114">
        <f>LOOKUP(W177,'2018 Escalator'!$A$9:$A$41,'2018 Escalator'!$G$9:$G$41)</f>
        <v>1.1366200577120069</v>
      </c>
      <c r="AJ177" s="115">
        <f t="shared" si="34"/>
        <v>10835025.062169574</v>
      </c>
      <c r="AK177" s="104">
        <f t="shared" si="35"/>
        <v>10835025.062169574</v>
      </c>
    </row>
    <row r="178" spans="1:37" x14ac:dyDescent="0.2">
      <c r="A178" s="57">
        <v>630</v>
      </c>
      <c r="B178" s="58" t="s">
        <v>353</v>
      </c>
      <c r="C178" s="58" t="s">
        <v>916</v>
      </c>
      <c r="D178" s="61" t="s">
        <v>917</v>
      </c>
      <c r="E178" s="61" t="s">
        <v>108</v>
      </c>
      <c r="F178" s="58" t="s">
        <v>505</v>
      </c>
      <c r="G178" s="60">
        <v>478183</v>
      </c>
      <c r="H178" s="60">
        <v>0</v>
      </c>
      <c r="I178" s="60">
        <v>129738</v>
      </c>
      <c r="J178" s="115">
        <v>607921</v>
      </c>
      <c r="K178" s="115">
        <v>100293</v>
      </c>
      <c r="L178" s="60">
        <v>580578</v>
      </c>
      <c r="M178" s="61" t="s">
        <v>129</v>
      </c>
      <c r="N178" s="60"/>
      <c r="O178" s="73" t="s">
        <v>565</v>
      </c>
      <c r="P178" s="61">
        <v>2008</v>
      </c>
      <c r="Q178" s="58" t="s">
        <v>100</v>
      </c>
      <c r="R178" s="116">
        <v>36.4</v>
      </c>
      <c r="S178" s="117">
        <f t="shared" si="28"/>
        <v>3.6000000000000014</v>
      </c>
      <c r="T178" s="116">
        <v>40</v>
      </c>
      <c r="U178" s="61">
        <v>2006</v>
      </c>
      <c r="V178" s="61">
        <v>2008</v>
      </c>
      <c r="W178" s="118">
        <f t="shared" si="31"/>
        <v>2007</v>
      </c>
      <c r="X178" s="57" t="s">
        <v>918</v>
      </c>
      <c r="Y178" s="73">
        <f>50+50+13.3</f>
        <v>113.3</v>
      </c>
      <c r="Z178" s="73" t="s">
        <v>721</v>
      </c>
      <c r="AA178" s="73" t="s">
        <v>721</v>
      </c>
      <c r="AB178" s="73">
        <f>50+50+13.3</f>
        <v>113.3</v>
      </c>
      <c r="AC178" s="73" t="s">
        <v>721</v>
      </c>
      <c r="AD178" s="73" t="s">
        <v>721</v>
      </c>
      <c r="AE178" s="112">
        <f t="shared" si="40"/>
        <v>40.444444444444443</v>
      </c>
      <c r="AF178" s="113">
        <f t="shared" si="36"/>
        <v>101.97</v>
      </c>
      <c r="AG178" s="110">
        <f t="shared" si="32"/>
        <v>0</v>
      </c>
      <c r="AH178" s="113">
        <f t="shared" si="33"/>
        <v>0</v>
      </c>
      <c r="AI178" s="114">
        <f>LOOKUP(W178,'2018 Escalator'!$A$9:$A$41,'2018 Escalator'!$G$9:$G$41)</f>
        <v>1.2531539462632446</v>
      </c>
      <c r="AJ178" s="115">
        <f t="shared" si="34"/>
        <v>761818.60016629798</v>
      </c>
      <c r="AK178" s="104">
        <f t="shared" si="35"/>
        <v>761818.60016629798</v>
      </c>
    </row>
    <row r="179" spans="1:37" x14ac:dyDescent="0.2">
      <c r="A179" s="57">
        <v>1107</v>
      </c>
      <c r="B179" s="58" t="s">
        <v>353</v>
      </c>
      <c r="C179" s="58" t="s">
        <v>919</v>
      </c>
      <c r="D179" s="73" t="s">
        <v>920</v>
      </c>
      <c r="E179" s="61" t="s">
        <v>108</v>
      </c>
      <c r="F179" s="58" t="s">
        <v>505</v>
      </c>
      <c r="G179" s="60">
        <v>6174204</v>
      </c>
      <c r="H179" s="60">
        <v>0</v>
      </c>
      <c r="I179" s="60">
        <f>213561+502894+0+593189</f>
        <v>1309644</v>
      </c>
      <c r="J179" s="115">
        <f>SUM(G179:I179)</f>
        <v>7483848</v>
      </c>
      <c r="K179" s="115">
        <f>J179-L179</f>
        <v>3736848</v>
      </c>
      <c r="L179" s="60">
        <v>3747000</v>
      </c>
      <c r="M179" s="61" t="s">
        <v>99</v>
      </c>
      <c r="N179" s="60"/>
      <c r="O179" s="73">
        <v>2010</v>
      </c>
      <c r="P179" s="61">
        <v>2015</v>
      </c>
      <c r="Q179" s="69" t="s">
        <v>100</v>
      </c>
      <c r="R179" s="116">
        <v>16</v>
      </c>
      <c r="S179" s="117">
        <f t="shared" si="28"/>
        <v>24</v>
      </c>
      <c r="T179" s="116">
        <v>40</v>
      </c>
      <c r="U179" s="61">
        <v>2013</v>
      </c>
      <c r="V179" s="61">
        <v>2015</v>
      </c>
      <c r="W179" s="118">
        <f t="shared" si="31"/>
        <v>2014</v>
      </c>
      <c r="X179" s="57" t="s">
        <v>921</v>
      </c>
      <c r="Y179" s="61">
        <f>50</f>
        <v>50</v>
      </c>
      <c r="Z179" s="73" t="s">
        <v>516</v>
      </c>
      <c r="AA179" s="73" t="s">
        <v>516</v>
      </c>
      <c r="AB179" s="61">
        <f>50+50</f>
        <v>100</v>
      </c>
      <c r="AC179" s="73" t="s">
        <v>516</v>
      </c>
      <c r="AD179" s="73" t="s">
        <v>516</v>
      </c>
      <c r="AE179" s="112">
        <f t="shared" si="40"/>
        <v>17.777777777777779</v>
      </c>
      <c r="AF179" s="113">
        <f t="shared" si="36"/>
        <v>45</v>
      </c>
      <c r="AG179" s="110">
        <f t="shared" si="32"/>
        <v>50</v>
      </c>
      <c r="AH179" s="113">
        <f t="shared" si="33"/>
        <v>45</v>
      </c>
      <c r="AI179" s="114">
        <f>LOOKUP(W179,'2018 Escalator'!$A$9:$A$41,'2018 Escalator'!$G$9:$G$41)</f>
        <v>1.0288837306891399</v>
      </c>
      <c r="AJ179" s="115">
        <f t="shared" si="34"/>
        <v>7700009.4501504581</v>
      </c>
      <c r="AK179" s="104">
        <f t="shared" si="35"/>
        <v>7700009.4501504581</v>
      </c>
    </row>
    <row r="180" spans="1:37" ht="12.75" customHeight="1" x14ac:dyDescent="0.2">
      <c r="A180" s="57">
        <v>682</v>
      </c>
      <c r="B180" s="58" t="s">
        <v>353</v>
      </c>
      <c r="C180" s="58" t="s">
        <v>922</v>
      </c>
      <c r="D180" s="61" t="s">
        <v>370</v>
      </c>
      <c r="E180" s="61" t="s">
        <v>108</v>
      </c>
      <c r="F180" s="58" t="s">
        <v>505</v>
      </c>
      <c r="G180" s="60">
        <v>2692659</v>
      </c>
      <c r="H180" s="60">
        <v>0</v>
      </c>
      <c r="I180" s="60">
        <v>887104</v>
      </c>
      <c r="J180" s="115">
        <v>3579763</v>
      </c>
      <c r="K180" s="115">
        <v>1718409</v>
      </c>
      <c r="L180" s="60">
        <v>2045469</v>
      </c>
      <c r="M180" s="61" t="s">
        <v>129</v>
      </c>
      <c r="N180" s="60"/>
      <c r="O180" s="73">
        <v>2005</v>
      </c>
      <c r="P180" s="61">
        <v>2011</v>
      </c>
      <c r="Q180" s="58" t="s">
        <v>100</v>
      </c>
      <c r="R180" s="116">
        <v>12</v>
      </c>
      <c r="S180" s="117">
        <f t="shared" si="28"/>
        <v>18</v>
      </c>
      <c r="T180" s="116">
        <v>30</v>
      </c>
      <c r="U180" s="61">
        <v>2007</v>
      </c>
      <c r="V180" s="61">
        <v>2010</v>
      </c>
      <c r="W180" s="118">
        <f t="shared" si="31"/>
        <v>2009</v>
      </c>
      <c r="X180" s="67" t="s">
        <v>923</v>
      </c>
      <c r="Y180" s="61">
        <f>30</f>
        <v>30</v>
      </c>
      <c r="Z180" s="73" t="s">
        <v>509</v>
      </c>
      <c r="AA180" s="73" t="s">
        <v>509</v>
      </c>
      <c r="AB180" s="61">
        <f>30+30</f>
        <v>60</v>
      </c>
      <c r="AC180" s="73" t="s">
        <v>509</v>
      </c>
      <c r="AD180" s="73" t="s">
        <v>509</v>
      </c>
      <c r="AE180" s="112">
        <f t="shared" si="40"/>
        <v>13.333333333333332</v>
      </c>
      <c r="AF180" s="113">
        <f t="shared" si="36"/>
        <v>27</v>
      </c>
      <c r="AG180" s="110">
        <f t="shared" si="32"/>
        <v>30</v>
      </c>
      <c r="AH180" s="113">
        <f t="shared" si="33"/>
        <v>27</v>
      </c>
      <c r="AI180" s="114">
        <f>LOOKUP(W180,'2018 Escalator'!$A$9:$A$41,'2018 Escalator'!$G$9:$G$41)</f>
        <v>1.1803081251084759</v>
      </c>
      <c r="AJ180" s="115">
        <f t="shared" si="34"/>
        <v>4225223.3548626928</v>
      </c>
      <c r="AK180" s="104">
        <f t="shared" si="35"/>
        <v>4225223.3548626928</v>
      </c>
    </row>
    <row r="181" spans="1:37" ht="12.75" customHeight="1" x14ac:dyDescent="0.2">
      <c r="A181" s="57">
        <v>677</v>
      </c>
      <c r="B181" s="58" t="s">
        <v>353</v>
      </c>
      <c r="C181" s="58" t="s">
        <v>924</v>
      </c>
      <c r="D181" s="61" t="s">
        <v>925</v>
      </c>
      <c r="E181" s="61" t="s">
        <v>108</v>
      </c>
      <c r="F181" s="58" t="s">
        <v>505</v>
      </c>
      <c r="G181" s="60">
        <v>3813737</v>
      </c>
      <c r="H181" s="60">
        <v>0</v>
      </c>
      <c r="I181" s="60">
        <v>1241948</v>
      </c>
      <c r="J181" s="115">
        <v>5055685</v>
      </c>
      <c r="K181" s="115">
        <v>0</v>
      </c>
      <c r="L181" s="60">
        <v>5662367</v>
      </c>
      <c r="M181" s="61" t="s">
        <v>129</v>
      </c>
      <c r="N181" s="60"/>
      <c r="O181" s="73" t="s">
        <v>565</v>
      </c>
      <c r="P181" s="61">
        <v>2011</v>
      </c>
      <c r="Q181" s="58" t="s">
        <v>100</v>
      </c>
      <c r="R181" s="116">
        <v>117</v>
      </c>
      <c r="S181" s="117">
        <f t="shared" si="28"/>
        <v>0</v>
      </c>
      <c r="T181" s="116">
        <v>117</v>
      </c>
      <c r="U181" s="61">
        <v>2007</v>
      </c>
      <c r="V181" s="61">
        <v>2010</v>
      </c>
      <c r="W181" s="118">
        <f t="shared" si="31"/>
        <v>2009</v>
      </c>
      <c r="X181" s="120" t="s">
        <v>926</v>
      </c>
      <c r="Y181" s="73">
        <f>50+50+50+80+80</f>
        <v>310</v>
      </c>
      <c r="Z181" s="121" t="s">
        <v>927</v>
      </c>
      <c r="AA181" s="121" t="s">
        <v>927</v>
      </c>
      <c r="AB181" s="73">
        <f>50+50+50+80+80+50</f>
        <v>360</v>
      </c>
      <c r="AC181" s="121" t="s">
        <v>927</v>
      </c>
      <c r="AD181" s="121" t="s">
        <v>927</v>
      </c>
      <c r="AE181" s="112">
        <f t="shared" si="40"/>
        <v>130</v>
      </c>
      <c r="AF181" s="113">
        <f t="shared" si="36"/>
        <v>279</v>
      </c>
      <c r="AG181" s="110">
        <f t="shared" si="32"/>
        <v>50</v>
      </c>
      <c r="AH181" s="113">
        <f t="shared" si="33"/>
        <v>45</v>
      </c>
      <c r="AI181" s="114">
        <f>LOOKUP(W181,'2018 Escalator'!$A$9:$A$41,'2018 Escalator'!$G$9:$G$41)</f>
        <v>1.1803081251084759</v>
      </c>
      <c r="AJ181" s="115">
        <f t="shared" si="34"/>
        <v>5967266.0834890455</v>
      </c>
      <c r="AK181" s="104">
        <f t="shared" si="35"/>
        <v>5967266.0834890455</v>
      </c>
    </row>
    <row r="182" spans="1:37" x14ac:dyDescent="0.2">
      <c r="A182" s="57">
        <v>643</v>
      </c>
      <c r="B182" s="58" t="s">
        <v>353</v>
      </c>
      <c r="C182" s="58" t="s">
        <v>928</v>
      </c>
      <c r="D182" s="61" t="s">
        <v>929</v>
      </c>
      <c r="E182" s="61" t="s">
        <v>108</v>
      </c>
      <c r="F182" s="58" t="s">
        <v>505</v>
      </c>
      <c r="G182" s="60">
        <v>2391480</v>
      </c>
      <c r="H182" s="60">
        <v>0</v>
      </c>
      <c r="I182" s="60">
        <v>1343707</v>
      </c>
      <c r="J182" s="115">
        <v>3735187</v>
      </c>
      <c r="K182" s="115">
        <v>4183409</v>
      </c>
      <c r="L182" s="60">
        <v>0</v>
      </c>
      <c r="M182" s="61" t="s">
        <v>129</v>
      </c>
      <c r="N182" s="60"/>
      <c r="O182" s="73" t="s">
        <v>565</v>
      </c>
      <c r="P182" s="61">
        <v>2011</v>
      </c>
      <c r="Q182" s="58" t="s">
        <v>100</v>
      </c>
      <c r="R182" s="116">
        <v>53.37</v>
      </c>
      <c r="S182" s="117">
        <f t="shared" si="28"/>
        <v>0.5</v>
      </c>
      <c r="T182" s="116">
        <v>53.87</v>
      </c>
      <c r="U182" s="61">
        <v>2006</v>
      </c>
      <c r="V182" s="61">
        <v>2010</v>
      </c>
      <c r="W182" s="118">
        <f t="shared" si="31"/>
        <v>2009</v>
      </c>
      <c r="X182" s="67" t="s">
        <v>930</v>
      </c>
      <c r="Y182" s="73">
        <f>28+28+30</f>
        <v>86</v>
      </c>
      <c r="Z182" s="73" t="s">
        <v>516</v>
      </c>
      <c r="AA182" s="73" t="s">
        <v>516</v>
      </c>
      <c r="AB182" s="73">
        <f>33.3+50+50</f>
        <v>133.30000000000001</v>
      </c>
      <c r="AC182" s="73" t="s">
        <v>516</v>
      </c>
      <c r="AD182" s="73" t="s">
        <v>516</v>
      </c>
      <c r="AE182" s="112">
        <f t="shared" si="40"/>
        <v>59.3</v>
      </c>
      <c r="AF182" s="113">
        <f t="shared" si="36"/>
        <v>77.400000000000006</v>
      </c>
      <c r="AG182" s="110">
        <f t="shared" si="32"/>
        <v>47.300000000000011</v>
      </c>
      <c r="AH182" s="113">
        <f t="shared" si="33"/>
        <v>42.570000000000014</v>
      </c>
      <c r="AI182" s="114">
        <f>LOOKUP(W182,'2018 Escalator'!$A$9:$A$41,'2018 Escalator'!$G$9:$G$41)</f>
        <v>1.1803081251084759</v>
      </c>
      <c r="AJ182" s="115">
        <f t="shared" si="34"/>
        <v>4408671.5648995526</v>
      </c>
      <c r="AK182" s="104">
        <f t="shared" si="35"/>
        <v>4408671.5648995526</v>
      </c>
    </row>
    <row r="183" spans="1:37" x14ac:dyDescent="0.2">
      <c r="A183" s="57"/>
      <c r="B183" s="68"/>
      <c r="C183" s="69"/>
      <c r="D183" s="73"/>
      <c r="F183" s="58" t="s">
        <v>505</v>
      </c>
      <c r="G183" s="60"/>
      <c r="H183" s="60"/>
      <c r="I183" s="60"/>
      <c r="J183" s="115">
        <f t="shared" ref="J183:J188" si="41">SUM(G183:I183)</f>
        <v>0</v>
      </c>
      <c r="K183" s="115">
        <f t="shared" ref="K183:K188" si="42">J183-L183</f>
        <v>0</v>
      </c>
      <c r="L183" s="60"/>
      <c r="M183" s="61" t="s">
        <v>99</v>
      </c>
      <c r="N183" s="60"/>
      <c r="O183" s="73"/>
      <c r="P183" s="61"/>
      <c r="R183" s="116"/>
      <c r="S183" s="117">
        <f t="shared" si="28"/>
        <v>0</v>
      </c>
      <c r="T183" s="116"/>
      <c r="U183" s="61"/>
      <c r="V183" s="61"/>
      <c r="W183" s="118">
        <f t="shared" si="31"/>
        <v>-1</v>
      </c>
      <c r="X183" s="120"/>
      <c r="Y183" s="73"/>
      <c r="Z183" s="121"/>
      <c r="AA183" s="121"/>
      <c r="AB183" s="73"/>
      <c r="AC183" s="121"/>
      <c r="AD183" s="121"/>
      <c r="AE183" s="112">
        <f t="shared" si="40"/>
        <v>0</v>
      </c>
      <c r="AF183" s="113">
        <f t="shared" si="36"/>
        <v>0</v>
      </c>
      <c r="AG183" s="110">
        <f t="shared" si="32"/>
        <v>0</v>
      </c>
      <c r="AH183" s="113">
        <f t="shared" si="33"/>
        <v>0</v>
      </c>
      <c r="AI183" s="114" t="e">
        <f>LOOKUP(W183,'2018 Escalator'!$A$9:$A$41,'2018 Escalator'!$G$9:$G$41)</f>
        <v>#N/A</v>
      </c>
      <c r="AJ183" s="115" t="e">
        <f t="shared" si="34"/>
        <v>#N/A</v>
      </c>
      <c r="AK183" s="104" t="e">
        <f t="shared" si="35"/>
        <v>#N/A</v>
      </c>
    </row>
    <row r="184" spans="1:37" x14ac:dyDescent="0.2">
      <c r="A184" s="57"/>
      <c r="B184" s="68"/>
      <c r="C184" s="69"/>
      <c r="D184" s="73"/>
      <c r="F184" s="58" t="s">
        <v>505</v>
      </c>
      <c r="G184" s="60"/>
      <c r="H184" s="60"/>
      <c r="I184" s="60"/>
      <c r="J184" s="115">
        <f t="shared" si="41"/>
        <v>0</v>
      </c>
      <c r="K184" s="115">
        <f t="shared" si="42"/>
        <v>0</v>
      </c>
      <c r="L184" s="60"/>
      <c r="M184" s="61" t="s">
        <v>99</v>
      </c>
      <c r="N184" s="60"/>
      <c r="O184" s="73"/>
      <c r="P184" s="61"/>
      <c r="R184" s="116"/>
      <c r="S184" s="117">
        <f t="shared" si="28"/>
        <v>0</v>
      </c>
      <c r="T184" s="116"/>
      <c r="U184" s="61"/>
      <c r="V184" s="61"/>
      <c r="W184" s="118">
        <f t="shared" si="31"/>
        <v>-1</v>
      </c>
      <c r="X184" s="120"/>
      <c r="Y184" s="73"/>
      <c r="Z184" s="121"/>
      <c r="AA184" s="121"/>
      <c r="AB184" s="73"/>
      <c r="AC184" s="121"/>
      <c r="AD184" s="121"/>
      <c r="AE184" s="112">
        <f t="shared" si="40"/>
        <v>0</v>
      </c>
      <c r="AF184" s="113">
        <f t="shared" si="36"/>
        <v>0</v>
      </c>
      <c r="AG184" s="110">
        <f t="shared" si="32"/>
        <v>0</v>
      </c>
      <c r="AH184" s="113">
        <f t="shared" si="33"/>
        <v>0</v>
      </c>
      <c r="AI184" s="114" t="e">
        <f>LOOKUP(W184,'2018 Escalator'!$A$9:$A$41,'2018 Escalator'!$G$9:$G$41)</f>
        <v>#N/A</v>
      </c>
      <c r="AJ184" s="115" t="e">
        <f t="shared" si="34"/>
        <v>#N/A</v>
      </c>
      <c r="AK184" s="104" t="e">
        <f t="shared" si="35"/>
        <v>#N/A</v>
      </c>
    </row>
    <row r="185" spans="1:37" x14ac:dyDescent="0.2">
      <c r="A185" s="57"/>
      <c r="B185" s="68"/>
      <c r="C185" s="69"/>
      <c r="D185" s="73"/>
      <c r="F185" s="58" t="s">
        <v>505</v>
      </c>
      <c r="G185" s="60"/>
      <c r="H185" s="60"/>
      <c r="I185" s="60"/>
      <c r="J185" s="115">
        <f t="shared" si="41"/>
        <v>0</v>
      </c>
      <c r="K185" s="115">
        <f t="shared" si="42"/>
        <v>0</v>
      </c>
      <c r="L185" s="60"/>
      <c r="M185" s="61" t="s">
        <v>99</v>
      </c>
      <c r="N185" s="60"/>
      <c r="O185" s="73"/>
      <c r="P185" s="61"/>
      <c r="R185" s="116"/>
      <c r="S185" s="117">
        <f t="shared" si="28"/>
        <v>0</v>
      </c>
      <c r="T185" s="116"/>
      <c r="U185" s="61"/>
      <c r="V185" s="61"/>
      <c r="W185" s="118">
        <f t="shared" si="31"/>
        <v>-1</v>
      </c>
      <c r="X185" s="120"/>
      <c r="Y185" s="73"/>
      <c r="Z185" s="121"/>
      <c r="AA185" s="121"/>
      <c r="AB185" s="73"/>
      <c r="AC185" s="121"/>
      <c r="AD185" s="121"/>
      <c r="AE185" s="112">
        <f t="shared" si="40"/>
        <v>0</v>
      </c>
      <c r="AF185" s="113">
        <f t="shared" si="36"/>
        <v>0</v>
      </c>
      <c r="AG185" s="110">
        <f t="shared" si="32"/>
        <v>0</v>
      </c>
      <c r="AH185" s="113">
        <f t="shared" si="33"/>
        <v>0</v>
      </c>
      <c r="AI185" s="114" t="e">
        <f>LOOKUP(W185,'2018 Escalator'!$A$9:$A$41,'2018 Escalator'!$G$9:$G$41)</f>
        <v>#N/A</v>
      </c>
      <c r="AJ185" s="115" t="e">
        <f t="shared" si="34"/>
        <v>#N/A</v>
      </c>
      <c r="AK185" s="104" t="e">
        <f t="shared" si="35"/>
        <v>#N/A</v>
      </c>
    </row>
    <row r="186" spans="1:37" x14ac:dyDescent="0.2">
      <c r="A186" s="57"/>
      <c r="F186" s="58" t="s">
        <v>505</v>
      </c>
      <c r="G186" s="60"/>
      <c r="H186" s="60"/>
      <c r="I186" s="60"/>
      <c r="J186" s="115">
        <f t="shared" si="41"/>
        <v>0</v>
      </c>
      <c r="K186" s="115">
        <f t="shared" si="42"/>
        <v>0</v>
      </c>
      <c r="L186" s="60"/>
      <c r="M186" s="61" t="s">
        <v>99</v>
      </c>
      <c r="N186" s="60"/>
      <c r="O186" s="73"/>
      <c r="P186" s="61"/>
      <c r="R186" s="116"/>
      <c r="S186" s="117">
        <f t="shared" si="28"/>
        <v>0</v>
      </c>
      <c r="T186" s="116"/>
      <c r="U186" s="61"/>
      <c r="V186" s="61"/>
      <c r="W186" s="118">
        <f t="shared" si="31"/>
        <v>-1</v>
      </c>
      <c r="X186" s="120"/>
      <c r="Y186" s="73"/>
      <c r="Z186" s="121"/>
      <c r="AA186" s="121"/>
      <c r="AB186" s="73"/>
      <c r="AC186" s="121"/>
      <c r="AD186" s="121"/>
      <c r="AE186" s="112">
        <f t="shared" si="40"/>
        <v>0</v>
      </c>
      <c r="AF186" s="113">
        <f t="shared" si="36"/>
        <v>0</v>
      </c>
      <c r="AG186" s="110">
        <f t="shared" si="32"/>
        <v>0</v>
      </c>
      <c r="AH186" s="113">
        <f t="shared" si="33"/>
        <v>0</v>
      </c>
      <c r="AI186" s="114" t="e">
        <f>LOOKUP(W186,'2018 Escalator'!$A$9:$A$41,'2018 Escalator'!$G$9:$G$41)</f>
        <v>#N/A</v>
      </c>
      <c r="AJ186" s="115" t="e">
        <f t="shared" si="34"/>
        <v>#N/A</v>
      </c>
      <c r="AK186" s="104" t="e">
        <f t="shared" si="35"/>
        <v>#N/A</v>
      </c>
    </row>
    <row r="187" spans="1:37" x14ac:dyDescent="0.2">
      <c r="A187" s="57"/>
      <c r="F187" s="58" t="s">
        <v>505</v>
      </c>
      <c r="G187" s="60"/>
      <c r="H187" s="60"/>
      <c r="I187" s="60"/>
      <c r="J187" s="115">
        <f t="shared" si="41"/>
        <v>0</v>
      </c>
      <c r="K187" s="115">
        <f t="shared" si="42"/>
        <v>0</v>
      </c>
      <c r="L187" s="60"/>
      <c r="M187" s="61" t="s">
        <v>99</v>
      </c>
      <c r="N187" s="60"/>
      <c r="O187" s="73"/>
      <c r="P187" s="61"/>
      <c r="R187" s="116"/>
      <c r="S187" s="117">
        <f t="shared" si="28"/>
        <v>0</v>
      </c>
      <c r="T187" s="116"/>
      <c r="U187" s="61"/>
      <c r="V187" s="61"/>
      <c r="W187" s="118">
        <f t="shared" si="31"/>
        <v>-1</v>
      </c>
      <c r="X187" s="120"/>
      <c r="Y187" s="73"/>
      <c r="Z187" s="121"/>
      <c r="AA187" s="121"/>
      <c r="AB187" s="73"/>
      <c r="AC187" s="121"/>
      <c r="AD187" s="121"/>
      <c r="AE187" s="112">
        <f t="shared" si="40"/>
        <v>0</v>
      </c>
      <c r="AF187" s="113">
        <f t="shared" si="36"/>
        <v>0</v>
      </c>
      <c r="AG187" s="110">
        <f t="shared" si="32"/>
        <v>0</v>
      </c>
      <c r="AH187" s="113">
        <f t="shared" si="33"/>
        <v>0</v>
      </c>
      <c r="AI187" s="114" t="e">
        <f>LOOKUP(W187,'2018 Escalator'!$A$9:$A$41,'2018 Escalator'!$G$9:$G$41)</f>
        <v>#N/A</v>
      </c>
      <c r="AJ187" s="115" t="e">
        <f t="shared" si="34"/>
        <v>#N/A</v>
      </c>
      <c r="AK187" s="104" t="e">
        <f t="shared" si="35"/>
        <v>#N/A</v>
      </c>
    </row>
    <row r="188" spans="1:37" x14ac:dyDescent="0.2">
      <c r="A188" s="57"/>
      <c r="F188" s="58" t="s">
        <v>505</v>
      </c>
      <c r="G188" s="60"/>
      <c r="H188" s="60"/>
      <c r="I188" s="60"/>
      <c r="J188" s="115">
        <f t="shared" si="41"/>
        <v>0</v>
      </c>
      <c r="K188" s="115">
        <f t="shared" si="42"/>
        <v>0</v>
      </c>
      <c r="L188" s="60"/>
      <c r="M188" s="61" t="s">
        <v>99</v>
      </c>
      <c r="N188" s="60"/>
      <c r="O188" s="73"/>
      <c r="P188" s="61"/>
      <c r="R188" s="116"/>
      <c r="S188" s="117">
        <f t="shared" si="28"/>
        <v>0</v>
      </c>
      <c r="T188" s="116"/>
      <c r="U188" s="61"/>
      <c r="V188" s="61"/>
      <c r="W188" s="118">
        <f t="shared" si="31"/>
        <v>-1</v>
      </c>
      <c r="X188" s="67"/>
      <c r="Y188" s="73"/>
      <c r="Z188" s="73"/>
      <c r="AA188" s="73"/>
      <c r="AB188" s="73"/>
      <c r="AC188" s="73"/>
      <c r="AD188" s="73"/>
      <c r="AE188" s="112">
        <f t="shared" si="40"/>
        <v>0</v>
      </c>
      <c r="AF188" s="113">
        <f t="shared" si="36"/>
        <v>0</v>
      </c>
      <c r="AG188" s="110">
        <f t="shared" si="32"/>
        <v>0</v>
      </c>
      <c r="AH188" s="113">
        <f t="shared" si="33"/>
        <v>0</v>
      </c>
      <c r="AI188" s="114" t="e">
        <f>LOOKUP(W188,'2018 Escalator'!$A$9:$A$41,'2018 Escalator'!$G$9:$G$41)</f>
        <v>#N/A</v>
      </c>
      <c r="AJ188" s="115" t="e">
        <f t="shared" si="34"/>
        <v>#N/A</v>
      </c>
      <c r="AK188" s="104" t="e">
        <f t="shared" si="35"/>
        <v>#N/A</v>
      </c>
    </row>
    <row r="189" spans="1:37" x14ac:dyDescent="0.2">
      <c r="A189" s="57"/>
      <c r="G189" s="60"/>
      <c r="H189" s="60"/>
      <c r="I189" s="60"/>
      <c r="J189" s="115"/>
      <c r="K189" s="115"/>
      <c r="L189" s="60"/>
      <c r="M189" s="61"/>
      <c r="N189" s="60"/>
      <c r="O189" s="73"/>
      <c r="P189" s="61"/>
      <c r="R189" s="116"/>
      <c r="S189" s="117"/>
      <c r="T189" s="116"/>
      <c r="U189" s="61"/>
      <c r="V189" s="61"/>
      <c r="W189" s="61"/>
      <c r="AI189" s="66"/>
      <c r="AJ189" s="115"/>
      <c r="AK189" s="115"/>
    </row>
    <row r="190" spans="1:37" x14ac:dyDescent="0.2">
      <c r="B190" s="75" t="s">
        <v>423</v>
      </c>
      <c r="C190" s="76" t="str">
        <f>COUNTA(C8:C189)&amp;" Projects"</f>
        <v>175 Projects</v>
      </c>
      <c r="G190" s="60"/>
      <c r="H190" s="60"/>
      <c r="I190" s="60"/>
      <c r="J190" s="126">
        <f>SUM(J8:J189)</f>
        <v>599442028</v>
      </c>
      <c r="K190" s="126">
        <f>SUM(K8:K189)</f>
        <v>385004673</v>
      </c>
      <c r="L190" s="77">
        <f>SUM(L8:L189)</f>
        <v>217812265</v>
      </c>
      <c r="N190" s="77">
        <f>SUM(N8:N189)</f>
        <v>16272353</v>
      </c>
      <c r="O190" s="116"/>
      <c r="R190" s="116"/>
      <c r="S190" s="127">
        <f>SUM(S8:S189)</f>
        <v>1386.1886</v>
      </c>
      <c r="T190" s="116"/>
      <c r="AJ190" s="126" t="e">
        <f>SUM(AJ8:AJ189)</f>
        <v>#N/A</v>
      </c>
      <c r="AK190" s="126" t="e">
        <f>SUM(AK8:AK189)</f>
        <v>#N/A</v>
      </c>
    </row>
    <row r="191" spans="1:37" x14ac:dyDescent="0.2">
      <c r="J191" s="60"/>
      <c r="S191" s="116"/>
    </row>
    <row r="192" spans="1:37" x14ac:dyDescent="0.2">
      <c r="J192" s="128"/>
    </row>
  </sheetData>
  <autoFilter ref="A7:AJ181"/>
  <mergeCells count="2">
    <mergeCell ref="Y6:AA6"/>
    <mergeCell ref="AB6:AD6"/>
  </mergeCells>
  <pageMargins left="0.5" right="0.5" top="0.75" bottom="0.5" header="0.5" footer="0.25"/>
  <pageSetup paperSize="17" scale="48" fitToHeight="0" orientation="landscape" r:id="rId1"/>
  <headerFooter alignWithMargins="0">
    <oddHeader>&amp;C&amp;"Arial Black,Regular"&amp;11&amp;F [&amp;A]</oddHeader>
    <oddFooter xml:space="preserve">&amp;L&amp;8 20 Oct 2014
 &amp;Z&amp;F&amp;C&amp;8Page &amp;P of &amp;N
&amp;R&amp;8Confidentiality: Public
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2"/>
  <sheetViews>
    <sheetView zoomScaleNormal="100" workbookViewId="0"/>
  </sheetViews>
  <sheetFormatPr defaultColWidth="9.140625" defaultRowHeight="12.75" x14ac:dyDescent="0.2"/>
  <cols>
    <col min="1" max="1" width="5.5703125" style="58" customWidth="1"/>
    <col min="2" max="2" width="15.7109375" style="58" bestFit="1" customWidth="1"/>
    <col min="3" max="3" width="8.85546875" style="58" customWidth="1"/>
    <col min="4" max="4" width="8.5703125" style="58" customWidth="1"/>
    <col min="5" max="5" width="14" style="58" customWidth="1"/>
    <col min="6" max="6" width="6.140625" style="58" customWidth="1"/>
    <col min="7" max="7" width="10.5703125" style="58" customWidth="1"/>
    <col min="8" max="9" width="13.7109375" style="58" customWidth="1"/>
    <col min="10" max="10" width="9.140625" style="58"/>
    <col min="11" max="11" width="28" style="58" customWidth="1"/>
    <col min="12" max="12" width="10.28515625" style="58" customWidth="1"/>
    <col min="13" max="13" width="29.7109375" style="58" customWidth="1"/>
    <col min="14" max="14" width="26.42578125" style="58" customWidth="1"/>
    <col min="15" max="15" width="7.42578125" style="58" customWidth="1"/>
    <col min="16" max="16" width="11.7109375" style="58" bestFit="1" customWidth="1"/>
    <col min="17" max="16384" width="9.140625" style="58"/>
  </cols>
  <sheetData>
    <row r="1" spans="1:16" s="47" customFormat="1" x14ac:dyDescent="0.2">
      <c r="A1" s="47" t="s">
        <v>54</v>
      </c>
    </row>
    <row r="2" spans="1:16" s="47" customFormat="1" x14ac:dyDescent="0.2">
      <c r="A2" s="47" t="str">
        <f>Application</f>
        <v>2018 ISO Tariff Application</v>
      </c>
    </row>
    <row r="3" spans="1:16" s="47" customFormat="1" x14ac:dyDescent="0.2">
      <c r="A3" s="47" t="str">
        <f>ApplicationSection</f>
        <v>Appendix G - Point of Delivery Cost Function Workbook</v>
      </c>
    </row>
    <row r="4" spans="1:16" s="47" customFormat="1" x14ac:dyDescent="0.2">
      <c r="A4" s="47" t="s">
        <v>965</v>
      </c>
    </row>
    <row r="5" spans="1:16" s="47" customFormat="1" x14ac:dyDescent="0.2">
      <c r="A5" s="49" t="str">
        <f>TableDate</f>
        <v>August 17, 2018</v>
      </c>
      <c r="B5" s="50"/>
      <c r="K5"/>
      <c r="L5"/>
    </row>
    <row r="6" spans="1:16" s="47" customFormat="1" x14ac:dyDescent="0.2">
      <c r="A6" s="51"/>
      <c r="B6" s="52"/>
    </row>
    <row r="7" spans="1:16" s="56" customFormat="1" ht="63.75" x14ac:dyDescent="0.2">
      <c r="A7" s="53" t="s">
        <v>55</v>
      </c>
      <c r="B7" s="53" t="s">
        <v>56</v>
      </c>
      <c r="C7" s="53" t="s">
        <v>57</v>
      </c>
      <c r="D7" s="53" t="s">
        <v>60</v>
      </c>
      <c r="E7" s="53" t="s">
        <v>65</v>
      </c>
      <c r="F7" s="53" t="s">
        <v>931</v>
      </c>
      <c r="G7" s="53" t="s">
        <v>932</v>
      </c>
      <c r="H7" s="53" t="s">
        <v>87</v>
      </c>
      <c r="I7" s="53" t="s">
        <v>986</v>
      </c>
      <c r="K7" s="156" t="s">
        <v>933</v>
      </c>
      <c r="L7"/>
      <c r="M7"/>
      <c r="N7"/>
      <c r="O7"/>
      <c r="P7"/>
    </row>
    <row r="8" spans="1:16" x14ac:dyDescent="0.2">
      <c r="A8" s="130">
        <f>'Greenfield Projects'!A8</f>
        <v>476</v>
      </c>
      <c r="B8" s="131" t="str">
        <f>'Greenfield Projects'!B8</f>
        <v>AML</v>
      </c>
      <c r="C8" s="131" t="str">
        <f>IF('Greenfield Projects'!C8="AESO","DFO-T",'Greenfield Projects'!C8)</f>
        <v>DFO-T</v>
      </c>
      <c r="D8" s="131" t="str">
        <f>'Greenfield Projects'!F8</f>
        <v>104S</v>
      </c>
      <c r="E8" s="131" t="str">
        <f>'Greenfield Projects'!K8</f>
        <v>Greenfield Load</v>
      </c>
      <c r="F8" s="132">
        <f>'Greenfield Projects'!Y8</f>
        <v>14</v>
      </c>
      <c r="G8" s="132">
        <f>'Greenfield Projects'!AK8</f>
        <v>22.5</v>
      </c>
      <c r="H8" s="133">
        <f>'Greenfield Projects'!AG8</f>
        <v>16861812.370959647</v>
      </c>
      <c r="I8" s="160">
        <f>IF(F8=0,0,G8/F8)</f>
        <v>1.6071428571428572</v>
      </c>
      <c r="K8" s="129" t="s">
        <v>934</v>
      </c>
      <c r="L8" s="134">
        <v>8083.2991999999995</v>
      </c>
      <c r="M8"/>
      <c r="N8"/>
      <c r="O8"/>
      <c r="P8"/>
    </row>
    <row r="9" spans="1:16" x14ac:dyDescent="0.2">
      <c r="A9" s="130">
        <f>'Greenfield Projects'!A9</f>
        <v>478</v>
      </c>
      <c r="B9" s="131" t="str">
        <f>'Greenfield Projects'!B9</f>
        <v>AML</v>
      </c>
      <c r="C9" s="131" t="str">
        <f>IF('Greenfield Projects'!C9="AESO","DFO-T",'Greenfield Projects'!C9)</f>
        <v>DFO-T</v>
      </c>
      <c r="D9" s="131" t="str">
        <f>'Greenfield Projects'!F9</f>
        <v>106S</v>
      </c>
      <c r="E9" s="131" t="str">
        <f>'Greenfield Projects'!K9</f>
        <v>Greenfield Load</v>
      </c>
      <c r="F9" s="132">
        <f>'Greenfield Projects'!Y9</f>
        <v>8.5</v>
      </c>
      <c r="G9" s="132">
        <f>'Greenfield Projects'!AK9</f>
        <v>15.03</v>
      </c>
      <c r="H9" s="133">
        <f>'Greenfield Projects'!AG9</f>
        <v>6018225.2638842715</v>
      </c>
      <c r="I9" s="160">
        <f t="shared" ref="I9:I72" si="0">IF(F9=0,0,G9/F9)</f>
        <v>1.7682352941176469</v>
      </c>
      <c r="K9" s="129" t="s">
        <v>935</v>
      </c>
      <c r="L9" s="134">
        <v>19815.344000000012</v>
      </c>
      <c r="M9"/>
      <c r="N9"/>
      <c r="O9"/>
      <c r="P9"/>
    </row>
    <row r="10" spans="1:16" x14ac:dyDescent="0.2">
      <c r="A10" s="130">
        <f>'Greenfield Projects'!A10</f>
        <v>473</v>
      </c>
      <c r="B10" s="131" t="str">
        <f>'Greenfield Projects'!B10</f>
        <v>AML</v>
      </c>
      <c r="C10" s="131" t="str">
        <f>IF('Greenfield Projects'!C10="AESO","DFO-T",'Greenfield Projects'!C10)</f>
        <v>DFO-T</v>
      </c>
      <c r="D10" s="131" t="str">
        <f>'Greenfield Projects'!F10</f>
        <v>108S</v>
      </c>
      <c r="E10" s="131" t="str">
        <f>'Greenfield Projects'!K10</f>
        <v>Greenfield Load</v>
      </c>
      <c r="F10" s="132">
        <f>'Greenfield Projects'!Y10</f>
        <v>30</v>
      </c>
      <c r="G10" s="132">
        <f>'Greenfield Projects'!AK10</f>
        <v>45</v>
      </c>
      <c r="H10" s="133">
        <f>'Greenfield Projects'!AG10</f>
        <v>14998991.377977235</v>
      </c>
      <c r="I10" s="160">
        <f t="shared" si="0"/>
        <v>1.5</v>
      </c>
      <c r="K10" s="129" t="s">
        <v>985</v>
      </c>
      <c r="L10" s="163">
        <v>2.830959811664481</v>
      </c>
      <c r="M10" s="163"/>
      <c r="N10"/>
      <c r="O10"/>
      <c r="P10"/>
    </row>
    <row r="11" spans="1:16" x14ac:dyDescent="0.2">
      <c r="A11" s="130">
        <f>'Greenfield Projects'!A11</f>
        <v>1042</v>
      </c>
      <c r="B11" s="131" t="str">
        <f>'Greenfield Projects'!B11</f>
        <v>AML</v>
      </c>
      <c r="C11" s="131" t="str">
        <f>IF('Greenfield Projects'!C11="AESO","DFO-T",'Greenfield Projects'!C11)</f>
        <v>DFO-D</v>
      </c>
      <c r="D11" s="131" t="str">
        <f>'Greenfield Projects'!F11</f>
        <v>140S</v>
      </c>
      <c r="E11" s="131" t="str">
        <f>'Greenfield Projects'!K11</f>
        <v>Greenfield Load</v>
      </c>
      <c r="F11" s="132">
        <f>'Greenfield Projects'!Y11</f>
        <v>13</v>
      </c>
      <c r="G11" s="132">
        <f>'Greenfield Projects'!AK11</f>
        <v>22.5</v>
      </c>
      <c r="H11" s="133">
        <f>'Greenfield Projects'!AG11</f>
        <v>11164764.224012116</v>
      </c>
      <c r="I11" s="160">
        <f t="shared" si="0"/>
        <v>1.7307692307692308</v>
      </c>
      <c r="K11"/>
      <c r="L11"/>
      <c r="M11" s="158"/>
      <c r="N11"/>
      <c r="O11"/>
      <c r="P11"/>
    </row>
    <row r="12" spans="1:16" x14ac:dyDescent="0.2">
      <c r="A12" s="130">
        <f>'Greenfield Projects'!A12</f>
        <v>443</v>
      </c>
      <c r="B12" s="131" t="str">
        <f>'Greenfield Projects'!B12</f>
        <v>AML</v>
      </c>
      <c r="C12" s="131" t="str">
        <f>IF('Greenfield Projects'!C12="AESO","DFO-T",'Greenfield Projects'!C12)</f>
        <v>DFO-D</v>
      </c>
      <c r="D12" s="131" t="str">
        <f>'Greenfield Projects'!F12</f>
        <v>155S</v>
      </c>
      <c r="E12" s="131" t="str">
        <f>'Greenfield Projects'!K12</f>
        <v>Greenfield Load</v>
      </c>
      <c r="F12" s="132">
        <f>'Greenfield Projects'!Y12</f>
        <v>24.3</v>
      </c>
      <c r="G12" s="132">
        <f>'Greenfield Projects'!AK12</f>
        <v>35.1</v>
      </c>
      <c r="H12" s="133">
        <f>'Greenfield Projects'!AG12</f>
        <v>11705577.131494863</v>
      </c>
      <c r="I12" s="160">
        <f t="shared" si="0"/>
        <v>1.4444444444444444</v>
      </c>
      <c r="K12"/>
      <c r="L12"/>
      <c r="M12"/>
      <c r="N12"/>
      <c r="O12"/>
      <c r="P12"/>
    </row>
    <row r="13" spans="1:16" x14ac:dyDescent="0.2">
      <c r="A13" s="130">
        <f>'Greenfield Projects'!A13</f>
        <v>1195</v>
      </c>
      <c r="B13" s="131" t="str">
        <f>'Greenfield Projects'!B13</f>
        <v>AML</v>
      </c>
      <c r="C13" s="131" t="str">
        <f>IF('Greenfield Projects'!C13="AESO","DFO-T",'Greenfield Projects'!C13)</f>
        <v>DFO-D</v>
      </c>
      <c r="D13" s="131" t="str">
        <f>'Greenfield Projects'!F13</f>
        <v>183S</v>
      </c>
      <c r="E13" s="131" t="str">
        <f>'Greenfield Projects'!K13</f>
        <v>Greenfield Load</v>
      </c>
      <c r="F13" s="132">
        <f>'Greenfield Projects'!Y13</f>
        <v>18</v>
      </c>
      <c r="G13" s="132">
        <f>'Greenfield Projects'!AK13</f>
        <v>45</v>
      </c>
      <c r="H13" s="133">
        <f>'Greenfield Projects'!AG13</f>
        <v>31659927.445331629</v>
      </c>
      <c r="I13" s="160">
        <f t="shared" si="0"/>
        <v>2.5</v>
      </c>
      <c r="K13"/>
      <c r="L13"/>
      <c r="M13"/>
      <c r="N13"/>
      <c r="O13"/>
      <c r="P13"/>
    </row>
    <row r="14" spans="1:16" x14ac:dyDescent="0.2">
      <c r="A14" s="130">
        <f>'Greenfield Projects'!A14</f>
        <v>420</v>
      </c>
      <c r="B14" s="131" t="str">
        <f>'Greenfield Projects'!B14</f>
        <v>AML</v>
      </c>
      <c r="C14" s="131" t="str">
        <f>IF('Greenfield Projects'!C14="AESO","DFO-T",'Greenfield Projects'!C14)</f>
        <v>DFO-T</v>
      </c>
      <c r="D14" s="131" t="str">
        <f>'Greenfield Projects'!F14</f>
        <v>185S</v>
      </c>
      <c r="E14" s="131" t="str">
        <f>'Greenfield Projects'!K14</f>
        <v>Greenfield Load</v>
      </c>
      <c r="F14" s="132">
        <f>'Greenfield Projects'!Y14</f>
        <v>6</v>
      </c>
      <c r="G14" s="132">
        <f>'Greenfield Projects'!AK14</f>
        <v>22.5</v>
      </c>
      <c r="H14" s="133">
        <f>'Greenfield Projects'!AG14</f>
        <v>9639645.1057157442</v>
      </c>
      <c r="I14" s="160">
        <f t="shared" si="0"/>
        <v>3.75</v>
      </c>
      <c r="K14"/>
      <c r="L14"/>
      <c r="M14"/>
      <c r="N14"/>
      <c r="O14"/>
      <c r="P14"/>
    </row>
    <row r="15" spans="1:16" x14ac:dyDescent="0.2">
      <c r="A15" s="130">
        <f>'Greenfield Projects'!A15</f>
        <v>440</v>
      </c>
      <c r="B15" s="131" t="str">
        <f>'Greenfield Projects'!B15</f>
        <v>AML</v>
      </c>
      <c r="C15" s="131" t="str">
        <f>IF('Greenfield Projects'!C15="AESO","DFO-T",'Greenfield Projects'!C15)</f>
        <v>DFO-D</v>
      </c>
      <c r="D15" s="131" t="str">
        <f>'Greenfield Projects'!F15</f>
        <v>186S</v>
      </c>
      <c r="E15" s="131" t="str">
        <f>'Greenfield Projects'!K15</f>
        <v>Greenfield Load</v>
      </c>
      <c r="F15" s="132">
        <f>'Greenfield Projects'!Y15</f>
        <v>10</v>
      </c>
      <c r="G15" s="132">
        <f>'Greenfield Projects'!AK15</f>
        <v>37.800000000000004</v>
      </c>
      <c r="H15" s="133">
        <f>'Greenfield Projects'!AG15</f>
        <v>16009559.216092756</v>
      </c>
      <c r="I15" s="160">
        <f t="shared" si="0"/>
        <v>3.7800000000000002</v>
      </c>
      <c r="K15"/>
      <c r="L15"/>
      <c r="M15"/>
      <c r="N15"/>
      <c r="O15"/>
      <c r="P15"/>
    </row>
    <row r="16" spans="1:16" x14ac:dyDescent="0.2">
      <c r="A16" s="130">
        <f>'Greenfield Projects'!A16</f>
        <v>1102</v>
      </c>
      <c r="B16" s="131" t="str">
        <f>'Greenfield Projects'!B16</f>
        <v>ATCO</v>
      </c>
      <c r="C16" s="131" t="str">
        <f>IF('Greenfield Projects'!C16="AESO","DFO-T",'Greenfield Projects'!C16)</f>
        <v>DFO-T</v>
      </c>
      <c r="D16" s="131" t="str">
        <f>'Greenfield Projects'!F16</f>
        <v>2014S</v>
      </c>
      <c r="E16" s="131" t="str">
        <f>'Greenfield Projects'!K16</f>
        <v>Greenfield Load</v>
      </c>
      <c r="F16" s="132">
        <f>'Greenfield Projects'!Y16</f>
        <v>20</v>
      </c>
      <c r="G16" s="132">
        <f>'Greenfield Projects'!AK16</f>
        <v>45</v>
      </c>
      <c r="H16" s="133">
        <f>'Greenfield Projects'!AG16</f>
        <v>16293644.713264707</v>
      </c>
      <c r="I16" s="160">
        <f t="shared" si="0"/>
        <v>2.25</v>
      </c>
      <c r="K16"/>
      <c r="L16"/>
      <c r="M16"/>
      <c r="N16"/>
      <c r="O16"/>
      <c r="P16"/>
    </row>
    <row r="17" spans="1:16" x14ac:dyDescent="0.2">
      <c r="A17" s="130">
        <f>'Greenfield Projects'!A17</f>
        <v>324</v>
      </c>
      <c r="B17" s="131" t="str">
        <f>'Greenfield Projects'!B17</f>
        <v>AML</v>
      </c>
      <c r="C17" s="131" t="str">
        <f>IF('Greenfield Projects'!C17="AESO","DFO-T",'Greenfield Projects'!C17)</f>
        <v>DFO-D</v>
      </c>
      <c r="D17" s="131" t="str">
        <f>'Greenfield Projects'!F17</f>
        <v>207S</v>
      </c>
      <c r="E17" s="131" t="str">
        <f>'Greenfield Projects'!K17</f>
        <v>Greenfield Load</v>
      </c>
      <c r="F17" s="132">
        <f>'Greenfield Projects'!Y17</f>
        <v>17.2</v>
      </c>
      <c r="G17" s="132">
        <f>'Greenfield Projects'!AK17</f>
        <v>22.5</v>
      </c>
      <c r="H17" s="133">
        <f>'Greenfield Projects'!AG17</f>
        <v>8909412.5785416402</v>
      </c>
      <c r="I17" s="160">
        <f t="shared" si="0"/>
        <v>1.308139534883721</v>
      </c>
      <c r="K17"/>
      <c r="L17"/>
      <c r="M17"/>
      <c r="N17"/>
      <c r="O17"/>
      <c r="P17"/>
    </row>
    <row r="18" spans="1:16" x14ac:dyDescent="0.2">
      <c r="A18" s="130">
        <f>'Greenfield Projects'!A18</f>
        <v>1103</v>
      </c>
      <c r="B18" s="131" t="str">
        <f>'Greenfield Projects'!B18</f>
        <v>ATCO</v>
      </c>
      <c r="C18" s="131" t="str">
        <f>IF('Greenfield Projects'!C18="AESO","DFO-T",'Greenfield Projects'!C18)</f>
        <v>DFO-T</v>
      </c>
      <c r="D18" s="131" t="str">
        <f>'Greenfield Projects'!F18</f>
        <v>2082S</v>
      </c>
      <c r="E18" s="131" t="str">
        <f>'Greenfield Projects'!K18</f>
        <v>Greenfield Load</v>
      </c>
      <c r="F18" s="132">
        <f>'Greenfield Projects'!Y18</f>
        <v>20</v>
      </c>
      <c r="G18" s="132">
        <f>'Greenfield Projects'!AK18</f>
        <v>23.400000000000002</v>
      </c>
      <c r="H18" s="133">
        <f>'Greenfield Projects'!AG18</f>
        <v>17299482.978955593</v>
      </c>
      <c r="I18" s="160">
        <f t="shared" si="0"/>
        <v>1.1700000000000002</v>
      </c>
      <c r="K18"/>
      <c r="L18"/>
      <c r="M18"/>
      <c r="N18"/>
      <c r="O18"/>
      <c r="P18"/>
    </row>
    <row r="19" spans="1:16" x14ac:dyDescent="0.2">
      <c r="A19" s="130">
        <f>'Greenfield Projects'!A19</f>
        <v>386</v>
      </c>
      <c r="B19" s="131" t="str">
        <f>'Greenfield Projects'!B19</f>
        <v>AML</v>
      </c>
      <c r="C19" s="131" t="str">
        <f>IF('Greenfield Projects'!C19="AESO","DFO-T",'Greenfield Projects'!C19)</f>
        <v>DFO-T</v>
      </c>
      <c r="D19" s="131" t="str">
        <f>'Greenfield Projects'!F19</f>
        <v>230S</v>
      </c>
      <c r="E19" s="131" t="str">
        <f>'Greenfield Projects'!K19</f>
        <v>Greenfield Load</v>
      </c>
      <c r="F19" s="132">
        <f>'Greenfield Projects'!Y19</f>
        <v>9</v>
      </c>
      <c r="G19" s="132">
        <f>'Greenfield Projects'!AK19</f>
        <v>14.940000000000001</v>
      </c>
      <c r="H19" s="133">
        <f>'Greenfield Projects'!AG19</f>
        <v>9951125.0787738226</v>
      </c>
      <c r="I19" s="160">
        <f t="shared" si="0"/>
        <v>1.6600000000000001</v>
      </c>
      <c r="K19"/>
      <c r="L19"/>
      <c r="M19"/>
      <c r="N19"/>
      <c r="O19"/>
      <c r="P19"/>
    </row>
    <row r="20" spans="1:16" x14ac:dyDescent="0.2">
      <c r="A20" s="130">
        <f>'Greenfield Projects'!A20</f>
        <v>80</v>
      </c>
      <c r="B20" s="131" t="str">
        <f>'Greenfield Projects'!B20</f>
        <v>TAU</v>
      </c>
      <c r="C20" s="131" t="str">
        <f>IF('Greenfield Projects'!C20="AESO","DFO-T",'Greenfield Projects'!C20)</f>
        <v>DFO-T</v>
      </c>
      <c r="D20" s="131" t="str">
        <f>'Greenfield Projects'!F20</f>
        <v>242S</v>
      </c>
      <c r="E20" s="131" t="str">
        <f>'Greenfield Projects'!K20</f>
        <v>Greenfield Load</v>
      </c>
      <c r="F20" s="132">
        <f>'Greenfield Projects'!Y20</f>
        <v>8</v>
      </c>
      <c r="G20" s="132">
        <f>'Greenfield Projects'!AK20</f>
        <v>14.940000000000001</v>
      </c>
      <c r="H20" s="133">
        <f>'Greenfield Projects'!AG20</f>
        <v>6075402.9342110371</v>
      </c>
      <c r="I20" s="160">
        <f t="shared" si="0"/>
        <v>1.8675000000000002</v>
      </c>
      <c r="K20"/>
      <c r="L20"/>
      <c r="M20"/>
      <c r="N20"/>
      <c r="O20"/>
      <c r="P20"/>
    </row>
    <row r="21" spans="1:16" x14ac:dyDescent="0.2">
      <c r="A21" s="130">
        <f>'Greenfield Projects'!A21</f>
        <v>1052</v>
      </c>
      <c r="B21" s="131" t="str">
        <f>'Greenfield Projects'!B21</f>
        <v>AML</v>
      </c>
      <c r="C21" s="131" t="str">
        <f>IF('Greenfield Projects'!C21="AESO","DFO-T",'Greenfield Projects'!C21)</f>
        <v>DFO-D</v>
      </c>
      <c r="D21" s="131" t="str">
        <f>'Greenfield Projects'!F21</f>
        <v>257S</v>
      </c>
      <c r="E21" s="131" t="str">
        <f>'Greenfield Projects'!K21</f>
        <v>Greenfield Load</v>
      </c>
      <c r="F21" s="132">
        <f>'Greenfield Projects'!Y21</f>
        <v>13.6</v>
      </c>
      <c r="G21" s="132">
        <f>'Greenfield Projects'!AK21</f>
        <v>37.800000000000004</v>
      </c>
      <c r="H21" s="133">
        <f>'Greenfield Projects'!AG21</f>
        <v>10902702.45998838</v>
      </c>
      <c r="I21" s="160">
        <f t="shared" si="0"/>
        <v>2.7794117647058827</v>
      </c>
      <c r="K21"/>
      <c r="L21"/>
      <c r="M21"/>
      <c r="N21"/>
      <c r="O21"/>
      <c r="P21"/>
    </row>
    <row r="22" spans="1:16" x14ac:dyDescent="0.2">
      <c r="A22" s="130">
        <f>'Greenfield Projects'!A22</f>
        <v>347</v>
      </c>
      <c r="B22" s="131" t="str">
        <f>'Greenfield Projects'!B22</f>
        <v>AML</v>
      </c>
      <c r="C22" s="131" t="str">
        <f>IF('Greenfield Projects'!C22="AESO","DFO-T",'Greenfield Projects'!C22)</f>
        <v>DFO-T</v>
      </c>
      <c r="D22" s="131" t="str">
        <f>'Greenfield Projects'!F22</f>
        <v>286S</v>
      </c>
      <c r="E22" s="131" t="str">
        <f>'Greenfield Projects'!K22</f>
        <v>Greenfield Load</v>
      </c>
      <c r="F22" s="132">
        <f>'Greenfield Projects'!Y22</f>
        <v>10.548</v>
      </c>
      <c r="G22" s="132">
        <f>'Greenfield Projects'!AK22</f>
        <v>75.600000000000009</v>
      </c>
      <c r="H22" s="133">
        <f>'Greenfield Projects'!AG22</f>
        <v>9300492.5979781263</v>
      </c>
      <c r="I22" s="160">
        <f t="shared" si="0"/>
        <v>7.167235494880547</v>
      </c>
      <c r="K22"/>
      <c r="L22"/>
      <c r="M22"/>
      <c r="N22"/>
      <c r="O22"/>
      <c r="P22"/>
    </row>
    <row r="23" spans="1:16" x14ac:dyDescent="0.2">
      <c r="A23" s="130">
        <f>'Greenfield Projects'!A23</f>
        <v>1358</v>
      </c>
      <c r="B23" s="131" t="str">
        <f>'Greenfield Projects'!B23</f>
        <v>AML</v>
      </c>
      <c r="C23" s="131" t="str">
        <f>IF('Greenfield Projects'!C23="AESO","DFO-T",'Greenfield Projects'!C23)</f>
        <v>DFO-T</v>
      </c>
      <c r="D23" s="131" t="str">
        <f>'Greenfield Projects'!F23</f>
        <v>293S</v>
      </c>
      <c r="E23" s="131" t="str">
        <f>'Greenfield Projects'!K23</f>
        <v>Greenfield Load</v>
      </c>
      <c r="F23" s="132">
        <f>'Greenfield Projects'!Y23</f>
        <v>27</v>
      </c>
      <c r="G23" s="132">
        <f>'Greenfield Projects'!AK23</f>
        <v>59.4</v>
      </c>
      <c r="H23" s="133">
        <f>'Greenfield Projects'!AG23</f>
        <v>13072655.032827439</v>
      </c>
      <c r="I23" s="160">
        <f t="shared" si="0"/>
        <v>2.1999999999999997</v>
      </c>
      <c r="K23"/>
      <c r="L23"/>
      <c r="M23"/>
      <c r="N23"/>
      <c r="O23"/>
      <c r="P23"/>
    </row>
    <row r="24" spans="1:16" x14ac:dyDescent="0.2">
      <c r="A24" s="130">
        <f>'Greenfield Projects'!A24</f>
        <v>584</v>
      </c>
      <c r="B24" s="131" t="str">
        <f>'Greenfield Projects'!B24</f>
        <v>AML</v>
      </c>
      <c r="C24" s="131" t="str">
        <f>IF('Greenfield Projects'!C24="AESO","DFO-T",'Greenfield Projects'!C24)</f>
        <v>DFO-D</v>
      </c>
      <c r="D24" s="131" t="str">
        <f>'Greenfield Projects'!F24</f>
        <v>325S</v>
      </c>
      <c r="E24" s="131" t="str">
        <f>'Greenfield Projects'!K24</f>
        <v>Greenfield Load</v>
      </c>
      <c r="F24" s="132">
        <f>'Greenfield Projects'!Y24</f>
        <v>28</v>
      </c>
      <c r="G24" s="132">
        <f>'Greenfield Projects'!AK24</f>
        <v>37.800000000000004</v>
      </c>
      <c r="H24" s="133">
        <f>'Greenfield Projects'!AG24</f>
        <v>34903749.706800431</v>
      </c>
      <c r="I24" s="160">
        <f t="shared" si="0"/>
        <v>1.35</v>
      </c>
      <c r="K24"/>
      <c r="L24"/>
      <c r="M24"/>
      <c r="N24"/>
      <c r="O24"/>
      <c r="P24"/>
    </row>
    <row r="25" spans="1:16" x14ac:dyDescent="0.2">
      <c r="A25" s="130">
        <f>'Greenfield Projects'!A25</f>
        <v>422</v>
      </c>
      <c r="B25" s="131" t="str">
        <f>'Greenfield Projects'!B25</f>
        <v>AML</v>
      </c>
      <c r="C25" s="131" t="str">
        <f>IF('Greenfield Projects'!C25="AESO","DFO-T",'Greenfield Projects'!C25)</f>
        <v>DFO-T</v>
      </c>
      <c r="D25" s="131" t="str">
        <f>'Greenfield Projects'!F25</f>
        <v>348S</v>
      </c>
      <c r="E25" s="131" t="str">
        <f>'Greenfield Projects'!K25</f>
        <v>Greenfield Load</v>
      </c>
      <c r="F25" s="132">
        <f>'Greenfield Projects'!Y25</f>
        <v>24</v>
      </c>
      <c r="G25" s="132">
        <f>'Greenfield Projects'!AK25</f>
        <v>45</v>
      </c>
      <c r="H25" s="133">
        <f>'Greenfield Projects'!AG25</f>
        <v>13650794.587226329</v>
      </c>
      <c r="I25" s="160">
        <f t="shared" si="0"/>
        <v>1.875</v>
      </c>
      <c r="K25"/>
      <c r="L25"/>
      <c r="M25"/>
      <c r="N25"/>
      <c r="O25"/>
      <c r="P25"/>
    </row>
    <row r="26" spans="1:16" x14ac:dyDescent="0.2">
      <c r="A26" s="130">
        <f>'Greenfield Projects'!A26</f>
        <v>944</v>
      </c>
      <c r="B26" s="131" t="str">
        <f>'Greenfield Projects'!B26</f>
        <v>EPCOR</v>
      </c>
      <c r="C26" s="131" t="str">
        <f>IF('Greenfield Projects'!C26="AESO","DFO-T",'Greenfield Projects'!C26)</f>
        <v>DFO-D</v>
      </c>
      <c r="D26" s="131" t="str">
        <f>'Greenfield Projects'!F26</f>
        <v>37S</v>
      </c>
      <c r="E26" s="131" t="str">
        <f>'Greenfield Projects'!K26</f>
        <v>Greenfield Load</v>
      </c>
      <c r="F26" s="132">
        <f>'Greenfield Projects'!Y26</f>
        <v>43</v>
      </c>
      <c r="G26" s="132">
        <f>'Greenfield Projects'!AK26</f>
        <v>135</v>
      </c>
      <c r="H26" s="133">
        <f>'Greenfield Projects'!AG26</f>
        <v>26816090.615909915</v>
      </c>
      <c r="I26" s="160">
        <f t="shared" si="0"/>
        <v>3.13953488372093</v>
      </c>
      <c r="K26"/>
      <c r="L26"/>
      <c r="M26"/>
      <c r="N26"/>
      <c r="O26"/>
      <c r="P26"/>
    </row>
    <row r="27" spans="1:16" x14ac:dyDescent="0.2">
      <c r="A27" s="130">
        <f>'Greenfield Projects'!A27</f>
        <v>387</v>
      </c>
      <c r="B27" s="131" t="str">
        <f>'Greenfield Projects'!B27</f>
        <v>AML</v>
      </c>
      <c r="C27" s="131" t="str">
        <f>IF('Greenfield Projects'!C27="AESO","DFO-T",'Greenfield Projects'!C27)</f>
        <v>DFO-T</v>
      </c>
      <c r="D27" s="131" t="str">
        <f>'Greenfield Projects'!F27</f>
        <v>404S</v>
      </c>
      <c r="E27" s="131" t="str">
        <f>'Greenfield Projects'!K27</f>
        <v>Greenfield Load</v>
      </c>
      <c r="F27" s="132">
        <f>'Greenfield Projects'!Y27</f>
        <v>7.5</v>
      </c>
      <c r="G27" s="132">
        <f>'Greenfield Projects'!AK27</f>
        <v>14.940000000000001</v>
      </c>
      <c r="H27" s="133">
        <f>'Greenfield Projects'!AG27</f>
        <v>9513059.2102135662</v>
      </c>
      <c r="I27" s="160">
        <f t="shared" si="0"/>
        <v>1.9920000000000002</v>
      </c>
      <c r="K27"/>
      <c r="L27"/>
      <c r="M27"/>
      <c r="N27"/>
      <c r="O27"/>
      <c r="P27"/>
    </row>
    <row r="28" spans="1:16" x14ac:dyDescent="0.2">
      <c r="A28" s="130">
        <f>'Greenfield Projects'!A28</f>
        <v>587</v>
      </c>
      <c r="B28" s="131" t="str">
        <f>'Greenfield Projects'!B28</f>
        <v>AML</v>
      </c>
      <c r="C28" s="131" t="str">
        <f>IF('Greenfield Projects'!C28="AESO","DFO-T",'Greenfield Projects'!C28)</f>
        <v>DFO-T</v>
      </c>
      <c r="D28" s="131" t="str">
        <f>'Greenfield Projects'!F28</f>
        <v>405S</v>
      </c>
      <c r="E28" s="131" t="str">
        <f>'Greenfield Projects'!K28</f>
        <v>Greenfield Load</v>
      </c>
      <c r="F28" s="132">
        <f>'Greenfield Projects'!Y28</f>
        <v>17.8</v>
      </c>
      <c r="G28" s="132">
        <f>'Greenfield Projects'!AK28</f>
        <v>22.5</v>
      </c>
      <c r="H28" s="133">
        <f>'Greenfield Projects'!AG28</f>
        <v>13152201.549137706</v>
      </c>
      <c r="I28" s="160">
        <f t="shared" si="0"/>
        <v>1.2640449438202246</v>
      </c>
      <c r="K28"/>
      <c r="L28"/>
      <c r="M28"/>
      <c r="N28"/>
      <c r="O28"/>
      <c r="P28"/>
    </row>
    <row r="29" spans="1:16" x14ac:dyDescent="0.2">
      <c r="A29" s="130">
        <f>'Greenfield Projects'!A29</f>
        <v>585</v>
      </c>
      <c r="B29" s="131" t="str">
        <f>'Greenfield Projects'!B29</f>
        <v>AML</v>
      </c>
      <c r="C29" s="131" t="str">
        <f>IF('Greenfield Projects'!C29="AESO","DFO-T",'Greenfield Projects'!C29)</f>
        <v>DFO-D</v>
      </c>
      <c r="D29" s="131" t="str">
        <f>'Greenfield Projects'!F29</f>
        <v>420S</v>
      </c>
      <c r="E29" s="131" t="str">
        <f>'Greenfield Projects'!K29</f>
        <v>Greenfield Load</v>
      </c>
      <c r="F29" s="132">
        <f>'Greenfield Projects'!Y29</f>
        <v>20.6</v>
      </c>
      <c r="G29" s="132">
        <f>'Greenfield Projects'!AK29</f>
        <v>37.800000000000004</v>
      </c>
      <c r="H29" s="133">
        <f>'Greenfield Projects'!AG29</f>
        <v>11291169.205189183</v>
      </c>
      <c r="I29" s="160">
        <f t="shared" si="0"/>
        <v>1.8349514563106797</v>
      </c>
      <c r="K29"/>
      <c r="L29"/>
      <c r="M29"/>
      <c r="N29"/>
      <c r="O29"/>
      <c r="P29"/>
    </row>
    <row r="30" spans="1:16" x14ac:dyDescent="0.2">
      <c r="A30" s="130">
        <f>'Greenfield Projects'!A30</f>
        <v>831</v>
      </c>
      <c r="B30" s="131" t="str">
        <f>'Greenfield Projects'!B30</f>
        <v>AML</v>
      </c>
      <c r="C30" s="131" t="str">
        <f>IF('Greenfield Projects'!C30="AESO","DFO-T",'Greenfield Projects'!C30)</f>
        <v>DFO-D</v>
      </c>
      <c r="D30" s="131" t="str">
        <f>'Greenfield Projects'!F30</f>
        <v>422S</v>
      </c>
      <c r="E30" s="131" t="str">
        <f>'Greenfield Projects'!K30</f>
        <v>Greenfield Load</v>
      </c>
      <c r="F30" s="132">
        <f>'Greenfield Projects'!Y30</f>
        <v>19.600000000000001</v>
      </c>
      <c r="G30" s="132">
        <f>'Greenfield Projects'!AK30</f>
        <v>37.800000000000004</v>
      </c>
      <c r="H30" s="133">
        <f>'Greenfield Projects'!AG30</f>
        <v>20965601.42807069</v>
      </c>
      <c r="I30" s="160">
        <f t="shared" si="0"/>
        <v>1.9285714285714286</v>
      </c>
      <c r="K30"/>
      <c r="L30"/>
      <c r="M30"/>
      <c r="N30"/>
      <c r="O30"/>
      <c r="P30"/>
    </row>
    <row r="31" spans="1:16" x14ac:dyDescent="0.2">
      <c r="A31" s="130">
        <f>'Greenfield Projects'!A31</f>
        <v>340</v>
      </c>
      <c r="B31" s="131" t="str">
        <f>'Greenfield Projects'!B31</f>
        <v>AML</v>
      </c>
      <c r="C31" s="131" t="str">
        <f>IF('Greenfield Projects'!C31="AESO","DFO-T",'Greenfield Projects'!C31)</f>
        <v>DFO-T</v>
      </c>
      <c r="D31" s="131" t="str">
        <f>'Greenfield Projects'!F31</f>
        <v>431S</v>
      </c>
      <c r="E31" s="131" t="str">
        <f>'Greenfield Projects'!K31</f>
        <v>Greenfield Load</v>
      </c>
      <c r="F31" s="132">
        <f>'Greenfield Projects'!Y31</f>
        <v>22</v>
      </c>
      <c r="G31" s="132">
        <f>'Greenfield Projects'!AK31</f>
        <v>45</v>
      </c>
      <c r="H31" s="133">
        <f>'Greenfield Projects'!AG31</f>
        <v>13309615.571039751</v>
      </c>
      <c r="I31" s="160">
        <f t="shared" si="0"/>
        <v>2.0454545454545454</v>
      </c>
      <c r="K31"/>
      <c r="L31"/>
      <c r="M31"/>
      <c r="N31"/>
      <c r="O31"/>
      <c r="P31"/>
    </row>
    <row r="32" spans="1:16" x14ac:dyDescent="0.2">
      <c r="A32" s="130">
        <f>'Greenfield Projects'!A32</f>
        <v>334</v>
      </c>
      <c r="B32" s="131" t="str">
        <f>'Greenfield Projects'!B32</f>
        <v>AML</v>
      </c>
      <c r="C32" s="131" t="str">
        <f>IF('Greenfield Projects'!C32="AESO","DFO-T",'Greenfield Projects'!C32)</f>
        <v>DFO-D</v>
      </c>
      <c r="D32" s="131" t="str">
        <f>'Greenfield Projects'!F32</f>
        <v>432S</v>
      </c>
      <c r="E32" s="131" t="str">
        <f>'Greenfield Projects'!K32</f>
        <v>Greenfield Load</v>
      </c>
      <c r="F32" s="132">
        <f>'Greenfield Projects'!Y32</f>
        <v>18.8</v>
      </c>
      <c r="G32" s="132">
        <f>'Greenfield Projects'!AK32</f>
        <v>22.5</v>
      </c>
      <c r="H32" s="133">
        <f>'Greenfield Projects'!AG32</f>
        <v>7946371.1126733888</v>
      </c>
      <c r="I32" s="160">
        <f t="shared" si="0"/>
        <v>1.1968085106382977</v>
      </c>
      <c r="K32"/>
      <c r="L32"/>
      <c r="M32"/>
      <c r="N32"/>
      <c r="O32"/>
      <c r="P32"/>
    </row>
    <row r="33" spans="1:16" x14ac:dyDescent="0.2">
      <c r="A33" s="130">
        <f>'Greenfield Projects'!A33</f>
        <v>343</v>
      </c>
      <c r="B33" s="131" t="str">
        <f>'Greenfield Projects'!B33</f>
        <v>AML</v>
      </c>
      <c r="C33" s="131" t="str">
        <f>IF('Greenfield Projects'!C33="AESO","DFO-T",'Greenfield Projects'!C33)</f>
        <v>DFO-D</v>
      </c>
      <c r="D33" s="131" t="str">
        <f>'Greenfield Projects'!F33</f>
        <v>435S</v>
      </c>
      <c r="E33" s="131" t="str">
        <f>'Greenfield Projects'!K33</f>
        <v>Greenfield Load</v>
      </c>
      <c r="F33" s="132">
        <f>'Greenfield Projects'!Y33</f>
        <v>15.6</v>
      </c>
      <c r="G33" s="132">
        <f>'Greenfield Projects'!AK33</f>
        <v>22.5</v>
      </c>
      <c r="H33" s="133">
        <f>'Greenfield Projects'!AG33</f>
        <v>13999715.74022935</v>
      </c>
      <c r="I33" s="160">
        <f t="shared" si="0"/>
        <v>1.4423076923076923</v>
      </c>
      <c r="K33"/>
      <c r="L33"/>
      <c r="M33"/>
      <c r="N33"/>
      <c r="O33"/>
      <c r="P33"/>
    </row>
    <row r="34" spans="1:16" x14ac:dyDescent="0.2">
      <c r="A34" s="130">
        <f>'Greenfield Projects'!A34</f>
        <v>358</v>
      </c>
      <c r="B34" s="131" t="str">
        <f>'Greenfield Projects'!B34</f>
        <v>AML</v>
      </c>
      <c r="C34" s="131" t="str">
        <f>IF('Greenfield Projects'!C34="AESO","DFO-T",'Greenfield Projects'!C34)</f>
        <v>DFO-D</v>
      </c>
      <c r="D34" s="131" t="str">
        <f>'Greenfield Projects'!F34</f>
        <v>45S</v>
      </c>
      <c r="E34" s="131" t="str">
        <f>'Greenfield Projects'!K34</f>
        <v>Greenfield Load</v>
      </c>
      <c r="F34" s="132">
        <f>'Greenfield Projects'!Y34</f>
        <v>19.8</v>
      </c>
      <c r="G34" s="132">
        <f>'Greenfield Projects'!AK34</f>
        <v>35.1</v>
      </c>
      <c r="H34" s="133">
        <f>'Greenfield Projects'!AG34</f>
        <v>7224852.186439855</v>
      </c>
      <c r="I34" s="160">
        <f t="shared" si="0"/>
        <v>1.7727272727272727</v>
      </c>
      <c r="K34"/>
      <c r="L34"/>
      <c r="M34"/>
      <c r="N34"/>
      <c r="O34"/>
      <c r="P34"/>
    </row>
    <row r="35" spans="1:16" x14ac:dyDescent="0.2">
      <c r="A35" s="130">
        <f>'Greenfield Projects'!A35</f>
        <v>702</v>
      </c>
      <c r="B35" s="131" t="str">
        <f>'Greenfield Projects'!B35</f>
        <v>AML</v>
      </c>
      <c r="C35" s="131" t="str">
        <f>IF('Greenfield Projects'!C35="AESO","DFO-T",'Greenfield Projects'!C35)</f>
        <v>DFO-D</v>
      </c>
      <c r="D35" s="131" t="str">
        <f>'Greenfield Projects'!F35</f>
        <v>478S</v>
      </c>
      <c r="E35" s="131" t="str">
        <f>'Greenfield Projects'!K35</f>
        <v>Greenfield Load</v>
      </c>
      <c r="F35" s="132">
        <f>'Greenfield Projects'!Y35</f>
        <v>28.4</v>
      </c>
      <c r="G35" s="132">
        <f>'Greenfield Projects'!AK35</f>
        <v>37.800000000000004</v>
      </c>
      <c r="H35" s="133">
        <f>'Greenfield Projects'!AG35</f>
        <v>5210153.1080390755</v>
      </c>
      <c r="I35" s="160">
        <f t="shared" si="0"/>
        <v>1.330985915492958</v>
      </c>
      <c r="K35"/>
      <c r="L35"/>
      <c r="M35"/>
      <c r="N35"/>
      <c r="O35"/>
      <c r="P35"/>
    </row>
    <row r="36" spans="1:16" x14ac:dyDescent="0.2">
      <c r="A36" s="130">
        <f>'Greenfield Projects'!A36</f>
        <v>526</v>
      </c>
      <c r="B36" s="131" t="str">
        <f>'Greenfield Projects'!B36</f>
        <v>AML and ATCO</v>
      </c>
      <c r="C36" s="131" t="str">
        <f>IF('Greenfield Projects'!C36="AESO","DFO-T",'Greenfield Projects'!C36)</f>
        <v>DFO-T</v>
      </c>
      <c r="D36" s="131" t="str">
        <f>'Greenfield Projects'!F36</f>
        <v>508S</v>
      </c>
      <c r="E36" s="131" t="str">
        <f>'Greenfield Projects'!K36</f>
        <v>Greenfield Load</v>
      </c>
      <c r="F36" s="132">
        <f>'Greenfield Projects'!Y36</f>
        <v>19</v>
      </c>
      <c r="G36" s="132">
        <f>'Greenfield Projects'!AK36</f>
        <v>22.5</v>
      </c>
      <c r="H36" s="133">
        <f>'Greenfield Projects'!AG36</f>
        <v>13758834.109767627</v>
      </c>
      <c r="I36" s="160">
        <f t="shared" si="0"/>
        <v>1.1842105263157894</v>
      </c>
      <c r="K36"/>
      <c r="L36"/>
      <c r="M36"/>
      <c r="N36"/>
      <c r="O36"/>
      <c r="P36"/>
    </row>
    <row r="37" spans="1:16" x14ac:dyDescent="0.2">
      <c r="A37" s="130">
        <f>'Greenfield Projects'!A37</f>
        <v>288</v>
      </c>
      <c r="B37" s="131" t="str">
        <f>'Greenfield Projects'!B37</f>
        <v>AML</v>
      </c>
      <c r="C37" s="131" t="str">
        <f>IF('Greenfield Projects'!C37="AESO","DFO-T",'Greenfield Projects'!C37)</f>
        <v>DFO-T</v>
      </c>
      <c r="D37" s="131" t="str">
        <f>'Greenfield Projects'!F37</f>
        <v>536S</v>
      </c>
      <c r="E37" s="131" t="str">
        <f>'Greenfield Projects'!K37</f>
        <v>Greenfield Load</v>
      </c>
      <c r="F37" s="132">
        <f>'Greenfield Projects'!Y37</f>
        <v>12</v>
      </c>
      <c r="G37" s="132">
        <f>'Greenfield Projects'!AK37</f>
        <v>22.5</v>
      </c>
      <c r="H37" s="133">
        <f>'Greenfield Projects'!AG37</f>
        <v>4453358.4840568788</v>
      </c>
      <c r="I37" s="160">
        <f t="shared" si="0"/>
        <v>1.875</v>
      </c>
      <c r="K37"/>
      <c r="L37"/>
      <c r="M37"/>
      <c r="N37"/>
      <c r="O37"/>
      <c r="P37"/>
    </row>
    <row r="38" spans="1:16" x14ac:dyDescent="0.2">
      <c r="A38" s="130">
        <f>'Greenfield Projects'!A38</f>
        <v>851</v>
      </c>
      <c r="B38" s="131" t="str">
        <f>'Greenfield Projects'!B38</f>
        <v>AML</v>
      </c>
      <c r="C38" s="131" t="str">
        <f>IF('Greenfield Projects'!C38="AESO","DFO-T",'Greenfield Projects'!C38)</f>
        <v>DFO-T</v>
      </c>
      <c r="D38" s="131" t="str">
        <f>'Greenfield Projects'!F38</f>
        <v>558S</v>
      </c>
      <c r="E38" s="131" t="str">
        <f>'Greenfield Projects'!K38</f>
        <v>Greenfield Load</v>
      </c>
      <c r="F38" s="132">
        <f>'Greenfield Projects'!Y38</f>
        <v>25</v>
      </c>
      <c r="G38" s="132">
        <f>'Greenfield Projects'!AK38</f>
        <v>29.97</v>
      </c>
      <c r="H38" s="133">
        <f>'Greenfield Projects'!AG38</f>
        <v>12931754.132918639</v>
      </c>
      <c r="I38" s="160">
        <f t="shared" si="0"/>
        <v>1.1987999999999999</v>
      </c>
      <c r="K38"/>
      <c r="L38"/>
      <c r="M38"/>
      <c r="N38"/>
      <c r="O38"/>
      <c r="P38"/>
    </row>
    <row r="39" spans="1:16" x14ac:dyDescent="0.2">
      <c r="A39" s="130">
        <f>'Greenfield Projects'!A39</f>
        <v>648</v>
      </c>
      <c r="B39" s="131" t="str">
        <f>'Greenfield Projects'!B39</f>
        <v>AML</v>
      </c>
      <c r="C39" s="131" t="str">
        <f>IF('Greenfield Projects'!C39="AESO","DFO-T",'Greenfield Projects'!C39)</f>
        <v>DFO-D</v>
      </c>
      <c r="D39" s="131" t="str">
        <f>'Greenfield Projects'!F39</f>
        <v>580S</v>
      </c>
      <c r="E39" s="131" t="str">
        <f>'Greenfield Projects'!K39</f>
        <v>Greenfield Load</v>
      </c>
      <c r="F39" s="132">
        <f>'Greenfield Projects'!Y39</f>
        <v>15</v>
      </c>
      <c r="G39" s="132">
        <f>'Greenfield Projects'!AK39</f>
        <v>45</v>
      </c>
      <c r="H39" s="133">
        <f>'Greenfield Projects'!AG39</f>
        <v>14973718.181093032</v>
      </c>
      <c r="I39" s="160">
        <f t="shared" si="0"/>
        <v>3</v>
      </c>
      <c r="K39"/>
      <c r="L39"/>
      <c r="M39"/>
      <c r="N39"/>
      <c r="O39"/>
      <c r="P39"/>
    </row>
    <row r="40" spans="1:16" x14ac:dyDescent="0.2">
      <c r="A40" s="130">
        <f>'Greenfield Projects'!A40</f>
        <v>855</v>
      </c>
      <c r="B40" s="131" t="str">
        <f>'Greenfield Projects'!B40</f>
        <v>AML</v>
      </c>
      <c r="C40" s="131" t="str">
        <f>IF('Greenfield Projects'!C40="AESO","DFO-T",'Greenfield Projects'!C40)</f>
        <v>DFO-D</v>
      </c>
      <c r="D40" s="131" t="str">
        <f>'Greenfield Projects'!F40</f>
        <v>595S</v>
      </c>
      <c r="E40" s="131" t="str">
        <f>'Greenfield Projects'!K40</f>
        <v>Greenfield Load</v>
      </c>
      <c r="F40" s="132">
        <f>'Greenfield Projects'!Y40</f>
        <v>23</v>
      </c>
      <c r="G40" s="132">
        <f>'Greenfield Projects'!AK40</f>
        <v>37.800000000000004</v>
      </c>
      <c r="H40" s="133">
        <f>'Greenfield Projects'!AG40</f>
        <v>28667069.63950903</v>
      </c>
      <c r="I40" s="160">
        <f t="shared" si="0"/>
        <v>1.6434782608695655</v>
      </c>
      <c r="K40"/>
      <c r="L40"/>
      <c r="M40"/>
      <c r="N40"/>
      <c r="O40"/>
      <c r="P40"/>
    </row>
    <row r="41" spans="1:16" x14ac:dyDescent="0.2">
      <c r="A41" s="130">
        <f>'Greenfield Projects'!A41</f>
        <v>700</v>
      </c>
      <c r="B41" s="131" t="str">
        <f>'Greenfield Projects'!B41</f>
        <v>AML</v>
      </c>
      <c r="C41" s="131" t="str">
        <f>IF('Greenfield Projects'!C41="AESO","DFO-T",'Greenfield Projects'!C41)</f>
        <v>DFO-T</v>
      </c>
      <c r="D41" s="131" t="str">
        <f>'Greenfield Projects'!F41</f>
        <v>635S</v>
      </c>
      <c r="E41" s="131" t="str">
        <f>'Greenfield Projects'!K41</f>
        <v>Greenfield Load</v>
      </c>
      <c r="F41" s="132">
        <f>'Greenfield Projects'!Y41</f>
        <v>9.8000000000000007</v>
      </c>
      <c r="G41" s="132">
        <f>'Greenfield Projects'!AK41</f>
        <v>37.800000000000004</v>
      </c>
      <c r="H41" s="133">
        <f>'Greenfield Projects'!AG41</f>
        <v>7065794.7644327153</v>
      </c>
      <c r="I41" s="160">
        <f t="shared" si="0"/>
        <v>3.8571428571428572</v>
      </c>
      <c r="K41"/>
      <c r="L41"/>
      <c r="M41"/>
      <c r="N41"/>
      <c r="O41"/>
      <c r="P41"/>
    </row>
    <row r="42" spans="1:16" x14ac:dyDescent="0.2">
      <c r="A42" s="130">
        <f>'Greenfield Projects'!A42</f>
        <v>683</v>
      </c>
      <c r="B42" s="131" t="str">
        <f>'Greenfield Projects'!B42</f>
        <v>AML</v>
      </c>
      <c r="C42" s="131" t="str">
        <f>IF('Greenfield Projects'!C42="AESO","DFO-T",'Greenfield Projects'!C42)</f>
        <v>DFO-D</v>
      </c>
      <c r="D42" s="131" t="str">
        <f>'Greenfield Projects'!F42</f>
        <v>651S</v>
      </c>
      <c r="E42" s="131" t="str">
        <f>'Greenfield Projects'!K42</f>
        <v>Greenfield Load</v>
      </c>
      <c r="F42" s="132">
        <f>'Greenfield Projects'!Y42</f>
        <v>30</v>
      </c>
      <c r="G42" s="132">
        <f>'Greenfield Projects'!AK42</f>
        <v>90</v>
      </c>
      <c r="H42" s="133">
        <f>'Greenfield Projects'!AG42</f>
        <v>16032322.571862921</v>
      </c>
      <c r="I42" s="160">
        <f t="shared" si="0"/>
        <v>3</v>
      </c>
      <c r="K42"/>
      <c r="L42"/>
      <c r="M42"/>
      <c r="N42"/>
      <c r="O42"/>
      <c r="P42"/>
    </row>
    <row r="43" spans="1:16" x14ac:dyDescent="0.2">
      <c r="A43" s="130">
        <f>'Greenfield Projects'!A43</f>
        <v>559</v>
      </c>
      <c r="B43" s="131" t="str">
        <f>'Greenfield Projects'!B43</f>
        <v>AML</v>
      </c>
      <c r="C43" s="131" t="str">
        <f>IF('Greenfield Projects'!C43="AESO","DFO-T",'Greenfield Projects'!C43)</f>
        <v>DFO-T</v>
      </c>
      <c r="D43" s="131" t="str">
        <f>'Greenfield Projects'!F43</f>
        <v>681S</v>
      </c>
      <c r="E43" s="131" t="str">
        <f>'Greenfield Projects'!K43</f>
        <v>Greenfield Load</v>
      </c>
      <c r="F43" s="132">
        <f>'Greenfield Projects'!Y43</f>
        <v>115</v>
      </c>
      <c r="G43" s="132">
        <f>'Greenfield Projects'!AK43</f>
        <v>360</v>
      </c>
      <c r="H43" s="133">
        <f>'Greenfield Projects'!AG43</f>
        <v>56859498.956472106</v>
      </c>
      <c r="I43" s="160">
        <f t="shared" si="0"/>
        <v>3.1304347826086958</v>
      </c>
      <c r="K43"/>
      <c r="L43"/>
      <c r="M43"/>
      <c r="N43"/>
      <c r="O43"/>
      <c r="P43"/>
    </row>
    <row r="44" spans="1:16" x14ac:dyDescent="0.2">
      <c r="A44" s="130">
        <f>'Greenfield Projects'!A44</f>
        <v>1074</v>
      </c>
      <c r="B44" s="131" t="str">
        <f>'Greenfield Projects'!B44</f>
        <v>AML</v>
      </c>
      <c r="C44" s="131" t="str">
        <f>IF('Greenfield Projects'!C44="AESO","DFO-T",'Greenfield Projects'!C44)</f>
        <v>DFO-D</v>
      </c>
      <c r="D44" s="131" t="str">
        <f>'Greenfield Projects'!F44</f>
        <v>698S</v>
      </c>
      <c r="E44" s="131" t="str">
        <f>'Greenfield Projects'!K44</f>
        <v>Greenfield Load</v>
      </c>
      <c r="F44" s="132">
        <f>'Greenfield Projects'!Y44</f>
        <v>67</v>
      </c>
      <c r="G44" s="132">
        <f>'Greenfield Projects'!AK44</f>
        <v>90</v>
      </c>
      <c r="H44" s="133">
        <f>'Greenfield Projects'!AG44</f>
        <v>43138834.531027153</v>
      </c>
      <c r="I44" s="160">
        <f t="shared" si="0"/>
        <v>1.3432835820895523</v>
      </c>
      <c r="K44"/>
      <c r="L44"/>
      <c r="M44"/>
      <c r="N44"/>
      <c r="O44"/>
      <c r="P44"/>
    </row>
    <row r="45" spans="1:16" x14ac:dyDescent="0.2">
      <c r="A45" s="130">
        <f>'Greenfield Projects'!A45</f>
        <v>34</v>
      </c>
      <c r="B45" s="131" t="str">
        <f>'Greenfield Projects'!B45</f>
        <v>ATCO</v>
      </c>
      <c r="C45" s="131" t="str">
        <f>IF('Greenfield Projects'!C45="AESO","DFO-T",'Greenfield Projects'!C45)</f>
        <v>DFO-D</v>
      </c>
      <c r="D45" s="131" t="str">
        <f>'Greenfield Projects'!F45</f>
        <v>716S</v>
      </c>
      <c r="E45" s="131" t="str">
        <f>'Greenfield Projects'!K45</f>
        <v>Greenfield Load</v>
      </c>
      <c r="F45" s="132">
        <f>'Greenfield Projects'!Y45</f>
        <v>16</v>
      </c>
      <c r="G45" s="132">
        <f>'Greenfield Projects'!AK45</f>
        <v>45</v>
      </c>
      <c r="H45" s="133">
        <f>'Greenfield Projects'!AG45</f>
        <v>7513412.4542159289</v>
      </c>
      <c r="I45" s="160">
        <f t="shared" si="0"/>
        <v>2.8125</v>
      </c>
      <c r="K45"/>
      <c r="L45"/>
      <c r="M45"/>
      <c r="N45"/>
      <c r="O45"/>
      <c r="P45"/>
    </row>
    <row r="46" spans="1:16" x14ac:dyDescent="0.2">
      <c r="A46" s="130">
        <f>'Greenfield Projects'!A46</f>
        <v>433</v>
      </c>
      <c r="B46" s="131" t="str">
        <f>'Greenfield Projects'!B46</f>
        <v>AML</v>
      </c>
      <c r="C46" s="131" t="str">
        <f>IF('Greenfield Projects'!C46="AESO","DFO-T",'Greenfield Projects'!C46)</f>
        <v>DFO-D</v>
      </c>
      <c r="D46" s="131" t="str">
        <f>'Greenfield Projects'!F46</f>
        <v>723S</v>
      </c>
      <c r="E46" s="131" t="str">
        <f>'Greenfield Projects'!K46</f>
        <v>Greenfield Load</v>
      </c>
      <c r="F46" s="132">
        <f>'Greenfield Projects'!Y46</f>
        <v>25</v>
      </c>
      <c r="G46" s="132">
        <f>'Greenfield Projects'!AK46</f>
        <v>90</v>
      </c>
      <c r="H46" s="133">
        <f>'Greenfield Projects'!AG46</f>
        <v>22308265.318441425</v>
      </c>
      <c r="I46" s="160">
        <f t="shared" si="0"/>
        <v>3.6</v>
      </c>
      <c r="K46"/>
      <c r="L46"/>
      <c r="M46"/>
      <c r="N46"/>
      <c r="O46"/>
      <c r="P46"/>
    </row>
    <row r="47" spans="1:16" x14ac:dyDescent="0.2">
      <c r="A47" s="130" t="str">
        <f>'Greenfield Projects'!A47</f>
        <v>79A</v>
      </c>
      <c r="B47" s="131" t="str">
        <f>'Greenfield Projects'!B47</f>
        <v>ATCO</v>
      </c>
      <c r="C47" s="131" t="str">
        <f>IF('Greenfield Projects'!C47="AESO","DFO-T",'Greenfield Projects'!C47)</f>
        <v>DFO-D</v>
      </c>
      <c r="D47" s="131" t="str">
        <f>'Greenfield Projects'!F47</f>
        <v>820S</v>
      </c>
      <c r="E47" s="131" t="str">
        <f>'Greenfield Projects'!K47</f>
        <v>Greenfield Load</v>
      </c>
      <c r="F47" s="132">
        <f>'Greenfield Projects'!Y47</f>
        <v>8</v>
      </c>
      <c r="G47" s="132">
        <f>'Greenfield Projects'!AK47</f>
        <v>37.440000000000005</v>
      </c>
      <c r="H47" s="133">
        <f>'Greenfield Projects'!AG47</f>
        <v>5082337.5539699821</v>
      </c>
      <c r="I47" s="160">
        <f t="shared" si="0"/>
        <v>4.6800000000000006</v>
      </c>
      <c r="K47"/>
      <c r="L47"/>
      <c r="M47"/>
      <c r="N47"/>
      <c r="O47"/>
      <c r="P47"/>
    </row>
    <row r="48" spans="1:16" x14ac:dyDescent="0.2">
      <c r="A48" s="130" t="str">
        <f>'Greenfield Projects'!A48</f>
        <v>10A</v>
      </c>
      <c r="B48" s="131" t="str">
        <f>'Greenfield Projects'!B48</f>
        <v>ATCO</v>
      </c>
      <c r="C48" s="131" t="str">
        <f>IF('Greenfield Projects'!C48="AESO","DFO-T",'Greenfield Projects'!C48)</f>
        <v>DFO-D</v>
      </c>
      <c r="D48" s="131" t="str">
        <f>'Greenfield Projects'!F48</f>
        <v>833S</v>
      </c>
      <c r="E48" s="131" t="str">
        <f>'Greenfield Projects'!K48</f>
        <v>Greenfield Load</v>
      </c>
      <c r="F48" s="132">
        <f>'Greenfield Projects'!Y48</f>
        <v>6.2</v>
      </c>
      <c r="G48" s="132">
        <f>'Greenfield Projects'!AK48</f>
        <v>22.5</v>
      </c>
      <c r="H48" s="133">
        <f>'Greenfield Projects'!AG48</f>
        <v>8916010.3759227693</v>
      </c>
      <c r="I48" s="160">
        <f t="shared" si="0"/>
        <v>3.629032258064516</v>
      </c>
      <c r="K48"/>
      <c r="L48"/>
      <c r="M48"/>
      <c r="N48"/>
      <c r="O48"/>
      <c r="P48"/>
    </row>
    <row r="49" spans="1:16" x14ac:dyDescent="0.2">
      <c r="A49" s="130">
        <f>'Greenfield Projects'!A49</f>
        <v>345</v>
      </c>
      <c r="B49" s="131" t="str">
        <f>'Greenfield Projects'!B49</f>
        <v>ATCO</v>
      </c>
      <c r="C49" s="131" t="str">
        <f>IF('Greenfield Projects'!C49="AESO","DFO-T",'Greenfield Projects'!C49)</f>
        <v>DFO-D</v>
      </c>
      <c r="D49" s="131" t="str">
        <f>'Greenfield Projects'!F49</f>
        <v>849S</v>
      </c>
      <c r="E49" s="131" t="str">
        <f>'Greenfield Projects'!K49</f>
        <v>Greenfield Load</v>
      </c>
      <c r="F49" s="132">
        <f>'Greenfield Projects'!Y49</f>
        <v>35</v>
      </c>
      <c r="G49" s="132">
        <f>'Greenfield Projects'!AK49</f>
        <v>45</v>
      </c>
      <c r="H49" s="133">
        <f>'Greenfield Projects'!AG49</f>
        <v>8368983.1482940875</v>
      </c>
      <c r="I49" s="160">
        <f t="shared" si="0"/>
        <v>1.2857142857142858</v>
      </c>
      <c r="K49"/>
      <c r="L49"/>
      <c r="M49"/>
      <c r="N49"/>
      <c r="O49"/>
      <c r="P49"/>
    </row>
    <row r="50" spans="1:16" x14ac:dyDescent="0.2">
      <c r="A50" s="130">
        <f>'Greenfield Projects'!A50</f>
        <v>1049</v>
      </c>
      <c r="B50" s="131" t="str">
        <f>'Greenfield Projects'!B50</f>
        <v>AML</v>
      </c>
      <c r="C50" s="131" t="str">
        <f>IF('Greenfield Projects'!C50="AESO","DFO-T",'Greenfield Projects'!C50)</f>
        <v>DFO-D</v>
      </c>
      <c r="D50" s="131" t="str">
        <f>'Greenfield Projects'!F50</f>
        <v>852S</v>
      </c>
      <c r="E50" s="131" t="str">
        <f>'Greenfield Projects'!K50</f>
        <v>Greenfield Load</v>
      </c>
      <c r="F50" s="132">
        <f>'Greenfield Projects'!Y50</f>
        <v>15.2</v>
      </c>
      <c r="G50" s="132">
        <f>'Greenfield Projects'!AK50</f>
        <v>90</v>
      </c>
      <c r="H50" s="133">
        <f>'Greenfield Projects'!AG50</f>
        <v>54551770.509232074</v>
      </c>
      <c r="I50" s="160">
        <f t="shared" si="0"/>
        <v>5.9210526315789478</v>
      </c>
      <c r="K50"/>
      <c r="L50"/>
      <c r="M50"/>
      <c r="N50"/>
      <c r="O50"/>
      <c r="P50"/>
    </row>
    <row r="51" spans="1:16" x14ac:dyDescent="0.2">
      <c r="A51" s="130">
        <f>'Greenfield Projects'!A51</f>
        <v>230</v>
      </c>
      <c r="B51" s="131" t="str">
        <f>'Greenfield Projects'!B51</f>
        <v>ATCO</v>
      </c>
      <c r="C51" s="131" t="str">
        <f>IF('Greenfield Projects'!C51="AESO","DFO-T",'Greenfield Projects'!C51)</f>
        <v>DFO-D</v>
      </c>
      <c r="D51" s="131" t="str">
        <f>'Greenfield Projects'!F51</f>
        <v>856S</v>
      </c>
      <c r="E51" s="131" t="str">
        <f>'Greenfield Projects'!K51</f>
        <v>Greenfield Load</v>
      </c>
      <c r="F51" s="132">
        <f>'Greenfield Projects'!Y51</f>
        <v>17</v>
      </c>
      <c r="G51" s="132">
        <f>'Greenfield Projects'!AK51</f>
        <v>45</v>
      </c>
      <c r="H51" s="133">
        <f>'Greenfield Projects'!AG51</f>
        <v>10739901.169983137</v>
      </c>
      <c r="I51" s="160">
        <f t="shared" si="0"/>
        <v>2.6470588235294117</v>
      </c>
      <c r="K51"/>
      <c r="L51"/>
      <c r="M51"/>
      <c r="N51"/>
      <c r="O51"/>
      <c r="P51"/>
    </row>
    <row r="52" spans="1:16" x14ac:dyDescent="0.2">
      <c r="A52" s="130" t="str">
        <f>'Greenfield Projects'!A52</f>
        <v>79B</v>
      </c>
      <c r="B52" s="131" t="str">
        <f>'Greenfield Projects'!B52</f>
        <v>ATCO</v>
      </c>
      <c r="C52" s="131" t="str">
        <f>IF('Greenfield Projects'!C52="AESO","DFO-T",'Greenfield Projects'!C52)</f>
        <v>DFO-D</v>
      </c>
      <c r="D52" s="131" t="str">
        <f>'Greenfield Projects'!F52</f>
        <v>860S</v>
      </c>
      <c r="E52" s="131" t="str">
        <f>'Greenfield Projects'!K52</f>
        <v>Greenfield Load</v>
      </c>
      <c r="F52" s="132">
        <f>'Greenfield Projects'!Y52</f>
        <v>8</v>
      </c>
      <c r="G52" s="132">
        <f>'Greenfield Projects'!AK52</f>
        <v>14.940000000000001</v>
      </c>
      <c r="H52" s="133">
        <f>'Greenfield Projects'!AG52</f>
        <v>3378833.9951362954</v>
      </c>
      <c r="I52" s="160">
        <f t="shared" si="0"/>
        <v>1.8675000000000002</v>
      </c>
      <c r="K52"/>
      <c r="L52"/>
      <c r="M52"/>
      <c r="N52"/>
      <c r="O52"/>
      <c r="P52"/>
    </row>
    <row r="53" spans="1:16" x14ac:dyDescent="0.2">
      <c r="A53" s="130" t="str">
        <f>'Greenfield Projects'!A53</f>
        <v>10B</v>
      </c>
      <c r="B53" s="131" t="str">
        <f>'Greenfield Projects'!B53</f>
        <v>ATCO</v>
      </c>
      <c r="C53" s="131" t="str">
        <f>IF('Greenfield Projects'!C53="AESO","DFO-T",'Greenfield Projects'!C53)</f>
        <v>DFO-D</v>
      </c>
      <c r="D53" s="131" t="str">
        <f>'Greenfield Projects'!F53</f>
        <v>875S</v>
      </c>
      <c r="E53" s="131" t="str">
        <f>'Greenfield Projects'!K53</f>
        <v>Greenfield Load</v>
      </c>
      <c r="F53" s="132">
        <f>'Greenfield Projects'!Y53</f>
        <v>9.4060000000000006</v>
      </c>
      <c r="G53" s="132">
        <f>'Greenfield Projects'!AK53</f>
        <v>22.5</v>
      </c>
      <c r="H53" s="133">
        <f>'Greenfield Projects'!AG53</f>
        <v>9799132.690106418</v>
      </c>
      <c r="I53" s="160">
        <f t="shared" si="0"/>
        <v>2.392090155220072</v>
      </c>
      <c r="K53"/>
      <c r="L53"/>
      <c r="M53"/>
      <c r="N53"/>
      <c r="O53"/>
      <c r="P53"/>
    </row>
    <row r="54" spans="1:16" x14ac:dyDescent="0.2">
      <c r="A54" s="130">
        <f>'Greenfield Projects'!A54</f>
        <v>8</v>
      </c>
      <c r="B54" s="131" t="str">
        <f>'Greenfield Projects'!B54</f>
        <v>ATCO</v>
      </c>
      <c r="C54" s="131" t="str">
        <f>IF('Greenfield Projects'!C54="AESO","DFO-T",'Greenfield Projects'!C54)</f>
        <v>DFO-D</v>
      </c>
      <c r="D54" s="131" t="str">
        <f>'Greenfield Projects'!F54</f>
        <v>876S</v>
      </c>
      <c r="E54" s="131" t="str">
        <f>'Greenfield Projects'!K54</f>
        <v>Greenfield Load</v>
      </c>
      <c r="F54" s="132">
        <f>'Greenfield Projects'!Y54</f>
        <v>18</v>
      </c>
      <c r="G54" s="132">
        <f>'Greenfield Projects'!AK54</f>
        <v>42.03</v>
      </c>
      <c r="H54" s="133">
        <f>'Greenfield Projects'!AG54</f>
        <v>11984110.505191125</v>
      </c>
      <c r="I54" s="160">
        <f t="shared" si="0"/>
        <v>2.335</v>
      </c>
      <c r="K54"/>
      <c r="L54"/>
      <c r="M54"/>
      <c r="N54"/>
      <c r="O54"/>
      <c r="P54"/>
    </row>
    <row r="55" spans="1:16" x14ac:dyDescent="0.2">
      <c r="A55" s="130">
        <f>'Greenfield Projects'!A55</f>
        <v>487</v>
      </c>
      <c r="B55" s="131" t="str">
        <f>'Greenfield Projects'!B55</f>
        <v>ATCO</v>
      </c>
      <c r="C55" s="131" t="str">
        <f>IF('Greenfield Projects'!C55="AESO","DFO-T",'Greenfield Projects'!C55)</f>
        <v>DFO-D</v>
      </c>
      <c r="D55" s="131" t="str">
        <f>'Greenfield Projects'!F55</f>
        <v>886S</v>
      </c>
      <c r="E55" s="131" t="str">
        <f>'Greenfield Projects'!K55</f>
        <v>Greenfield Load</v>
      </c>
      <c r="F55" s="132">
        <f>'Greenfield Projects'!Y55</f>
        <v>22</v>
      </c>
      <c r="G55" s="132">
        <f>'Greenfield Projects'!AK55</f>
        <v>37.440000000000005</v>
      </c>
      <c r="H55" s="133">
        <f>'Greenfield Projects'!AG55</f>
        <v>16606728.766354362</v>
      </c>
      <c r="I55" s="160">
        <f t="shared" si="0"/>
        <v>1.7018181818181821</v>
      </c>
      <c r="K55"/>
      <c r="L55"/>
      <c r="M55"/>
      <c r="N55"/>
      <c r="O55"/>
      <c r="P55"/>
    </row>
    <row r="56" spans="1:16" x14ac:dyDescent="0.2">
      <c r="A56" s="130">
        <f>'Greenfield Projects'!A56</f>
        <v>385</v>
      </c>
      <c r="B56" s="131" t="str">
        <f>'Greenfield Projects'!B56</f>
        <v>ATCO</v>
      </c>
      <c r="C56" s="131" t="str">
        <f>IF('Greenfield Projects'!C56="AESO","DFO-T",'Greenfield Projects'!C56)</f>
        <v>DFO-T</v>
      </c>
      <c r="D56" s="131" t="str">
        <f>'Greenfield Projects'!F56</f>
        <v>892S</v>
      </c>
      <c r="E56" s="131" t="str">
        <f>'Greenfield Projects'!K56</f>
        <v>Greenfield Load</v>
      </c>
      <c r="F56" s="132">
        <f>'Greenfield Projects'!Y56</f>
        <v>7.5</v>
      </c>
      <c r="G56" s="132">
        <f>'Greenfield Projects'!AK56</f>
        <v>14.940000000000001</v>
      </c>
      <c r="H56" s="133">
        <f>'Greenfield Projects'!AG56</f>
        <v>8588070.9825089686</v>
      </c>
      <c r="I56" s="160">
        <f t="shared" si="0"/>
        <v>1.9920000000000002</v>
      </c>
      <c r="K56"/>
      <c r="L56"/>
      <c r="M56"/>
      <c r="N56"/>
      <c r="O56"/>
      <c r="P56"/>
    </row>
    <row r="57" spans="1:16" x14ac:dyDescent="0.2">
      <c r="A57" s="130">
        <f>'Greenfield Projects'!A57</f>
        <v>865</v>
      </c>
      <c r="B57" s="131" t="str">
        <f>'Greenfield Projects'!B57</f>
        <v>ATCO</v>
      </c>
      <c r="C57" s="131" t="str">
        <f>IF('Greenfield Projects'!C57="AESO","DFO-T",'Greenfield Projects'!C57)</f>
        <v>DFO-T</v>
      </c>
      <c r="D57" s="131" t="str">
        <f>'Greenfield Projects'!F57</f>
        <v>893S</v>
      </c>
      <c r="E57" s="131" t="str">
        <f>'Greenfield Projects'!K57</f>
        <v>Greenfield Load</v>
      </c>
      <c r="F57" s="132">
        <f>'Greenfield Projects'!Y57</f>
        <v>25</v>
      </c>
      <c r="G57" s="132">
        <f>'Greenfield Projects'!AK57</f>
        <v>29.97</v>
      </c>
      <c r="H57" s="133">
        <f>'Greenfield Projects'!AG57</f>
        <v>8609198.3279462438</v>
      </c>
      <c r="I57" s="160">
        <f t="shared" si="0"/>
        <v>1.1987999999999999</v>
      </c>
      <c r="K57"/>
      <c r="L57"/>
      <c r="M57"/>
      <c r="N57"/>
      <c r="O57"/>
      <c r="P57"/>
    </row>
    <row r="58" spans="1:16" x14ac:dyDescent="0.2">
      <c r="A58" s="130">
        <f>'Greenfield Projects'!A58</f>
        <v>863</v>
      </c>
      <c r="B58" s="131" t="str">
        <f>'Greenfield Projects'!B58</f>
        <v>ATCO</v>
      </c>
      <c r="C58" s="131" t="str">
        <f>IF('Greenfield Projects'!C58="AESO","DFO-T",'Greenfield Projects'!C58)</f>
        <v>DFO-T</v>
      </c>
      <c r="D58" s="131" t="str">
        <f>'Greenfield Projects'!F58</f>
        <v>896S</v>
      </c>
      <c r="E58" s="131" t="str">
        <f>'Greenfield Projects'!K58</f>
        <v>Greenfield Load</v>
      </c>
      <c r="F58" s="132">
        <f>'Greenfield Projects'!Y58</f>
        <v>25</v>
      </c>
      <c r="G58" s="132">
        <f>'Greenfield Projects'!AK58</f>
        <v>29.97</v>
      </c>
      <c r="H58" s="133">
        <f>'Greenfield Projects'!AG58</f>
        <v>8243436.0504581006</v>
      </c>
      <c r="I58" s="160">
        <f t="shared" si="0"/>
        <v>1.1987999999999999</v>
      </c>
      <c r="K58"/>
      <c r="L58"/>
      <c r="M58"/>
      <c r="N58"/>
      <c r="O58"/>
      <c r="P58"/>
    </row>
    <row r="59" spans="1:16" x14ac:dyDescent="0.2">
      <c r="A59" s="130">
        <f>'Greenfield Projects'!A59</f>
        <v>527</v>
      </c>
      <c r="B59" s="131" t="str">
        <f>'Greenfield Projects'!B59</f>
        <v>ATCO</v>
      </c>
      <c r="C59" s="131" t="str">
        <f>IF('Greenfield Projects'!C59="AESO","DFO-T",'Greenfield Projects'!C59)</f>
        <v>DFO-T</v>
      </c>
      <c r="D59" s="131" t="str">
        <f>'Greenfield Projects'!F59</f>
        <v>903S</v>
      </c>
      <c r="E59" s="131" t="str">
        <f>'Greenfield Projects'!K59</f>
        <v>Greenfield Load</v>
      </c>
      <c r="F59" s="132">
        <f>'Greenfield Projects'!Y59</f>
        <v>17</v>
      </c>
      <c r="G59" s="132">
        <f>'Greenfield Projects'!AK59</f>
        <v>22.5</v>
      </c>
      <c r="H59" s="133">
        <f>'Greenfield Projects'!AG59</f>
        <v>6931859.5783251217</v>
      </c>
      <c r="I59" s="160">
        <f t="shared" si="0"/>
        <v>1.3235294117647058</v>
      </c>
      <c r="K59"/>
      <c r="L59"/>
      <c r="M59"/>
      <c r="N59"/>
      <c r="O59"/>
      <c r="P59"/>
    </row>
    <row r="60" spans="1:16" x14ac:dyDescent="0.2">
      <c r="A60" s="130">
        <f>'Greenfield Projects'!A60</f>
        <v>595</v>
      </c>
      <c r="B60" s="131" t="str">
        <f>'Greenfield Projects'!B60</f>
        <v>AML and ATCO</v>
      </c>
      <c r="C60" s="131" t="str">
        <f>IF('Greenfield Projects'!C60="AESO","DFO-T",'Greenfield Projects'!C60)</f>
        <v>DFO-T</v>
      </c>
      <c r="D60" s="131" t="str">
        <f>'Greenfield Projects'!F60</f>
        <v>907S</v>
      </c>
      <c r="E60" s="131" t="str">
        <f>'Greenfield Projects'!K60</f>
        <v>Greenfield Load</v>
      </c>
      <c r="F60" s="132">
        <f>'Greenfield Projects'!Y60</f>
        <v>11</v>
      </c>
      <c r="G60" s="132">
        <f>'Greenfield Projects'!AK60</f>
        <v>37.800000000000004</v>
      </c>
      <c r="H60" s="133">
        <f>'Greenfield Projects'!AG60</f>
        <v>19087371.326529756</v>
      </c>
      <c r="I60" s="160">
        <f t="shared" si="0"/>
        <v>3.436363636363637</v>
      </c>
      <c r="K60"/>
      <c r="L60"/>
      <c r="M60"/>
      <c r="N60"/>
      <c r="O60"/>
      <c r="P60"/>
    </row>
    <row r="61" spans="1:16" x14ac:dyDescent="0.2">
      <c r="A61" s="130">
        <f>'Greenfield Projects'!A61</f>
        <v>528</v>
      </c>
      <c r="B61" s="131" t="str">
        <f>'Greenfield Projects'!B61</f>
        <v>ATCO</v>
      </c>
      <c r="C61" s="131" t="str">
        <f>IF('Greenfield Projects'!C61="AESO","DFO-T",'Greenfield Projects'!C61)</f>
        <v>DFO-T</v>
      </c>
      <c r="D61" s="131" t="str">
        <f>'Greenfield Projects'!F61</f>
        <v>910S</v>
      </c>
      <c r="E61" s="131" t="str">
        <f>'Greenfield Projects'!K61</f>
        <v>Greenfield Load</v>
      </c>
      <c r="F61" s="132">
        <f>'Greenfield Projects'!Y61</f>
        <v>17</v>
      </c>
      <c r="G61" s="132">
        <f>'Greenfield Projects'!AK61</f>
        <v>22.5</v>
      </c>
      <c r="H61" s="133">
        <f>'Greenfield Projects'!AG61</f>
        <v>5265766.3175025582</v>
      </c>
      <c r="I61" s="160">
        <f t="shared" si="0"/>
        <v>1.3235294117647058</v>
      </c>
      <c r="K61"/>
      <c r="L61"/>
      <c r="M61"/>
      <c r="N61"/>
      <c r="O61"/>
      <c r="P61"/>
    </row>
    <row r="62" spans="1:16" x14ac:dyDescent="0.2">
      <c r="A62" s="130">
        <f>'Greenfield Projects'!A62</f>
        <v>529</v>
      </c>
      <c r="B62" s="131" t="str">
        <f>'Greenfield Projects'!B62</f>
        <v>AML and ATCO</v>
      </c>
      <c r="C62" s="131" t="str">
        <f>IF('Greenfield Projects'!C62="AESO","DFO-T",'Greenfield Projects'!C62)</f>
        <v>DFO-T</v>
      </c>
      <c r="D62" s="131" t="str">
        <f>'Greenfield Projects'!F62</f>
        <v>914S</v>
      </c>
      <c r="E62" s="131" t="str">
        <f>'Greenfield Projects'!K62</f>
        <v>Greenfield Load</v>
      </c>
      <c r="F62" s="132">
        <f>'Greenfield Projects'!Y62</f>
        <v>17</v>
      </c>
      <c r="G62" s="132">
        <f>'Greenfield Projects'!AK62</f>
        <v>22.5</v>
      </c>
      <c r="H62" s="133">
        <f>'Greenfield Projects'!AG62</f>
        <v>7792169.4439597558</v>
      </c>
      <c r="I62" s="160">
        <f t="shared" si="0"/>
        <v>1.3235294117647058</v>
      </c>
      <c r="K62"/>
      <c r="L62"/>
      <c r="M62"/>
      <c r="N62"/>
      <c r="O62"/>
      <c r="P62"/>
    </row>
    <row r="63" spans="1:16" x14ac:dyDescent="0.2">
      <c r="A63" s="130">
        <f>'Greenfield Projects'!A63</f>
        <v>1095</v>
      </c>
      <c r="B63" s="131" t="str">
        <f>'Greenfield Projects'!B63</f>
        <v>ATCO</v>
      </c>
      <c r="C63" s="131" t="str">
        <f>IF('Greenfield Projects'!C63="AESO","DFO-T",'Greenfield Projects'!C63)</f>
        <v>DFO-T</v>
      </c>
      <c r="D63" s="131" t="str">
        <f>'Greenfield Projects'!F63</f>
        <v>918S</v>
      </c>
      <c r="E63" s="131" t="str">
        <f>'Greenfield Projects'!K63</f>
        <v>Greenfield Load</v>
      </c>
      <c r="F63" s="132">
        <f>'Greenfield Projects'!Y63</f>
        <v>18</v>
      </c>
      <c r="G63" s="132">
        <f>'Greenfield Projects'!AK63</f>
        <v>22.5</v>
      </c>
      <c r="H63" s="133">
        <f>'Greenfield Projects'!AG63</f>
        <v>11923356.574074874</v>
      </c>
      <c r="I63" s="160">
        <f t="shared" si="0"/>
        <v>1.25</v>
      </c>
      <c r="K63"/>
      <c r="L63"/>
      <c r="M63"/>
      <c r="N63"/>
      <c r="O63"/>
      <c r="P63"/>
    </row>
    <row r="64" spans="1:16" x14ac:dyDescent="0.2">
      <c r="A64" s="130">
        <f>'Greenfield Projects'!A64</f>
        <v>561</v>
      </c>
      <c r="B64" s="131" t="str">
        <f>'Greenfield Projects'!B64</f>
        <v>ATCO</v>
      </c>
      <c r="C64" s="131" t="str">
        <f>IF('Greenfield Projects'!C64="AESO","DFO-T",'Greenfield Projects'!C64)</f>
        <v>DFO-T</v>
      </c>
      <c r="D64" s="131" t="str">
        <f>'Greenfield Projects'!F64</f>
        <v>925S</v>
      </c>
      <c r="E64" s="131" t="str">
        <f>'Greenfield Projects'!K64</f>
        <v>Greenfield Load</v>
      </c>
      <c r="F64" s="132">
        <f>'Greenfield Projects'!Y64</f>
        <v>46</v>
      </c>
      <c r="G64" s="132">
        <f>'Greenfield Projects'!AK64</f>
        <v>135</v>
      </c>
      <c r="H64" s="133">
        <f>'Greenfield Projects'!AG64</f>
        <v>58100097.147658743</v>
      </c>
      <c r="I64" s="160">
        <f t="shared" si="0"/>
        <v>2.9347826086956523</v>
      </c>
      <c r="K64"/>
      <c r="L64"/>
      <c r="M64"/>
      <c r="N64"/>
      <c r="O64"/>
      <c r="P64"/>
    </row>
    <row r="65" spans="1:16" x14ac:dyDescent="0.2">
      <c r="A65" s="130">
        <f>'Greenfield Projects'!A65</f>
        <v>1018</v>
      </c>
      <c r="B65" s="131" t="str">
        <f>'Greenfield Projects'!B65</f>
        <v>ATCO</v>
      </c>
      <c r="C65" s="131" t="str">
        <f>IF('Greenfield Projects'!C65="AESO","DFO-T",'Greenfield Projects'!C65)</f>
        <v>DFO-D</v>
      </c>
      <c r="D65" s="131" t="str">
        <f>'Greenfield Projects'!F65</f>
        <v>927S</v>
      </c>
      <c r="E65" s="131" t="str">
        <f>'Greenfield Projects'!K65</f>
        <v>Greenfield Load</v>
      </c>
      <c r="F65" s="132">
        <f>'Greenfield Projects'!Y65</f>
        <v>3</v>
      </c>
      <c r="G65" s="132">
        <f>'Greenfield Projects'!AK65</f>
        <v>22.5</v>
      </c>
      <c r="H65" s="133">
        <f>'Greenfield Projects'!AG65</f>
        <v>10634643.135603309</v>
      </c>
      <c r="I65" s="160">
        <f t="shared" si="0"/>
        <v>7.5</v>
      </c>
      <c r="K65"/>
      <c r="L65"/>
      <c r="M65"/>
      <c r="N65"/>
      <c r="O65"/>
      <c r="P65"/>
    </row>
    <row r="66" spans="1:16" x14ac:dyDescent="0.2">
      <c r="A66" s="130">
        <f>'Greenfield Projects'!A66</f>
        <v>360</v>
      </c>
      <c r="B66" s="131" t="str">
        <f>'Greenfield Projects'!B66</f>
        <v>AML</v>
      </c>
      <c r="C66" s="131" t="str">
        <f>IF('Greenfield Projects'!C66="AESO","DFO-T",'Greenfield Projects'!C66)</f>
        <v>DFO-D</v>
      </c>
      <c r="D66" s="131" t="str">
        <f>'Greenfield Projects'!F66</f>
        <v>92S</v>
      </c>
      <c r="E66" s="131" t="str">
        <f>'Greenfield Projects'!K66</f>
        <v>Greenfield Load</v>
      </c>
      <c r="F66" s="132">
        <f>'Greenfield Projects'!Y66</f>
        <v>22</v>
      </c>
      <c r="G66" s="132">
        <f>'Greenfield Projects'!AK66</f>
        <v>37.800000000000004</v>
      </c>
      <c r="H66" s="133">
        <f>'Greenfield Projects'!AG66</f>
        <v>7117471.5515965791</v>
      </c>
      <c r="I66" s="160">
        <f t="shared" si="0"/>
        <v>1.7181818181818185</v>
      </c>
      <c r="K66"/>
      <c r="L66"/>
      <c r="M66"/>
      <c r="N66"/>
      <c r="O66"/>
      <c r="P66"/>
    </row>
    <row r="67" spans="1:16" x14ac:dyDescent="0.2">
      <c r="A67" s="130">
        <f>'Greenfield Projects'!A67</f>
        <v>1106</v>
      </c>
      <c r="B67" s="131" t="str">
        <f>'Greenfield Projects'!B67</f>
        <v>ATCO</v>
      </c>
      <c r="C67" s="131" t="str">
        <f>IF('Greenfield Projects'!C67="AESO","DFO-T",'Greenfield Projects'!C67)</f>
        <v>DFO-T</v>
      </c>
      <c r="D67" s="131" t="str">
        <f>'Greenfield Projects'!F67</f>
        <v>931S</v>
      </c>
      <c r="E67" s="131" t="str">
        <f>'Greenfield Projects'!K67</f>
        <v>Greenfield Load</v>
      </c>
      <c r="F67" s="132">
        <f>'Greenfield Projects'!Y67</f>
        <v>12</v>
      </c>
      <c r="G67" s="132">
        <f>'Greenfield Projects'!AK67</f>
        <v>22.5</v>
      </c>
      <c r="H67" s="133">
        <f>'Greenfield Projects'!AG67</f>
        <v>20217898.457447253</v>
      </c>
      <c r="I67" s="160">
        <f t="shared" si="0"/>
        <v>1.875</v>
      </c>
      <c r="K67"/>
      <c r="L67"/>
      <c r="M67"/>
      <c r="N67"/>
      <c r="O67"/>
      <c r="P67"/>
    </row>
    <row r="68" spans="1:16" x14ac:dyDescent="0.2">
      <c r="A68" s="130">
        <f>'Greenfield Projects'!A68</f>
        <v>899</v>
      </c>
      <c r="B68" s="131" t="str">
        <f>'Greenfield Projects'!B68</f>
        <v>ATCO</v>
      </c>
      <c r="C68" s="131" t="str">
        <f>IF('Greenfield Projects'!C68="AESO","DFO-T",'Greenfield Projects'!C68)</f>
        <v>DFO-D</v>
      </c>
      <c r="D68" s="131" t="str">
        <f>'Greenfield Projects'!F68</f>
        <v>933S</v>
      </c>
      <c r="E68" s="131" t="str">
        <f>'Greenfield Projects'!K68</f>
        <v>Greenfield Load</v>
      </c>
      <c r="F68" s="132">
        <f>'Greenfield Projects'!Y68</f>
        <v>25</v>
      </c>
      <c r="G68" s="132">
        <f>'Greenfield Projects'!AK68</f>
        <v>45</v>
      </c>
      <c r="H68" s="133">
        <f>'Greenfield Projects'!AG68</f>
        <v>15172518.372866269</v>
      </c>
      <c r="I68" s="160">
        <f t="shared" si="0"/>
        <v>1.8</v>
      </c>
      <c r="K68"/>
      <c r="L68"/>
      <c r="M68"/>
      <c r="N68"/>
      <c r="O68"/>
      <c r="P68"/>
    </row>
    <row r="69" spans="1:16" x14ac:dyDescent="0.2">
      <c r="A69" s="130">
        <f>'Greenfield Projects'!A69</f>
        <v>1191</v>
      </c>
      <c r="B69" s="131" t="str">
        <f>'Greenfield Projects'!B69</f>
        <v>ATCO</v>
      </c>
      <c r="C69" s="131" t="str">
        <f>IF('Greenfield Projects'!C69="AESO","DFO-T",'Greenfield Projects'!C69)</f>
        <v>DFO-T</v>
      </c>
      <c r="D69" s="131" t="str">
        <f>'Greenfield Projects'!F69</f>
        <v>936S</v>
      </c>
      <c r="E69" s="131" t="str">
        <f>'Greenfield Projects'!K69</f>
        <v>Greenfield Load</v>
      </c>
      <c r="F69" s="132">
        <f>'Greenfield Projects'!Y69</f>
        <v>11</v>
      </c>
      <c r="G69" s="132">
        <f>'Greenfield Projects'!AK69</f>
        <v>14.940000000000001</v>
      </c>
      <c r="H69" s="133">
        <f>'Greenfield Projects'!AG69</f>
        <v>12628076.471206382</v>
      </c>
      <c r="I69" s="160">
        <f t="shared" si="0"/>
        <v>1.3581818181818184</v>
      </c>
      <c r="K69"/>
      <c r="L69"/>
      <c r="M69"/>
      <c r="N69"/>
      <c r="O69"/>
      <c r="P69"/>
    </row>
    <row r="70" spans="1:16" x14ac:dyDescent="0.2">
      <c r="A70" s="130">
        <f>'Greenfield Projects'!A70</f>
        <v>1115</v>
      </c>
      <c r="B70" s="131" t="str">
        <f>'Greenfield Projects'!B70</f>
        <v>ATCO</v>
      </c>
      <c r="C70" s="131" t="str">
        <f>IF('Greenfield Projects'!C70="AESO","DFO-T",'Greenfield Projects'!C70)</f>
        <v>DFO-T</v>
      </c>
      <c r="D70" s="131" t="str">
        <f>'Greenfield Projects'!F70</f>
        <v>940S</v>
      </c>
      <c r="E70" s="131" t="str">
        <f>'Greenfield Projects'!K70</f>
        <v>Greenfield Load</v>
      </c>
      <c r="F70" s="132">
        <f>'Greenfield Projects'!Y70</f>
        <v>10</v>
      </c>
      <c r="G70" s="132">
        <f>'Greenfield Projects'!AK70</f>
        <v>22.5</v>
      </c>
      <c r="H70" s="133">
        <f>'Greenfield Projects'!AG70</f>
        <v>24362790.290493838</v>
      </c>
      <c r="I70" s="160">
        <f t="shared" si="0"/>
        <v>2.25</v>
      </c>
      <c r="K70"/>
      <c r="L70"/>
      <c r="M70"/>
      <c r="N70"/>
      <c r="O70"/>
      <c r="P70"/>
    </row>
    <row r="71" spans="1:16" x14ac:dyDescent="0.2">
      <c r="A71" s="130">
        <f>'Greenfield Projects'!A71</f>
        <v>1053</v>
      </c>
      <c r="B71" s="131" t="str">
        <f>'Greenfield Projects'!B71</f>
        <v>ATCO and AML</v>
      </c>
      <c r="C71" s="131" t="str">
        <f>IF('Greenfield Projects'!C71="AESO","DFO-T",'Greenfield Projects'!C71)</f>
        <v>DFO-T</v>
      </c>
      <c r="D71" s="131" t="str">
        <f>'Greenfield Projects'!F71</f>
        <v>947S</v>
      </c>
      <c r="E71" s="131" t="str">
        <f>'Greenfield Projects'!K71</f>
        <v>Greenfield Load</v>
      </c>
      <c r="F71" s="132">
        <f>'Greenfield Projects'!Y71</f>
        <v>9</v>
      </c>
      <c r="G71" s="132">
        <f>'Greenfield Projects'!AK71</f>
        <v>14.940000000000001</v>
      </c>
      <c r="H71" s="133">
        <f>'Greenfield Projects'!AG71</f>
        <v>14714438.26778331</v>
      </c>
      <c r="I71" s="160">
        <f t="shared" si="0"/>
        <v>1.6600000000000001</v>
      </c>
      <c r="K71"/>
      <c r="L71"/>
      <c r="M71"/>
      <c r="N71"/>
      <c r="O71"/>
      <c r="P71"/>
    </row>
    <row r="72" spans="1:16" x14ac:dyDescent="0.2">
      <c r="A72" s="130">
        <f>'Greenfield Projects'!A72</f>
        <v>864</v>
      </c>
      <c r="B72" s="131" t="str">
        <f>'Greenfield Projects'!B72</f>
        <v>ATCO</v>
      </c>
      <c r="C72" s="131" t="str">
        <f>IF('Greenfield Projects'!C72="AESO","DFO-T",'Greenfield Projects'!C72)</f>
        <v>DFO-T</v>
      </c>
      <c r="D72" s="131" t="str">
        <f>'Greenfield Projects'!F72</f>
        <v>949S</v>
      </c>
      <c r="E72" s="131" t="str">
        <f>'Greenfield Projects'!K72</f>
        <v>Greenfield Load</v>
      </c>
      <c r="F72" s="132">
        <f>'Greenfield Projects'!Y72</f>
        <v>25</v>
      </c>
      <c r="G72" s="132">
        <f>'Greenfield Projects'!AK72</f>
        <v>29.97</v>
      </c>
      <c r="H72" s="133">
        <f>'Greenfield Projects'!AG72</f>
        <v>9825778.2010454517</v>
      </c>
      <c r="I72" s="160">
        <f t="shared" si="0"/>
        <v>1.1987999999999999</v>
      </c>
      <c r="K72"/>
      <c r="L72"/>
      <c r="M72"/>
      <c r="N72"/>
      <c r="O72"/>
      <c r="P72"/>
    </row>
    <row r="73" spans="1:16" x14ac:dyDescent="0.2">
      <c r="A73" s="130">
        <f>'Greenfield Projects'!A73</f>
        <v>834</v>
      </c>
      <c r="B73" s="131" t="str">
        <f>'Greenfield Projects'!B73</f>
        <v>ATCO</v>
      </c>
      <c r="C73" s="131" t="str">
        <f>IF('Greenfield Projects'!C73="AESO","DFO-T",'Greenfield Projects'!C73)</f>
        <v>DFO-T</v>
      </c>
      <c r="D73" s="131" t="str">
        <f>'Greenfield Projects'!F73</f>
        <v>950S</v>
      </c>
      <c r="E73" s="131" t="str">
        <f>'Greenfield Projects'!K73</f>
        <v>Greenfield Load</v>
      </c>
      <c r="F73" s="132">
        <f>'Greenfield Projects'!Y73</f>
        <v>45</v>
      </c>
      <c r="G73" s="132">
        <f>'Greenfield Projects'!AK73</f>
        <v>45</v>
      </c>
      <c r="H73" s="133">
        <f>'Greenfield Projects'!AG73</f>
        <v>25798393.978216257</v>
      </c>
      <c r="I73" s="160">
        <f t="shared" ref="I73:I136" si="1">IF(F73=0,0,G73/F73)</f>
        <v>1</v>
      </c>
      <c r="K73"/>
      <c r="L73"/>
      <c r="M73"/>
      <c r="N73"/>
      <c r="O73"/>
      <c r="P73"/>
    </row>
    <row r="74" spans="1:16" x14ac:dyDescent="0.2">
      <c r="A74" s="130">
        <f>'Greenfield Projects'!A74</f>
        <v>722</v>
      </c>
      <c r="B74" s="131" t="str">
        <f>'Greenfield Projects'!B74</f>
        <v>ATCO</v>
      </c>
      <c r="C74" s="131" t="str">
        <f>IF('Greenfield Projects'!C74="AESO","DFO-T",'Greenfield Projects'!C74)</f>
        <v>DFO-T</v>
      </c>
      <c r="D74" s="131" t="str">
        <f>'Greenfield Projects'!F74</f>
        <v>969S</v>
      </c>
      <c r="E74" s="131" t="str">
        <f>'Greenfield Projects'!K74</f>
        <v>Greenfield Load</v>
      </c>
      <c r="F74" s="132">
        <f>'Greenfield Projects'!Y74</f>
        <v>10.5</v>
      </c>
      <c r="G74" s="132">
        <f>'Greenfield Projects'!AK74</f>
        <v>22.5</v>
      </c>
      <c r="H74" s="133">
        <f>'Greenfield Projects'!AG74</f>
        <v>13501544.643115856</v>
      </c>
      <c r="I74" s="160">
        <f t="shared" si="1"/>
        <v>2.1428571428571428</v>
      </c>
      <c r="K74"/>
      <c r="L74"/>
      <c r="M74"/>
      <c r="N74"/>
      <c r="O74"/>
      <c r="P74"/>
    </row>
    <row r="75" spans="1:16" x14ac:dyDescent="0.2">
      <c r="A75" s="130">
        <f>'Greenfield Projects'!A75</f>
        <v>927</v>
      </c>
      <c r="B75" s="131" t="str">
        <f>'Greenfield Projects'!B75</f>
        <v>ATCO</v>
      </c>
      <c r="C75" s="131" t="str">
        <f>IF('Greenfield Projects'!C75="AESO","DFO-T",'Greenfield Projects'!C75)</f>
        <v>DFO-T</v>
      </c>
      <c r="D75" s="131" t="str">
        <f>'Greenfield Projects'!F75</f>
        <v>989S</v>
      </c>
      <c r="E75" s="131" t="str">
        <f>'Greenfield Projects'!K75</f>
        <v>Greenfield Load</v>
      </c>
      <c r="F75" s="132">
        <f>'Greenfield Projects'!Y75</f>
        <v>60</v>
      </c>
      <c r="G75" s="132">
        <f>'Greenfield Projects'!AK75</f>
        <v>67.5</v>
      </c>
      <c r="H75" s="133">
        <f>'Greenfield Projects'!AG75</f>
        <v>25887106.037100621</v>
      </c>
      <c r="I75" s="160">
        <f t="shared" si="1"/>
        <v>1.125</v>
      </c>
      <c r="K75"/>
      <c r="L75"/>
      <c r="M75"/>
      <c r="N75"/>
      <c r="O75"/>
      <c r="P75"/>
    </row>
    <row r="76" spans="1:16" x14ac:dyDescent="0.2">
      <c r="A76" s="130">
        <f>'Greenfield Projects'!A76</f>
        <v>1068</v>
      </c>
      <c r="B76" s="131" t="str">
        <f>'Greenfield Projects'!B76</f>
        <v>ATCO and AML</v>
      </c>
      <c r="C76" s="131" t="str">
        <f>IF('Greenfield Projects'!C76="AESO","DFO-T",'Greenfield Projects'!C76)</f>
        <v>DFO-T</v>
      </c>
      <c r="D76" s="131" t="str">
        <f>'Greenfield Projects'!F76</f>
        <v>993S</v>
      </c>
      <c r="E76" s="131" t="str">
        <f>'Greenfield Projects'!K76</f>
        <v>Greenfield Load</v>
      </c>
      <c r="F76" s="132">
        <f>'Greenfield Projects'!Y76</f>
        <v>11.2</v>
      </c>
      <c r="G76" s="132">
        <f>'Greenfield Projects'!AK76</f>
        <v>22.5</v>
      </c>
      <c r="H76" s="133">
        <f>'Greenfield Projects'!AG76</f>
        <v>26918199.168374587</v>
      </c>
      <c r="I76" s="160">
        <f t="shared" si="1"/>
        <v>2.0089285714285716</v>
      </c>
      <c r="K76"/>
      <c r="L76"/>
      <c r="M76"/>
      <c r="N76"/>
      <c r="O76"/>
      <c r="P76"/>
    </row>
    <row r="77" spans="1:16" x14ac:dyDescent="0.2">
      <c r="A77" s="130">
        <f>'Greenfield Projects'!A77</f>
        <v>506</v>
      </c>
      <c r="B77" s="131" t="str">
        <f>'Greenfield Projects'!B77</f>
        <v>EPCOR</v>
      </c>
      <c r="C77" s="131" t="str">
        <f>IF('Greenfield Projects'!C77="AESO","DFO-T",'Greenfield Projects'!C77)</f>
        <v>DFO-D</v>
      </c>
      <c r="D77" s="131" t="str">
        <f>'Greenfield Projects'!F77</f>
        <v>Cloverbar</v>
      </c>
      <c r="E77" s="131" t="str">
        <f>'Greenfield Projects'!K77</f>
        <v>Greenfield Load</v>
      </c>
      <c r="F77" s="132">
        <f>'Greenfield Projects'!Y77</f>
        <v>20</v>
      </c>
      <c r="G77" s="132">
        <f>'Greenfield Projects'!AK77</f>
        <v>113.4</v>
      </c>
      <c r="H77" s="133">
        <f>'Greenfield Projects'!AG77</f>
        <v>13969254.162639502</v>
      </c>
      <c r="I77" s="160">
        <f t="shared" si="1"/>
        <v>5.67</v>
      </c>
      <c r="K77"/>
      <c r="L77"/>
      <c r="M77"/>
      <c r="N77"/>
      <c r="O77"/>
      <c r="P77"/>
    </row>
    <row r="78" spans="1:16" x14ac:dyDescent="0.2">
      <c r="A78" s="130">
        <f>'Greenfield Projects'!A78</f>
        <v>456</v>
      </c>
      <c r="B78" s="131" t="str">
        <f>'Greenfield Projects'!B78</f>
        <v>AML and ENMAX</v>
      </c>
      <c r="C78" s="131" t="str">
        <f>IF('Greenfield Projects'!C78="AESO","DFO-T",'Greenfield Projects'!C78)</f>
        <v>DFO-D</v>
      </c>
      <c r="D78" s="131" t="str">
        <f>'Greenfield Projects'!F78</f>
        <v>S47</v>
      </c>
      <c r="E78" s="131" t="str">
        <f>'Greenfield Projects'!K78</f>
        <v>Greenfield Load</v>
      </c>
      <c r="F78" s="132">
        <f>'Greenfield Projects'!Y78</f>
        <v>16</v>
      </c>
      <c r="G78" s="132">
        <f>'Greenfield Projects'!AK78</f>
        <v>45</v>
      </c>
      <c r="H78" s="133">
        <f>'Greenfield Projects'!AG78</f>
        <v>17647037.003819346</v>
      </c>
      <c r="I78" s="160">
        <f t="shared" si="1"/>
        <v>2.8125</v>
      </c>
      <c r="K78"/>
      <c r="L78"/>
      <c r="M78"/>
      <c r="N78"/>
      <c r="O78"/>
      <c r="P78"/>
    </row>
    <row r="79" spans="1:16" x14ac:dyDescent="0.2">
      <c r="A79" s="130">
        <f>'Greenfield Projects'!A79</f>
        <v>130</v>
      </c>
      <c r="B79" s="131" t="str">
        <f>'Greenfield Projects'!B79</f>
        <v>ENMAX</v>
      </c>
      <c r="C79" s="131" t="str">
        <f>IF('Greenfield Projects'!C79="AESO","DFO-T",'Greenfield Projects'!C79)</f>
        <v>DFO-D</v>
      </c>
      <c r="D79" s="131" t="str">
        <f>'Greenfield Projects'!F79</f>
        <v>SS-24</v>
      </c>
      <c r="E79" s="131" t="str">
        <f>'Greenfield Projects'!K79</f>
        <v>Greenfield Load</v>
      </c>
      <c r="F79" s="132">
        <f>'Greenfield Projects'!Y79</f>
        <v>18</v>
      </c>
      <c r="G79" s="132">
        <f>'Greenfield Projects'!AK79</f>
        <v>45</v>
      </c>
      <c r="H79" s="133">
        <f>'Greenfield Projects'!AG79</f>
        <v>8436973.2753123958</v>
      </c>
      <c r="I79" s="160">
        <f t="shared" si="1"/>
        <v>2.5</v>
      </c>
      <c r="K79"/>
      <c r="L79"/>
      <c r="M79"/>
      <c r="N79"/>
      <c r="O79"/>
      <c r="P79"/>
    </row>
    <row r="80" spans="1:16" x14ac:dyDescent="0.2">
      <c r="A80" s="130">
        <f>'Greenfield Projects'!A80</f>
        <v>308</v>
      </c>
      <c r="B80" s="131" t="str">
        <f>'Greenfield Projects'!B80</f>
        <v>ENMAX</v>
      </c>
      <c r="C80" s="131" t="str">
        <f>IF('Greenfield Projects'!C80="AESO","DFO-T",'Greenfield Projects'!C80)</f>
        <v>DFO-D</v>
      </c>
      <c r="D80" s="131" t="str">
        <f>'Greenfield Projects'!F80</f>
        <v>SS26</v>
      </c>
      <c r="E80" s="131" t="str">
        <f>'Greenfield Projects'!K80</f>
        <v>Greenfield Load</v>
      </c>
      <c r="F80" s="132">
        <f>'Greenfield Projects'!Y80</f>
        <v>10</v>
      </c>
      <c r="G80" s="132">
        <f>'Greenfield Projects'!AK80</f>
        <v>54</v>
      </c>
      <c r="H80" s="133">
        <f>'Greenfield Projects'!AG80</f>
        <v>8875376.2889293544</v>
      </c>
      <c r="I80" s="160">
        <f t="shared" si="1"/>
        <v>5.4</v>
      </c>
      <c r="K80"/>
      <c r="L80"/>
      <c r="M80"/>
      <c r="N80"/>
      <c r="O80"/>
      <c r="P80"/>
    </row>
    <row r="81" spans="1:16" x14ac:dyDescent="0.2">
      <c r="A81" s="130">
        <f>'Greenfield Projects'!A81</f>
        <v>829</v>
      </c>
      <c r="B81" s="131" t="str">
        <f>'Greenfield Projects'!B81</f>
        <v>ENMAX</v>
      </c>
      <c r="C81" s="131" t="str">
        <f>IF('Greenfield Projects'!C81="AESO","DFO-T",'Greenfield Projects'!C81)</f>
        <v>DFO-D</v>
      </c>
      <c r="D81" s="131" t="str">
        <f>'Greenfield Projects'!F81</f>
        <v>SS-54</v>
      </c>
      <c r="E81" s="131" t="str">
        <f>'Greenfield Projects'!K81</f>
        <v>Greenfield Load</v>
      </c>
      <c r="F81" s="132">
        <f>'Greenfield Projects'!Y81</f>
        <v>20</v>
      </c>
      <c r="G81" s="132">
        <f>'Greenfield Projects'!AK81</f>
        <v>45</v>
      </c>
      <c r="H81" s="133">
        <f>'Greenfield Projects'!AG81</f>
        <v>27761077.137379147</v>
      </c>
      <c r="I81" s="160">
        <f t="shared" si="1"/>
        <v>2.25</v>
      </c>
      <c r="K81"/>
      <c r="L81"/>
      <c r="M81"/>
      <c r="N81"/>
      <c r="O81"/>
      <c r="P81"/>
    </row>
    <row r="82" spans="1:16" x14ac:dyDescent="0.2">
      <c r="A82" s="130">
        <f>'Greenfield Projects'!A82</f>
        <v>425</v>
      </c>
      <c r="B82" s="131" t="str">
        <f>'Greenfield Projects'!B82</f>
        <v>ENMAX</v>
      </c>
      <c r="C82" s="131" t="str">
        <f>IF('Greenfield Projects'!C82="AESO","DFO-T",'Greenfield Projects'!C82)</f>
        <v>DFO-D</v>
      </c>
      <c r="D82" s="131" t="str">
        <f>'Greenfield Projects'!F82</f>
        <v>SS-6</v>
      </c>
      <c r="E82" s="131" t="str">
        <f>'Greenfield Projects'!K82</f>
        <v>Greenfield Load</v>
      </c>
      <c r="F82" s="132">
        <f>'Greenfield Projects'!Y82</f>
        <v>17</v>
      </c>
      <c r="G82" s="132">
        <f>'Greenfield Projects'!AK82</f>
        <v>27</v>
      </c>
      <c r="H82" s="133">
        <f>'Greenfield Projects'!AG82</f>
        <v>11725448.588458149</v>
      </c>
      <c r="I82" s="160">
        <f t="shared" si="1"/>
        <v>1.588235294117647</v>
      </c>
      <c r="K82"/>
      <c r="L82"/>
      <c r="M82"/>
      <c r="N82"/>
      <c r="O82"/>
      <c r="P82"/>
    </row>
    <row r="83" spans="1:16" x14ac:dyDescent="0.2">
      <c r="A83" s="130">
        <f>'Greenfield Projects'!A83</f>
        <v>333</v>
      </c>
      <c r="B83" s="131" t="str">
        <f>'Greenfield Projects'!B83</f>
        <v>ENMAX</v>
      </c>
      <c r="C83" s="131" t="str">
        <f>IF('Greenfield Projects'!C83="AESO","DFO-T",'Greenfield Projects'!C83)</f>
        <v>DFO-D</v>
      </c>
      <c r="D83" s="131" t="str">
        <f>'Greenfield Projects'!F83</f>
        <v>SS-7</v>
      </c>
      <c r="E83" s="131" t="str">
        <f>'Greenfield Projects'!K83</f>
        <v>Greenfield Load</v>
      </c>
      <c r="F83" s="132">
        <f>'Greenfield Projects'!Y83</f>
        <v>12</v>
      </c>
      <c r="G83" s="132">
        <f>'Greenfield Projects'!AK83</f>
        <v>27</v>
      </c>
      <c r="H83" s="133">
        <f>'Greenfield Projects'!AG83</f>
        <v>7560713.6656563347</v>
      </c>
      <c r="I83" s="160">
        <f t="shared" si="1"/>
        <v>2.25</v>
      </c>
      <c r="K83"/>
      <c r="L83"/>
      <c r="M83"/>
      <c r="N83"/>
      <c r="O83"/>
      <c r="P83"/>
    </row>
    <row r="84" spans="1:16" x14ac:dyDescent="0.2">
      <c r="A84" s="130">
        <f>'Greenfield Projects'!A84</f>
        <v>769</v>
      </c>
      <c r="B84" s="131" t="str">
        <f>'Greenfield Projects'!B84</f>
        <v>AML and EPCOR</v>
      </c>
      <c r="C84" s="131" t="str">
        <f>IF('Greenfield Projects'!C84="AESO","DFO-T",'Greenfield Projects'!C84)</f>
        <v>DFO-D</v>
      </c>
      <c r="D84" s="131" t="str">
        <f>'Greenfield Projects'!F84</f>
        <v>SUMMERSIDE</v>
      </c>
      <c r="E84" s="131" t="str">
        <f>'Greenfield Projects'!K84</f>
        <v>Greenfield Load</v>
      </c>
      <c r="F84" s="132">
        <f>'Greenfield Projects'!Y84</f>
        <v>40</v>
      </c>
      <c r="G84" s="132">
        <f>'Greenfield Projects'!AK84</f>
        <v>135</v>
      </c>
      <c r="H84" s="133">
        <f>'Greenfield Projects'!AG84</f>
        <v>26381292.343151443</v>
      </c>
      <c r="I84" s="160">
        <f t="shared" si="1"/>
        <v>3.375</v>
      </c>
      <c r="K84"/>
      <c r="L84"/>
      <c r="M84"/>
      <c r="N84"/>
      <c r="O84"/>
      <c r="P84"/>
    </row>
    <row r="85" spans="1:16" x14ac:dyDescent="0.2">
      <c r="A85" s="130">
        <f>'Greenfield Projects'!A85</f>
        <v>948</v>
      </c>
      <c r="B85" s="131" t="str">
        <f>'Greenfield Projects'!B85</f>
        <v>ATCO</v>
      </c>
      <c r="C85" s="131" t="str">
        <f>IF('Greenfield Projects'!C85="AESO","DFO-T",'Greenfield Projects'!C85)</f>
        <v>DFO-T</v>
      </c>
      <c r="D85" s="131" t="str">
        <f>'Greenfield Projects'!F85</f>
        <v>937S</v>
      </c>
      <c r="E85" s="131" t="str">
        <f>'Greenfield Projects'!K85</f>
        <v>Greenfield Load</v>
      </c>
      <c r="F85" s="132">
        <f>'Greenfield Projects'!Y85</f>
        <v>57</v>
      </c>
      <c r="G85" s="132">
        <f>'Greenfield Projects'!AK85</f>
        <v>225</v>
      </c>
      <c r="H85" s="133">
        <f>'Greenfield Projects'!AG85</f>
        <v>12653662.771089084</v>
      </c>
      <c r="I85" s="160">
        <f t="shared" si="1"/>
        <v>3.9473684210526314</v>
      </c>
      <c r="K85"/>
      <c r="L85"/>
      <c r="M85"/>
      <c r="N85"/>
      <c r="O85"/>
      <c r="P85"/>
    </row>
    <row r="86" spans="1:16" x14ac:dyDescent="0.2">
      <c r="A86" s="130">
        <f>'Greenfield Projects'!A86</f>
        <v>1128</v>
      </c>
      <c r="B86" s="131" t="str">
        <f>'Greenfield Projects'!B86</f>
        <v>ATCO</v>
      </c>
      <c r="C86" s="131" t="str">
        <f>IF('Greenfield Projects'!C86="AESO","DFO-T",'Greenfield Projects'!C86)</f>
        <v>DFO-T</v>
      </c>
      <c r="D86" s="131" t="str">
        <f>'Greenfield Projects'!F86</f>
        <v>2060S</v>
      </c>
      <c r="E86" s="131" t="str">
        <f>'Greenfield Projects'!K86</f>
        <v>Greenfield Load</v>
      </c>
      <c r="F86" s="132">
        <f>'Greenfield Projects'!Y86</f>
        <v>45</v>
      </c>
      <c r="G86" s="132">
        <f>'Greenfield Projects'!AK86</f>
        <v>225</v>
      </c>
      <c r="H86" s="133">
        <f>'Greenfield Projects'!AG86</f>
        <v>63556235.718349397</v>
      </c>
      <c r="I86" s="160">
        <f t="shared" si="1"/>
        <v>5</v>
      </c>
      <c r="K86"/>
      <c r="L86"/>
      <c r="M86"/>
      <c r="N86"/>
      <c r="O86"/>
      <c r="P86"/>
    </row>
    <row r="87" spans="1:16" x14ac:dyDescent="0.2">
      <c r="A87" s="130">
        <f>'Greenfield Projects'!A87</f>
        <v>1214</v>
      </c>
      <c r="B87" s="131" t="str">
        <f>'Greenfield Projects'!B87</f>
        <v>ATCO</v>
      </c>
      <c r="C87" s="131" t="str">
        <f>IF('Greenfield Projects'!C87="AESO","DFO-T",'Greenfield Projects'!C87)</f>
        <v>DFO-T</v>
      </c>
      <c r="D87" s="131" t="str">
        <f>'Greenfield Projects'!F87</f>
        <v>279S</v>
      </c>
      <c r="E87" s="131" t="str">
        <f>'Greenfield Projects'!K87</f>
        <v>Greenfield Load</v>
      </c>
      <c r="F87" s="132">
        <f>'Greenfield Projects'!Y87</f>
        <v>52</v>
      </c>
      <c r="G87" s="132">
        <f>'Greenfield Projects'!AK87</f>
        <v>90</v>
      </c>
      <c r="H87" s="133">
        <f>'Greenfield Projects'!AG87</f>
        <v>22631695.27329446</v>
      </c>
      <c r="I87" s="160">
        <f t="shared" si="1"/>
        <v>1.7307692307692308</v>
      </c>
      <c r="K87"/>
      <c r="L87"/>
      <c r="M87"/>
      <c r="N87"/>
      <c r="O87"/>
      <c r="P87"/>
    </row>
    <row r="88" spans="1:16" x14ac:dyDescent="0.2">
      <c r="A88" s="130">
        <f>'Greenfield Projects'!A88</f>
        <v>1225</v>
      </c>
      <c r="B88" s="131" t="str">
        <f>'Greenfield Projects'!B88</f>
        <v>ATCO</v>
      </c>
      <c r="C88" s="131" t="str">
        <f>IF('Greenfield Projects'!C88="AESO","DFO-T",'Greenfield Projects'!C88)</f>
        <v>DFO-T</v>
      </c>
      <c r="D88" s="131" t="str">
        <f>'Greenfield Projects'!F88</f>
        <v>2032S</v>
      </c>
      <c r="E88" s="131" t="str">
        <f>'Greenfield Projects'!K88</f>
        <v>Greenfield Load</v>
      </c>
      <c r="F88" s="132">
        <f>'Greenfield Projects'!Y88</f>
        <v>20</v>
      </c>
      <c r="G88" s="132">
        <f>'Greenfield Projects'!AK88</f>
        <v>37.800000000000004</v>
      </c>
      <c r="H88" s="133">
        <f>'Greenfield Projects'!AG88</f>
        <v>18636695.74467504</v>
      </c>
      <c r="I88" s="160">
        <f t="shared" si="1"/>
        <v>1.8900000000000001</v>
      </c>
      <c r="K88"/>
      <c r="L88"/>
      <c r="M88"/>
      <c r="N88"/>
      <c r="O88"/>
      <c r="P88"/>
    </row>
    <row r="89" spans="1:16" x14ac:dyDescent="0.2">
      <c r="A89" s="130">
        <f>'Greenfield Projects'!A89</f>
        <v>1263</v>
      </c>
      <c r="B89" s="131" t="str">
        <f>'Greenfield Projects'!B89</f>
        <v>AML and Red Deer</v>
      </c>
      <c r="C89" s="131" t="str">
        <f>IF('Greenfield Projects'!C89="AESO","DFO-T",'Greenfield Projects'!C89)</f>
        <v>DFO-D</v>
      </c>
      <c r="D89" s="131" t="str">
        <f>'Greenfield Projects'!F89</f>
        <v>209S</v>
      </c>
      <c r="E89" s="131" t="str">
        <f>'Greenfield Projects'!K89</f>
        <v>Greenfield Load</v>
      </c>
      <c r="F89" s="132">
        <f>'Greenfield Projects'!Y89</f>
        <v>8</v>
      </c>
      <c r="G89" s="132">
        <f>'Greenfield Projects'!AK89</f>
        <v>27</v>
      </c>
      <c r="H89" s="133">
        <f>'Greenfield Projects'!AG89</f>
        <v>19611656.992669992</v>
      </c>
      <c r="I89" s="160">
        <f t="shared" si="1"/>
        <v>3.375</v>
      </c>
      <c r="K89"/>
      <c r="L89"/>
      <c r="M89"/>
      <c r="N89"/>
      <c r="O89"/>
      <c r="P89"/>
    </row>
    <row r="90" spans="1:16" x14ac:dyDescent="0.2">
      <c r="A90" s="130">
        <f>'Greenfield Projects'!A90</f>
        <v>1309</v>
      </c>
      <c r="B90" s="131" t="str">
        <f>'Greenfield Projects'!B90</f>
        <v>ATCO</v>
      </c>
      <c r="C90" s="131" t="str">
        <f>IF('Greenfield Projects'!C90="AESO","DFO-T",'Greenfield Projects'!C90)</f>
        <v>DFO-T</v>
      </c>
      <c r="D90" s="131" t="str">
        <f>'Greenfield Projects'!F90</f>
        <v>2081S</v>
      </c>
      <c r="E90" s="131" t="str">
        <f>'Greenfield Projects'!K90</f>
        <v>Greenfield Load</v>
      </c>
      <c r="F90" s="132">
        <f>'Greenfield Projects'!Y90</f>
        <v>15</v>
      </c>
      <c r="G90" s="132">
        <f>'Greenfield Projects'!AK90</f>
        <v>45</v>
      </c>
      <c r="H90" s="133">
        <f>'Greenfield Projects'!AG90</f>
        <v>16109333.942693338</v>
      </c>
      <c r="I90" s="160">
        <f t="shared" si="1"/>
        <v>3</v>
      </c>
      <c r="K90"/>
      <c r="L90"/>
      <c r="M90"/>
      <c r="N90"/>
      <c r="O90"/>
      <c r="P90"/>
    </row>
    <row r="91" spans="1:16" x14ac:dyDescent="0.2">
      <c r="A91" s="130">
        <f>'Greenfield Projects'!A91</f>
        <v>1349</v>
      </c>
      <c r="B91" s="131" t="str">
        <f>'Greenfield Projects'!B91</f>
        <v>AML</v>
      </c>
      <c r="C91" s="131" t="str">
        <f>IF('Greenfield Projects'!C91="AESO","DFO-T",'Greenfield Projects'!C91)</f>
        <v>DFO-T</v>
      </c>
      <c r="D91" s="131" t="str">
        <f>'Greenfield Projects'!F91</f>
        <v>301S</v>
      </c>
      <c r="E91" s="131" t="str">
        <f>'Greenfield Projects'!K91</f>
        <v>Greenfield Load</v>
      </c>
      <c r="F91" s="132">
        <f>'Greenfield Projects'!Y91</f>
        <v>34</v>
      </c>
      <c r="G91" s="132">
        <f>'Greenfield Projects'!AK91</f>
        <v>29.7</v>
      </c>
      <c r="H91" s="133">
        <f>'Greenfield Projects'!AG91</f>
        <v>8967952.2578977589</v>
      </c>
      <c r="I91" s="160">
        <f t="shared" si="1"/>
        <v>0.87352941176470589</v>
      </c>
      <c r="K91"/>
      <c r="L91"/>
      <c r="M91"/>
      <c r="N91"/>
      <c r="O91"/>
      <c r="P91"/>
    </row>
    <row r="92" spans="1:16" x14ac:dyDescent="0.2">
      <c r="A92" s="130">
        <f>'Greenfield Projects'!A92</f>
        <v>1358</v>
      </c>
      <c r="B92" s="131" t="str">
        <f>'Greenfield Projects'!B92</f>
        <v>AML</v>
      </c>
      <c r="C92" s="131" t="str">
        <f>IF('Greenfield Projects'!C92="AESO","DFO-T",'Greenfield Projects'!C92)</f>
        <v>DFO-T</v>
      </c>
      <c r="D92" s="131" t="str">
        <f>'Greenfield Projects'!F92</f>
        <v>293S</v>
      </c>
      <c r="E92" s="131" t="str">
        <f>'Greenfield Projects'!K92</f>
        <v>Greenfield Load</v>
      </c>
      <c r="F92" s="132">
        <f>'Greenfield Projects'!Y92</f>
        <v>27</v>
      </c>
      <c r="G92" s="132">
        <f>'Greenfield Projects'!AK92</f>
        <v>59.4</v>
      </c>
      <c r="H92" s="133">
        <f>'Greenfield Projects'!AG92</f>
        <v>13072655.032827439</v>
      </c>
      <c r="I92" s="160">
        <f t="shared" si="1"/>
        <v>2.1999999999999997</v>
      </c>
      <c r="K92"/>
      <c r="L92"/>
      <c r="M92"/>
      <c r="N92"/>
      <c r="O92"/>
      <c r="P92"/>
    </row>
    <row r="93" spans="1:16" x14ac:dyDescent="0.2">
      <c r="A93" s="130">
        <f>'Greenfield Projects'!A93</f>
        <v>1404</v>
      </c>
      <c r="B93" s="131" t="str">
        <f>'Greenfield Projects'!B93</f>
        <v>ATCO</v>
      </c>
      <c r="C93" s="131" t="str">
        <f>IF('Greenfield Projects'!C93="AESO","DFO-T",'Greenfield Projects'!C93)</f>
        <v>DFO-T</v>
      </c>
      <c r="D93" s="131" t="str">
        <f>'Greenfield Projects'!F93</f>
        <v>193S</v>
      </c>
      <c r="E93" s="131" t="str">
        <f>'Greenfield Projects'!K93</f>
        <v>Greenfield Load</v>
      </c>
      <c r="F93" s="132">
        <f>'Greenfield Projects'!Y93</f>
        <v>35</v>
      </c>
      <c r="G93" s="132">
        <f>'Greenfield Projects'!AK93</f>
        <v>150.98400000000001</v>
      </c>
      <c r="H93" s="133">
        <f>'Greenfield Projects'!AG93</f>
        <v>35276341.164894447</v>
      </c>
      <c r="I93" s="160">
        <f t="shared" si="1"/>
        <v>4.313828571428572</v>
      </c>
      <c r="K93"/>
      <c r="L93"/>
      <c r="M93"/>
      <c r="N93"/>
      <c r="O93"/>
      <c r="P93"/>
    </row>
    <row r="94" spans="1:16" x14ac:dyDescent="0.2">
      <c r="A94" s="130">
        <f>'Greenfield Projects'!A94</f>
        <v>1482</v>
      </c>
      <c r="B94" s="131" t="str">
        <f>'Greenfield Projects'!B94</f>
        <v>ATCO</v>
      </c>
      <c r="C94" s="131" t="str">
        <f>IF('Greenfield Projects'!C94="AESO","DFO-T",'Greenfield Projects'!C94)</f>
        <v>DFO-T</v>
      </c>
      <c r="D94" s="131" t="str">
        <f>'Greenfield Projects'!F94</f>
        <v>2015S</v>
      </c>
      <c r="E94" s="131" t="str">
        <f>'Greenfield Projects'!K94</f>
        <v>Greenfield Load</v>
      </c>
      <c r="F94" s="132">
        <f>'Greenfield Projects'!Y94</f>
        <v>18.399999999999999</v>
      </c>
      <c r="G94" s="132">
        <f>'Greenfield Projects'!AK94</f>
        <v>90</v>
      </c>
      <c r="H94" s="133">
        <f>'Greenfield Projects'!AG94</f>
        <v>18765793.673519447</v>
      </c>
      <c r="I94" s="160">
        <f t="shared" si="1"/>
        <v>4.8913043478260869</v>
      </c>
      <c r="K94"/>
      <c r="L94"/>
      <c r="M94"/>
      <c r="N94"/>
      <c r="O94"/>
      <c r="P94"/>
    </row>
    <row r="95" spans="1:16" x14ac:dyDescent="0.2">
      <c r="A95" s="130">
        <f>'Greenfield Projects'!A95</f>
        <v>1515</v>
      </c>
      <c r="B95" s="131" t="str">
        <f>'Greenfield Projects'!B95</f>
        <v>AML</v>
      </c>
      <c r="C95" s="131" t="str">
        <f>IF('Greenfield Projects'!C95="AESO","DFO-T",'Greenfield Projects'!C95)</f>
        <v>DFO-D</v>
      </c>
      <c r="D95" s="131" t="str">
        <f>'Greenfield Projects'!F95</f>
        <v>1012S</v>
      </c>
      <c r="E95" s="131" t="str">
        <f>'Greenfield Projects'!K95</f>
        <v>Greenfield Load</v>
      </c>
      <c r="F95" s="132">
        <f>'Greenfield Projects'!Y95</f>
        <v>7.2</v>
      </c>
      <c r="G95" s="132">
        <f>'Greenfield Projects'!AK95</f>
        <v>37.800000000000004</v>
      </c>
      <c r="H95" s="133">
        <f>'Greenfield Projects'!AG95</f>
        <v>12992713.94051414</v>
      </c>
      <c r="I95" s="160">
        <f t="shared" si="1"/>
        <v>5.2500000000000009</v>
      </c>
      <c r="K95"/>
      <c r="L95"/>
      <c r="M95"/>
      <c r="N95"/>
      <c r="O95"/>
      <c r="P95"/>
    </row>
    <row r="96" spans="1:16" x14ac:dyDescent="0.2">
      <c r="A96" s="130">
        <f>'Greenfield Projects'!A96</f>
        <v>1618</v>
      </c>
      <c r="B96" s="131" t="str">
        <f>'Greenfield Projects'!B96</f>
        <v>ATCO</v>
      </c>
      <c r="C96" s="131" t="str">
        <f>IF('Greenfield Projects'!C96="AESO","DFO-T",'Greenfield Projects'!C96)</f>
        <v>DFO-D</v>
      </c>
      <c r="D96" s="131" t="str">
        <f>'Greenfield Projects'!F96</f>
        <v>2033S</v>
      </c>
      <c r="E96" s="131" t="str">
        <f>'Greenfield Projects'!K96</f>
        <v>Greenfield Load</v>
      </c>
      <c r="F96" s="132">
        <f>'Greenfield Projects'!Y96</f>
        <v>21</v>
      </c>
      <c r="G96" s="132">
        <f>'Greenfield Projects'!AK96</f>
        <v>45</v>
      </c>
      <c r="H96" s="133">
        <f>'Greenfield Projects'!AG96</f>
        <v>15965955.598995766</v>
      </c>
      <c r="I96" s="160">
        <f t="shared" si="1"/>
        <v>2.1428571428571428</v>
      </c>
      <c r="K96"/>
      <c r="L96"/>
      <c r="M96"/>
      <c r="N96"/>
      <c r="O96"/>
      <c r="P96"/>
    </row>
    <row r="97" spans="1:16" x14ac:dyDescent="0.2">
      <c r="A97" s="130">
        <f>'Greenfield Projects'!A97</f>
        <v>1634</v>
      </c>
      <c r="B97" s="131" t="str">
        <f>'Greenfield Projects'!B97</f>
        <v>ATCO</v>
      </c>
      <c r="C97" s="131" t="str">
        <f>IF('Greenfield Projects'!C97="AESO","DFO-T",'Greenfield Projects'!C97)</f>
        <v>DFO-D</v>
      </c>
      <c r="D97" s="131" t="str">
        <f>'Greenfield Projects'!F97</f>
        <v>2091S</v>
      </c>
      <c r="E97" s="131" t="str">
        <f>'Greenfield Projects'!K97</f>
        <v>Greenfield Load</v>
      </c>
      <c r="F97" s="132">
        <f>'Greenfield Projects'!Y97</f>
        <v>17.899999999999999</v>
      </c>
      <c r="G97" s="132">
        <f>'Greenfield Projects'!AK97</f>
        <v>45</v>
      </c>
      <c r="H97" s="133">
        <f>'Greenfield Projects'!AG97</f>
        <v>17172783.979023848</v>
      </c>
      <c r="I97" s="160">
        <f t="shared" si="1"/>
        <v>2.5139664804469275</v>
      </c>
      <c r="K97"/>
      <c r="L97"/>
      <c r="M97"/>
      <c r="N97"/>
      <c r="O97"/>
      <c r="P97"/>
    </row>
    <row r="98" spans="1:16" x14ac:dyDescent="0.2">
      <c r="A98" s="130">
        <f>'Greenfield Projects'!A98</f>
        <v>1258</v>
      </c>
      <c r="B98" s="131" t="str">
        <f>'Greenfield Projects'!B98</f>
        <v>AML</v>
      </c>
      <c r="C98" s="131" t="str">
        <f>IF('Greenfield Projects'!C98="AESO","DFO-T",'Greenfield Projects'!C98)</f>
        <v>DFO-T</v>
      </c>
      <c r="D98" s="131" t="str">
        <f>'Greenfield Projects'!F98</f>
        <v>190S</v>
      </c>
      <c r="E98" s="131" t="str">
        <f>'Greenfield Projects'!K98</f>
        <v>Greenfield Load</v>
      </c>
      <c r="F98" s="132">
        <f>'Greenfield Projects'!Y98</f>
        <v>46</v>
      </c>
      <c r="G98" s="132">
        <f>'Greenfield Projects'!AK98</f>
        <v>75.600000000000009</v>
      </c>
      <c r="H98" s="133">
        <f>'Greenfield Projects'!AG98</f>
        <v>53518330.21234788</v>
      </c>
      <c r="I98" s="160">
        <f t="shared" si="1"/>
        <v>1.6434782608695655</v>
      </c>
      <c r="K98"/>
      <c r="L98"/>
      <c r="M98"/>
      <c r="N98"/>
      <c r="O98"/>
      <c r="P98"/>
    </row>
    <row r="99" spans="1:16" x14ac:dyDescent="0.2">
      <c r="A99" s="130">
        <f>'Greenfield Projects'!A99</f>
        <v>1284</v>
      </c>
      <c r="B99" s="131" t="str">
        <f>'Greenfield Projects'!B99</f>
        <v>AML</v>
      </c>
      <c r="C99" s="131" t="str">
        <f>IF('Greenfield Projects'!C99="AESO","DFO-T",'Greenfield Projects'!C99)</f>
        <v>DFO-D</v>
      </c>
      <c r="D99" s="131" t="str">
        <f>'Greenfield Projects'!F99</f>
        <v>574S</v>
      </c>
      <c r="E99" s="131" t="str">
        <f>'Greenfield Projects'!K99</f>
        <v>Greenfield Load</v>
      </c>
      <c r="F99" s="132">
        <f>'Greenfield Projects'!Y99</f>
        <v>24.1</v>
      </c>
      <c r="G99" s="132">
        <f>'Greenfield Projects'!AK99</f>
        <v>37.800000000000004</v>
      </c>
      <c r="H99" s="133">
        <f>'Greenfield Projects'!AG99</f>
        <v>7084310.8002972472</v>
      </c>
      <c r="I99" s="160">
        <f t="shared" si="1"/>
        <v>1.5684647302904564</v>
      </c>
      <c r="K99"/>
      <c r="L99"/>
      <c r="M99"/>
      <c r="N99"/>
      <c r="O99"/>
      <c r="P99"/>
    </row>
    <row r="100" spans="1:16" x14ac:dyDescent="0.2">
      <c r="A100" s="136" t="str">
        <f>'Pre-AESO Projects'!A8</f>
        <v>Pre-01</v>
      </c>
      <c r="B100" s="137"/>
      <c r="C100" s="137"/>
      <c r="D100" s="137"/>
      <c r="E100" s="137" t="s">
        <v>936</v>
      </c>
      <c r="F100" s="138">
        <f>'Pre-AESO Projects'!H8</f>
        <v>2.2000000000000002</v>
      </c>
      <c r="G100" s="138">
        <f>'Pre-AESO Projects'!P8</f>
        <v>6.75</v>
      </c>
      <c r="H100" s="139">
        <f>'Pre-AESO Projects'!M8</f>
        <v>2493371.1786255445</v>
      </c>
      <c r="I100" s="161">
        <f t="shared" si="1"/>
        <v>3.0681818181818179</v>
      </c>
      <c r="K100"/>
      <c r="L100"/>
      <c r="M100"/>
      <c r="N100"/>
      <c r="O100"/>
      <c r="P100"/>
    </row>
    <row r="101" spans="1:16" x14ac:dyDescent="0.2">
      <c r="A101" s="136" t="str">
        <f>'Pre-AESO Projects'!A9</f>
        <v>Pre-02</v>
      </c>
      <c r="B101" s="137"/>
      <c r="C101" s="137"/>
      <c r="D101" s="137"/>
      <c r="E101" s="137" t="s">
        <v>936</v>
      </c>
      <c r="F101" s="138">
        <f>'Pre-AESO Projects'!H9</f>
        <v>1.464</v>
      </c>
      <c r="G101" s="138">
        <f>'Pre-AESO Projects'!P9</f>
        <v>4.5</v>
      </c>
      <c r="H101" s="139">
        <f>'Pre-AESO Projects'!M9</f>
        <v>1494022.3849019026</v>
      </c>
      <c r="I101" s="161">
        <f t="shared" si="1"/>
        <v>3.0737704918032787</v>
      </c>
      <c r="K101"/>
      <c r="L101"/>
      <c r="M101"/>
      <c r="N101"/>
      <c r="O101"/>
      <c r="P101"/>
    </row>
    <row r="102" spans="1:16" x14ac:dyDescent="0.2">
      <c r="A102" s="136" t="str">
        <f>'Pre-AESO Projects'!A10</f>
        <v>Pre-03</v>
      </c>
      <c r="B102" s="137"/>
      <c r="C102" s="137"/>
      <c r="D102" s="137"/>
      <c r="E102" s="137" t="s">
        <v>936</v>
      </c>
      <c r="F102" s="138">
        <f>'Pre-AESO Projects'!H10</f>
        <v>4.0750000000000002</v>
      </c>
      <c r="G102" s="138">
        <f>'Pre-AESO Projects'!P10</f>
        <v>10.08</v>
      </c>
      <c r="H102" s="139">
        <f>'Pre-AESO Projects'!M10</f>
        <v>1936940.8873503525</v>
      </c>
      <c r="I102" s="161">
        <f t="shared" si="1"/>
        <v>2.4736196319018404</v>
      </c>
      <c r="K102"/>
      <c r="L102"/>
      <c r="M102"/>
      <c r="N102"/>
      <c r="O102"/>
      <c r="P102"/>
    </row>
    <row r="103" spans="1:16" x14ac:dyDescent="0.2">
      <c r="A103" s="136" t="str">
        <f>'Pre-AESO Projects'!A11</f>
        <v>Pre-04</v>
      </c>
      <c r="B103" s="137"/>
      <c r="C103" s="137"/>
      <c r="D103" s="137"/>
      <c r="E103" s="137" t="s">
        <v>936</v>
      </c>
      <c r="F103" s="138">
        <f>'Pre-AESO Projects'!H11</f>
        <v>10</v>
      </c>
      <c r="G103" s="138">
        <f>'Pre-AESO Projects'!P11</f>
        <v>13.5</v>
      </c>
      <c r="H103" s="139">
        <f>'Pre-AESO Projects'!M11</f>
        <v>8526519.3307933062</v>
      </c>
      <c r="I103" s="161">
        <f t="shared" si="1"/>
        <v>1.35</v>
      </c>
      <c r="K103"/>
      <c r="L103"/>
      <c r="M103"/>
      <c r="N103"/>
      <c r="O103"/>
      <c r="P103"/>
    </row>
    <row r="104" spans="1:16" x14ac:dyDescent="0.2">
      <c r="A104" s="136" t="str">
        <f>'Pre-AESO Projects'!A12</f>
        <v>Pre-05</v>
      </c>
      <c r="B104" s="137"/>
      <c r="C104" s="137"/>
      <c r="D104" s="137"/>
      <c r="E104" s="137" t="s">
        <v>936</v>
      </c>
      <c r="F104" s="138">
        <f>'Pre-AESO Projects'!H12</f>
        <v>4.8</v>
      </c>
      <c r="G104" s="138">
        <f>'Pre-AESO Projects'!P12</f>
        <v>16.11</v>
      </c>
      <c r="H104" s="139">
        <f>'Pre-AESO Projects'!M12</f>
        <v>4052182.6998299989</v>
      </c>
      <c r="I104" s="161">
        <f t="shared" si="1"/>
        <v>3.3562500000000002</v>
      </c>
      <c r="K104"/>
      <c r="L104"/>
      <c r="M104"/>
      <c r="N104"/>
      <c r="O104"/>
      <c r="P104"/>
    </row>
    <row r="105" spans="1:16" x14ac:dyDescent="0.2">
      <c r="A105" s="136" t="str">
        <f>'Pre-AESO Projects'!A13</f>
        <v>Pre-06</v>
      </c>
      <c r="B105" s="137"/>
      <c r="C105" s="137"/>
      <c r="D105" s="137"/>
      <c r="E105" s="137" t="s">
        <v>936</v>
      </c>
      <c r="F105" s="138">
        <f>'Pre-AESO Projects'!H13</f>
        <v>5.0999999999999996</v>
      </c>
      <c r="G105" s="138">
        <f>'Pre-AESO Projects'!P13</f>
        <v>29.880000000000003</v>
      </c>
      <c r="H105" s="139">
        <f>'Pre-AESO Projects'!M13</f>
        <v>9648217.4286466874</v>
      </c>
      <c r="I105" s="161">
        <f t="shared" si="1"/>
        <v>5.8588235294117652</v>
      </c>
      <c r="K105"/>
      <c r="L105"/>
      <c r="M105"/>
      <c r="N105"/>
      <c r="O105"/>
      <c r="P105"/>
    </row>
    <row r="106" spans="1:16" x14ac:dyDescent="0.2">
      <c r="A106" s="136" t="str">
        <f>'Pre-AESO Projects'!A14</f>
        <v>Pre-07</v>
      </c>
      <c r="B106" s="137"/>
      <c r="C106" s="137"/>
      <c r="D106" s="137"/>
      <c r="E106" s="137" t="s">
        <v>936</v>
      </c>
      <c r="F106" s="138">
        <f>'Pre-AESO Projects'!H14</f>
        <v>6.9</v>
      </c>
      <c r="G106" s="138">
        <f>'Pre-AESO Projects'!P14</f>
        <v>22.5</v>
      </c>
      <c r="H106" s="139">
        <f>'Pre-AESO Projects'!M14</f>
        <v>5029432.7187175211</v>
      </c>
      <c r="I106" s="161">
        <f t="shared" si="1"/>
        <v>3.2608695652173911</v>
      </c>
      <c r="K106"/>
      <c r="L106"/>
      <c r="M106"/>
      <c r="N106"/>
      <c r="O106"/>
      <c r="P106"/>
    </row>
    <row r="107" spans="1:16" x14ac:dyDescent="0.2">
      <c r="A107" s="136" t="str">
        <f>'Pre-AESO Projects'!A15</f>
        <v>Pre-08</v>
      </c>
      <c r="B107" s="137"/>
      <c r="C107" s="137"/>
      <c r="D107" s="137"/>
      <c r="E107" s="137" t="s">
        <v>936</v>
      </c>
      <c r="F107" s="138">
        <f>'Pre-AESO Projects'!H15</f>
        <v>11.8</v>
      </c>
      <c r="G107" s="138">
        <f>'Pre-AESO Projects'!P15</f>
        <v>37.800000000000004</v>
      </c>
      <c r="H107" s="139">
        <f>'Pre-AESO Projects'!M15</f>
        <v>6372939.2355971774</v>
      </c>
      <c r="I107" s="161">
        <f t="shared" si="1"/>
        <v>3.2033898305084749</v>
      </c>
      <c r="K107"/>
      <c r="L107"/>
      <c r="M107"/>
      <c r="N107"/>
      <c r="O107"/>
      <c r="P107"/>
    </row>
    <row r="108" spans="1:16" x14ac:dyDescent="0.2">
      <c r="A108" s="136" t="str">
        <f>'Pre-AESO Projects'!A16</f>
        <v>Pre-09</v>
      </c>
      <c r="B108" s="137"/>
      <c r="C108" s="137"/>
      <c r="D108" s="137"/>
      <c r="E108" s="137" t="s">
        <v>936</v>
      </c>
      <c r="F108" s="138">
        <f>'Pre-AESO Projects'!H16</f>
        <v>9.6999999999999993</v>
      </c>
      <c r="G108" s="138">
        <f>'Pre-AESO Projects'!P16</f>
        <v>22.5</v>
      </c>
      <c r="H108" s="139">
        <f>'Pre-AESO Projects'!M16</f>
        <v>2944337.605262877</v>
      </c>
      <c r="I108" s="161">
        <f t="shared" si="1"/>
        <v>2.3195876288659796</v>
      </c>
      <c r="K108"/>
      <c r="L108"/>
      <c r="M108"/>
      <c r="N108"/>
      <c r="O108"/>
      <c r="P108"/>
    </row>
    <row r="109" spans="1:16" x14ac:dyDescent="0.2">
      <c r="A109" s="136" t="str">
        <f>'Pre-AESO Projects'!A17</f>
        <v>Pre-10</v>
      </c>
      <c r="B109" s="137"/>
      <c r="C109" s="137"/>
      <c r="D109" s="137"/>
      <c r="E109" s="137" t="s">
        <v>936</v>
      </c>
      <c r="F109" s="138">
        <f>'Pre-AESO Projects'!H17</f>
        <v>6.12</v>
      </c>
      <c r="G109" s="138">
        <f>'Pre-AESO Projects'!P17</f>
        <v>22.5</v>
      </c>
      <c r="H109" s="139">
        <f>'Pre-AESO Projects'!M17</f>
        <v>13481108.575958453</v>
      </c>
      <c r="I109" s="161">
        <f t="shared" si="1"/>
        <v>3.6764705882352939</v>
      </c>
      <c r="K109"/>
      <c r="L109"/>
      <c r="M109"/>
      <c r="N109"/>
      <c r="O109"/>
      <c r="P109"/>
    </row>
    <row r="110" spans="1:16" x14ac:dyDescent="0.2">
      <c r="A110" s="136" t="str">
        <f>'Pre-AESO Projects'!A18</f>
        <v>Pre-11</v>
      </c>
      <c r="B110" s="137"/>
      <c r="C110" s="137"/>
      <c r="D110" s="137"/>
      <c r="E110" s="137" t="s">
        <v>936</v>
      </c>
      <c r="F110" s="138">
        <f>'Pre-AESO Projects'!H18</f>
        <v>6.2671999999999999</v>
      </c>
      <c r="G110" s="138">
        <f>'Pre-AESO Projects'!P18</f>
        <v>26.91</v>
      </c>
      <c r="H110" s="139">
        <f>'Pre-AESO Projects'!M18</f>
        <v>2910231.1039234973</v>
      </c>
      <c r="I110" s="161">
        <f t="shared" si="1"/>
        <v>4.2937835077865714</v>
      </c>
      <c r="K110"/>
      <c r="L110"/>
      <c r="M110"/>
      <c r="N110"/>
      <c r="O110"/>
      <c r="P110"/>
    </row>
    <row r="111" spans="1:16" x14ac:dyDescent="0.2">
      <c r="A111" s="136" t="str">
        <f>'Pre-AESO Projects'!A19</f>
        <v>Pre-12</v>
      </c>
      <c r="B111" s="137"/>
      <c r="C111" s="137"/>
      <c r="D111" s="137"/>
      <c r="E111" s="137" t="s">
        <v>936</v>
      </c>
      <c r="F111" s="138">
        <f>'Pre-AESO Projects'!H19</f>
        <v>6.3659999999999997</v>
      </c>
      <c r="G111" s="138">
        <f>'Pre-AESO Projects'!P19</f>
        <v>37.800000000000004</v>
      </c>
      <c r="H111" s="139">
        <f>'Pre-AESO Projects'!M19</f>
        <v>9890692.1245327927</v>
      </c>
      <c r="I111" s="161">
        <f t="shared" si="1"/>
        <v>5.9377945334590017</v>
      </c>
      <c r="K111"/>
      <c r="L111"/>
      <c r="M111"/>
      <c r="N111"/>
      <c r="O111"/>
      <c r="P111"/>
    </row>
    <row r="112" spans="1:16" x14ac:dyDescent="0.2">
      <c r="A112" s="136" t="str">
        <f>'Pre-AESO Projects'!A20</f>
        <v>Pre-13</v>
      </c>
      <c r="B112" s="137"/>
      <c r="C112" s="137"/>
      <c r="D112" s="137"/>
      <c r="E112" s="137" t="s">
        <v>936</v>
      </c>
      <c r="F112" s="138">
        <f>'Pre-AESO Projects'!H20</f>
        <v>8.5</v>
      </c>
      <c r="G112" s="138">
        <f>'Pre-AESO Projects'!P20</f>
        <v>13.41</v>
      </c>
      <c r="H112" s="139">
        <f>'Pre-AESO Projects'!M20</f>
        <v>5944647.6688134465</v>
      </c>
      <c r="I112" s="161">
        <f t="shared" si="1"/>
        <v>1.5776470588235294</v>
      </c>
      <c r="K112"/>
      <c r="L112"/>
      <c r="M112"/>
      <c r="N112"/>
      <c r="O112"/>
      <c r="P112"/>
    </row>
    <row r="113" spans="1:16" x14ac:dyDescent="0.2">
      <c r="A113" s="136" t="str">
        <f>'Pre-AESO Projects'!A21</f>
        <v>Pre-14</v>
      </c>
      <c r="B113" s="137"/>
      <c r="C113" s="137"/>
      <c r="D113" s="137"/>
      <c r="E113" s="137" t="s">
        <v>936</v>
      </c>
      <c r="F113" s="138">
        <f>'Pre-AESO Projects'!H21</f>
        <v>46.55</v>
      </c>
      <c r="G113" s="138">
        <f>'Pre-AESO Projects'!P21</f>
        <v>74.7</v>
      </c>
      <c r="H113" s="139">
        <f>'Pre-AESO Projects'!M21</f>
        <v>7193622.7504100641</v>
      </c>
      <c r="I113" s="161">
        <f t="shared" si="1"/>
        <v>1.6047261009667027</v>
      </c>
      <c r="K113"/>
      <c r="L113"/>
      <c r="M113"/>
      <c r="N113"/>
      <c r="O113"/>
      <c r="P113"/>
    </row>
    <row r="114" spans="1:16" x14ac:dyDescent="0.2">
      <c r="A114" s="136" t="str">
        <f>'Pre-AESO Projects'!A22</f>
        <v>Pre-15</v>
      </c>
      <c r="B114" s="137"/>
      <c r="C114" s="137"/>
      <c r="D114" s="137"/>
      <c r="E114" s="137" t="s">
        <v>936</v>
      </c>
      <c r="F114" s="138">
        <f>'Pre-AESO Projects'!H22</f>
        <v>56.8</v>
      </c>
      <c r="G114" s="138">
        <f>'Pre-AESO Projects'!P22</f>
        <v>90</v>
      </c>
      <c r="H114" s="139">
        <f>'Pre-AESO Projects'!M22</f>
        <v>17594466.678549748</v>
      </c>
      <c r="I114" s="161">
        <f t="shared" si="1"/>
        <v>1.5845070422535212</v>
      </c>
      <c r="K114"/>
      <c r="L114"/>
      <c r="M114"/>
      <c r="N114"/>
      <c r="O114"/>
      <c r="P114"/>
    </row>
    <row r="115" spans="1:16" x14ac:dyDescent="0.2">
      <c r="A115" s="136" t="str">
        <f>'Pre-AESO Projects'!A23</f>
        <v>Pre-16</v>
      </c>
      <c r="B115" s="137"/>
      <c r="C115" s="137"/>
      <c r="D115" s="137"/>
      <c r="E115" s="137" t="s">
        <v>936</v>
      </c>
      <c r="F115" s="138">
        <f>'Pre-AESO Projects'!H23</f>
        <v>81.575999999999993</v>
      </c>
      <c r="G115" s="138">
        <f>'Pre-AESO Projects'!P23</f>
        <v>168.75</v>
      </c>
      <c r="H115" s="139">
        <f>'Pre-AESO Projects'!M23</f>
        <v>14026199.251012314</v>
      </c>
      <c r="I115" s="161">
        <f t="shared" si="1"/>
        <v>2.0686231244483673</v>
      </c>
      <c r="K115"/>
      <c r="L115"/>
      <c r="M115"/>
      <c r="N115"/>
      <c r="O115"/>
      <c r="P115"/>
    </row>
    <row r="116" spans="1:16" x14ac:dyDescent="0.2">
      <c r="A116" s="136" t="str">
        <f>'Pre-AESO Projects'!A24</f>
        <v>Pre-17</v>
      </c>
      <c r="B116" s="137"/>
      <c r="C116" s="137"/>
      <c r="D116" s="137"/>
      <c r="E116" s="137" t="s">
        <v>936</v>
      </c>
      <c r="F116" s="138">
        <f>'Pre-AESO Projects'!H24</f>
        <v>95.2</v>
      </c>
      <c r="G116" s="138">
        <f>'Pre-AESO Projects'!P24</f>
        <v>90</v>
      </c>
      <c r="H116" s="139">
        <f>'Pre-AESO Projects'!M24</f>
        <v>14219904.176944949</v>
      </c>
      <c r="I116" s="161">
        <f t="shared" si="1"/>
        <v>0.94537815126050417</v>
      </c>
      <c r="K116"/>
      <c r="L116"/>
      <c r="M116"/>
      <c r="N116"/>
      <c r="O116"/>
      <c r="P116"/>
    </row>
    <row r="117" spans="1:16" x14ac:dyDescent="0.2">
      <c r="A117" s="136" t="str">
        <f>'Pre-AESO Projects'!A25</f>
        <v>Pre-18</v>
      </c>
      <c r="B117" s="137"/>
      <c r="C117" s="131"/>
      <c r="D117" s="137"/>
      <c r="E117" s="137" t="s">
        <v>936</v>
      </c>
      <c r="F117" s="138">
        <f>'Pre-AESO Projects'!H25</f>
        <v>122.77200000000001</v>
      </c>
      <c r="G117" s="138">
        <f>'Pre-AESO Projects'!P25</f>
        <v>202.5</v>
      </c>
      <c r="H117" s="139">
        <f>'Pre-AESO Projects'!M25</f>
        <v>23447549.869052086</v>
      </c>
      <c r="I117" s="161">
        <f t="shared" si="1"/>
        <v>1.6493988857394193</v>
      </c>
      <c r="K117"/>
      <c r="L117"/>
      <c r="M117"/>
      <c r="N117"/>
      <c r="O117"/>
      <c r="P117"/>
    </row>
    <row r="118" spans="1:16" x14ac:dyDescent="0.2">
      <c r="A118" s="140">
        <f>'Upgrade Projects'!A8</f>
        <v>1184</v>
      </c>
      <c r="B118" s="141" t="str">
        <f>'Upgrade Projects'!B8</f>
        <v>AML</v>
      </c>
      <c r="C118" s="141" t="str">
        <f>IF('Upgrade Projects'!E8="AESO","DFO-T",'Upgrade Projects'!E8)</f>
        <v>DFO-D</v>
      </c>
      <c r="D118" s="141"/>
      <c r="E118" s="141" t="s">
        <v>4</v>
      </c>
      <c r="F118" s="157">
        <f>'Upgrade Projects'!T8</f>
        <v>48.2</v>
      </c>
      <c r="G118" s="157">
        <f>'Upgrade Projects'!AB8</f>
        <v>100</v>
      </c>
      <c r="H118" s="142">
        <f>'Upgrade Projects'!AJ8</f>
        <v>18869341.885211267</v>
      </c>
      <c r="I118" s="162">
        <f t="shared" si="1"/>
        <v>2.0746887966804977</v>
      </c>
      <c r="K118"/>
      <c r="L118"/>
      <c r="M118"/>
      <c r="N118"/>
      <c r="O118"/>
      <c r="P118"/>
    </row>
    <row r="119" spans="1:16" x14ac:dyDescent="0.2">
      <c r="A119" s="140">
        <f>'Upgrade Projects'!A9</f>
        <v>1481</v>
      </c>
      <c r="B119" s="141" t="str">
        <f>'Upgrade Projects'!B9</f>
        <v>AML</v>
      </c>
      <c r="C119" s="141" t="str">
        <f>IF('Upgrade Projects'!E9="AESO","DFO-T",'Upgrade Projects'!E9)</f>
        <v>DFO-D</v>
      </c>
      <c r="D119" s="141"/>
      <c r="E119" s="141" t="s">
        <v>4</v>
      </c>
      <c r="F119" s="157">
        <f>'Upgrade Projects'!T9</f>
        <v>48.2</v>
      </c>
      <c r="G119" s="157">
        <f>'Upgrade Projects'!AB9</f>
        <v>100</v>
      </c>
      <c r="H119" s="142">
        <f>'Upgrade Projects'!AJ9</f>
        <v>1111433.1301697909</v>
      </c>
      <c r="I119" s="162">
        <f t="shared" si="1"/>
        <v>2.0746887966804977</v>
      </c>
      <c r="K119"/>
      <c r="L119"/>
      <c r="M119"/>
      <c r="N119"/>
      <c r="O119"/>
      <c r="P119"/>
    </row>
    <row r="120" spans="1:16" x14ac:dyDescent="0.2">
      <c r="A120" s="140">
        <f>'Upgrade Projects'!A10</f>
        <v>457</v>
      </c>
      <c r="B120" s="141" t="str">
        <f>'Upgrade Projects'!B10</f>
        <v>AML</v>
      </c>
      <c r="C120" s="141" t="str">
        <f>IF('Upgrade Projects'!E10="AESO","DFO-T",'Upgrade Projects'!E10)</f>
        <v>DFO-D</v>
      </c>
      <c r="D120" s="141"/>
      <c r="E120" s="141" t="s">
        <v>4</v>
      </c>
      <c r="F120" s="157">
        <f>'Upgrade Projects'!T10</f>
        <v>20.77</v>
      </c>
      <c r="G120" s="157">
        <f>'Upgrade Projects'!AB10</f>
        <v>50</v>
      </c>
      <c r="H120" s="142">
        <f>'Upgrade Projects'!AJ10</f>
        <v>3289132.0849243631</v>
      </c>
      <c r="I120" s="162">
        <f t="shared" si="1"/>
        <v>2.407318247472316</v>
      </c>
      <c r="K120"/>
      <c r="L120"/>
      <c r="M120"/>
      <c r="N120"/>
      <c r="O120"/>
      <c r="P120"/>
    </row>
    <row r="121" spans="1:16" x14ac:dyDescent="0.2">
      <c r="A121" s="140">
        <f>'Upgrade Projects'!A11</f>
        <v>407</v>
      </c>
      <c r="B121" s="141" t="str">
        <f>'Upgrade Projects'!B11</f>
        <v>AML</v>
      </c>
      <c r="C121" s="141" t="str">
        <f>IF('Upgrade Projects'!E11="AESO","DFO-T",'Upgrade Projects'!E11)</f>
        <v>DFO-D</v>
      </c>
      <c r="D121" s="141"/>
      <c r="E121" s="141" t="s">
        <v>4</v>
      </c>
      <c r="F121" s="157">
        <f>'Upgrade Projects'!T11</f>
        <v>27.4</v>
      </c>
      <c r="G121" s="157">
        <f>'Upgrade Projects'!AB11</f>
        <v>82</v>
      </c>
      <c r="H121" s="142">
        <f>'Upgrade Projects'!AJ11</f>
        <v>601065.25862386019</v>
      </c>
      <c r="I121" s="162">
        <f t="shared" si="1"/>
        <v>2.9927007299270074</v>
      </c>
      <c r="K121"/>
      <c r="L121"/>
      <c r="M121"/>
      <c r="N121"/>
      <c r="O121"/>
      <c r="P121"/>
    </row>
    <row r="122" spans="1:16" x14ac:dyDescent="0.2">
      <c r="A122" s="140">
        <f>'Upgrade Projects'!A12</f>
        <v>706</v>
      </c>
      <c r="B122" s="141" t="str">
        <f>'Upgrade Projects'!B12</f>
        <v>AML</v>
      </c>
      <c r="C122" s="141" t="str">
        <f>IF('Upgrade Projects'!E12="AESO","DFO-T",'Upgrade Projects'!E12)</f>
        <v>DFO-D</v>
      </c>
      <c r="D122" s="141"/>
      <c r="E122" s="141" t="s">
        <v>4</v>
      </c>
      <c r="F122" s="157">
        <f>'Upgrade Projects'!T12</f>
        <v>29.1</v>
      </c>
      <c r="G122" s="157">
        <f>'Upgrade Projects'!AB12</f>
        <v>67</v>
      </c>
      <c r="H122" s="142">
        <f>'Upgrade Projects'!AJ12</f>
        <v>5834621.4151737737</v>
      </c>
      <c r="I122" s="162">
        <f t="shared" si="1"/>
        <v>2.3024054982817868</v>
      </c>
      <c r="K122"/>
      <c r="L122"/>
      <c r="M122"/>
      <c r="N122"/>
      <c r="O122"/>
      <c r="P122"/>
    </row>
    <row r="123" spans="1:16" x14ac:dyDescent="0.2">
      <c r="A123" s="140">
        <f>'Upgrade Projects'!A13</f>
        <v>1070</v>
      </c>
      <c r="B123" s="141" t="str">
        <f>'Upgrade Projects'!B13</f>
        <v>AML</v>
      </c>
      <c r="C123" s="141" t="str">
        <f>IF('Upgrade Projects'!E13="AESO","DFO-T",'Upgrade Projects'!E13)</f>
        <v>DFO-D</v>
      </c>
      <c r="D123" s="141"/>
      <c r="E123" s="141" t="s">
        <v>4</v>
      </c>
      <c r="F123" s="157">
        <f>'Upgrade Projects'!T13</f>
        <v>38.9</v>
      </c>
      <c r="G123" s="157">
        <f>'Upgrade Projects'!AB13</f>
        <v>67</v>
      </c>
      <c r="H123" s="142">
        <f>'Upgrade Projects'!AJ13</f>
        <v>836079.5285320289</v>
      </c>
      <c r="I123" s="162">
        <f t="shared" si="1"/>
        <v>1.7223650385604115</v>
      </c>
      <c r="K123"/>
      <c r="L123"/>
      <c r="M123"/>
      <c r="N123"/>
      <c r="O123"/>
      <c r="P123"/>
    </row>
    <row r="124" spans="1:16" x14ac:dyDescent="0.2">
      <c r="A124" s="140">
        <f>'Upgrade Projects'!A14</f>
        <v>1264</v>
      </c>
      <c r="B124" s="141" t="str">
        <f>'Upgrade Projects'!B14</f>
        <v>AML</v>
      </c>
      <c r="C124" s="141" t="str">
        <f>IF('Upgrade Projects'!E14="AESO","DFO-T",'Upgrade Projects'!E14)</f>
        <v>DFO-D</v>
      </c>
      <c r="D124" s="141"/>
      <c r="E124" s="141" t="s">
        <v>4</v>
      </c>
      <c r="F124" s="157">
        <f>'Upgrade Projects'!T14</f>
        <v>46.1</v>
      </c>
      <c r="G124" s="157">
        <f>'Upgrade Projects'!AB14</f>
        <v>84</v>
      </c>
      <c r="H124" s="142">
        <f>'Upgrade Projects'!AJ14</f>
        <v>8057872.0930203097</v>
      </c>
      <c r="I124" s="162">
        <f t="shared" si="1"/>
        <v>1.8221258134490239</v>
      </c>
      <c r="K124"/>
      <c r="L124"/>
      <c r="M124"/>
      <c r="N124"/>
      <c r="O124"/>
      <c r="P124"/>
    </row>
    <row r="125" spans="1:16" x14ac:dyDescent="0.2">
      <c r="A125" s="140">
        <f>'Upgrade Projects'!A15</f>
        <v>1208</v>
      </c>
      <c r="B125" s="141" t="str">
        <f>'Upgrade Projects'!B15</f>
        <v>AML</v>
      </c>
      <c r="C125" s="141" t="str">
        <f>IF('Upgrade Projects'!E15="AESO","DFO-T",'Upgrade Projects'!E15)</f>
        <v>DFO-D</v>
      </c>
      <c r="D125" s="141"/>
      <c r="E125" s="141" t="s">
        <v>4</v>
      </c>
      <c r="F125" s="157">
        <f>'Upgrade Projects'!T15</f>
        <v>25.6</v>
      </c>
      <c r="G125" s="157">
        <f>'Upgrade Projects'!AB15</f>
        <v>42</v>
      </c>
      <c r="H125" s="142">
        <f>'Upgrade Projects'!AJ15</f>
        <v>2799211.0812000916</v>
      </c>
      <c r="I125" s="162">
        <f t="shared" si="1"/>
        <v>1.640625</v>
      </c>
      <c r="K125"/>
      <c r="L125"/>
      <c r="M125"/>
      <c r="N125"/>
      <c r="O125"/>
      <c r="P125"/>
    </row>
    <row r="126" spans="1:16" x14ac:dyDescent="0.2">
      <c r="A126" s="140">
        <f>'Upgrade Projects'!A16</f>
        <v>655</v>
      </c>
      <c r="B126" s="141" t="str">
        <f>'Upgrade Projects'!B16</f>
        <v>AML</v>
      </c>
      <c r="C126" s="141" t="str">
        <f>IF('Upgrade Projects'!E16="AESO","DFO-T",'Upgrade Projects'!E16)</f>
        <v>DFO-D</v>
      </c>
      <c r="D126" s="141"/>
      <c r="E126" s="141" t="s">
        <v>4</v>
      </c>
      <c r="F126" s="157">
        <f>'Upgrade Projects'!T16</f>
        <v>14.391999999999999</v>
      </c>
      <c r="G126" s="157">
        <f>'Upgrade Projects'!AB16</f>
        <v>53.1</v>
      </c>
      <c r="H126" s="142">
        <f>'Upgrade Projects'!AJ16</f>
        <v>594647.86373478104</v>
      </c>
      <c r="I126" s="162">
        <f t="shared" si="1"/>
        <v>3.6895497498610341</v>
      </c>
      <c r="K126"/>
      <c r="L126"/>
      <c r="M126"/>
      <c r="N126"/>
      <c r="O126"/>
      <c r="P126"/>
    </row>
    <row r="127" spans="1:16" x14ac:dyDescent="0.2">
      <c r="A127" s="140">
        <f>'Upgrade Projects'!A17</f>
        <v>733</v>
      </c>
      <c r="B127" s="141" t="str">
        <f>'Upgrade Projects'!B17</f>
        <v>AML</v>
      </c>
      <c r="C127" s="141" t="str">
        <f>IF('Upgrade Projects'!E17="AESO","DFO-T",'Upgrade Projects'!E17)</f>
        <v>DFO-D</v>
      </c>
      <c r="D127" s="141"/>
      <c r="E127" s="141" t="s">
        <v>4</v>
      </c>
      <c r="F127" s="157">
        <f>'Upgrade Projects'!T17</f>
        <v>41.4</v>
      </c>
      <c r="G127" s="157">
        <f>'Upgrade Projects'!AB17</f>
        <v>84</v>
      </c>
      <c r="H127" s="142">
        <f>'Upgrade Projects'!AJ17</f>
        <v>6772608.0218724348</v>
      </c>
      <c r="I127" s="162">
        <f t="shared" si="1"/>
        <v>2.0289855072463769</v>
      </c>
      <c r="K127"/>
      <c r="L127"/>
      <c r="M127"/>
      <c r="N127"/>
      <c r="O127"/>
      <c r="P127"/>
    </row>
    <row r="128" spans="1:16" x14ac:dyDescent="0.2">
      <c r="A128" s="140">
        <f>'Upgrade Projects'!A18</f>
        <v>1700</v>
      </c>
      <c r="B128" s="141" t="str">
        <f>'Upgrade Projects'!B18</f>
        <v>AML</v>
      </c>
      <c r="C128" s="141" t="str">
        <f>IF('Upgrade Projects'!E18="AESO","DFO-T",'Upgrade Projects'!E18)</f>
        <v>DFO-D</v>
      </c>
      <c r="D128" s="141"/>
      <c r="E128" s="141" t="s">
        <v>4</v>
      </c>
      <c r="F128" s="157">
        <f>'Upgrade Projects'!T18</f>
        <v>13.4</v>
      </c>
      <c r="G128" s="157">
        <f>'Upgrade Projects'!AB18</f>
        <v>67</v>
      </c>
      <c r="H128" s="142">
        <f>'Upgrade Projects'!AJ18</f>
        <v>4023880.3148956238</v>
      </c>
      <c r="I128" s="162">
        <f t="shared" si="1"/>
        <v>5</v>
      </c>
      <c r="K128"/>
      <c r="L128"/>
      <c r="M128"/>
      <c r="N128"/>
      <c r="O128"/>
      <c r="P128"/>
    </row>
    <row r="129" spans="1:16" x14ac:dyDescent="0.2">
      <c r="A129" s="140">
        <f>'Upgrade Projects'!A19</f>
        <v>1569</v>
      </c>
      <c r="B129" s="141" t="str">
        <f>'Upgrade Projects'!B19</f>
        <v>AML</v>
      </c>
      <c r="C129" s="141" t="str">
        <f>IF('Upgrade Projects'!E19="AESO","DFO-T",'Upgrade Projects'!E19)</f>
        <v>DFO-D</v>
      </c>
      <c r="D129" s="141"/>
      <c r="E129" s="141" t="s">
        <v>4</v>
      </c>
      <c r="F129" s="157">
        <f>'Upgrade Projects'!T19</f>
        <v>17.7</v>
      </c>
      <c r="G129" s="157">
        <f>'Upgrade Projects'!AB19</f>
        <v>70.099999999999994</v>
      </c>
      <c r="H129" s="142">
        <f>'Upgrade Projects'!AJ19</f>
        <v>3737273.013461628</v>
      </c>
      <c r="I129" s="162">
        <f t="shared" si="1"/>
        <v>3.9604519774011298</v>
      </c>
      <c r="K129"/>
      <c r="L129"/>
      <c r="M129"/>
      <c r="N129"/>
      <c r="O129"/>
      <c r="P129"/>
    </row>
    <row r="130" spans="1:16" x14ac:dyDescent="0.2">
      <c r="A130" s="140">
        <f>'Upgrade Projects'!A20</f>
        <v>401</v>
      </c>
      <c r="B130" s="141" t="str">
        <f>'Upgrade Projects'!B20</f>
        <v>AML</v>
      </c>
      <c r="C130" s="141" t="str">
        <f>IF('Upgrade Projects'!E20="AESO","DFO-T",'Upgrade Projects'!E20)</f>
        <v>DFO-T</v>
      </c>
      <c r="D130" s="141"/>
      <c r="E130" s="141" t="s">
        <v>4</v>
      </c>
      <c r="F130" s="157">
        <f>'Upgrade Projects'!T20</f>
        <v>3.5</v>
      </c>
      <c r="G130" s="157">
        <f>'Upgrade Projects'!AB20</f>
        <v>10</v>
      </c>
      <c r="H130" s="142">
        <f>'Upgrade Projects'!AJ20</f>
        <v>362042.81296556786</v>
      </c>
      <c r="I130" s="162">
        <f t="shared" si="1"/>
        <v>2.8571428571428572</v>
      </c>
      <c r="K130"/>
      <c r="L130"/>
      <c r="M130"/>
      <c r="N130"/>
      <c r="O130"/>
      <c r="P130"/>
    </row>
    <row r="131" spans="1:16" x14ac:dyDescent="0.2">
      <c r="A131" s="140">
        <f>'Upgrade Projects'!A21</f>
        <v>1412</v>
      </c>
      <c r="B131" s="141" t="str">
        <f>'Upgrade Projects'!B21</f>
        <v>AML</v>
      </c>
      <c r="C131" s="141" t="str">
        <f>IF('Upgrade Projects'!E21="AESO","DFO-T",'Upgrade Projects'!E21)</f>
        <v>DFO-T</v>
      </c>
      <c r="D131" s="141"/>
      <c r="E131" s="141" t="s">
        <v>4</v>
      </c>
      <c r="F131" s="157">
        <f>'Upgrade Projects'!T21</f>
        <v>14.5</v>
      </c>
      <c r="G131" s="157">
        <f>'Upgrade Projects'!AB21</f>
        <v>14</v>
      </c>
      <c r="H131" s="142">
        <f>'Upgrade Projects'!AJ21</f>
        <v>4357484.5496482365</v>
      </c>
      <c r="I131" s="162">
        <f t="shared" si="1"/>
        <v>0.96551724137931039</v>
      </c>
      <c r="K131"/>
      <c r="L131"/>
      <c r="M131"/>
      <c r="N131"/>
      <c r="O131"/>
      <c r="P131"/>
    </row>
    <row r="132" spans="1:16" x14ac:dyDescent="0.2">
      <c r="A132" s="140">
        <f>'Upgrade Projects'!A22</f>
        <v>1318</v>
      </c>
      <c r="B132" s="141" t="str">
        <f>'Upgrade Projects'!B22</f>
        <v>AML</v>
      </c>
      <c r="C132" s="141" t="str">
        <f>IF('Upgrade Projects'!E22="AESO","DFO-T",'Upgrade Projects'!E22)</f>
        <v>DFO-D</v>
      </c>
      <c r="D132" s="141"/>
      <c r="E132" s="141" t="s">
        <v>4</v>
      </c>
      <c r="F132" s="157">
        <f>'Upgrade Projects'!T22</f>
        <v>51.2</v>
      </c>
      <c r="G132" s="157">
        <f>'Upgrade Projects'!AB22</f>
        <v>89</v>
      </c>
      <c r="H132" s="142">
        <f>'Upgrade Projects'!AJ22</f>
        <v>1687820.6182928516</v>
      </c>
      <c r="I132" s="162">
        <f t="shared" si="1"/>
        <v>1.73828125</v>
      </c>
      <c r="K132"/>
      <c r="L132"/>
      <c r="M132"/>
      <c r="N132"/>
      <c r="O132"/>
      <c r="P132"/>
    </row>
    <row r="133" spans="1:16" x14ac:dyDescent="0.2">
      <c r="A133" s="140">
        <f>'Upgrade Projects'!A23</f>
        <v>1194</v>
      </c>
      <c r="B133" s="141" t="str">
        <f>'Upgrade Projects'!B23</f>
        <v>AML</v>
      </c>
      <c r="C133" s="141" t="str">
        <f>IF('Upgrade Projects'!E23="AESO","DFO-T",'Upgrade Projects'!E23)</f>
        <v>DFO-D</v>
      </c>
      <c r="D133" s="141"/>
      <c r="E133" s="141" t="s">
        <v>4</v>
      </c>
      <c r="F133" s="157">
        <f>'Upgrade Projects'!T23</f>
        <v>15.4</v>
      </c>
      <c r="G133" s="157">
        <f>'Upgrade Projects'!AB23</f>
        <v>25</v>
      </c>
      <c r="H133" s="142">
        <f>'Upgrade Projects'!AJ23</f>
        <v>1608606.0831571487</v>
      </c>
      <c r="I133" s="162">
        <f t="shared" si="1"/>
        <v>1.6233766233766234</v>
      </c>
      <c r="K133"/>
      <c r="L133"/>
      <c r="M133"/>
      <c r="N133"/>
      <c r="O133"/>
      <c r="P133"/>
    </row>
    <row r="134" spans="1:16" x14ac:dyDescent="0.2">
      <c r="A134" s="140">
        <f>'Upgrade Projects'!A24</f>
        <v>801</v>
      </c>
      <c r="B134" s="141" t="str">
        <f>'Upgrade Projects'!B24</f>
        <v>AML</v>
      </c>
      <c r="C134" s="141" t="str">
        <f>IF('Upgrade Projects'!E24="AESO","DFO-T",'Upgrade Projects'!E24)</f>
        <v>DFO-D</v>
      </c>
      <c r="D134" s="141"/>
      <c r="E134" s="141" t="s">
        <v>4</v>
      </c>
      <c r="F134" s="157">
        <f>'Upgrade Projects'!T24</f>
        <v>10</v>
      </c>
      <c r="G134" s="157">
        <f>'Upgrade Projects'!AB24</f>
        <v>84</v>
      </c>
      <c r="H134" s="142">
        <f>'Upgrade Projects'!AJ24</f>
        <v>6310649.5854024785</v>
      </c>
      <c r="I134" s="162">
        <f t="shared" si="1"/>
        <v>8.4</v>
      </c>
      <c r="K134"/>
      <c r="L134"/>
      <c r="M134"/>
      <c r="N134"/>
      <c r="O134"/>
      <c r="P134"/>
    </row>
    <row r="135" spans="1:16" x14ac:dyDescent="0.2">
      <c r="A135" s="140">
        <f>'Upgrade Projects'!A25</f>
        <v>804</v>
      </c>
      <c r="B135" s="141" t="str">
        <f>'Upgrade Projects'!B25</f>
        <v>AML</v>
      </c>
      <c r="C135" s="141" t="str">
        <f>IF('Upgrade Projects'!E25="AESO","DFO-T",'Upgrade Projects'!E25)</f>
        <v>DFO-D</v>
      </c>
      <c r="D135" s="141"/>
      <c r="E135" s="141" t="s">
        <v>4</v>
      </c>
      <c r="F135" s="157">
        <f>'Upgrade Projects'!T25</f>
        <v>24.3</v>
      </c>
      <c r="G135" s="157">
        <f>'Upgrade Projects'!AB25</f>
        <v>53</v>
      </c>
      <c r="H135" s="142">
        <f>'Upgrade Projects'!AJ25</f>
        <v>9156698.240081545</v>
      </c>
      <c r="I135" s="162">
        <f t="shared" si="1"/>
        <v>2.1810699588477367</v>
      </c>
      <c r="K135"/>
      <c r="L135"/>
      <c r="M135"/>
      <c r="N135"/>
      <c r="O135"/>
      <c r="P135"/>
    </row>
    <row r="136" spans="1:16" x14ac:dyDescent="0.2">
      <c r="A136" s="140">
        <f>'Upgrade Projects'!A26</f>
        <v>365</v>
      </c>
      <c r="B136" s="141" t="str">
        <f>'Upgrade Projects'!B26</f>
        <v>AML</v>
      </c>
      <c r="C136" s="141" t="str">
        <f>IF('Upgrade Projects'!E26="AESO","DFO-T",'Upgrade Projects'!E26)</f>
        <v>DFO-D</v>
      </c>
      <c r="D136" s="141"/>
      <c r="E136" s="141" t="s">
        <v>4</v>
      </c>
      <c r="F136" s="157">
        <f>'Upgrade Projects'!T26</f>
        <v>16.169</v>
      </c>
      <c r="G136" s="157">
        <f>'Upgrade Projects'!AB26</f>
        <v>25</v>
      </c>
      <c r="H136" s="142">
        <f>'Upgrade Projects'!AJ26</f>
        <v>596073.13292480214</v>
      </c>
      <c r="I136" s="162">
        <f t="shared" si="1"/>
        <v>1.5461685942235142</v>
      </c>
      <c r="K136"/>
      <c r="L136"/>
      <c r="M136"/>
      <c r="N136"/>
      <c r="O136"/>
      <c r="P136"/>
    </row>
    <row r="137" spans="1:16" x14ac:dyDescent="0.2">
      <c r="A137" s="140">
        <f>'Upgrade Projects'!A27</f>
        <v>708</v>
      </c>
      <c r="B137" s="141" t="str">
        <f>'Upgrade Projects'!B27</f>
        <v>AML</v>
      </c>
      <c r="C137" s="141" t="str">
        <f>IF('Upgrade Projects'!E27="AESO","DFO-T",'Upgrade Projects'!E27)</f>
        <v>DFO-D</v>
      </c>
      <c r="D137" s="141"/>
      <c r="E137" s="141" t="s">
        <v>4</v>
      </c>
      <c r="F137" s="157">
        <f>'Upgrade Projects'!T27</f>
        <v>27.7</v>
      </c>
      <c r="G137" s="157">
        <f>'Upgrade Projects'!AB27</f>
        <v>50</v>
      </c>
      <c r="H137" s="142">
        <f>'Upgrade Projects'!AJ27</f>
        <v>6837462.3210633537</v>
      </c>
      <c r="I137" s="162">
        <f t="shared" ref="I137:I200" si="2">IF(F137=0,0,G137/F137)</f>
        <v>1.8050541516245489</v>
      </c>
      <c r="K137"/>
      <c r="L137"/>
      <c r="M137"/>
      <c r="N137"/>
      <c r="O137"/>
      <c r="P137"/>
    </row>
    <row r="138" spans="1:16" x14ac:dyDescent="0.2">
      <c r="A138" s="140">
        <f>'Upgrade Projects'!A28</f>
        <v>1568</v>
      </c>
      <c r="B138" s="141" t="str">
        <f>'Upgrade Projects'!B28</f>
        <v>AML</v>
      </c>
      <c r="C138" s="141" t="str">
        <f>IF('Upgrade Projects'!E28="AESO","DFO-T",'Upgrade Projects'!E28)</f>
        <v>DFO-D</v>
      </c>
      <c r="D138" s="141"/>
      <c r="E138" s="141" t="s">
        <v>4</v>
      </c>
      <c r="F138" s="157">
        <f>'Upgrade Projects'!T28</f>
        <v>35.799999999999997</v>
      </c>
      <c r="G138" s="157">
        <f>'Upgrade Projects'!AB28</f>
        <v>84</v>
      </c>
      <c r="H138" s="142">
        <f>'Upgrade Projects'!AJ28</f>
        <v>3584899.6641236106</v>
      </c>
      <c r="I138" s="162">
        <f t="shared" si="2"/>
        <v>2.3463687150837989</v>
      </c>
      <c r="K138"/>
      <c r="L138"/>
      <c r="M138"/>
      <c r="N138"/>
      <c r="O138"/>
      <c r="P138"/>
    </row>
    <row r="139" spans="1:16" x14ac:dyDescent="0.2">
      <c r="A139" s="140">
        <f>'Upgrade Projects'!A29</f>
        <v>398</v>
      </c>
      <c r="B139" s="141" t="str">
        <f>'Upgrade Projects'!B29</f>
        <v>AML</v>
      </c>
      <c r="C139" s="141" t="str">
        <f>IF('Upgrade Projects'!E29="AESO","DFO-T",'Upgrade Projects'!E29)</f>
        <v>DFO-D</v>
      </c>
      <c r="D139" s="141"/>
      <c r="E139" s="141" t="s">
        <v>4</v>
      </c>
      <c r="F139" s="157">
        <f>'Upgrade Projects'!T29</f>
        <v>29.329000000000001</v>
      </c>
      <c r="G139" s="157">
        <f>'Upgrade Projects'!AB29</f>
        <v>67</v>
      </c>
      <c r="H139" s="142">
        <f>'Upgrade Projects'!AJ29</f>
        <v>1454685.0549316111</v>
      </c>
      <c r="I139" s="162">
        <f t="shared" si="2"/>
        <v>2.2844283814654438</v>
      </c>
      <c r="K139"/>
      <c r="L139"/>
      <c r="M139"/>
      <c r="N139"/>
      <c r="O139"/>
      <c r="P139"/>
    </row>
    <row r="140" spans="1:16" x14ac:dyDescent="0.2">
      <c r="A140" s="140">
        <f>'Upgrade Projects'!A30</f>
        <v>1642</v>
      </c>
      <c r="B140" s="141" t="str">
        <f>'Upgrade Projects'!B30</f>
        <v>AML</v>
      </c>
      <c r="C140" s="141" t="str">
        <f>IF('Upgrade Projects'!E30="AESO","DFO-T",'Upgrade Projects'!E30)</f>
        <v>DFO-D</v>
      </c>
      <c r="D140" s="141"/>
      <c r="E140" s="141" t="s">
        <v>4</v>
      </c>
      <c r="F140" s="157">
        <f>'Upgrade Projects'!T30</f>
        <v>18.899999999999999</v>
      </c>
      <c r="G140" s="157">
        <f>'Upgrade Projects'!AB30</f>
        <v>67</v>
      </c>
      <c r="H140" s="142">
        <f>'Upgrade Projects'!AJ30</f>
        <v>10134123.990225088</v>
      </c>
      <c r="I140" s="162">
        <f t="shared" si="2"/>
        <v>3.5449735449735451</v>
      </c>
      <c r="K140"/>
      <c r="L140"/>
      <c r="M140"/>
      <c r="N140"/>
      <c r="O140"/>
      <c r="P140"/>
    </row>
    <row r="141" spans="1:16" x14ac:dyDescent="0.2">
      <c r="A141" s="140">
        <f>'Upgrade Projects'!A31</f>
        <v>522</v>
      </c>
      <c r="B141" s="141" t="str">
        <f>'Upgrade Projects'!B31</f>
        <v>AML</v>
      </c>
      <c r="C141" s="141" t="str">
        <f>IF('Upgrade Projects'!E31="AESO","DFO-T",'Upgrade Projects'!E31)</f>
        <v>DFO-D</v>
      </c>
      <c r="D141" s="141"/>
      <c r="E141" s="141" t="s">
        <v>4</v>
      </c>
      <c r="F141" s="157">
        <f>'Upgrade Projects'!T31</f>
        <v>41</v>
      </c>
      <c r="G141" s="157">
        <f>'Upgrade Projects'!AB31</f>
        <v>84</v>
      </c>
      <c r="H141" s="142">
        <f>'Upgrade Projects'!AJ31</f>
        <v>493267.93696611252</v>
      </c>
      <c r="I141" s="162">
        <f t="shared" si="2"/>
        <v>2.0487804878048781</v>
      </c>
      <c r="K141"/>
      <c r="L141"/>
      <c r="M141"/>
      <c r="N141"/>
      <c r="O141"/>
      <c r="P141"/>
    </row>
    <row r="142" spans="1:16" x14ac:dyDescent="0.2">
      <c r="A142" s="140">
        <f>'Upgrade Projects'!A32</f>
        <v>170</v>
      </c>
      <c r="B142" s="141" t="str">
        <f>'Upgrade Projects'!B32</f>
        <v>UNC</v>
      </c>
      <c r="C142" s="141" t="str">
        <f>IF('Upgrade Projects'!E32="AESO","DFO-T",'Upgrade Projects'!E32)</f>
        <v>DFO-T</v>
      </c>
      <c r="D142" s="141"/>
      <c r="E142" s="141" t="s">
        <v>4</v>
      </c>
      <c r="F142" s="157">
        <f>'Upgrade Projects'!T32</f>
        <v>26</v>
      </c>
      <c r="G142" s="157">
        <f>'Upgrade Projects'!AB32</f>
        <v>50</v>
      </c>
      <c r="H142" s="142">
        <f>'Upgrade Projects'!AJ32</f>
        <v>4433742.5476980833</v>
      </c>
      <c r="I142" s="162">
        <f t="shared" si="2"/>
        <v>1.9230769230769231</v>
      </c>
      <c r="K142"/>
      <c r="L142"/>
      <c r="M142"/>
      <c r="N142"/>
      <c r="O142"/>
      <c r="P142"/>
    </row>
    <row r="143" spans="1:16" x14ac:dyDescent="0.2">
      <c r="A143" s="140">
        <f>'Upgrade Projects'!A33</f>
        <v>1312</v>
      </c>
      <c r="B143" s="141" t="str">
        <f>'Upgrade Projects'!B33</f>
        <v>AML</v>
      </c>
      <c r="C143" s="141" t="str">
        <f>IF('Upgrade Projects'!E33="AESO","DFO-T",'Upgrade Projects'!E33)</f>
        <v>DFO-T</v>
      </c>
      <c r="D143" s="141"/>
      <c r="E143" s="141" t="s">
        <v>4</v>
      </c>
      <c r="F143" s="157">
        <f>'Upgrade Projects'!T33</f>
        <v>23.63</v>
      </c>
      <c r="G143" s="157">
        <f>'Upgrade Projects'!AB33</f>
        <v>75</v>
      </c>
      <c r="H143" s="142">
        <f>'Upgrade Projects'!AJ33</f>
        <v>6024511.1186360633</v>
      </c>
      <c r="I143" s="162">
        <f t="shared" si="2"/>
        <v>3.1739314430808294</v>
      </c>
      <c r="K143"/>
      <c r="L143"/>
      <c r="M143"/>
      <c r="N143"/>
      <c r="O143"/>
      <c r="P143"/>
    </row>
    <row r="144" spans="1:16" x14ac:dyDescent="0.2">
      <c r="A144" s="140">
        <f>'Upgrade Projects'!A34</f>
        <v>170</v>
      </c>
      <c r="B144" s="141" t="str">
        <f>'Upgrade Projects'!B34</f>
        <v>UNC</v>
      </c>
      <c r="C144" s="141" t="str">
        <f>IF('Upgrade Projects'!E34="AESO","DFO-T",'Upgrade Projects'!E34)</f>
        <v>DFO-T</v>
      </c>
      <c r="D144" s="141"/>
      <c r="E144" s="141" t="s">
        <v>4</v>
      </c>
      <c r="F144" s="157">
        <f>'Upgrade Projects'!T34</f>
        <v>22.6</v>
      </c>
      <c r="G144" s="157">
        <f>'Upgrade Projects'!AB34</f>
        <v>50</v>
      </c>
      <c r="H144" s="142">
        <f>'Upgrade Projects'!AJ34</f>
        <v>4882987.0198591016</v>
      </c>
      <c r="I144" s="162">
        <f t="shared" si="2"/>
        <v>2.2123893805309733</v>
      </c>
      <c r="K144"/>
      <c r="L144"/>
      <c r="M144"/>
      <c r="N144"/>
      <c r="O144"/>
      <c r="P144"/>
    </row>
    <row r="145" spans="1:16" x14ac:dyDescent="0.2">
      <c r="A145" s="140">
        <f>'Upgrade Projects'!A35</f>
        <v>1366</v>
      </c>
      <c r="B145" s="141" t="str">
        <f>'Upgrade Projects'!B35</f>
        <v>AML</v>
      </c>
      <c r="C145" s="141" t="str">
        <f>IF('Upgrade Projects'!E35="AESO","DFO-T",'Upgrade Projects'!E35)</f>
        <v>DFO-T</v>
      </c>
      <c r="D145" s="141"/>
      <c r="E145" s="141" t="s">
        <v>4</v>
      </c>
      <c r="F145" s="157">
        <f>'Upgrade Projects'!T35</f>
        <v>39.5</v>
      </c>
      <c r="G145" s="157">
        <f>'Upgrade Projects'!AB35</f>
        <v>83</v>
      </c>
      <c r="H145" s="142">
        <f>'Upgrade Projects'!AJ35</f>
        <v>5573706.010443802</v>
      </c>
      <c r="I145" s="162">
        <f t="shared" si="2"/>
        <v>2.1012658227848102</v>
      </c>
      <c r="K145"/>
      <c r="L145"/>
      <c r="M145"/>
      <c r="N145"/>
      <c r="O145"/>
      <c r="P145"/>
    </row>
    <row r="146" spans="1:16" x14ac:dyDescent="0.2">
      <c r="A146" s="140">
        <f>'Upgrade Projects'!A36</f>
        <v>170</v>
      </c>
      <c r="B146" s="141" t="str">
        <f>'Upgrade Projects'!B36</f>
        <v>UNC</v>
      </c>
      <c r="C146" s="141" t="str">
        <f>IF('Upgrade Projects'!E36="AESO","DFO-T",'Upgrade Projects'!E36)</f>
        <v>DFO-T</v>
      </c>
      <c r="D146" s="141"/>
      <c r="E146" s="141" t="s">
        <v>4</v>
      </c>
      <c r="F146" s="157">
        <f>'Upgrade Projects'!T36</f>
        <v>16</v>
      </c>
      <c r="G146" s="157">
        <f>'Upgrade Projects'!AB36</f>
        <v>50</v>
      </c>
      <c r="H146" s="142">
        <f>'Upgrade Projects'!AJ36</f>
        <v>5209710.7088088663</v>
      </c>
      <c r="I146" s="162">
        <f t="shared" si="2"/>
        <v>3.125</v>
      </c>
      <c r="K146"/>
      <c r="L146"/>
      <c r="M146"/>
      <c r="N146"/>
      <c r="O146"/>
      <c r="P146"/>
    </row>
    <row r="147" spans="1:16" x14ac:dyDescent="0.2">
      <c r="A147" s="140">
        <f>'Upgrade Projects'!A37</f>
        <v>1350</v>
      </c>
      <c r="B147" s="141" t="str">
        <f>'Upgrade Projects'!B37</f>
        <v>AML</v>
      </c>
      <c r="C147" s="141" t="str">
        <f>IF('Upgrade Projects'!E37="AESO","DFO-T",'Upgrade Projects'!E37)</f>
        <v>DFO-T</v>
      </c>
      <c r="D147" s="141"/>
      <c r="E147" s="141" t="s">
        <v>4</v>
      </c>
      <c r="F147" s="157">
        <f>'Upgrade Projects'!T37</f>
        <v>36</v>
      </c>
      <c r="G147" s="157">
        <f>'Upgrade Projects'!AB37</f>
        <v>83</v>
      </c>
      <c r="H147" s="142">
        <f>'Upgrade Projects'!AJ37</f>
        <v>6530034.2953877132</v>
      </c>
      <c r="I147" s="162">
        <f t="shared" si="2"/>
        <v>2.3055555555555554</v>
      </c>
      <c r="K147"/>
      <c r="L147"/>
      <c r="M147"/>
      <c r="N147"/>
      <c r="O147"/>
      <c r="P147"/>
    </row>
    <row r="148" spans="1:16" x14ac:dyDescent="0.2">
      <c r="A148" s="140">
        <f>'Upgrade Projects'!A38</f>
        <v>658</v>
      </c>
      <c r="B148" s="141" t="str">
        <f>'Upgrade Projects'!B38</f>
        <v>AML</v>
      </c>
      <c r="C148" s="141" t="str">
        <f>IF('Upgrade Projects'!E38="AESO","DFO-T",'Upgrade Projects'!E38)</f>
        <v>DFO-D</v>
      </c>
      <c r="D148" s="141"/>
      <c r="E148" s="141" t="s">
        <v>4</v>
      </c>
      <c r="F148" s="157">
        <f>'Upgrade Projects'!T38</f>
        <v>14.8</v>
      </c>
      <c r="G148" s="157">
        <f>'Upgrade Projects'!AB38</f>
        <v>25</v>
      </c>
      <c r="H148" s="142">
        <f>'Upgrade Projects'!AJ38</f>
        <v>7114669.2323992215</v>
      </c>
      <c r="I148" s="162">
        <f t="shared" si="2"/>
        <v>1.689189189189189</v>
      </c>
      <c r="K148"/>
      <c r="L148"/>
      <c r="M148"/>
      <c r="N148"/>
      <c r="O148"/>
      <c r="P148"/>
    </row>
    <row r="149" spans="1:16" x14ac:dyDescent="0.2">
      <c r="A149" s="140">
        <f>'Upgrade Projects'!A39</f>
        <v>897</v>
      </c>
      <c r="B149" s="141" t="str">
        <f>'Upgrade Projects'!B39</f>
        <v>AML</v>
      </c>
      <c r="C149" s="141" t="str">
        <f>IF('Upgrade Projects'!E39="AESO","DFO-T",'Upgrade Projects'!E39)</f>
        <v>DFO-D</v>
      </c>
      <c r="D149" s="141"/>
      <c r="E149" s="141" t="s">
        <v>4</v>
      </c>
      <c r="F149" s="157">
        <f>'Upgrade Projects'!T39</f>
        <v>17.8</v>
      </c>
      <c r="G149" s="157">
        <f>'Upgrade Projects'!AB39</f>
        <v>50</v>
      </c>
      <c r="H149" s="142">
        <f>'Upgrade Projects'!AJ39</f>
        <v>6237211.2776035527</v>
      </c>
      <c r="I149" s="162">
        <f t="shared" si="2"/>
        <v>2.8089887640449436</v>
      </c>
      <c r="K149"/>
      <c r="L149"/>
      <c r="M149"/>
      <c r="N149"/>
      <c r="O149"/>
      <c r="P149"/>
    </row>
    <row r="150" spans="1:16" x14ac:dyDescent="0.2">
      <c r="A150" s="140">
        <f>'Upgrade Projects'!A40</f>
        <v>483</v>
      </c>
      <c r="B150" s="141" t="str">
        <f>'Upgrade Projects'!B40</f>
        <v>AML</v>
      </c>
      <c r="C150" s="141" t="str">
        <f>IF('Upgrade Projects'!E40="AESO","DFO-T",'Upgrade Projects'!E40)</f>
        <v>DFO-D</v>
      </c>
      <c r="D150" s="141"/>
      <c r="E150" s="141" t="s">
        <v>4</v>
      </c>
      <c r="F150" s="157">
        <f>'Upgrade Projects'!T40</f>
        <v>38.799999999999997</v>
      </c>
      <c r="G150" s="157">
        <f>'Upgrade Projects'!AB40</f>
        <v>84</v>
      </c>
      <c r="H150" s="142">
        <f>'Upgrade Projects'!AJ40</f>
        <v>3620069.4377675466</v>
      </c>
      <c r="I150" s="162">
        <f t="shared" si="2"/>
        <v>2.1649484536082477</v>
      </c>
      <c r="K150"/>
      <c r="L150"/>
      <c r="M150"/>
      <c r="N150"/>
      <c r="O150"/>
      <c r="P150"/>
    </row>
    <row r="151" spans="1:16" x14ac:dyDescent="0.2">
      <c r="A151" s="140">
        <f>'Upgrade Projects'!A41</f>
        <v>1494</v>
      </c>
      <c r="B151" s="141" t="str">
        <f>'Upgrade Projects'!B41</f>
        <v>AML</v>
      </c>
      <c r="C151" s="141" t="str">
        <f>IF('Upgrade Projects'!E41="AESO","DFO-T",'Upgrade Projects'!E41)</f>
        <v>DFO-D</v>
      </c>
      <c r="D151" s="141"/>
      <c r="E151" s="141" t="s">
        <v>4</v>
      </c>
      <c r="F151" s="157">
        <f>'Upgrade Projects'!T41</f>
        <v>19.3</v>
      </c>
      <c r="G151" s="157">
        <f>'Upgrade Projects'!AB41</f>
        <v>67</v>
      </c>
      <c r="H151" s="142">
        <f>'Upgrade Projects'!AJ41</f>
        <v>6429748.5673579155</v>
      </c>
      <c r="I151" s="162">
        <f t="shared" si="2"/>
        <v>3.471502590673575</v>
      </c>
      <c r="K151"/>
      <c r="L151"/>
      <c r="M151"/>
      <c r="N151"/>
      <c r="O151"/>
      <c r="P151"/>
    </row>
    <row r="152" spans="1:16" x14ac:dyDescent="0.2">
      <c r="A152" s="140">
        <f>'Upgrade Projects'!A42</f>
        <v>488</v>
      </c>
      <c r="B152" s="141" t="str">
        <f>'Upgrade Projects'!B42</f>
        <v>AML</v>
      </c>
      <c r="C152" s="141" t="str">
        <f>IF('Upgrade Projects'!E42="AESO","DFO-T",'Upgrade Projects'!E42)</f>
        <v>DFO-D</v>
      </c>
      <c r="D152" s="141"/>
      <c r="E152" s="141" t="s">
        <v>4</v>
      </c>
      <c r="F152" s="157">
        <f>'Upgrade Projects'!T42</f>
        <v>65.5</v>
      </c>
      <c r="G152" s="157">
        <f>'Upgrade Projects'!AB42</f>
        <v>191</v>
      </c>
      <c r="H152" s="142">
        <f>'Upgrade Projects'!AJ42</f>
        <v>404626.75342078769</v>
      </c>
      <c r="I152" s="162">
        <f t="shared" si="2"/>
        <v>2.9160305343511452</v>
      </c>
      <c r="K152"/>
      <c r="L152"/>
      <c r="M152"/>
      <c r="N152"/>
      <c r="O152"/>
      <c r="P152"/>
    </row>
    <row r="153" spans="1:16" x14ac:dyDescent="0.2">
      <c r="A153" s="140">
        <f>'Upgrade Projects'!A43</f>
        <v>1692</v>
      </c>
      <c r="B153" s="141" t="str">
        <f>'Upgrade Projects'!B43</f>
        <v>AML</v>
      </c>
      <c r="C153" s="141" t="str">
        <f>IF('Upgrade Projects'!E43="AESO","DFO-T",'Upgrade Projects'!E43)</f>
        <v>DFO-D</v>
      </c>
      <c r="D153" s="141"/>
      <c r="E153" s="141" t="s">
        <v>4</v>
      </c>
      <c r="F153" s="157">
        <f>'Upgrade Projects'!T43</f>
        <v>65.5</v>
      </c>
      <c r="G153" s="157">
        <f>'Upgrade Projects'!AB43</f>
        <v>191</v>
      </c>
      <c r="H153" s="142">
        <f>'Upgrade Projects'!AJ43</f>
        <v>2218817.6481219591</v>
      </c>
      <c r="I153" s="162">
        <f t="shared" si="2"/>
        <v>2.9160305343511452</v>
      </c>
      <c r="K153"/>
      <c r="L153"/>
      <c r="M153"/>
      <c r="N153"/>
      <c r="O153"/>
      <c r="P153"/>
    </row>
    <row r="154" spans="1:16" x14ac:dyDescent="0.2">
      <c r="A154" s="140">
        <f>'Upgrade Projects'!A44</f>
        <v>318</v>
      </c>
      <c r="B154" s="141" t="str">
        <f>'Upgrade Projects'!B44</f>
        <v>AML</v>
      </c>
      <c r="C154" s="141" t="str">
        <f>IF('Upgrade Projects'!E44="AESO","DFO-T",'Upgrade Projects'!E44)</f>
        <v>DFO-D</v>
      </c>
      <c r="D154" s="141"/>
      <c r="E154" s="141" t="s">
        <v>4</v>
      </c>
      <c r="F154" s="157">
        <f>'Upgrade Projects'!T44</f>
        <v>23.87</v>
      </c>
      <c r="G154" s="157">
        <f>'Upgrade Projects'!AB44</f>
        <v>47</v>
      </c>
      <c r="H154" s="142">
        <f>'Upgrade Projects'!AJ44</f>
        <v>767020.40063252347</v>
      </c>
      <c r="I154" s="162">
        <f t="shared" si="2"/>
        <v>1.9689987431922915</v>
      </c>
      <c r="K154"/>
      <c r="L154"/>
      <c r="M154"/>
      <c r="N154"/>
      <c r="O154"/>
      <c r="P154"/>
    </row>
    <row r="155" spans="1:16" x14ac:dyDescent="0.2">
      <c r="A155" s="140">
        <f>'Upgrade Projects'!A45</f>
        <v>806</v>
      </c>
      <c r="B155" s="141" t="str">
        <f>'Upgrade Projects'!B45</f>
        <v>AML</v>
      </c>
      <c r="C155" s="141" t="str">
        <f>IF('Upgrade Projects'!E45="AESO","DFO-T",'Upgrade Projects'!E45)</f>
        <v>DFO-D</v>
      </c>
      <c r="D155" s="141"/>
      <c r="E155" s="141" t="s">
        <v>4</v>
      </c>
      <c r="F155" s="157">
        <f>'Upgrade Projects'!T45</f>
        <v>29.3</v>
      </c>
      <c r="G155" s="157">
        <f>'Upgrade Projects'!AB45</f>
        <v>47</v>
      </c>
      <c r="H155" s="142">
        <f>'Upgrade Projects'!AJ45</f>
        <v>689477.13107767899</v>
      </c>
      <c r="I155" s="162">
        <f t="shared" si="2"/>
        <v>1.6040955631399316</v>
      </c>
      <c r="K155"/>
      <c r="L155"/>
      <c r="M155"/>
      <c r="N155"/>
      <c r="O155"/>
      <c r="P155"/>
    </row>
    <row r="156" spans="1:16" x14ac:dyDescent="0.2">
      <c r="A156" s="140">
        <f>'Upgrade Projects'!A46</f>
        <v>1495</v>
      </c>
      <c r="B156" s="141" t="str">
        <f>'Upgrade Projects'!B46</f>
        <v>AML</v>
      </c>
      <c r="C156" s="141" t="str">
        <f>IF('Upgrade Projects'!E46="AESO","DFO-T",'Upgrade Projects'!E46)</f>
        <v>DFO-D</v>
      </c>
      <c r="D156" s="141"/>
      <c r="E156" s="141" t="s">
        <v>4</v>
      </c>
      <c r="F156" s="157">
        <f>'Upgrade Projects'!T46</f>
        <v>29.3</v>
      </c>
      <c r="G156" s="157">
        <f>'Upgrade Projects'!AB46</f>
        <v>89</v>
      </c>
      <c r="H156" s="142">
        <f>'Upgrade Projects'!AJ46</f>
        <v>5142810.5081746317</v>
      </c>
      <c r="I156" s="162">
        <f t="shared" si="2"/>
        <v>3.0375426621160408</v>
      </c>
      <c r="K156"/>
      <c r="L156"/>
      <c r="M156"/>
      <c r="N156"/>
      <c r="O156"/>
      <c r="P156"/>
    </row>
    <row r="157" spans="1:16" x14ac:dyDescent="0.2">
      <c r="A157" s="140">
        <f>'Upgrade Projects'!A47</f>
        <v>1386</v>
      </c>
      <c r="B157" s="141" t="str">
        <f>'Upgrade Projects'!B47</f>
        <v>AML</v>
      </c>
      <c r="C157" s="141" t="str">
        <f>IF('Upgrade Projects'!E47="AESO","DFO-T",'Upgrade Projects'!E47)</f>
        <v>DFO-D</v>
      </c>
      <c r="D157" s="141"/>
      <c r="E157" s="141" t="s">
        <v>4</v>
      </c>
      <c r="F157" s="157">
        <f>'Upgrade Projects'!T47</f>
        <v>46.2</v>
      </c>
      <c r="G157" s="157">
        <f>'Upgrade Projects'!AB47</f>
        <v>94</v>
      </c>
      <c r="H157" s="142">
        <f>'Upgrade Projects'!AJ47</f>
        <v>859344.64632152289</v>
      </c>
      <c r="I157" s="162">
        <f t="shared" si="2"/>
        <v>2.0346320346320343</v>
      </c>
      <c r="K157"/>
      <c r="L157"/>
      <c r="M157"/>
      <c r="N157"/>
      <c r="O157"/>
      <c r="P157"/>
    </row>
    <row r="158" spans="1:16" x14ac:dyDescent="0.2">
      <c r="A158" s="140">
        <f>'Upgrade Projects'!A48</f>
        <v>928</v>
      </c>
      <c r="B158" s="141" t="str">
        <f>'Upgrade Projects'!B48</f>
        <v>AML</v>
      </c>
      <c r="C158" s="141" t="str">
        <f>IF('Upgrade Projects'!E48="AESO","DFO-T",'Upgrade Projects'!E48)</f>
        <v>DFO-D</v>
      </c>
      <c r="D158" s="141"/>
      <c r="E158" s="141" t="s">
        <v>4</v>
      </c>
      <c r="F158" s="157">
        <f>'Upgrade Projects'!T48</f>
        <v>21.5</v>
      </c>
      <c r="G158" s="157">
        <f>'Upgrade Projects'!AB48</f>
        <v>67</v>
      </c>
      <c r="H158" s="142">
        <f>'Upgrade Projects'!AJ48</f>
        <v>10364367.944955572</v>
      </c>
      <c r="I158" s="162">
        <f t="shared" si="2"/>
        <v>3.1162790697674421</v>
      </c>
      <c r="K158"/>
      <c r="L158"/>
      <c r="M158"/>
      <c r="N158"/>
      <c r="O158"/>
      <c r="P158"/>
    </row>
    <row r="159" spans="1:16" x14ac:dyDescent="0.2">
      <c r="A159" s="140">
        <f>'Upgrade Projects'!A49</f>
        <v>1450</v>
      </c>
      <c r="B159" s="141" t="str">
        <f>'Upgrade Projects'!B49</f>
        <v>AML</v>
      </c>
      <c r="C159" s="141" t="str">
        <f>IF('Upgrade Projects'!E49="AESO","DFO-T",'Upgrade Projects'!E49)</f>
        <v>DFO-D</v>
      </c>
      <c r="D159" s="141"/>
      <c r="E159" s="141" t="s">
        <v>4</v>
      </c>
      <c r="F159" s="157">
        <f>'Upgrade Projects'!T49</f>
        <v>37.799999999999997</v>
      </c>
      <c r="G159" s="157">
        <f>'Upgrade Projects'!AB49</f>
        <v>94</v>
      </c>
      <c r="H159" s="142">
        <f>'Upgrade Projects'!AJ49</f>
        <v>5152994.3993409928</v>
      </c>
      <c r="I159" s="162">
        <f t="shared" si="2"/>
        <v>2.486772486772487</v>
      </c>
      <c r="K159"/>
      <c r="L159"/>
      <c r="M159"/>
      <c r="N159"/>
      <c r="O159"/>
      <c r="P159"/>
    </row>
    <row r="160" spans="1:16" x14ac:dyDescent="0.2">
      <c r="A160" s="140">
        <f>'Upgrade Projects'!A50</f>
        <v>170</v>
      </c>
      <c r="B160" s="141" t="str">
        <f>'Upgrade Projects'!B50</f>
        <v>UNC</v>
      </c>
      <c r="C160" s="141" t="str">
        <f>IF('Upgrade Projects'!E50="AESO","DFO-T",'Upgrade Projects'!E50)</f>
        <v>DFO-T</v>
      </c>
      <c r="D160" s="141"/>
      <c r="E160" s="141" t="s">
        <v>4</v>
      </c>
      <c r="F160" s="157">
        <f>'Upgrade Projects'!T50</f>
        <v>26.5</v>
      </c>
      <c r="G160" s="157">
        <f>'Upgrade Projects'!AB50</f>
        <v>66.599999999999994</v>
      </c>
      <c r="H160" s="142">
        <f>'Upgrade Projects'!AJ50</f>
        <v>1134229.0648673056</v>
      </c>
      <c r="I160" s="162">
        <f t="shared" si="2"/>
        <v>2.5132075471698112</v>
      </c>
      <c r="K160"/>
      <c r="L160"/>
      <c r="M160"/>
      <c r="N160"/>
      <c r="O160"/>
      <c r="P160"/>
    </row>
    <row r="161" spans="1:16" x14ac:dyDescent="0.2">
      <c r="A161" s="140">
        <f>'Upgrade Projects'!A51</f>
        <v>649</v>
      </c>
      <c r="B161" s="141" t="str">
        <f>'Upgrade Projects'!B51</f>
        <v>AML</v>
      </c>
      <c r="C161" s="141" t="str">
        <f>IF('Upgrade Projects'!E51="AESO","DFO-T",'Upgrade Projects'!E51)</f>
        <v>DFO-T</v>
      </c>
      <c r="D161" s="141"/>
      <c r="E161" s="141" t="s">
        <v>4</v>
      </c>
      <c r="F161" s="157">
        <f>'Upgrade Projects'!T51</f>
        <v>60.3</v>
      </c>
      <c r="G161" s="157">
        <f>'Upgrade Projects'!AB51</f>
        <v>91.6</v>
      </c>
      <c r="H161" s="142">
        <f>'Upgrade Projects'!AJ51</f>
        <v>5018079.5362586863</v>
      </c>
      <c r="I161" s="162">
        <f t="shared" si="2"/>
        <v>1.5190713101160862</v>
      </c>
      <c r="K161"/>
      <c r="L161"/>
      <c r="M161"/>
      <c r="N161"/>
      <c r="O161"/>
      <c r="P161"/>
    </row>
    <row r="162" spans="1:16" x14ac:dyDescent="0.2">
      <c r="A162" s="140">
        <f>'Upgrade Projects'!A52</f>
        <v>1203</v>
      </c>
      <c r="B162" s="141" t="str">
        <f>'Upgrade Projects'!B52</f>
        <v>AML</v>
      </c>
      <c r="C162" s="141" t="str">
        <f>IF('Upgrade Projects'!E52="AESO","DFO-T",'Upgrade Projects'!E52)</f>
        <v>DFO-D</v>
      </c>
      <c r="D162" s="141"/>
      <c r="E162" s="141" t="s">
        <v>4</v>
      </c>
      <c r="F162" s="157">
        <f>'Upgrade Projects'!T52</f>
        <v>24.6</v>
      </c>
      <c r="G162" s="157">
        <f>'Upgrade Projects'!AB52</f>
        <v>67</v>
      </c>
      <c r="H162" s="142">
        <f>'Upgrade Projects'!AJ52</f>
        <v>12443615.523285568</v>
      </c>
      <c r="I162" s="162">
        <f t="shared" si="2"/>
        <v>2.7235772357723578</v>
      </c>
      <c r="K162"/>
      <c r="L162"/>
      <c r="M162"/>
      <c r="N162"/>
      <c r="O162"/>
      <c r="P162"/>
    </row>
    <row r="163" spans="1:16" x14ac:dyDescent="0.2">
      <c r="A163" s="140">
        <f>'Upgrade Projects'!A53</f>
        <v>170</v>
      </c>
      <c r="B163" s="141" t="str">
        <f>'Upgrade Projects'!B53</f>
        <v>UNC</v>
      </c>
      <c r="C163" s="141" t="str">
        <f>IF('Upgrade Projects'!E53="AESO","DFO-T",'Upgrade Projects'!E53)</f>
        <v>DFO-T</v>
      </c>
      <c r="D163" s="141"/>
      <c r="E163" s="141" t="s">
        <v>4</v>
      </c>
      <c r="F163" s="157">
        <f>'Upgrade Projects'!T53</f>
        <v>14</v>
      </c>
      <c r="G163" s="157">
        <f>'Upgrade Projects'!AB53</f>
        <v>15</v>
      </c>
      <c r="H163" s="142">
        <f>'Upgrade Projects'!AJ53</f>
        <v>2900493.9377112938</v>
      </c>
      <c r="I163" s="162">
        <f t="shared" si="2"/>
        <v>1.0714285714285714</v>
      </c>
      <c r="K163"/>
      <c r="L163"/>
      <c r="M163"/>
      <c r="N163"/>
      <c r="O163"/>
      <c r="P163"/>
    </row>
    <row r="164" spans="1:16" x14ac:dyDescent="0.2">
      <c r="A164" s="140">
        <f>'Upgrade Projects'!A54</f>
        <v>363</v>
      </c>
      <c r="B164" s="141" t="str">
        <f>'Upgrade Projects'!B54</f>
        <v>AML</v>
      </c>
      <c r="C164" s="141" t="str">
        <f>IF('Upgrade Projects'!E54="AESO","DFO-T",'Upgrade Projects'!E54)</f>
        <v>DFO-D</v>
      </c>
      <c r="D164" s="141"/>
      <c r="E164" s="141" t="s">
        <v>4</v>
      </c>
      <c r="F164" s="157">
        <f>'Upgrade Projects'!T54</f>
        <v>25.425999999999998</v>
      </c>
      <c r="G164" s="157">
        <f>'Upgrade Projects'!AB54</f>
        <v>42</v>
      </c>
      <c r="H164" s="142">
        <f>'Upgrade Projects'!AJ54</f>
        <v>821942.53395528393</v>
      </c>
      <c r="I164" s="162">
        <f t="shared" si="2"/>
        <v>1.6518524345158501</v>
      </c>
      <c r="K164"/>
      <c r="L164"/>
      <c r="M164"/>
      <c r="N164"/>
      <c r="O164"/>
      <c r="P164"/>
    </row>
    <row r="165" spans="1:16" x14ac:dyDescent="0.2">
      <c r="A165" s="140">
        <f>'Upgrade Projects'!A55</f>
        <v>493</v>
      </c>
      <c r="B165" s="141" t="str">
        <f>'Upgrade Projects'!B55</f>
        <v>AML</v>
      </c>
      <c r="C165" s="141" t="str">
        <f>IF('Upgrade Projects'!E55="AESO","DFO-T",'Upgrade Projects'!E55)</f>
        <v>DFO-D</v>
      </c>
      <c r="D165" s="141"/>
      <c r="E165" s="141" t="s">
        <v>4</v>
      </c>
      <c r="F165" s="157">
        <f>'Upgrade Projects'!T55</f>
        <v>28.7</v>
      </c>
      <c r="G165" s="157">
        <f>'Upgrade Projects'!AB55</f>
        <v>84</v>
      </c>
      <c r="H165" s="142">
        <f>'Upgrade Projects'!AJ55</f>
        <v>3400269.291333714</v>
      </c>
      <c r="I165" s="162">
        <f t="shared" si="2"/>
        <v>2.9268292682926829</v>
      </c>
      <c r="K165"/>
      <c r="L165"/>
      <c r="M165"/>
      <c r="N165"/>
      <c r="O165"/>
    </row>
    <row r="166" spans="1:16" x14ac:dyDescent="0.2">
      <c r="A166" s="140">
        <f>'Upgrade Projects'!A56</f>
        <v>685</v>
      </c>
      <c r="B166" s="141" t="str">
        <f>'Upgrade Projects'!B56</f>
        <v>AML</v>
      </c>
      <c r="C166" s="141" t="str">
        <f>IF('Upgrade Projects'!E56="AESO","DFO-T",'Upgrade Projects'!E56)</f>
        <v>DFO-D</v>
      </c>
      <c r="D166" s="141"/>
      <c r="E166" s="141" t="s">
        <v>4</v>
      </c>
      <c r="F166" s="157">
        <f>'Upgrade Projects'!T56</f>
        <v>32.9</v>
      </c>
      <c r="G166" s="157">
        <f>'Upgrade Projects'!AB56</f>
        <v>84</v>
      </c>
      <c r="H166" s="142">
        <f>'Upgrade Projects'!AJ56</f>
        <v>946069.82488538278</v>
      </c>
      <c r="I166" s="162">
        <f t="shared" si="2"/>
        <v>2.5531914893617023</v>
      </c>
      <c r="K166"/>
      <c r="L166"/>
      <c r="M166"/>
      <c r="N166"/>
      <c r="O166"/>
    </row>
    <row r="167" spans="1:16" x14ac:dyDescent="0.2">
      <c r="A167" s="140">
        <f>'Upgrade Projects'!A57</f>
        <v>1574</v>
      </c>
      <c r="B167" s="141" t="str">
        <f>'Upgrade Projects'!B57</f>
        <v>AML</v>
      </c>
      <c r="C167" s="141" t="str">
        <f>IF('Upgrade Projects'!E57="AESO","DFO-T",'Upgrade Projects'!E57)</f>
        <v>DFO-D</v>
      </c>
      <c r="D167" s="141"/>
      <c r="E167" s="141" t="s">
        <v>4</v>
      </c>
      <c r="F167" s="157">
        <f>'Upgrade Projects'!T57</f>
        <v>28</v>
      </c>
      <c r="G167" s="157">
        <f>'Upgrade Projects'!AB57</f>
        <v>84</v>
      </c>
      <c r="H167" s="142">
        <f>'Upgrade Projects'!AJ57</f>
        <v>6266226.0340537755</v>
      </c>
      <c r="I167" s="162">
        <f t="shared" si="2"/>
        <v>3</v>
      </c>
      <c r="K167"/>
      <c r="L167"/>
      <c r="M167"/>
      <c r="N167"/>
      <c r="O167"/>
    </row>
    <row r="168" spans="1:16" x14ac:dyDescent="0.2">
      <c r="A168" s="140">
        <f>'Upgrade Projects'!A58</f>
        <v>435</v>
      </c>
      <c r="B168" s="141" t="str">
        <f>'Upgrade Projects'!B58</f>
        <v>AML</v>
      </c>
      <c r="C168" s="141" t="str">
        <f>IF('Upgrade Projects'!E58="AESO","DFO-T",'Upgrade Projects'!E58)</f>
        <v>DFO-T</v>
      </c>
      <c r="D168" s="141"/>
      <c r="E168" s="141" t="s">
        <v>4</v>
      </c>
      <c r="F168" s="157">
        <f>'Upgrade Projects'!T58</f>
        <v>19</v>
      </c>
      <c r="G168" s="157">
        <f>'Upgrade Projects'!AB58</f>
        <v>49.7</v>
      </c>
      <c r="H168" s="142">
        <f>'Upgrade Projects'!AJ58</f>
        <v>3077363.910207327</v>
      </c>
      <c r="I168" s="162">
        <f t="shared" si="2"/>
        <v>2.6157894736842109</v>
      </c>
      <c r="K168"/>
      <c r="L168"/>
      <c r="M168"/>
      <c r="N168"/>
      <c r="O168"/>
    </row>
    <row r="169" spans="1:16" x14ac:dyDescent="0.2">
      <c r="A169" s="140">
        <f>'Upgrade Projects'!A59</f>
        <v>652</v>
      </c>
      <c r="B169" s="141" t="str">
        <f>'Upgrade Projects'!B59</f>
        <v>AML</v>
      </c>
      <c r="C169" s="141" t="str">
        <f>IF('Upgrade Projects'!E59="AESO","DFO-T",'Upgrade Projects'!E59)</f>
        <v>DFO-D</v>
      </c>
      <c r="D169" s="141"/>
      <c r="E169" s="141" t="s">
        <v>4</v>
      </c>
      <c r="F169" s="157">
        <f>'Upgrade Projects'!T59</f>
        <v>13.6</v>
      </c>
      <c r="G169" s="157">
        <f>'Upgrade Projects'!AB59</f>
        <v>25</v>
      </c>
      <c r="H169" s="142">
        <f>'Upgrade Projects'!AJ59</f>
        <v>4380227.9370725332</v>
      </c>
      <c r="I169" s="162">
        <f t="shared" si="2"/>
        <v>1.8382352941176472</v>
      </c>
      <c r="K169"/>
      <c r="L169"/>
      <c r="M169"/>
      <c r="N169"/>
      <c r="O169"/>
    </row>
    <row r="170" spans="1:16" x14ac:dyDescent="0.2">
      <c r="A170" s="140">
        <f>'Upgrade Projects'!A60</f>
        <v>366</v>
      </c>
      <c r="B170" s="141" t="str">
        <f>'Upgrade Projects'!B60</f>
        <v>AML</v>
      </c>
      <c r="C170" s="141" t="str">
        <f>IF('Upgrade Projects'!E60="AESO","DFO-T",'Upgrade Projects'!E60)</f>
        <v>DFO-D</v>
      </c>
      <c r="D170" s="141"/>
      <c r="E170" s="141" t="s">
        <v>4</v>
      </c>
      <c r="F170" s="157">
        <f>'Upgrade Projects'!T60</f>
        <v>15.9</v>
      </c>
      <c r="G170" s="157">
        <f>'Upgrade Projects'!AB60</f>
        <v>25</v>
      </c>
      <c r="H170" s="142">
        <f>'Upgrade Projects'!AJ60</f>
        <v>602079.88766843197</v>
      </c>
      <c r="I170" s="162">
        <f t="shared" si="2"/>
        <v>1.5723270440251571</v>
      </c>
      <c r="K170"/>
      <c r="L170"/>
      <c r="M170"/>
      <c r="N170"/>
      <c r="O170"/>
    </row>
    <row r="171" spans="1:16" x14ac:dyDescent="0.2">
      <c r="A171" s="140">
        <f>'Upgrade Projects'!A61</f>
        <v>1640</v>
      </c>
      <c r="B171" s="141" t="str">
        <f>'Upgrade Projects'!B61</f>
        <v>AML</v>
      </c>
      <c r="C171" s="141" t="str">
        <f>IF('Upgrade Projects'!E61="AESO","DFO-T",'Upgrade Projects'!E61)</f>
        <v>DFO-D</v>
      </c>
      <c r="D171" s="141"/>
      <c r="E171" s="141" t="s">
        <v>4</v>
      </c>
      <c r="F171" s="157">
        <f>'Upgrade Projects'!T61</f>
        <v>18.399999999999999</v>
      </c>
      <c r="G171" s="157">
        <f>'Upgrade Projects'!AB61</f>
        <v>67</v>
      </c>
      <c r="H171" s="142">
        <f>'Upgrade Projects'!AJ61</f>
        <v>8324400.2844443182</v>
      </c>
      <c r="I171" s="162">
        <f t="shared" si="2"/>
        <v>3.6413043478260874</v>
      </c>
      <c r="K171"/>
      <c r="L171"/>
      <c r="M171"/>
      <c r="N171"/>
      <c r="O171"/>
    </row>
    <row r="172" spans="1:16" x14ac:dyDescent="0.2">
      <c r="A172" s="140">
        <f>'Upgrade Projects'!A62</f>
        <v>367</v>
      </c>
      <c r="B172" s="141" t="str">
        <f>'Upgrade Projects'!B62</f>
        <v>AML</v>
      </c>
      <c r="C172" s="141" t="str">
        <f>IF('Upgrade Projects'!E62="AESO","DFO-T",'Upgrade Projects'!E62)</f>
        <v>DFO-D</v>
      </c>
      <c r="D172" s="141"/>
      <c r="E172" s="141" t="s">
        <v>4</v>
      </c>
      <c r="F172" s="157">
        <f>'Upgrade Projects'!T62</f>
        <v>12.211</v>
      </c>
      <c r="G172" s="157">
        <f>'Upgrade Projects'!AB62</f>
        <v>70</v>
      </c>
      <c r="H172" s="142">
        <f>'Upgrade Projects'!AJ62</f>
        <v>555885.57988620212</v>
      </c>
      <c r="I172" s="162">
        <f t="shared" si="2"/>
        <v>5.7325362378183602</v>
      </c>
      <c r="K172"/>
      <c r="L172"/>
      <c r="M172"/>
      <c r="N172"/>
      <c r="O172"/>
    </row>
    <row r="173" spans="1:16" x14ac:dyDescent="0.2">
      <c r="A173" s="140">
        <f>'Upgrade Projects'!A63</f>
        <v>650</v>
      </c>
      <c r="B173" s="141" t="str">
        <f>'Upgrade Projects'!B63</f>
        <v>AML</v>
      </c>
      <c r="C173" s="141" t="str">
        <f>IF('Upgrade Projects'!E63="AESO","DFO-T",'Upgrade Projects'!E63)</f>
        <v>DFO-D</v>
      </c>
      <c r="D173" s="141"/>
      <c r="E173" s="141" t="s">
        <v>4</v>
      </c>
      <c r="F173" s="157">
        <f>'Upgrade Projects'!T63</f>
        <v>23</v>
      </c>
      <c r="G173" s="157">
        <f>'Upgrade Projects'!AB63</f>
        <v>84</v>
      </c>
      <c r="H173" s="142">
        <f>'Upgrade Projects'!AJ63</f>
        <v>5947687.9309059549</v>
      </c>
      <c r="I173" s="162">
        <f t="shared" si="2"/>
        <v>3.652173913043478</v>
      </c>
      <c r="K173"/>
      <c r="L173"/>
      <c r="M173"/>
      <c r="N173"/>
      <c r="O173"/>
    </row>
    <row r="174" spans="1:16" x14ac:dyDescent="0.2">
      <c r="A174" s="140">
        <f>'Upgrade Projects'!A64</f>
        <v>902</v>
      </c>
      <c r="B174" s="141" t="str">
        <f>'Upgrade Projects'!B64</f>
        <v>AML</v>
      </c>
      <c r="C174" s="141" t="str">
        <f>IF('Upgrade Projects'!E64="AESO","DFO-T",'Upgrade Projects'!E64)</f>
        <v>DFO-D</v>
      </c>
      <c r="D174" s="141"/>
      <c r="E174" s="141" t="s">
        <v>4</v>
      </c>
      <c r="F174" s="157">
        <f>'Upgrade Projects'!T64</f>
        <v>32.700000000000003</v>
      </c>
      <c r="G174" s="157">
        <f>'Upgrade Projects'!AB64</f>
        <v>42</v>
      </c>
      <c r="H174" s="142">
        <f>'Upgrade Projects'!AJ64</f>
        <v>546999.63688402192</v>
      </c>
      <c r="I174" s="162">
        <f t="shared" si="2"/>
        <v>1.2844036697247705</v>
      </c>
      <c r="K174"/>
      <c r="L174"/>
      <c r="M174"/>
      <c r="N174"/>
      <c r="O174"/>
    </row>
    <row r="175" spans="1:16" x14ac:dyDescent="0.2">
      <c r="A175" s="140">
        <f>'Upgrade Projects'!A65</f>
        <v>1202</v>
      </c>
      <c r="B175" s="141" t="str">
        <f>'Upgrade Projects'!B65</f>
        <v>AML</v>
      </c>
      <c r="C175" s="141" t="str">
        <f>IF('Upgrade Projects'!E65="AESO","DFO-T",'Upgrade Projects'!E65)</f>
        <v>DFO-D</v>
      </c>
      <c r="D175" s="141"/>
      <c r="E175" s="141" t="s">
        <v>4</v>
      </c>
      <c r="F175" s="157">
        <f>'Upgrade Projects'!T65</f>
        <v>21</v>
      </c>
      <c r="G175" s="157">
        <f>'Upgrade Projects'!AB65</f>
        <v>67</v>
      </c>
      <c r="H175" s="142">
        <f>'Upgrade Projects'!AJ65</f>
        <v>10745042.225505972</v>
      </c>
      <c r="I175" s="162">
        <f t="shared" si="2"/>
        <v>3.1904761904761907</v>
      </c>
      <c r="K175"/>
      <c r="L175"/>
      <c r="M175"/>
      <c r="N175"/>
      <c r="O175"/>
    </row>
    <row r="176" spans="1:16" x14ac:dyDescent="0.2">
      <c r="A176" s="140">
        <f>'Upgrade Projects'!A66</f>
        <v>1338</v>
      </c>
      <c r="B176" s="141" t="str">
        <f>'Upgrade Projects'!B66</f>
        <v>AML</v>
      </c>
      <c r="C176" s="141" t="str">
        <f>IF('Upgrade Projects'!E66="AESO","DFO-T",'Upgrade Projects'!E66)</f>
        <v>DFO-D</v>
      </c>
      <c r="D176" s="141"/>
      <c r="E176" s="141" t="s">
        <v>4</v>
      </c>
      <c r="F176" s="157">
        <f>'Upgrade Projects'!T66</f>
        <v>9.5</v>
      </c>
      <c r="G176" s="157">
        <f>'Upgrade Projects'!AB66</f>
        <v>39.700000000000003</v>
      </c>
      <c r="H176" s="142">
        <f>'Upgrade Projects'!AJ66</f>
        <v>6663581.3355623763</v>
      </c>
      <c r="I176" s="162">
        <f t="shared" si="2"/>
        <v>4.1789473684210527</v>
      </c>
      <c r="K176"/>
      <c r="L176"/>
      <c r="M176"/>
      <c r="N176"/>
      <c r="O176"/>
    </row>
    <row r="177" spans="1:15" x14ac:dyDescent="0.2">
      <c r="A177" s="140">
        <f>'Upgrade Projects'!A67</f>
        <v>212</v>
      </c>
      <c r="B177" s="141" t="str">
        <f>'Upgrade Projects'!B67</f>
        <v>AML</v>
      </c>
      <c r="C177" s="141" t="str">
        <f>IF('Upgrade Projects'!E67="AESO","DFO-T",'Upgrade Projects'!E67)</f>
        <v>DFO-D</v>
      </c>
      <c r="D177" s="141"/>
      <c r="E177" s="141" t="s">
        <v>4</v>
      </c>
      <c r="F177" s="157">
        <f>'Upgrade Projects'!T67</f>
        <v>64.55</v>
      </c>
      <c r="G177" s="157">
        <f>'Upgrade Projects'!AB67</f>
        <v>126.8</v>
      </c>
      <c r="H177" s="142">
        <f>'Upgrade Projects'!AJ67</f>
        <v>4626453.5731184781</v>
      </c>
      <c r="I177" s="162">
        <f t="shared" si="2"/>
        <v>1.9643687064291246</v>
      </c>
      <c r="K177"/>
      <c r="L177"/>
      <c r="M177"/>
      <c r="N177"/>
      <c r="O177"/>
    </row>
    <row r="178" spans="1:15" x14ac:dyDescent="0.2">
      <c r="A178" s="140">
        <f>'Upgrade Projects'!A68</f>
        <v>653</v>
      </c>
      <c r="B178" s="141" t="str">
        <f>'Upgrade Projects'!B68</f>
        <v>AML</v>
      </c>
      <c r="C178" s="141" t="str">
        <f>IF('Upgrade Projects'!E68="AESO","DFO-T",'Upgrade Projects'!E68)</f>
        <v>DFO-D</v>
      </c>
      <c r="D178" s="141"/>
      <c r="E178" s="141" t="s">
        <v>4</v>
      </c>
      <c r="F178" s="157">
        <f>'Upgrade Projects'!T68</f>
        <v>65.87</v>
      </c>
      <c r="G178" s="157">
        <f>'Upgrade Projects'!AB68</f>
        <v>126.8</v>
      </c>
      <c r="H178" s="142">
        <f>'Upgrade Projects'!AJ68</f>
        <v>568946.92945086816</v>
      </c>
      <c r="I178" s="162">
        <f t="shared" si="2"/>
        <v>1.9250037953544858</v>
      </c>
      <c r="K178"/>
      <c r="L178"/>
      <c r="M178"/>
      <c r="N178"/>
      <c r="O178"/>
    </row>
    <row r="179" spans="1:15" x14ac:dyDescent="0.2">
      <c r="A179" s="140">
        <f>'Upgrade Projects'!A69</f>
        <v>1679</v>
      </c>
      <c r="B179" s="141" t="str">
        <f>'Upgrade Projects'!B69</f>
        <v>AML</v>
      </c>
      <c r="C179" s="141" t="str">
        <f>IF('Upgrade Projects'!E69="AESO","DFO-T",'Upgrade Projects'!E69)</f>
        <v>DFO-D</v>
      </c>
      <c r="D179" s="141"/>
      <c r="E179" s="141" t="s">
        <v>4</v>
      </c>
      <c r="F179" s="157">
        <f>'Upgrade Projects'!T69</f>
        <v>65.87</v>
      </c>
      <c r="G179" s="157">
        <f>'Upgrade Projects'!AB69</f>
        <v>126.8</v>
      </c>
      <c r="H179" s="142">
        <f>'Upgrade Projects'!AJ69</f>
        <v>3035948.9017822221</v>
      </c>
      <c r="I179" s="162">
        <f t="shared" si="2"/>
        <v>1.9250037953544858</v>
      </c>
      <c r="K179"/>
      <c r="L179"/>
      <c r="M179"/>
      <c r="N179"/>
      <c r="O179"/>
    </row>
    <row r="180" spans="1:15" x14ac:dyDescent="0.2">
      <c r="A180" s="140">
        <f>'Upgrade Projects'!A70</f>
        <v>1382</v>
      </c>
      <c r="B180" s="141" t="str">
        <f>'Upgrade Projects'!B70</f>
        <v>AML</v>
      </c>
      <c r="C180" s="141" t="str">
        <f>IF('Upgrade Projects'!E70="AESO","DFO-T",'Upgrade Projects'!E70)</f>
        <v>DFO-D</v>
      </c>
      <c r="D180" s="141"/>
      <c r="E180" s="141" t="s">
        <v>4</v>
      </c>
      <c r="F180" s="157">
        <f>'Upgrade Projects'!T70</f>
        <v>36.1</v>
      </c>
      <c r="G180" s="157">
        <f>'Upgrade Projects'!AB70</f>
        <v>67</v>
      </c>
      <c r="H180" s="142">
        <f>'Upgrade Projects'!AJ70</f>
        <v>2448436.1075925431</v>
      </c>
      <c r="I180" s="162">
        <f t="shared" si="2"/>
        <v>1.8559556786703599</v>
      </c>
      <c r="K180"/>
      <c r="L180"/>
      <c r="M180"/>
      <c r="N180"/>
      <c r="O180"/>
    </row>
    <row r="181" spans="1:15" x14ac:dyDescent="0.2">
      <c r="A181" s="140">
        <f>'Upgrade Projects'!A71</f>
        <v>1638</v>
      </c>
      <c r="B181" s="141" t="str">
        <f>'Upgrade Projects'!B71</f>
        <v>AML</v>
      </c>
      <c r="C181" s="141" t="str">
        <f>IF('Upgrade Projects'!E71="AESO","DFO-T",'Upgrade Projects'!E71)</f>
        <v>DFO-D</v>
      </c>
      <c r="D181" s="141"/>
      <c r="E181" s="141" t="s">
        <v>4</v>
      </c>
      <c r="F181" s="157">
        <f>'Upgrade Projects'!T71</f>
        <v>36.1</v>
      </c>
      <c r="G181" s="157">
        <f>'Upgrade Projects'!AB71</f>
        <v>84</v>
      </c>
      <c r="H181" s="142">
        <f>'Upgrade Projects'!AJ71</f>
        <v>1430769.3737810238</v>
      </c>
      <c r="I181" s="162">
        <f t="shared" si="2"/>
        <v>2.3268698060941828</v>
      </c>
      <c r="K181"/>
      <c r="L181"/>
      <c r="M181"/>
      <c r="N181"/>
      <c r="O181"/>
    </row>
    <row r="182" spans="1:15" x14ac:dyDescent="0.2">
      <c r="A182" s="140">
        <f>'Upgrade Projects'!A72</f>
        <v>874</v>
      </c>
      <c r="B182" s="141" t="str">
        <f>'Upgrade Projects'!B72</f>
        <v>AML</v>
      </c>
      <c r="C182" s="141" t="str">
        <f>IF('Upgrade Projects'!E72="AESO","DFO-T",'Upgrade Projects'!E72)</f>
        <v>DFO-D</v>
      </c>
      <c r="D182" s="141"/>
      <c r="E182" s="141" t="s">
        <v>4</v>
      </c>
      <c r="F182" s="157">
        <f>'Upgrade Projects'!T72</f>
        <v>6.9</v>
      </c>
      <c r="G182" s="157">
        <f>'Upgrade Projects'!AB72</f>
        <v>25</v>
      </c>
      <c r="H182" s="142">
        <f>'Upgrade Projects'!AJ72</f>
        <v>3633360.2061432982</v>
      </c>
      <c r="I182" s="162">
        <f t="shared" si="2"/>
        <v>3.6231884057971011</v>
      </c>
      <c r="K182"/>
      <c r="L182"/>
      <c r="M182"/>
      <c r="N182"/>
      <c r="O182"/>
    </row>
    <row r="183" spans="1:15" x14ac:dyDescent="0.2">
      <c r="A183" s="140">
        <f>'Upgrade Projects'!A73</f>
        <v>491</v>
      </c>
      <c r="B183" s="141" t="str">
        <f>'Upgrade Projects'!B73</f>
        <v>AML</v>
      </c>
      <c r="C183" s="141" t="str">
        <f>IF('Upgrade Projects'!E73="AESO","DFO-T",'Upgrade Projects'!E73)</f>
        <v>DFO-D</v>
      </c>
      <c r="D183" s="141"/>
      <c r="E183" s="141" t="s">
        <v>4</v>
      </c>
      <c r="F183" s="157">
        <f>'Upgrade Projects'!T73</f>
        <v>28.9</v>
      </c>
      <c r="G183" s="157">
        <f>'Upgrade Projects'!AB73</f>
        <v>84</v>
      </c>
      <c r="H183" s="142">
        <f>'Upgrade Projects'!AJ73</f>
        <v>192522.71805052244</v>
      </c>
      <c r="I183" s="162">
        <f t="shared" si="2"/>
        <v>2.9065743944636679</v>
      </c>
      <c r="K183"/>
      <c r="L183"/>
      <c r="M183"/>
      <c r="N183"/>
      <c r="O183"/>
    </row>
    <row r="184" spans="1:15" x14ac:dyDescent="0.2">
      <c r="A184" s="140">
        <f>'Upgrade Projects'!A74</f>
        <v>1396</v>
      </c>
      <c r="B184" s="141" t="str">
        <f>'Upgrade Projects'!B74</f>
        <v>AML</v>
      </c>
      <c r="C184" s="141" t="str">
        <f>IF('Upgrade Projects'!E74="AESO","DFO-T",'Upgrade Projects'!E74)</f>
        <v>DFO-D</v>
      </c>
      <c r="D184" s="141"/>
      <c r="E184" s="141" t="s">
        <v>4</v>
      </c>
      <c r="F184" s="157">
        <f>'Upgrade Projects'!T74</f>
        <v>26</v>
      </c>
      <c r="G184" s="157">
        <f>'Upgrade Projects'!AB74</f>
        <v>42</v>
      </c>
      <c r="H184" s="142">
        <f>'Upgrade Projects'!AJ74</f>
        <v>373511.17224616895</v>
      </c>
      <c r="I184" s="162">
        <f t="shared" si="2"/>
        <v>1.6153846153846154</v>
      </c>
      <c r="K184"/>
      <c r="L184"/>
      <c r="M184"/>
      <c r="N184"/>
      <c r="O184"/>
    </row>
    <row r="185" spans="1:15" x14ac:dyDescent="0.2">
      <c r="A185" s="140">
        <f>'Upgrade Projects'!A75</f>
        <v>1597</v>
      </c>
      <c r="B185" s="141" t="str">
        <f>'Upgrade Projects'!B75</f>
        <v>AML</v>
      </c>
      <c r="C185" s="141" t="str">
        <f>IF('Upgrade Projects'!E75="AESO","DFO-T",'Upgrade Projects'!E75)</f>
        <v>DFO-D</v>
      </c>
      <c r="D185" s="141"/>
      <c r="E185" s="141" t="s">
        <v>4</v>
      </c>
      <c r="F185" s="157">
        <f>'Upgrade Projects'!T75</f>
        <v>53.3</v>
      </c>
      <c r="G185" s="157">
        <f>'Upgrade Projects'!AB75</f>
        <v>84</v>
      </c>
      <c r="H185" s="142">
        <f>'Upgrade Projects'!AJ75</f>
        <v>4235581.763217832</v>
      </c>
      <c r="I185" s="162">
        <f t="shared" si="2"/>
        <v>1.575984990619137</v>
      </c>
      <c r="K185"/>
      <c r="L185"/>
      <c r="M185"/>
      <c r="N185"/>
      <c r="O185"/>
    </row>
    <row r="186" spans="1:15" x14ac:dyDescent="0.2">
      <c r="A186" s="140">
        <f>'Upgrade Projects'!A76</f>
        <v>1292</v>
      </c>
      <c r="B186" s="141" t="str">
        <f>'Upgrade Projects'!B76</f>
        <v>AML</v>
      </c>
      <c r="C186" s="141" t="str">
        <f>IF('Upgrade Projects'!E76="AESO","DFO-T",'Upgrade Projects'!E76)</f>
        <v>DFO-D</v>
      </c>
      <c r="D186" s="141"/>
      <c r="E186" s="141" t="s">
        <v>4</v>
      </c>
      <c r="F186" s="157">
        <f>'Upgrade Projects'!T76</f>
        <v>32.799999999999997</v>
      </c>
      <c r="G186" s="157">
        <f>'Upgrade Projects'!AB76</f>
        <v>42</v>
      </c>
      <c r="H186" s="142">
        <f>'Upgrade Projects'!AJ76</f>
        <v>4471169.8301867601</v>
      </c>
      <c r="I186" s="162">
        <f t="shared" si="2"/>
        <v>1.2804878048780488</v>
      </c>
      <c r="K186"/>
      <c r="L186"/>
      <c r="M186"/>
      <c r="N186"/>
      <c r="O186"/>
    </row>
    <row r="187" spans="1:15" x14ac:dyDescent="0.2">
      <c r="A187" s="140">
        <f>'Upgrade Projects'!A77</f>
        <v>364</v>
      </c>
      <c r="B187" s="141" t="str">
        <f>'Upgrade Projects'!B77</f>
        <v>AML</v>
      </c>
      <c r="C187" s="141" t="str">
        <f>IF('Upgrade Projects'!E77="AESO","DFO-T",'Upgrade Projects'!E77)</f>
        <v>DFO-D</v>
      </c>
      <c r="D187" s="141"/>
      <c r="E187" s="141" t="s">
        <v>4</v>
      </c>
      <c r="F187" s="157">
        <f>'Upgrade Projects'!T77</f>
        <v>46.904000000000003</v>
      </c>
      <c r="G187" s="157">
        <f>'Upgrade Projects'!AB77</f>
        <v>89</v>
      </c>
      <c r="H187" s="142">
        <f>'Upgrade Projects'!AJ77</f>
        <v>1317490.1179839254</v>
      </c>
      <c r="I187" s="162">
        <f t="shared" si="2"/>
        <v>1.8974927511512876</v>
      </c>
      <c r="K187"/>
      <c r="L187"/>
      <c r="M187"/>
      <c r="N187"/>
      <c r="O187"/>
    </row>
    <row r="188" spans="1:15" x14ac:dyDescent="0.2">
      <c r="A188" s="140">
        <f>'Upgrade Projects'!A78</f>
        <v>1306</v>
      </c>
      <c r="B188" s="141" t="str">
        <f>'Upgrade Projects'!B78</f>
        <v>AML</v>
      </c>
      <c r="C188" s="141" t="str">
        <f>IF('Upgrade Projects'!E78="AESO","DFO-T",'Upgrade Projects'!E78)</f>
        <v>DFO-D</v>
      </c>
      <c r="D188" s="141"/>
      <c r="E188" s="141" t="s">
        <v>4</v>
      </c>
      <c r="F188" s="157">
        <f>'Upgrade Projects'!T78</f>
        <v>25.2</v>
      </c>
      <c r="G188" s="157">
        <f>'Upgrade Projects'!AB78</f>
        <v>84</v>
      </c>
      <c r="H188" s="142">
        <f>'Upgrade Projects'!AJ78</f>
        <v>5984860.637039951</v>
      </c>
      <c r="I188" s="162">
        <f t="shared" si="2"/>
        <v>3.3333333333333335</v>
      </c>
      <c r="K188"/>
      <c r="L188"/>
      <c r="M188"/>
      <c r="N188"/>
      <c r="O188"/>
    </row>
    <row r="189" spans="1:15" x14ac:dyDescent="0.2">
      <c r="A189" s="140">
        <f>'Upgrade Projects'!A79</f>
        <v>858</v>
      </c>
      <c r="B189" s="141" t="str">
        <f>'Upgrade Projects'!B79</f>
        <v>AML</v>
      </c>
      <c r="C189" s="141" t="str">
        <f>IF('Upgrade Projects'!E79="AESO","DFO-T",'Upgrade Projects'!E79)</f>
        <v>DFO-D</v>
      </c>
      <c r="D189" s="141"/>
      <c r="E189" s="141" t="s">
        <v>4</v>
      </c>
      <c r="F189" s="157">
        <f>'Upgrade Projects'!T79</f>
        <v>41.7</v>
      </c>
      <c r="G189" s="157">
        <f>'Upgrade Projects'!AB79</f>
        <v>84</v>
      </c>
      <c r="H189" s="142">
        <f>'Upgrade Projects'!AJ79</f>
        <v>5435877.5042665945</v>
      </c>
      <c r="I189" s="162">
        <f t="shared" si="2"/>
        <v>2.014388489208633</v>
      </c>
      <c r="K189"/>
      <c r="L189"/>
      <c r="M189"/>
      <c r="N189"/>
      <c r="O189"/>
    </row>
    <row r="190" spans="1:15" x14ac:dyDescent="0.2">
      <c r="A190" s="140">
        <f>'Upgrade Projects'!A80</f>
        <v>1454</v>
      </c>
      <c r="B190" s="141" t="str">
        <f>'Upgrade Projects'!B80</f>
        <v>AML</v>
      </c>
      <c r="C190" s="141" t="str">
        <f>IF('Upgrade Projects'!E80="AESO","DFO-T",'Upgrade Projects'!E80)</f>
        <v>DFO-D</v>
      </c>
      <c r="D190" s="141"/>
      <c r="E190" s="141" t="s">
        <v>4</v>
      </c>
      <c r="F190" s="157">
        <f>'Upgrade Projects'!T80</f>
        <v>47.4</v>
      </c>
      <c r="G190" s="157">
        <f>'Upgrade Projects'!AB80</f>
        <v>84</v>
      </c>
      <c r="H190" s="142">
        <f>'Upgrade Projects'!AJ80</f>
        <v>457622.40995573642</v>
      </c>
      <c r="I190" s="162">
        <f t="shared" si="2"/>
        <v>1.7721518987341773</v>
      </c>
      <c r="K190"/>
      <c r="L190"/>
      <c r="M190"/>
      <c r="N190"/>
      <c r="O190"/>
    </row>
    <row r="191" spans="1:15" x14ac:dyDescent="0.2">
      <c r="A191" s="140">
        <f>'Upgrade Projects'!A81</f>
        <v>637</v>
      </c>
      <c r="B191" s="141" t="str">
        <f>'Upgrade Projects'!B81</f>
        <v>AML</v>
      </c>
      <c r="C191" s="141" t="str">
        <f>IF('Upgrade Projects'!E81="AESO","DFO-T",'Upgrade Projects'!E81)</f>
        <v>DFO-D</v>
      </c>
      <c r="D191" s="141"/>
      <c r="E191" s="141" t="s">
        <v>4</v>
      </c>
      <c r="F191" s="157">
        <f>'Upgrade Projects'!T81</f>
        <v>23.9</v>
      </c>
      <c r="G191" s="157">
        <f>'Upgrade Projects'!AB81</f>
        <v>50</v>
      </c>
      <c r="H191" s="142">
        <f>'Upgrade Projects'!AJ81</f>
        <v>5068859.8404691657</v>
      </c>
      <c r="I191" s="162">
        <f t="shared" si="2"/>
        <v>2.0920502092050208</v>
      </c>
      <c r="K191"/>
      <c r="L191"/>
      <c r="M191"/>
      <c r="N191"/>
      <c r="O191"/>
    </row>
    <row r="192" spans="1:15" x14ac:dyDescent="0.2">
      <c r="A192" s="140">
        <f>'Upgrade Projects'!A82</f>
        <v>1254</v>
      </c>
      <c r="B192" s="141" t="str">
        <f>'Upgrade Projects'!B82</f>
        <v>AML</v>
      </c>
      <c r="C192" s="141" t="str">
        <f>IF('Upgrade Projects'!E82="AESO","DFO-T",'Upgrade Projects'!E82)</f>
        <v>DFO-D</v>
      </c>
      <c r="D192" s="141"/>
      <c r="E192" s="141" t="s">
        <v>4</v>
      </c>
      <c r="F192" s="157">
        <f>'Upgrade Projects'!T82</f>
        <v>39.299999999999997</v>
      </c>
      <c r="G192" s="157">
        <f>'Upgrade Projects'!AB82</f>
        <v>84</v>
      </c>
      <c r="H192" s="142">
        <f>'Upgrade Projects'!AJ82</f>
        <v>6528436.7645937679</v>
      </c>
      <c r="I192" s="162">
        <f t="shared" si="2"/>
        <v>2.1374045801526718</v>
      </c>
      <c r="K192"/>
      <c r="L192"/>
      <c r="M192"/>
      <c r="N192"/>
      <c r="O192"/>
    </row>
    <row r="193" spans="1:15" x14ac:dyDescent="0.2">
      <c r="A193" s="140">
        <f>'Upgrade Projects'!A83</f>
        <v>734</v>
      </c>
      <c r="B193" s="141" t="str">
        <f>'Upgrade Projects'!B83</f>
        <v>AML</v>
      </c>
      <c r="C193" s="141" t="str">
        <f>IF('Upgrade Projects'!E83="AESO","DFO-T",'Upgrade Projects'!E83)</f>
        <v>DFO-D</v>
      </c>
      <c r="D193" s="141"/>
      <c r="E193" s="141" t="s">
        <v>4</v>
      </c>
      <c r="F193" s="157">
        <f>'Upgrade Projects'!T83</f>
        <v>24.4</v>
      </c>
      <c r="G193" s="157">
        <f>'Upgrade Projects'!AB83</f>
        <v>84</v>
      </c>
      <c r="H193" s="142">
        <f>'Upgrade Projects'!AJ83</f>
        <v>11261124.599264825</v>
      </c>
      <c r="I193" s="162">
        <f t="shared" si="2"/>
        <v>3.4426229508196724</v>
      </c>
      <c r="K193"/>
      <c r="L193"/>
      <c r="M193"/>
      <c r="N193"/>
      <c r="O193"/>
    </row>
    <row r="194" spans="1:15" x14ac:dyDescent="0.2">
      <c r="A194" s="140">
        <f>'Upgrade Projects'!A84</f>
        <v>1594</v>
      </c>
      <c r="B194" s="141" t="str">
        <f>'Upgrade Projects'!B84</f>
        <v>AML</v>
      </c>
      <c r="C194" s="141" t="str">
        <f>IF('Upgrade Projects'!E84="AESO","DFO-T",'Upgrade Projects'!E84)</f>
        <v>DFO-D</v>
      </c>
      <c r="D194" s="141"/>
      <c r="E194" s="141" t="s">
        <v>4</v>
      </c>
      <c r="F194" s="157">
        <f>'Upgrade Projects'!T84</f>
        <v>24.4</v>
      </c>
      <c r="G194" s="157">
        <f>'Upgrade Projects'!AB84</f>
        <v>84</v>
      </c>
      <c r="H194" s="142">
        <f>'Upgrade Projects'!AJ84</f>
        <v>17233445.347747799</v>
      </c>
      <c r="I194" s="162">
        <f t="shared" si="2"/>
        <v>3.4426229508196724</v>
      </c>
      <c r="K194"/>
      <c r="L194"/>
      <c r="M194"/>
      <c r="N194"/>
      <c r="O194"/>
    </row>
    <row r="195" spans="1:15" x14ac:dyDescent="0.2">
      <c r="A195" s="140">
        <f>'Upgrade Projects'!A85</f>
        <v>1674</v>
      </c>
      <c r="B195" s="141" t="str">
        <f>'Upgrade Projects'!B85</f>
        <v>AML</v>
      </c>
      <c r="C195" s="141" t="str">
        <f>IF('Upgrade Projects'!E85="AESO","DFO-T",'Upgrade Projects'!E85)</f>
        <v>DFO-D</v>
      </c>
      <c r="D195" s="141"/>
      <c r="E195" s="141" t="s">
        <v>4</v>
      </c>
      <c r="F195" s="157">
        <f>'Upgrade Projects'!T85</f>
        <v>21.1</v>
      </c>
      <c r="G195" s="157">
        <f>'Upgrade Projects'!AB85</f>
        <v>70</v>
      </c>
      <c r="H195" s="142">
        <f>'Upgrade Projects'!AJ85</f>
        <v>10327278.566796925</v>
      </c>
      <c r="I195" s="162">
        <f t="shared" si="2"/>
        <v>3.3175355450236963</v>
      </c>
      <c r="K195"/>
      <c r="L195"/>
      <c r="M195"/>
      <c r="N195"/>
      <c r="O195"/>
    </row>
    <row r="196" spans="1:15" x14ac:dyDescent="0.2">
      <c r="A196" s="140">
        <f>'Upgrade Projects'!A86</f>
        <v>711</v>
      </c>
      <c r="B196" s="141" t="str">
        <f>'Upgrade Projects'!B86</f>
        <v>AML</v>
      </c>
      <c r="C196" s="141" t="str">
        <f>IF('Upgrade Projects'!E86="AESO","DFO-T",'Upgrade Projects'!E86)</f>
        <v>DFO-T</v>
      </c>
      <c r="D196" s="141"/>
      <c r="E196" s="141" t="s">
        <v>4</v>
      </c>
      <c r="F196" s="157">
        <f>'Upgrade Projects'!T86</f>
        <v>25.2</v>
      </c>
      <c r="G196" s="157">
        <f>'Upgrade Projects'!AB86</f>
        <v>50</v>
      </c>
      <c r="H196" s="142">
        <f>'Upgrade Projects'!AJ86</f>
        <v>9261788.1543087028</v>
      </c>
      <c r="I196" s="162">
        <f t="shared" si="2"/>
        <v>1.9841269841269842</v>
      </c>
      <c r="K196"/>
      <c r="L196"/>
      <c r="M196"/>
      <c r="N196"/>
      <c r="O196"/>
    </row>
    <row r="197" spans="1:15" x14ac:dyDescent="0.2">
      <c r="A197" s="140">
        <f>'Upgrade Projects'!A87</f>
        <v>408</v>
      </c>
      <c r="B197" s="141" t="str">
        <f>'Upgrade Projects'!B87</f>
        <v>AML</v>
      </c>
      <c r="C197" s="141" t="str">
        <f>IF('Upgrade Projects'!E87="AESO","DFO-T",'Upgrade Projects'!E87)</f>
        <v>DFO-D</v>
      </c>
      <c r="D197" s="141"/>
      <c r="E197" s="141" t="s">
        <v>4</v>
      </c>
      <c r="F197" s="157">
        <f>'Upgrade Projects'!T87</f>
        <v>39.741999999999997</v>
      </c>
      <c r="G197" s="157">
        <f>'Upgrade Projects'!AB87</f>
        <v>94</v>
      </c>
      <c r="H197" s="142">
        <f>'Upgrade Projects'!AJ87</f>
        <v>580158.76995711902</v>
      </c>
      <c r="I197" s="162">
        <f t="shared" si="2"/>
        <v>2.3652559005586031</v>
      </c>
      <c r="K197"/>
      <c r="L197"/>
      <c r="M197"/>
      <c r="N197"/>
      <c r="O197"/>
    </row>
    <row r="198" spans="1:15" x14ac:dyDescent="0.2">
      <c r="A198" s="140">
        <f>'Upgrade Projects'!A88</f>
        <v>698</v>
      </c>
      <c r="B198" s="141" t="str">
        <f>'Upgrade Projects'!B88</f>
        <v>AML</v>
      </c>
      <c r="C198" s="141" t="str">
        <f>IF('Upgrade Projects'!E88="AESO","DFO-T",'Upgrade Projects'!E88)</f>
        <v>DFO-D</v>
      </c>
      <c r="D198" s="141"/>
      <c r="E198" s="141" t="s">
        <v>4</v>
      </c>
      <c r="F198" s="157">
        <f>'Upgrade Projects'!T88</f>
        <v>60.6</v>
      </c>
      <c r="G198" s="157">
        <f>'Upgrade Projects'!AB88</f>
        <v>94</v>
      </c>
      <c r="H198" s="142">
        <f>'Upgrade Projects'!AJ88</f>
        <v>1440682.1685518078</v>
      </c>
      <c r="I198" s="162">
        <f t="shared" si="2"/>
        <v>1.5511551155115511</v>
      </c>
      <c r="K198"/>
      <c r="L198"/>
      <c r="M198"/>
      <c r="N198"/>
      <c r="O198"/>
    </row>
    <row r="199" spans="1:15" x14ac:dyDescent="0.2">
      <c r="A199" s="140">
        <f>'Upgrade Projects'!A89</f>
        <v>696</v>
      </c>
      <c r="B199" s="141" t="str">
        <f>'Upgrade Projects'!B89</f>
        <v>AML</v>
      </c>
      <c r="C199" s="141" t="str">
        <f>IF('Upgrade Projects'!E89="AESO","DFO-T",'Upgrade Projects'!E89)</f>
        <v>DFO-D</v>
      </c>
      <c r="D199" s="141"/>
      <c r="E199" s="141" t="s">
        <v>4</v>
      </c>
      <c r="F199" s="157">
        <f>'Upgrade Projects'!T89</f>
        <v>17.2</v>
      </c>
      <c r="G199" s="157">
        <f>'Upgrade Projects'!AB89</f>
        <v>28</v>
      </c>
      <c r="H199" s="142">
        <f>'Upgrade Projects'!AJ89</f>
        <v>268103.51472539734</v>
      </c>
      <c r="I199" s="162">
        <f t="shared" si="2"/>
        <v>1.6279069767441861</v>
      </c>
      <c r="K199"/>
      <c r="L199"/>
      <c r="M199"/>
      <c r="N199"/>
      <c r="O199"/>
    </row>
    <row r="200" spans="1:15" x14ac:dyDescent="0.2">
      <c r="A200" s="140">
        <f>'Upgrade Projects'!A90</f>
        <v>1636</v>
      </c>
      <c r="B200" s="141" t="str">
        <f>'Upgrade Projects'!B90</f>
        <v>AML</v>
      </c>
      <c r="C200" s="141" t="str">
        <f>IF('Upgrade Projects'!E90="AESO","DFO-T",'Upgrade Projects'!E90)</f>
        <v>DFO-D</v>
      </c>
      <c r="D200" s="141"/>
      <c r="E200" s="141" t="s">
        <v>4</v>
      </c>
      <c r="F200" s="157">
        <f>'Upgrade Projects'!T90</f>
        <v>17.2</v>
      </c>
      <c r="G200" s="157">
        <f>'Upgrade Projects'!AB90</f>
        <v>67</v>
      </c>
      <c r="H200" s="142">
        <f>'Upgrade Projects'!AJ90</f>
        <v>6605897.293746843</v>
      </c>
      <c r="I200" s="162">
        <f t="shared" si="2"/>
        <v>3.8953488372093026</v>
      </c>
      <c r="K200"/>
      <c r="L200"/>
      <c r="M200"/>
      <c r="N200"/>
      <c r="O200"/>
    </row>
    <row r="201" spans="1:15" x14ac:dyDescent="0.2">
      <c r="A201" s="140">
        <f>'Upgrade Projects'!A91</f>
        <v>1185</v>
      </c>
      <c r="B201" s="141" t="str">
        <f>'Upgrade Projects'!B91</f>
        <v>AML</v>
      </c>
      <c r="C201" s="141" t="str">
        <f>IF('Upgrade Projects'!E91="AESO","DFO-T",'Upgrade Projects'!E91)</f>
        <v>DFO-D</v>
      </c>
      <c r="D201" s="141"/>
      <c r="E201" s="141" t="s">
        <v>4</v>
      </c>
      <c r="F201" s="157">
        <f>'Upgrade Projects'!T91</f>
        <v>34.9</v>
      </c>
      <c r="G201" s="157">
        <f>'Upgrade Projects'!AB91</f>
        <v>70</v>
      </c>
      <c r="H201" s="142">
        <f>'Upgrade Projects'!AJ91</f>
        <v>2808783.6612562956</v>
      </c>
      <c r="I201" s="162">
        <f t="shared" ref="I201:I264" si="3">IF(F201=0,0,G201/F201)</f>
        <v>2.005730659025788</v>
      </c>
      <c r="K201"/>
      <c r="L201"/>
      <c r="M201"/>
      <c r="N201"/>
      <c r="O201"/>
    </row>
    <row r="202" spans="1:15" x14ac:dyDescent="0.2">
      <c r="A202" s="140">
        <f>'Upgrade Projects'!A92</f>
        <v>568</v>
      </c>
      <c r="B202" s="141" t="str">
        <f>'Upgrade Projects'!B92</f>
        <v>AML</v>
      </c>
      <c r="C202" s="141" t="str">
        <f>IF('Upgrade Projects'!E92="AESO","DFO-T",'Upgrade Projects'!E92)</f>
        <v>DFO-D</v>
      </c>
      <c r="D202" s="141"/>
      <c r="E202" s="141" t="s">
        <v>4</v>
      </c>
      <c r="F202" s="157">
        <f>'Upgrade Projects'!T92</f>
        <v>39.04</v>
      </c>
      <c r="G202" s="157">
        <f>'Upgrade Projects'!AB92</f>
        <v>84</v>
      </c>
      <c r="H202" s="142">
        <f>'Upgrade Projects'!AJ92</f>
        <v>28818.936071529555</v>
      </c>
      <c r="I202" s="162">
        <f t="shared" si="3"/>
        <v>2.151639344262295</v>
      </c>
      <c r="K202"/>
      <c r="L202"/>
      <c r="M202"/>
      <c r="N202"/>
      <c r="O202"/>
    </row>
    <row r="203" spans="1:15" x14ac:dyDescent="0.2">
      <c r="A203" s="140">
        <f>'Upgrade Projects'!A93</f>
        <v>853</v>
      </c>
      <c r="B203" s="141" t="str">
        <f>'Upgrade Projects'!B93</f>
        <v>AML</v>
      </c>
      <c r="C203" s="141" t="str">
        <f>IF('Upgrade Projects'!E93="AESO","DFO-T",'Upgrade Projects'!E93)</f>
        <v>DFO-D</v>
      </c>
      <c r="D203" s="141"/>
      <c r="E203" s="141" t="s">
        <v>4</v>
      </c>
      <c r="F203" s="157">
        <f>'Upgrade Projects'!T93</f>
        <v>41.7</v>
      </c>
      <c r="G203" s="157">
        <f>'Upgrade Projects'!AB93</f>
        <v>84</v>
      </c>
      <c r="H203" s="142">
        <f>'Upgrade Projects'!AJ93</f>
        <v>4255624.5512411119</v>
      </c>
      <c r="I203" s="162">
        <f t="shared" si="3"/>
        <v>2.014388489208633</v>
      </c>
      <c r="K203"/>
      <c r="L203"/>
      <c r="M203"/>
      <c r="N203"/>
      <c r="O203"/>
    </row>
    <row r="204" spans="1:15" x14ac:dyDescent="0.2">
      <c r="A204" s="140">
        <f>'Upgrade Projects'!A94</f>
        <v>1201</v>
      </c>
      <c r="B204" s="141" t="str">
        <f>'Upgrade Projects'!B94</f>
        <v>AML</v>
      </c>
      <c r="C204" s="141" t="str">
        <f>IF('Upgrade Projects'!E94="AESO","DFO-T",'Upgrade Projects'!E94)</f>
        <v>DFO-D</v>
      </c>
      <c r="D204" s="141"/>
      <c r="E204" s="141" t="s">
        <v>4</v>
      </c>
      <c r="F204" s="157">
        <f>'Upgrade Projects'!T94</f>
        <v>23.9</v>
      </c>
      <c r="G204" s="157">
        <f>'Upgrade Projects'!AB94</f>
        <v>70</v>
      </c>
      <c r="H204" s="142">
        <f>'Upgrade Projects'!AJ94</f>
        <v>7636489.4321569698</v>
      </c>
      <c r="I204" s="162">
        <f t="shared" si="3"/>
        <v>2.9288702928870296</v>
      </c>
      <c r="K204"/>
      <c r="L204"/>
      <c r="M204"/>
      <c r="N204"/>
      <c r="O204"/>
    </row>
    <row r="205" spans="1:15" x14ac:dyDescent="0.2">
      <c r="A205" s="140">
        <f>'Upgrade Projects'!A95</f>
        <v>654</v>
      </c>
      <c r="B205" s="141" t="str">
        <f>'Upgrade Projects'!B95</f>
        <v>AML</v>
      </c>
      <c r="C205" s="141" t="str">
        <f>IF('Upgrade Projects'!E95="AESO","DFO-T",'Upgrade Projects'!E95)</f>
        <v>DFO-D</v>
      </c>
      <c r="D205" s="141"/>
      <c r="E205" s="141" t="s">
        <v>4</v>
      </c>
      <c r="F205" s="157">
        <f>'Upgrade Projects'!T95</f>
        <v>11.7</v>
      </c>
      <c r="G205" s="157">
        <f>'Upgrade Projects'!AB95</f>
        <v>25</v>
      </c>
      <c r="H205" s="142">
        <f>'Upgrade Projects'!AJ95</f>
        <v>736725.44554632274</v>
      </c>
      <c r="I205" s="162">
        <f t="shared" si="3"/>
        <v>2.1367521367521367</v>
      </c>
      <c r="K205"/>
      <c r="L205"/>
      <c r="M205"/>
      <c r="N205"/>
      <c r="O205"/>
    </row>
    <row r="206" spans="1:15" x14ac:dyDescent="0.2">
      <c r="A206" s="140">
        <f>'Upgrade Projects'!A96</f>
        <v>1394</v>
      </c>
      <c r="B206" s="141" t="str">
        <f>'Upgrade Projects'!B96</f>
        <v>AML</v>
      </c>
      <c r="C206" s="141" t="str">
        <f>IF('Upgrade Projects'!E96="AESO","DFO-T",'Upgrade Projects'!E96)</f>
        <v>DFO-D</v>
      </c>
      <c r="D206" s="141"/>
      <c r="E206" s="141" t="s">
        <v>4</v>
      </c>
      <c r="F206" s="157">
        <f>'Upgrade Projects'!T96</f>
        <v>21.7</v>
      </c>
      <c r="G206" s="157">
        <f>'Upgrade Projects'!AB96</f>
        <v>67</v>
      </c>
      <c r="H206" s="142">
        <f>'Upgrade Projects'!AJ96</f>
        <v>5005780.6862702603</v>
      </c>
      <c r="I206" s="162">
        <f t="shared" si="3"/>
        <v>3.0875576036866361</v>
      </c>
      <c r="K206"/>
      <c r="L206"/>
      <c r="M206"/>
      <c r="N206"/>
      <c r="O206"/>
    </row>
    <row r="207" spans="1:15" x14ac:dyDescent="0.2">
      <c r="A207" s="140">
        <f>'Upgrade Projects'!A97</f>
        <v>1294</v>
      </c>
      <c r="B207" s="141" t="str">
        <f>'Upgrade Projects'!B97</f>
        <v>AML</v>
      </c>
      <c r="C207" s="141" t="str">
        <f>IF('Upgrade Projects'!E97="AESO","DFO-T",'Upgrade Projects'!E97)</f>
        <v>DFO-D</v>
      </c>
      <c r="D207" s="141"/>
      <c r="E207" s="141" t="s">
        <v>4</v>
      </c>
      <c r="F207" s="157">
        <f>'Upgrade Projects'!T97</f>
        <v>10.1</v>
      </c>
      <c r="G207" s="157">
        <f>'Upgrade Projects'!AB97</f>
        <v>39.9</v>
      </c>
      <c r="H207" s="142">
        <f>'Upgrade Projects'!AJ97</f>
        <v>4561992.2667121133</v>
      </c>
      <c r="I207" s="162">
        <f t="shared" si="3"/>
        <v>3.9504950495049505</v>
      </c>
      <c r="K207"/>
      <c r="L207"/>
      <c r="M207"/>
      <c r="N207"/>
      <c r="O207"/>
    </row>
    <row r="208" spans="1:15" x14ac:dyDescent="0.2">
      <c r="A208" s="140">
        <f>'Upgrade Projects'!A98</f>
        <v>1670</v>
      </c>
      <c r="B208" s="141" t="str">
        <f>'Upgrade Projects'!B98</f>
        <v>AML</v>
      </c>
      <c r="C208" s="141" t="str">
        <f>IF('Upgrade Projects'!E98="AESO","DFO-T",'Upgrade Projects'!E98)</f>
        <v>DFO-D</v>
      </c>
      <c r="D208" s="141"/>
      <c r="E208" s="141" t="s">
        <v>4</v>
      </c>
      <c r="F208" s="157">
        <f>'Upgrade Projects'!T98</f>
        <v>55.7</v>
      </c>
      <c r="G208" s="157">
        <f>'Upgrade Projects'!AB98</f>
        <v>84</v>
      </c>
      <c r="H208" s="142">
        <f>'Upgrade Projects'!AJ98</f>
        <v>2794352.1582603678</v>
      </c>
      <c r="I208" s="162">
        <f t="shared" si="3"/>
        <v>1.5080789946140034</v>
      </c>
      <c r="K208"/>
      <c r="L208"/>
      <c r="M208"/>
      <c r="N208"/>
      <c r="O208"/>
    </row>
    <row r="209" spans="1:15" x14ac:dyDescent="0.2">
      <c r="A209" s="140">
        <f>'Upgrade Projects'!A99</f>
        <v>579</v>
      </c>
      <c r="B209" s="141" t="str">
        <f>'Upgrade Projects'!B99</f>
        <v>Lethbridge</v>
      </c>
      <c r="C209" s="141" t="str">
        <f>IF('Upgrade Projects'!E99="AESO","DFO-T",'Upgrade Projects'!E99)</f>
        <v>DFO-D</v>
      </c>
      <c r="D209" s="141"/>
      <c r="E209" s="141" t="s">
        <v>4</v>
      </c>
      <c r="F209" s="157">
        <f>'Upgrade Projects'!T99</f>
        <v>28.1</v>
      </c>
      <c r="G209" s="157">
        <f>'Upgrade Projects'!AB99</f>
        <v>60</v>
      </c>
      <c r="H209" s="142">
        <f>'Upgrade Projects'!AJ99</f>
        <v>3651623.0200538072</v>
      </c>
      <c r="I209" s="162">
        <f t="shared" si="3"/>
        <v>2.1352313167259784</v>
      </c>
      <c r="K209"/>
      <c r="L209"/>
      <c r="M209"/>
      <c r="N209"/>
      <c r="O209"/>
    </row>
    <row r="210" spans="1:15" x14ac:dyDescent="0.2">
      <c r="A210" s="140">
        <f>'Upgrade Projects'!A100</f>
        <v>1670</v>
      </c>
      <c r="B210" s="141" t="str">
        <f>'Upgrade Projects'!B100</f>
        <v>AML</v>
      </c>
      <c r="C210" s="141" t="str">
        <f>IF('Upgrade Projects'!E100="AESO","DFO-T",'Upgrade Projects'!E100)</f>
        <v>DFO-D</v>
      </c>
      <c r="D210" s="141"/>
      <c r="E210" s="141" t="s">
        <v>4</v>
      </c>
      <c r="F210" s="157">
        <f>'Upgrade Projects'!T100</f>
        <v>49.3</v>
      </c>
      <c r="G210" s="157">
        <f>'Upgrade Projects'!AB100</f>
        <v>112.1</v>
      </c>
      <c r="H210" s="142">
        <f>'Upgrade Projects'!AJ100</f>
        <v>18363697.996227652</v>
      </c>
      <c r="I210" s="162">
        <f t="shared" si="3"/>
        <v>2.2738336713995944</v>
      </c>
      <c r="K210"/>
      <c r="L210"/>
      <c r="M210"/>
      <c r="N210"/>
      <c r="O210"/>
    </row>
    <row r="211" spans="1:15" x14ac:dyDescent="0.2">
      <c r="A211" s="140">
        <f>'Upgrade Projects'!A101</f>
        <v>1083</v>
      </c>
      <c r="B211" s="141" t="str">
        <f>'Upgrade Projects'!B101</f>
        <v>AML</v>
      </c>
      <c r="C211" s="141" t="str">
        <f>IF('Upgrade Projects'!E101="AESO","DFO-T",'Upgrade Projects'!E101)</f>
        <v>DFO-D</v>
      </c>
      <c r="D211" s="141"/>
      <c r="E211" s="141" t="s">
        <v>4</v>
      </c>
      <c r="F211" s="157">
        <f>'Upgrade Projects'!T101</f>
        <v>13.4</v>
      </c>
      <c r="G211" s="157">
        <f>'Upgrade Projects'!AB101</f>
        <v>92</v>
      </c>
      <c r="H211" s="142">
        <f>'Upgrade Projects'!AJ101</f>
        <v>7412510.8979310459</v>
      </c>
      <c r="I211" s="162">
        <f t="shared" si="3"/>
        <v>6.8656716417910442</v>
      </c>
      <c r="K211"/>
      <c r="L211"/>
      <c r="M211"/>
      <c r="N211"/>
      <c r="O211"/>
    </row>
    <row r="212" spans="1:15" x14ac:dyDescent="0.2">
      <c r="A212" s="140">
        <f>'Upgrade Projects'!A102</f>
        <v>552</v>
      </c>
      <c r="B212" s="141" t="str">
        <f>'Upgrade Projects'!B102</f>
        <v>ATCO</v>
      </c>
      <c r="C212" s="141" t="str">
        <f>IF('Upgrade Projects'!E102="AESO","DFO-T",'Upgrade Projects'!E102)</f>
        <v>DFO-D</v>
      </c>
      <c r="D212" s="141"/>
      <c r="E212" s="141" t="s">
        <v>4</v>
      </c>
      <c r="F212" s="157">
        <f>'Upgrade Projects'!T102</f>
        <v>30.7</v>
      </c>
      <c r="G212" s="157">
        <f>'Upgrade Projects'!AB102</f>
        <v>42</v>
      </c>
      <c r="H212" s="142">
        <f>'Upgrade Projects'!AJ102</f>
        <v>1145771.6756011657</v>
      </c>
      <c r="I212" s="162">
        <f t="shared" si="3"/>
        <v>1.3680781758957654</v>
      </c>
      <c r="K212"/>
      <c r="L212"/>
      <c r="M212"/>
      <c r="N212"/>
      <c r="O212"/>
    </row>
    <row r="213" spans="1:15" x14ac:dyDescent="0.2">
      <c r="A213" s="140">
        <f>'Upgrade Projects'!A103</f>
        <v>1311</v>
      </c>
      <c r="B213" s="141" t="str">
        <f>'Upgrade Projects'!B103</f>
        <v>ATCO</v>
      </c>
      <c r="C213" s="141" t="str">
        <f>IF('Upgrade Projects'!E103="AESO","DFO-T",'Upgrade Projects'!E103)</f>
        <v>DFO-D</v>
      </c>
      <c r="D213" s="141"/>
      <c r="E213" s="141" t="s">
        <v>4</v>
      </c>
      <c r="F213" s="157">
        <f>'Upgrade Projects'!T103</f>
        <v>50</v>
      </c>
      <c r="G213" s="157">
        <f>'Upgrade Projects'!AB103</f>
        <v>84</v>
      </c>
      <c r="H213" s="142">
        <f>'Upgrade Projects'!AJ103</f>
        <v>5984143.0822776956</v>
      </c>
      <c r="I213" s="162">
        <f t="shared" si="3"/>
        <v>1.68</v>
      </c>
      <c r="K213"/>
      <c r="L213"/>
      <c r="M213"/>
      <c r="N213"/>
      <c r="O213"/>
    </row>
    <row r="214" spans="1:15" x14ac:dyDescent="0.2">
      <c r="A214" s="140">
        <f>'Upgrade Projects'!A104</f>
        <v>1078</v>
      </c>
      <c r="B214" s="141" t="str">
        <f>'Upgrade Projects'!B104</f>
        <v>ATCO</v>
      </c>
      <c r="C214" s="141" t="str">
        <f>IF('Upgrade Projects'!E104="AESO","DFO-T",'Upgrade Projects'!E104)</f>
        <v>DFO-D</v>
      </c>
      <c r="D214" s="141"/>
      <c r="E214" s="141" t="s">
        <v>4</v>
      </c>
      <c r="F214" s="157">
        <f>'Upgrade Projects'!T104</f>
        <v>25</v>
      </c>
      <c r="G214" s="157">
        <f>'Upgrade Projects'!AB104</f>
        <v>71.5</v>
      </c>
      <c r="H214" s="142">
        <f>'Upgrade Projects'!AJ104</f>
        <v>1093638.7702296274</v>
      </c>
      <c r="I214" s="162">
        <f t="shared" si="3"/>
        <v>2.86</v>
      </c>
      <c r="K214"/>
      <c r="L214"/>
      <c r="M214"/>
      <c r="N214"/>
      <c r="O214"/>
    </row>
    <row r="215" spans="1:15" x14ac:dyDescent="0.2">
      <c r="A215" s="140">
        <f>'Upgrade Projects'!A105</f>
        <v>495</v>
      </c>
      <c r="B215" s="141" t="str">
        <f>'Upgrade Projects'!B105</f>
        <v>ATCO</v>
      </c>
      <c r="C215" s="141" t="str">
        <f>IF('Upgrade Projects'!E105="AESO","DFO-T",'Upgrade Projects'!E105)</f>
        <v>DFO-D</v>
      </c>
      <c r="D215" s="141"/>
      <c r="E215" s="141" t="s">
        <v>4</v>
      </c>
      <c r="F215" s="157">
        <f>'Upgrade Projects'!T105</f>
        <v>12.974</v>
      </c>
      <c r="G215" s="157">
        <f>'Upgrade Projects'!AB105</f>
        <v>83.2</v>
      </c>
      <c r="H215" s="142">
        <f>'Upgrade Projects'!AJ105</f>
        <v>3590790.2166068871</v>
      </c>
      <c r="I215" s="162">
        <f t="shared" si="3"/>
        <v>6.4128256513026054</v>
      </c>
      <c r="K215"/>
      <c r="L215"/>
      <c r="M215"/>
      <c r="N215"/>
      <c r="O215"/>
    </row>
    <row r="216" spans="1:15" x14ac:dyDescent="0.2">
      <c r="A216" s="140">
        <f>'Upgrade Projects'!A106</f>
        <v>383</v>
      </c>
      <c r="B216" s="141" t="str">
        <f>'Upgrade Projects'!B106</f>
        <v>ATCO</v>
      </c>
      <c r="C216" s="141" t="str">
        <f>IF('Upgrade Projects'!E106="AESO","DFO-T",'Upgrade Projects'!E106)</f>
        <v>DFO-T</v>
      </c>
      <c r="D216" s="141"/>
      <c r="E216" s="141" t="s">
        <v>4</v>
      </c>
      <c r="F216" s="157">
        <f>'Upgrade Projects'!T106</f>
        <v>8.51</v>
      </c>
      <c r="G216" s="157">
        <f>'Upgrade Projects'!AB106</f>
        <v>110</v>
      </c>
      <c r="H216" s="142">
        <f>'Upgrade Projects'!AJ106</f>
        <v>3950172.3720469591</v>
      </c>
      <c r="I216" s="162">
        <f t="shared" si="3"/>
        <v>12.925969447708578</v>
      </c>
      <c r="K216"/>
      <c r="L216"/>
      <c r="M216"/>
      <c r="N216"/>
      <c r="O216"/>
    </row>
    <row r="217" spans="1:15" x14ac:dyDescent="0.2">
      <c r="A217" s="140">
        <f>'Upgrade Projects'!A107</f>
        <v>1020</v>
      </c>
      <c r="B217" s="141" t="str">
        <f>'Upgrade Projects'!B107</f>
        <v>ATCO</v>
      </c>
      <c r="C217" s="141" t="str">
        <f>IF('Upgrade Projects'!E107="AESO","DFO-T",'Upgrade Projects'!E107)</f>
        <v>DFO-D</v>
      </c>
      <c r="D217" s="141"/>
      <c r="E217" s="141" t="s">
        <v>4</v>
      </c>
      <c r="F217" s="157">
        <f>'Upgrade Projects'!T107</f>
        <v>22</v>
      </c>
      <c r="G217" s="157">
        <f>'Upgrade Projects'!AB107</f>
        <v>83.3</v>
      </c>
      <c r="H217" s="142">
        <f>'Upgrade Projects'!AJ107</f>
        <v>7344978.6888029994</v>
      </c>
      <c r="I217" s="162">
        <f t="shared" si="3"/>
        <v>3.7863636363636362</v>
      </c>
      <c r="K217"/>
      <c r="L217"/>
      <c r="M217"/>
      <c r="N217"/>
      <c r="O217"/>
    </row>
    <row r="218" spans="1:15" x14ac:dyDescent="0.2">
      <c r="A218" s="140">
        <f>'Upgrade Projects'!A108</f>
        <v>1364</v>
      </c>
      <c r="B218" s="141" t="str">
        <f>'Upgrade Projects'!B108</f>
        <v>ATCO</v>
      </c>
      <c r="C218" s="141" t="str">
        <f>IF('Upgrade Projects'!E108="AESO","DFO-T",'Upgrade Projects'!E108)</f>
        <v>DFO-T</v>
      </c>
      <c r="D218" s="141"/>
      <c r="E218" s="141" t="s">
        <v>4</v>
      </c>
      <c r="F218" s="157">
        <f>'Upgrade Projects'!T108</f>
        <v>42.5</v>
      </c>
      <c r="G218" s="157">
        <f>'Upgrade Projects'!AB108</f>
        <v>83</v>
      </c>
      <c r="H218" s="142">
        <f>'Upgrade Projects'!AJ108</f>
        <v>8795119.7470845859</v>
      </c>
      <c r="I218" s="162">
        <f t="shared" si="3"/>
        <v>1.9529411764705882</v>
      </c>
      <c r="K218"/>
      <c r="L218"/>
      <c r="M218"/>
      <c r="N218"/>
      <c r="O218"/>
    </row>
    <row r="219" spans="1:15" x14ac:dyDescent="0.2">
      <c r="A219" s="140">
        <f>'Upgrade Projects'!A109</f>
        <v>503</v>
      </c>
      <c r="B219" s="141" t="str">
        <f>'Upgrade Projects'!B109</f>
        <v>ATCO</v>
      </c>
      <c r="C219" s="141" t="str">
        <f>IF('Upgrade Projects'!E109="AESO","DFO-T",'Upgrade Projects'!E109)</f>
        <v>DFO-D</v>
      </c>
      <c r="D219" s="141"/>
      <c r="E219" s="141" t="s">
        <v>4</v>
      </c>
      <c r="F219" s="157">
        <f>'Upgrade Projects'!T109</f>
        <v>47</v>
      </c>
      <c r="G219" s="157">
        <f>'Upgrade Projects'!AB109</f>
        <v>100</v>
      </c>
      <c r="H219" s="142">
        <f>'Upgrade Projects'!AJ109</f>
        <v>3803322.2269089473</v>
      </c>
      <c r="I219" s="162">
        <f t="shared" si="3"/>
        <v>2.1276595744680851</v>
      </c>
      <c r="K219"/>
      <c r="L219"/>
      <c r="M219"/>
      <c r="N219"/>
      <c r="O219"/>
    </row>
    <row r="220" spans="1:15" x14ac:dyDescent="0.2">
      <c r="A220" s="140">
        <f>'Upgrade Projects'!A110</f>
        <v>925</v>
      </c>
      <c r="B220" s="141" t="str">
        <f>'Upgrade Projects'!B110</f>
        <v>ATCO</v>
      </c>
      <c r="C220" s="141" t="str">
        <f>IF('Upgrade Projects'!E110="AESO","DFO-T",'Upgrade Projects'!E110)</f>
        <v>DFO-D</v>
      </c>
      <c r="D220" s="141"/>
      <c r="E220" s="141" t="s">
        <v>4</v>
      </c>
      <c r="F220" s="157">
        <f>'Upgrade Projects'!T110</f>
        <v>56</v>
      </c>
      <c r="G220" s="157">
        <f>'Upgrade Projects'!AB110</f>
        <v>100</v>
      </c>
      <c r="H220" s="142">
        <f>'Upgrade Projects'!AJ110</f>
        <v>3316469.7860941137</v>
      </c>
      <c r="I220" s="162">
        <f t="shared" si="3"/>
        <v>1.7857142857142858</v>
      </c>
      <c r="K220"/>
      <c r="L220"/>
      <c r="M220"/>
      <c r="N220"/>
      <c r="O220"/>
    </row>
    <row r="221" spans="1:15" x14ac:dyDescent="0.2">
      <c r="A221" s="140">
        <f>'Upgrade Projects'!A111</f>
        <v>821</v>
      </c>
      <c r="B221" s="141" t="str">
        <f>'Upgrade Projects'!B111</f>
        <v>AML</v>
      </c>
      <c r="C221" s="141" t="str">
        <f>IF('Upgrade Projects'!E111="AESO","DFO-T",'Upgrade Projects'!E111)</f>
        <v>DFO-D</v>
      </c>
      <c r="D221" s="141"/>
      <c r="E221" s="141" t="s">
        <v>4</v>
      </c>
      <c r="F221" s="157">
        <f>'Upgrade Projects'!T111</f>
        <v>57</v>
      </c>
      <c r="G221" s="157">
        <f>'Upgrade Projects'!AB111</f>
        <v>100</v>
      </c>
      <c r="H221" s="142">
        <f>'Upgrade Projects'!AJ111</f>
        <v>9417737.1403666269</v>
      </c>
      <c r="I221" s="162">
        <f t="shared" si="3"/>
        <v>1.7543859649122806</v>
      </c>
      <c r="K221"/>
      <c r="L221"/>
      <c r="M221"/>
      <c r="N221"/>
      <c r="O221"/>
    </row>
    <row r="222" spans="1:15" x14ac:dyDescent="0.2">
      <c r="A222" s="140">
        <f>'Upgrade Projects'!A112</f>
        <v>486</v>
      </c>
      <c r="B222" s="141" t="str">
        <f>'Upgrade Projects'!B112</f>
        <v>ATCO</v>
      </c>
      <c r="C222" s="141" t="str">
        <f>IF('Upgrade Projects'!E112="AESO","DFO-T",'Upgrade Projects'!E112)</f>
        <v>DFO-D</v>
      </c>
      <c r="D222" s="141"/>
      <c r="E222" s="141" t="s">
        <v>4</v>
      </c>
      <c r="F222" s="157">
        <f>'Upgrade Projects'!T112</f>
        <v>13.95</v>
      </c>
      <c r="G222" s="157">
        <f>'Upgrade Projects'!AB112</f>
        <v>16</v>
      </c>
      <c r="H222" s="142">
        <f>'Upgrade Projects'!AJ112</f>
        <v>346921.20274319506</v>
      </c>
      <c r="I222" s="162">
        <f t="shared" si="3"/>
        <v>1.1469534050179213</v>
      </c>
      <c r="K222"/>
      <c r="L222"/>
      <c r="M222"/>
      <c r="N222"/>
      <c r="O222"/>
    </row>
    <row r="223" spans="1:15" x14ac:dyDescent="0.2">
      <c r="A223" s="140">
        <f>'Upgrade Projects'!A113</f>
        <v>779</v>
      </c>
      <c r="B223" s="141" t="str">
        <f>'Upgrade Projects'!B113</f>
        <v>ATCO</v>
      </c>
      <c r="C223" s="141" t="str">
        <f>IF('Upgrade Projects'!E113="AESO","DFO-T",'Upgrade Projects'!E113)</f>
        <v>DFO-D</v>
      </c>
      <c r="D223" s="141"/>
      <c r="E223" s="141" t="s">
        <v>4</v>
      </c>
      <c r="F223" s="157">
        <f>'Upgrade Projects'!T113</f>
        <v>18</v>
      </c>
      <c r="G223" s="157">
        <f>'Upgrade Projects'!AB113</f>
        <v>41.6</v>
      </c>
      <c r="H223" s="142">
        <f>'Upgrade Projects'!AJ113</f>
        <v>915758.74480529234</v>
      </c>
      <c r="I223" s="162">
        <f t="shared" si="3"/>
        <v>2.3111111111111113</v>
      </c>
      <c r="K223"/>
      <c r="L223"/>
      <c r="M223"/>
      <c r="N223"/>
      <c r="O223"/>
    </row>
    <row r="224" spans="1:15" x14ac:dyDescent="0.2">
      <c r="A224" s="140">
        <f>'Upgrade Projects'!A114</f>
        <v>1416</v>
      </c>
      <c r="B224" s="141" t="str">
        <f>'Upgrade Projects'!B114</f>
        <v>ATCO</v>
      </c>
      <c r="C224" s="141" t="str">
        <f>IF('Upgrade Projects'!E114="AESO","DFO-T",'Upgrade Projects'!E114)</f>
        <v>DFO-D</v>
      </c>
      <c r="D224" s="141"/>
      <c r="E224" s="141" t="s">
        <v>4</v>
      </c>
      <c r="F224" s="157">
        <f>'Upgrade Projects'!T114</f>
        <v>24</v>
      </c>
      <c r="G224" s="157">
        <f>'Upgrade Projects'!AB114</f>
        <v>41.6</v>
      </c>
      <c r="H224" s="142">
        <f>'Upgrade Projects'!AJ114</f>
        <v>1418156.7457767224</v>
      </c>
      <c r="I224" s="162">
        <f t="shared" si="3"/>
        <v>1.7333333333333334</v>
      </c>
      <c r="K224"/>
      <c r="L224"/>
      <c r="M224"/>
      <c r="N224"/>
      <c r="O224"/>
    </row>
    <row r="225" spans="1:15" x14ac:dyDescent="0.2">
      <c r="A225" s="140">
        <f>'Upgrade Projects'!A115</f>
        <v>554</v>
      </c>
      <c r="B225" s="141" t="str">
        <f>'Upgrade Projects'!B115</f>
        <v>ATCO</v>
      </c>
      <c r="C225" s="141" t="str">
        <f>IF('Upgrade Projects'!E115="AESO","DFO-T",'Upgrade Projects'!E115)</f>
        <v>DFO-D</v>
      </c>
      <c r="D225" s="141"/>
      <c r="E225" s="141" t="s">
        <v>4</v>
      </c>
      <c r="F225" s="157">
        <f>'Upgrade Projects'!T115</f>
        <v>31.26</v>
      </c>
      <c r="G225" s="157">
        <f>'Upgrade Projects'!AB115</f>
        <v>133.19999999999999</v>
      </c>
      <c r="H225" s="142">
        <f>'Upgrade Projects'!AJ115</f>
        <v>1061095.7088130889</v>
      </c>
      <c r="I225" s="162">
        <f t="shared" si="3"/>
        <v>4.2610364683301336</v>
      </c>
      <c r="K225"/>
      <c r="L225"/>
      <c r="M225"/>
      <c r="N225"/>
      <c r="O225"/>
    </row>
    <row r="226" spans="1:15" x14ac:dyDescent="0.2">
      <c r="A226" s="140">
        <f>'Upgrade Projects'!A116</f>
        <v>1581</v>
      </c>
      <c r="B226" s="141" t="str">
        <f>'Upgrade Projects'!B116</f>
        <v>ATCO</v>
      </c>
      <c r="C226" s="141" t="str">
        <f>IF('Upgrade Projects'!E116="AESO","DFO-T",'Upgrade Projects'!E116)</f>
        <v>DFO-D</v>
      </c>
      <c r="D226" s="141"/>
      <c r="E226" s="141" t="s">
        <v>4</v>
      </c>
      <c r="F226" s="157">
        <f>'Upgrade Projects'!T116</f>
        <v>16.8</v>
      </c>
      <c r="G226" s="157">
        <f>'Upgrade Projects'!AB116</f>
        <v>50</v>
      </c>
      <c r="H226" s="142">
        <f>'Upgrade Projects'!AJ116</f>
        <v>5384831.3505476415</v>
      </c>
      <c r="I226" s="162">
        <f t="shared" si="3"/>
        <v>2.9761904761904763</v>
      </c>
      <c r="K226"/>
      <c r="L226"/>
      <c r="M226"/>
      <c r="N226"/>
      <c r="O226"/>
    </row>
    <row r="227" spans="1:15" x14ac:dyDescent="0.2">
      <c r="A227" s="140">
        <f>'Upgrade Projects'!A117</f>
        <v>880</v>
      </c>
      <c r="B227" s="141" t="str">
        <f>'Upgrade Projects'!B117</f>
        <v>ATCO</v>
      </c>
      <c r="C227" s="141" t="str">
        <f>IF('Upgrade Projects'!E117="AESO","DFO-T",'Upgrade Projects'!E117)</f>
        <v>DFO-D</v>
      </c>
      <c r="D227" s="141"/>
      <c r="E227" s="141" t="s">
        <v>4</v>
      </c>
      <c r="F227" s="157">
        <f>'Upgrade Projects'!T117</f>
        <v>11</v>
      </c>
      <c r="G227" s="157">
        <f>'Upgrade Projects'!AB117</f>
        <v>66.599999999999994</v>
      </c>
      <c r="H227" s="142">
        <f>'Upgrade Projects'!AJ117</f>
        <v>4576392.8166345609</v>
      </c>
      <c r="I227" s="162">
        <f t="shared" si="3"/>
        <v>6.0545454545454538</v>
      </c>
      <c r="K227"/>
      <c r="L227"/>
      <c r="M227"/>
      <c r="N227"/>
      <c r="O227"/>
    </row>
    <row r="228" spans="1:15" x14ac:dyDescent="0.2">
      <c r="A228" s="140">
        <f>'Upgrade Projects'!A118</f>
        <v>1047</v>
      </c>
      <c r="B228" s="141" t="str">
        <f>'Upgrade Projects'!B118</f>
        <v>ATCO</v>
      </c>
      <c r="C228" s="141" t="str">
        <f>IF('Upgrade Projects'!E118="AESO","DFO-T",'Upgrade Projects'!E118)</f>
        <v>DFO-D</v>
      </c>
      <c r="D228" s="141"/>
      <c r="E228" s="141" t="s">
        <v>4</v>
      </c>
      <c r="F228" s="157">
        <f>'Upgrade Projects'!T118</f>
        <v>15</v>
      </c>
      <c r="G228" s="157">
        <f>'Upgrade Projects'!AB118</f>
        <v>33</v>
      </c>
      <c r="H228" s="142">
        <f>'Upgrade Projects'!AJ118</f>
        <v>6258642.9220605623</v>
      </c>
      <c r="I228" s="162">
        <f t="shared" si="3"/>
        <v>2.2000000000000002</v>
      </c>
      <c r="K228"/>
      <c r="L228"/>
      <c r="M228"/>
      <c r="N228"/>
      <c r="O228"/>
    </row>
    <row r="229" spans="1:15" x14ac:dyDescent="0.2">
      <c r="A229" s="140">
        <f>'Upgrade Projects'!A119</f>
        <v>1045</v>
      </c>
      <c r="B229" s="141" t="str">
        <f>'Upgrade Projects'!B119</f>
        <v>ATCO</v>
      </c>
      <c r="C229" s="141" t="str">
        <f>IF('Upgrade Projects'!E119="AESO","DFO-T",'Upgrade Projects'!E119)</f>
        <v>DFO-D</v>
      </c>
      <c r="D229" s="141"/>
      <c r="E229" s="141" t="s">
        <v>4</v>
      </c>
      <c r="F229" s="157">
        <f>'Upgrade Projects'!T119</f>
        <v>32</v>
      </c>
      <c r="G229" s="157">
        <f>'Upgrade Projects'!AB119</f>
        <v>101.6</v>
      </c>
      <c r="H229" s="142">
        <f>'Upgrade Projects'!AJ119</f>
        <v>3800919.9870921252</v>
      </c>
      <c r="I229" s="162">
        <f t="shared" si="3"/>
        <v>3.1749999999999998</v>
      </c>
      <c r="K229"/>
      <c r="L229"/>
      <c r="M229"/>
      <c r="N229"/>
      <c r="O229"/>
    </row>
    <row r="230" spans="1:15" x14ac:dyDescent="0.2">
      <c r="A230" s="140">
        <f>'Upgrade Projects'!A120</f>
        <v>1616</v>
      </c>
      <c r="B230" s="141" t="str">
        <f>'Upgrade Projects'!B120</f>
        <v>ATCO</v>
      </c>
      <c r="C230" s="141" t="str">
        <f>IF('Upgrade Projects'!E120="AESO","DFO-T",'Upgrade Projects'!E120)</f>
        <v>DFO-D</v>
      </c>
      <c r="D230" s="141"/>
      <c r="E230" s="141" t="s">
        <v>4</v>
      </c>
      <c r="F230" s="157">
        <f>'Upgrade Projects'!T120</f>
        <v>47.43</v>
      </c>
      <c r="G230" s="157">
        <f>'Upgrade Projects'!AB120</f>
        <v>83.2</v>
      </c>
      <c r="H230" s="142">
        <f>'Upgrade Projects'!AJ120</f>
        <v>848185.80502502574</v>
      </c>
      <c r="I230" s="162">
        <f t="shared" si="3"/>
        <v>1.7541640312038795</v>
      </c>
      <c r="K230"/>
      <c r="L230"/>
      <c r="M230"/>
      <c r="N230"/>
      <c r="O230"/>
    </row>
    <row r="231" spans="1:15" x14ac:dyDescent="0.2">
      <c r="A231" s="140">
        <f>'Upgrade Projects'!A121</f>
        <v>362</v>
      </c>
      <c r="B231" s="141" t="str">
        <f>'Upgrade Projects'!B121</f>
        <v>AML</v>
      </c>
      <c r="C231" s="141" t="str">
        <f>IF('Upgrade Projects'!E121="AESO","DFO-T",'Upgrade Projects'!E121)</f>
        <v>DFO-D</v>
      </c>
      <c r="D231" s="141"/>
      <c r="E231" s="141" t="s">
        <v>4</v>
      </c>
      <c r="F231" s="157">
        <f>'Upgrade Projects'!T121</f>
        <v>52.8</v>
      </c>
      <c r="G231" s="157">
        <f>'Upgrade Projects'!AB121</f>
        <v>94</v>
      </c>
      <c r="H231" s="142">
        <f>'Upgrade Projects'!AJ121</f>
        <v>788480.28183233528</v>
      </c>
      <c r="I231" s="162">
        <f t="shared" si="3"/>
        <v>1.7803030303030305</v>
      </c>
      <c r="K231"/>
      <c r="L231"/>
      <c r="M231"/>
      <c r="N231"/>
      <c r="O231"/>
    </row>
    <row r="232" spans="1:15" x14ac:dyDescent="0.2">
      <c r="A232" s="140">
        <f>'Upgrade Projects'!A122</f>
        <v>924</v>
      </c>
      <c r="B232" s="141" t="str">
        <f>'Upgrade Projects'!B122</f>
        <v>ATCO</v>
      </c>
      <c r="C232" s="141" t="str">
        <f>IF('Upgrade Projects'!E122="AESO","DFO-T",'Upgrade Projects'!E122)</f>
        <v>DFO-D</v>
      </c>
      <c r="D232" s="141"/>
      <c r="E232" s="141" t="s">
        <v>4</v>
      </c>
      <c r="F232" s="157">
        <f>'Upgrade Projects'!T122</f>
        <v>52</v>
      </c>
      <c r="G232" s="157">
        <f>'Upgrade Projects'!AB122</f>
        <v>100</v>
      </c>
      <c r="H232" s="142">
        <f>'Upgrade Projects'!AJ122</f>
        <v>1426430.7906682692</v>
      </c>
      <c r="I232" s="162">
        <f t="shared" si="3"/>
        <v>1.9230769230769231</v>
      </c>
      <c r="K232"/>
      <c r="L232"/>
      <c r="M232"/>
      <c r="N232"/>
      <c r="O232"/>
    </row>
    <row r="233" spans="1:15" x14ac:dyDescent="0.2">
      <c r="A233" s="140">
        <f>'Upgrade Projects'!A123</f>
        <v>1241</v>
      </c>
      <c r="B233" s="141" t="str">
        <f>'Upgrade Projects'!B123</f>
        <v>ATCO</v>
      </c>
      <c r="C233" s="141" t="str">
        <f>IF('Upgrade Projects'!E123="AESO","DFO-T",'Upgrade Projects'!E123)</f>
        <v>DFO-D</v>
      </c>
      <c r="D233" s="141"/>
      <c r="E233" s="141" t="s">
        <v>4</v>
      </c>
      <c r="F233" s="157">
        <f>'Upgrade Projects'!T123</f>
        <v>26.29</v>
      </c>
      <c r="G233" s="157">
        <f>'Upgrade Projects'!AB123</f>
        <v>41.6</v>
      </c>
      <c r="H233" s="142">
        <f>'Upgrade Projects'!AJ123</f>
        <v>2625007.7356390641</v>
      </c>
      <c r="I233" s="162">
        <f t="shared" si="3"/>
        <v>1.5823507036896158</v>
      </c>
      <c r="K233"/>
      <c r="L233"/>
      <c r="M233"/>
      <c r="N233"/>
      <c r="O233"/>
    </row>
    <row r="234" spans="1:15" x14ac:dyDescent="0.2">
      <c r="A234" s="140">
        <f>'Upgrade Projects'!A124</f>
        <v>438</v>
      </c>
      <c r="B234" s="141" t="str">
        <f>'Upgrade Projects'!B124</f>
        <v>ATCO</v>
      </c>
      <c r="C234" s="141" t="str">
        <f>IF('Upgrade Projects'!E124="AESO","DFO-T",'Upgrade Projects'!E124)</f>
        <v>DFO-D</v>
      </c>
      <c r="D234" s="141"/>
      <c r="E234" s="141" t="s">
        <v>4</v>
      </c>
      <c r="F234" s="157">
        <f>'Upgrade Projects'!T124</f>
        <v>9.2460000000000004</v>
      </c>
      <c r="G234" s="157">
        <f>'Upgrade Projects'!AB124</f>
        <v>31.67</v>
      </c>
      <c r="H234" s="142">
        <f>'Upgrade Projects'!AJ124</f>
        <v>180953.1525098478</v>
      </c>
      <c r="I234" s="162">
        <f t="shared" si="3"/>
        <v>3.4252649794505734</v>
      </c>
      <c r="K234"/>
      <c r="L234"/>
      <c r="M234"/>
      <c r="N234"/>
      <c r="O234"/>
    </row>
    <row r="235" spans="1:15" x14ac:dyDescent="0.2">
      <c r="A235" s="140">
        <f>'Upgrade Projects'!A125</f>
        <v>748</v>
      </c>
      <c r="B235" s="141" t="str">
        <f>'Upgrade Projects'!B125</f>
        <v>ATCO</v>
      </c>
      <c r="C235" s="141" t="str">
        <f>IF('Upgrade Projects'!E125="AESO","DFO-T",'Upgrade Projects'!E125)</f>
        <v>DFO-D</v>
      </c>
      <c r="D235" s="141"/>
      <c r="E235" s="141" t="s">
        <v>4</v>
      </c>
      <c r="F235" s="157">
        <f>'Upgrade Projects'!T125</f>
        <v>26.541</v>
      </c>
      <c r="G235" s="157">
        <f>'Upgrade Projects'!AB125</f>
        <v>41.7</v>
      </c>
      <c r="H235" s="142">
        <f>'Upgrade Projects'!AJ125</f>
        <v>388584.7664431649</v>
      </c>
      <c r="I235" s="162">
        <f t="shared" si="3"/>
        <v>1.5711540635243586</v>
      </c>
      <c r="K235"/>
      <c r="L235"/>
      <c r="M235"/>
      <c r="N235"/>
      <c r="O235"/>
    </row>
    <row r="236" spans="1:15" x14ac:dyDescent="0.2">
      <c r="A236" s="140">
        <f>'Upgrade Projects'!A126</f>
        <v>1319</v>
      </c>
      <c r="B236" s="141" t="str">
        <f>'Upgrade Projects'!B126</f>
        <v>ATCO</v>
      </c>
      <c r="C236" s="141" t="str">
        <f>IF('Upgrade Projects'!E126="AESO","DFO-T",'Upgrade Projects'!E126)</f>
        <v>DFO-D</v>
      </c>
      <c r="D236" s="141"/>
      <c r="E236" s="141" t="s">
        <v>4</v>
      </c>
      <c r="F236" s="157">
        <f>'Upgrade Projects'!T126</f>
        <v>20</v>
      </c>
      <c r="G236" s="157">
        <f>'Upgrade Projects'!AB126</f>
        <v>61.6</v>
      </c>
      <c r="H236" s="142">
        <f>'Upgrade Projects'!AJ126</f>
        <v>3237677.9482440865</v>
      </c>
      <c r="I236" s="162">
        <f t="shared" si="3"/>
        <v>3.08</v>
      </c>
      <c r="K236"/>
      <c r="L236"/>
      <c r="M236"/>
      <c r="N236"/>
      <c r="O236"/>
    </row>
    <row r="237" spans="1:15" x14ac:dyDescent="0.2">
      <c r="A237" s="140">
        <f>'Upgrade Projects'!A127</f>
        <v>892</v>
      </c>
      <c r="B237" s="141" t="str">
        <f>'Upgrade Projects'!B127</f>
        <v>ATCO</v>
      </c>
      <c r="C237" s="141" t="str">
        <f>IF('Upgrade Projects'!E127="AESO","DFO-T",'Upgrade Projects'!E127)</f>
        <v>DFO-D</v>
      </c>
      <c r="D237" s="141"/>
      <c r="E237" s="141" t="s">
        <v>4</v>
      </c>
      <c r="F237" s="157">
        <f>'Upgrade Projects'!T127</f>
        <v>13.05</v>
      </c>
      <c r="G237" s="157">
        <f>'Upgrade Projects'!AB127</f>
        <v>45</v>
      </c>
      <c r="H237" s="142">
        <f>'Upgrade Projects'!AJ127</f>
        <v>3249081.8561124844</v>
      </c>
      <c r="I237" s="162">
        <f t="shared" si="3"/>
        <v>3.4482758620689653</v>
      </c>
      <c r="K237"/>
      <c r="L237"/>
      <c r="M237"/>
      <c r="N237"/>
      <c r="O237"/>
    </row>
    <row r="238" spans="1:15" x14ac:dyDescent="0.2">
      <c r="A238" s="140">
        <f>'Upgrade Projects'!A128</f>
        <v>504</v>
      </c>
      <c r="B238" s="141" t="str">
        <f>'Upgrade Projects'!B128</f>
        <v>ATCO</v>
      </c>
      <c r="C238" s="141" t="str">
        <f>IF('Upgrade Projects'!E128="AESO","DFO-T",'Upgrade Projects'!E128)</f>
        <v>DFO-D</v>
      </c>
      <c r="D238" s="141"/>
      <c r="E238" s="141" t="s">
        <v>4</v>
      </c>
      <c r="F238" s="157">
        <f>'Upgrade Projects'!T128</f>
        <v>10.496</v>
      </c>
      <c r="G238" s="157">
        <f>'Upgrade Projects'!AB128</f>
        <v>38.299999999999997</v>
      </c>
      <c r="H238" s="142">
        <f>'Upgrade Projects'!AJ128</f>
        <v>2192313.7026225538</v>
      </c>
      <c r="I238" s="162">
        <f t="shared" si="3"/>
        <v>3.6490091463414629</v>
      </c>
      <c r="K238"/>
      <c r="L238"/>
      <c r="M238"/>
      <c r="N238"/>
      <c r="O238"/>
    </row>
    <row r="239" spans="1:15" x14ac:dyDescent="0.2">
      <c r="A239" s="140">
        <f>'Upgrade Projects'!A129</f>
        <v>618</v>
      </c>
      <c r="B239" s="141" t="str">
        <f>'Upgrade Projects'!B129</f>
        <v>ATCO</v>
      </c>
      <c r="C239" s="141" t="str">
        <f>IF('Upgrade Projects'!E129="AESO","DFO-T",'Upgrade Projects'!E129)</f>
        <v>DFO-T</v>
      </c>
      <c r="D239" s="141"/>
      <c r="E239" s="141" t="s">
        <v>4</v>
      </c>
      <c r="F239" s="157">
        <f>'Upgrade Projects'!T129</f>
        <v>22.5</v>
      </c>
      <c r="G239" s="157">
        <f>'Upgrade Projects'!AB129</f>
        <v>41.6</v>
      </c>
      <c r="H239" s="142">
        <f>'Upgrade Projects'!AJ129</f>
        <v>2346464.9770982671</v>
      </c>
      <c r="I239" s="162">
        <f t="shared" si="3"/>
        <v>1.848888888888889</v>
      </c>
      <c r="K239"/>
      <c r="L239"/>
      <c r="M239"/>
      <c r="N239"/>
      <c r="O239"/>
    </row>
    <row r="240" spans="1:15" x14ac:dyDescent="0.2">
      <c r="A240" s="140">
        <f>'Upgrade Projects'!A130</f>
        <v>712</v>
      </c>
      <c r="B240" s="141" t="str">
        <f>'Upgrade Projects'!B130</f>
        <v>ATCO</v>
      </c>
      <c r="C240" s="141" t="str">
        <f>IF('Upgrade Projects'!E130="AESO","DFO-T",'Upgrade Projects'!E130)</f>
        <v>DFO-D</v>
      </c>
      <c r="D240" s="141"/>
      <c r="E240" s="141" t="s">
        <v>4</v>
      </c>
      <c r="F240" s="157">
        <f>'Upgrade Projects'!T130</f>
        <v>8.5</v>
      </c>
      <c r="G240" s="157">
        <f>'Upgrade Projects'!AB130</f>
        <v>33.200000000000003</v>
      </c>
      <c r="H240" s="142">
        <f>'Upgrade Projects'!AJ130</f>
        <v>7890414.1673966367</v>
      </c>
      <c r="I240" s="162">
        <f t="shared" si="3"/>
        <v>3.9058823529411768</v>
      </c>
      <c r="K240"/>
      <c r="L240"/>
      <c r="M240"/>
      <c r="N240"/>
      <c r="O240"/>
    </row>
    <row r="241" spans="1:15" x14ac:dyDescent="0.2">
      <c r="A241" s="140">
        <f>'Upgrade Projects'!A131</f>
        <v>726</v>
      </c>
      <c r="B241" s="141" t="str">
        <f>'Upgrade Projects'!B131</f>
        <v>ATCO</v>
      </c>
      <c r="C241" s="141" t="str">
        <f>IF('Upgrade Projects'!E131="AESO","DFO-T",'Upgrade Projects'!E131)</f>
        <v>DFO-D</v>
      </c>
      <c r="D241" s="141"/>
      <c r="E241" s="141" t="s">
        <v>4</v>
      </c>
      <c r="F241" s="157">
        <f>'Upgrade Projects'!T131</f>
        <v>31</v>
      </c>
      <c r="G241" s="157">
        <f>'Upgrade Projects'!AB131</f>
        <v>133</v>
      </c>
      <c r="H241" s="142">
        <f>'Upgrade Projects'!AJ131</f>
        <v>1031633.1920876841</v>
      </c>
      <c r="I241" s="162">
        <f t="shared" si="3"/>
        <v>4.290322580645161</v>
      </c>
      <c r="K241"/>
      <c r="L241"/>
      <c r="M241"/>
      <c r="N241"/>
      <c r="O241"/>
    </row>
    <row r="242" spans="1:15" x14ac:dyDescent="0.2">
      <c r="A242" s="140">
        <f>'Upgrade Projects'!A132</f>
        <v>530</v>
      </c>
      <c r="B242" s="141" t="str">
        <f>'Upgrade Projects'!B132</f>
        <v>ATCO</v>
      </c>
      <c r="C242" s="141" t="str">
        <f>IF('Upgrade Projects'!E132="AESO","DFO-T",'Upgrade Projects'!E132)</f>
        <v>DFO-T</v>
      </c>
      <c r="D242" s="141"/>
      <c r="E242" s="141" t="s">
        <v>4</v>
      </c>
      <c r="F242" s="157">
        <f>'Upgrade Projects'!T132</f>
        <v>45</v>
      </c>
      <c r="G242" s="157">
        <f>'Upgrade Projects'!AB132</f>
        <v>83.2</v>
      </c>
      <c r="H242" s="142">
        <f>'Upgrade Projects'!AJ132</f>
        <v>4502260.8459814815</v>
      </c>
      <c r="I242" s="162">
        <f t="shared" si="3"/>
        <v>1.848888888888889</v>
      </c>
      <c r="K242"/>
      <c r="L242"/>
      <c r="M242"/>
      <c r="N242"/>
      <c r="O242"/>
    </row>
    <row r="243" spans="1:15" x14ac:dyDescent="0.2">
      <c r="A243" s="140">
        <f>'Upgrade Projects'!A133</f>
        <v>755</v>
      </c>
      <c r="B243" s="141" t="str">
        <f>'Upgrade Projects'!B133</f>
        <v>ATCO</v>
      </c>
      <c r="C243" s="141" t="str">
        <f>IF('Upgrade Projects'!E133="AESO","DFO-T",'Upgrade Projects'!E133)</f>
        <v>DFO-D</v>
      </c>
      <c r="D243" s="141"/>
      <c r="E243" s="141" t="s">
        <v>4</v>
      </c>
      <c r="F243" s="157">
        <f>'Upgrade Projects'!T133</f>
        <v>12</v>
      </c>
      <c r="G243" s="157">
        <f>'Upgrade Projects'!AB133</f>
        <v>26</v>
      </c>
      <c r="H243" s="142">
        <f>'Upgrade Projects'!AJ133</f>
        <v>746491.34624932625</v>
      </c>
      <c r="I243" s="162">
        <f t="shared" si="3"/>
        <v>2.1666666666666665</v>
      </c>
      <c r="K243"/>
      <c r="L243"/>
      <c r="M243"/>
      <c r="N243"/>
      <c r="O243"/>
    </row>
    <row r="244" spans="1:15" x14ac:dyDescent="0.2">
      <c r="A244" s="140">
        <f>'Upgrade Projects'!A134</f>
        <v>1081</v>
      </c>
      <c r="B244" s="141" t="str">
        <f>'Upgrade Projects'!B134</f>
        <v>ATCO</v>
      </c>
      <c r="C244" s="141" t="str">
        <f>IF('Upgrade Projects'!E134="AESO","DFO-T",'Upgrade Projects'!E134)</f>
        <v>DFO-D</v>
      </c>
      <c r="D244" s="141"/>
      <c r="E244" s="141" t="s">
        <v>4</v>
      </c>
      <c r="F244" s="157">
        <f>'Upgrade Projects'!T134</f>
        <v>16</v>
      </c>
      <c r="G244" s="157">
        <f>'Upgrade Projects'!AB134</f>
        <v>26</v>
      </c>
      <c r="H244" s="142">
        <f>'Upgrade Projects'!AJ134</f>
        <v>746158.54172219499</v>
      </c>
      <c r="I244" s="162">
        <f t="shared" si="3"/>
        <v>1.625</v>
      </c>
      <c r="K244"/>
      <c r="L244"/>
      <c r="M244"/>
      <c r="N244"/>
      <c r="O244"/>
    </row>
    <row r="245" spans="1:15" x14ac:dyDescent="0.2">
      <c r="A245" s="140">
        <f>'Upgrade Projects'!A135</f>
        <v>307</v>
      </c>
      <c r="B245" s="141" t="str">
        <f>'Upgrade Projects'!B135</f>
        <v>ATCO</v>
      </c>
      <c r="C245" s="141" t="str">
        <f>IF('Upgrade Projects'!E135="AESO","DFO-T",'Upgrade Projects'!E135)</f>
        <v>DFO-D</v>
      </c>
      <c r="D245" s="141"/>
      <c r="E245" s="141" t="s">
        <v>4</v>
      </c>
      <c r="F245" s="157">
        <f>'Upgrade Projects'!T135</f>
        <v>10.071999999999999</v>
      </c>
      <c r="G245" s="157">
        <f>'Upgrade Projects'!AB135</f>
        <v>15.5</v>
      </c>
      <c r="H245" s="142">
        <f>'Upgrade Projects'!AJ135</f>
        <v>2523080.1807757095</v>
      </c>
      <c r="I245" s="162">
        <f t="shared" si="3"/>
        <v>1.5389197776012711</v>
      </c>
      <c r="K245"/>
      <c r="L245"/>
      <c r="M245"/>
      <c r="N245"/>
      <c r="O245"/>
    </row>
    <row r="246" spans="1:15" x14ac:dyDescent="0.2">
      <c r="A246" s="140">
        <f>'Upgrade Projects'!A136</f>
        <v>1466</v>
      </c>
      <c r="B246" s="141" t="str">
        <f>'Upgrade Projects'!B136</f>
        <v>ATCO</v>
      </c>
      <c r="C246" s="141" t="str">
        <f>IF('Upgrade Projects'!E136="AESO","DFO-T",'Upgrade Projects'!E136)</f>
        <v>DFO-D</v>
      </c>
      <c r="D246" s="141"/>
      <c r="E246" s="141" t="s">
        <v>4</v>
      </c>
      <c r="F246" s="157">
        <f>'Upgrade Projects'!T136</f>
        <v>15</v>
      </c>
      <c r="G246" s="157">
        <f>'Upgrade Projects'!AB136</f>
        <v>25</v>
      </c>
      <c r="H246" s="142">
        <f>'Upgrade Projects'!AJ136</f>
        <v>4634839.878669343</v>
      </c>
      <c r="I246" s="162">
        <f t="shared" si="3"/>
        <v>1.6666666666666667</v>
      </c>
      <c r="K246"/>
      <c r="L246"/>
      <c r="M246"/>
      <c r="N246"/>
      <c r="O246"/>
    </row>
    <row r="247" spans="1:15" x14ac:dyDescent="0.2">
      <c r="A247" s="140">
        <f>'Upgrade Projects'!A137</f>
        <v>1091</v>
      </c>
      <c r="B247" s="141" t="str">
        <f>'Upgrade Projects'!B137</f>
        <v>AML</v>
      </c>
      <c r="C247" s="141" t="str">
        <f>IF('Upgrade Projects'!E137="AESO","DFO-T",'Upgrade Projects'!E137)</f>
        <v>DFO-D</v>
      </c>
      <c r="D247" s="141"/>
      <c r="E247" s="141" t="s">
        <v>4</v>
      </c>
      <c r="F247" s="157">
        <f>'Upgrade Projects'!T137</f>
        <v>40.4</v>
      </c>
      <c r="G247" s="157">
        <f>'Upgrade Projects'!AB137</f>
        <v>67</v>
      </c>
      <c r="H247" s="142">
        <f>'Upgrade Projects'!AJ137</f>
        <v>7663838.0518522095</v>
      </c>
      <c r="I247" s="162">
        <f t="shared" si="3"/>
        <v>1.6584158415841586</v>
      </c>
      <c r="K247"/>
      <c r="L247"/>
      <c r="M247"/>
      <c r="N247"/>
      <c r="O247"/>
    </row>
    <row r="248" spans="1:15" x14ac:dyDescent="0.2">
      <c r="A248" s="140">
        <f>'Upgrade Projects'!A138</f>
        <v>666</v>
      </c>
      <c r="B248" s="141" t="str">
        <f>'Upgrade Projects'!B138</f>
        <v>ATCO</v>
      </c>
      <c r="C248" s="141" t="str">
        <f>IF('Upgrade Projects'!E138="AESO","DFO-T",'Upgrade Projects'!E138)</f>
        <v>DFO-D</v>
      </c>
      <c r="D248" s="141"/>
      <c r="E248" s="141" t="s">
        <v>4</v>
      </c>
      <c r="F248" s="157">
        <f>'Upgrade Projects'!T138</f>
        <v>40</v>
      </c>
      <c r="G248" s="157">
        <f>'Upgrade Projects'!AB138</f>
        <v>83.6</v>
      </c>
      <c r="H248" s="142">
        <f>'Upgrade Projects'!AJ138</f>
        <v>3688776.0601263186</v>
      </c>
      <c r="I248" s="162">
        <f t="shared" si="3"/>
        <v>2.09</v>
      </c>
      <c r="K248"/>
      <c r="L248"/>
      <c r="M248"/>
      <c r="N248"/>
      <c r="O248"/>
    </row>
    <row r="249" spans="1:15" x14ac:dyDescent="0.2">
      <c r="A249" s="140">
        <f>'Upgrade Projects'!A139</f>
        <v>556</v>
      </c>
      <c r="B249" s="141" t="str">
        <f>'Upgrade Projects'!B139</f>
        <v>ATCO</v>
      </c>
      <c r="C249" s="141" t="str">
        <f>IF('Upgrade Projects'!E139="AESO","DFO-T",'Upgrade Projects'!E139)</f>
        <v>DFO-D</v>
      </c>
      <c r="D249" s="141"/>
      <c r="E249" s="141" t="s">
        <v>4</v>
      </c>
      <c r="F249" s="157">
        <f>'Upgrade Projects'!T139</f>
        <v>13</v>
      </c>
      <c r="G249" s="157">
        <f>'Upgrade Projects'!AB139</f>
        <v>38.299999999999997</v>
      </c>
      <c r="H249" s="142">
        <f>'Upgrade Projects'!AJ139</f>
        <v>3248369.2675760007</v>
      </c>
      <c r="I249" s="162">
        <f t="shared" si="3"/>
        <v>2.9461538461538459</v>
      </c>
      <c r="K249"/>
      <c r="L249"/>
      <c r="M249"/>
      <c r="N249"/>
      <c r="O249"/>
    </row>
    <row r="250" spans="1:15" x14ac:dyDescent="0.2">
      <c r="A250" s="140">
        <f>'Upgrade Projects'!A140</f>
        <v>452</v>
      </c>
      <c r="B250" s="141" t="str">
        <f>'Upgrade Projects'!B140</f>
        <v>ATCO</v>
      </c>
      <c r="C250" s="141" t="str">
        <f>IF('Upgrade Projects'!E140="AESO","DFO-T",'Upgrade Projects'!E140)</f>
        <v>DFO-D</v>
      </c>
      <c r="D250" s="141"/>
      <c r="E250" s="141" t="s">
        <v>4</v>
      </c>
      <c r="F250" s="157">
        <f>'Upgrade Projects'!T140</f>
        <v>14.4</v>
      </c>
      <c r="G250" s="157">
        <f>'Upgrade Projects'!AB140</f>
        <v>16</v>
      </c>
      <c r="H250" s="142">
        <f>'Upgrade Projects'!AJ140</f>
        <v>3443707.2461958509</v>
      </c>
      <c r="I250" s="162">
        <f t="shared" si="3"/>
        <v>1.1111111111111112</v>
      </c>
      <c r="K250"/>
      <c r="L250"/>
      <c r="M250"/>
      <c r="N250"/>
      <c r="O250"/>
    </row>
    <row r="251" spans="1:15" x14ac:dyDescent="0.2">
      <c r="A251" s="140">
        <f>'Upgrade Projects'!A141</f>
        <v>613</v>
      </c>
      <c r="B251" s="141" t="str">
        <f>'Upgrade Projects'!B141</f>
        <v>ATCO</v>
      </c>
      <c r="C251" s="141" t="str">
        <f>IF('Upgrade Projects'!E141="AESO","DFO-T",'Upgrade Projects'!E141)</f>
        <v>DFO-T</v>
      </c>
      <c r="D251" s="141"/>
      <c r="E251" s="141" t="s">
        <v>4</v>
      </c>
      <c r="F251" s="157">
        <f>'Upgrade Projects'!T141</f>
        <v>8.4</v>
      </c>
      <c r="G251" s="157">
        <f>'Upgrade Projects'!AB141</f>
        <v>25</v>
      </c>
      <c r="H251" s="142">
        <f>'Upgrade Projects'!AJ141</f>
        <v>431318.20582676679</v>
      </c>
      <c r="I251" s="162">
        <f t="shared" si="3"/>
        <v>2.9761904761904763</v>
      </c>
      <c r="K251"/>
      <c r="L251"/>
      <c r="M251"/>
      <c r="N251"/>
      <c r="O251"/>
    </row>
    <row r="252" spans="1:15" x14ac:dyDescent="0.2">
      <c r="A252" s="140">
        <f>'Upgrade Projects'!A142</f>
        <v>778</v>
      </c>
      <c r="B252" s="141" t="str">
        <f>'Upgrade Projects'!B142</f>
        <v>ATCO</v>
      </c>
      <c r="C252" s="141" t="str">
        <f>IF('Upgrade Projects'!E142="AESO","DFO-T",'Upgrade Projects'!E142)</f>
        <v>DFO-T</v>
      </c>
      <c r="D252" s="141"/>
      <c r="E252" s="141" t="s">
        <v>4</v>
      </c>
      <c r="F252" s="157">
        <f>'Upgrade Projects'!T142</f>
        <v>2</v>
      </c>
      <c r="G252" s="157">
        <f>'Upgrade Projects'!AB142</f>
        <v>83.2</v>
      </c>
      <c r="H252" s="142">
        <f>'Upgrade Projects'!AJ142</f>
        <v>487010.21540648834</v>
      </c>
      <c r="I252" s="162">
        <f t="shared" si="3"/>
        <v>41.6</v>
      </c>
      <c r="K252"/>
      <c r="L252"/>
      <c r="M252"/>
      <c r="N252"/>
      <c r="O252"/>
    </row>
    <row r="253" spans="1:15" x14ac:dyDescent="0.2">
      <c r="A253" s="140">
        <f>'Upgrade Projects'!A143</f>
        <v>1571</v>
      </c>
      <c r="B253" s="141" t="str">
        <f>'Upgrade Projects'!B143</f>
        <v>ATCO</v>
      </c>
      <c r="C253" s="141" t="str">
        <f>IF('Upgrade Projects'!E143="AESO","DFO-T",'Upgrade Projects'!E143)</f>
        <v>DFO-T</v>
      </c>
      <c r="D253" s="141"/>
      <c r="E253" s="141" t="s">
        <v>4</v>
      </c>
      <c r="F253" s="157">
        <f>'Upgrade Projects'!T143</f>
        <v>13</v>
      </c>
      <c r="G253" s="157">
        <f>'Upgrade Projects'!AB143</f>
        <v>83.2</v>
      </c>
      <c r="H253" s="142">
        <f>'Upgrade Projects'!AJ143</f>
        <v>1592045.7896917758</v>
      </c>
      <c r="I253" s="162">
        <f t="shared" si="3"/>
        <v>6.4</v>
      </c>
      <c r="K253"/>
      <c r="L253"/>
      <c r="M253"/>
      <c r="N253"/>
      <c r="O253"/>
    </row>
    <row r="254" spans="1:15" x14ac:dyDescent="0.2">
      <c r="A254" s="140">
        <f>'Upgrade Projects'!A144</f>
        <v>525</v>
      </c>
      <c r="B254" s="141" t="str">
        <f>'Upgrade Projects'!B144</f>
        <v>ATCO</v>
      </c>
      <c r="C254" s="141" t="str">
        <f>IF('Upgrade Projects'!E144="AESO","DFO-T",'Upgrade Projects'!E144)</f>
        <v>DFO-T</v>
      </c>
      <c r="D254" s="141"/>
      <c r="E254" s="141" t="s">
        <v>4</v>
      </c>
      <c r="F254" s="157">
        <f>'Upgrade Projects'!T144</f>
        <v>25.55</v>
      </c>
      <c r="G254" s="157">
        <f>'Upgrade Projects'!AB144</f>
        <v>217</v>
      </c>
      <c r="H254" s="142">
        <f>'Upgrade Projects'!AJ144</f>
        <v>2107818.9953258829</v>
      </c>
      <c r="I254" s="162">
        <f t="shared" si="3"/>
        <v>8.493150684931507</v>
      </c>
      <c r="K254"/>
      <c r="L254"/>
      <c r="M254"/>
      <c r="N254"/>
      <c r="O254"/>
    </row>
    <row r="255" spans="1:15" x14ac:dyDescent="0.2">
      <c r="A255" s="140">
        <f>'Upgrade Projects'!A145</f>
        <v>1324</v>
      </c>
      <c r="B255" s="141" t="str">
        <f>'Upgrade Projects'!B145</f>
        <v>AML</v>
      </c>
      <c r="C255" s="141" t="str">
        <f>IF('Upgrade Projects'!E145="AESO","DFO-T",'Upgrade Projects'!E145)</f>
        <v>DFO-D</v>
      </c>
      <c r="D255" s="141"/>
      <c r="E255" s="141" t="s">
        <v>4</v>
      </c>
      <c r="F255" s="157">
        <f>'Upgrade Projects'!T145</f>
        <v>28.1</v>
      </c>
      <c r="G255" s="157">
        <f>'Upgrade Projects'!AB145</f>
        <v>100</v>
      </c>
      <c r="H255" s="142">
        <f>'Upgrade Projects'!AJ145</f>
        <v>2269298.7542218519</v>
      </c>
      <c r="I255" s="162">
        <f t="shared" si="3"/>
        <v>3.5587188612099641</v>
      </c>
      <c r="K255"/>
      <c r="L255"/>
      <c r="M255"/>
      <c r="N255"/>
      <c r="O255"/>
    </row>
    <row r="256" spans="1:15" x14ac:dyDescent="0.2">
      <c r="A256" s="140">
        <f>'Upgrade Projects'!A146</f>
        <v>511</v>
      </c>
      <c r="B256" s="141" t="str">
        <f>'Upgrade Projects'!B146</f>
        <v>ATCO</v>
      </c>
      <c r="C256" s="141" t="str">
        <f>IF('Upgrade Projects'!E146="AESO","DFO-T",'Upgrade Projects'!E146)</f>
        <v>DFO-T</v>
      </c>
      <c r="D256" s="141"/>
      <c r="E256" s="141" t="s">
        <v>4</v>
      </c>
      <c r="F256" s="157">
        <f>'Upgrade Projects'!T146</f>
        <v>18</v>
      </c>
      <c r="G256" s="157">
        <f>'Upgrade Projects'!AB146</f>
        <v>250</v>
      </c>
      <c r="H256" s="142">
        <f>'Upgrade Projects'!AJ146</f>
        <v>429035.5711844014</v>
      </c>
      <c r="I256" s="162">
        <f t="shared" si="3"/>
        <v>13.888888888888889</v>
      </c>
      <c r="K256"/>
      <c r="L256"/>
      <c r="M256"/>
      <c r="N256"/>
      <c r="O256"/>
    </row>
    <row r="257" spans="1:15" x14ac:dyDescent="0.2">
      <c r="A257" s="140">
        <f>'Upgrade Projects'!A147</f>
        <v>1094</v>
      </c>
      <c r="B257" s="141" t="str">
        <f>'Upgrade Projects'!B147</f>
        <v>ATCO</v>
      </c>
      <c r="C257" s="141" t="str">
        <f>IF('Upgrade Projects'!E147="AESO","DFO-T",'Upgrade Projects'!E147)</f>
        <v>DFO-T</v>
      </c>
      <c r="D257" s="141"/>
      <c r="E257" s="141" t="s">
        <v>4</v>
      </c>
      <c r="F257" s="157">
        <f>'Upgrade Projects'!T147</f>
        <v>24</v>
      </c>
      <c r="G257" s="157">
        <f>'Upgrade Projects'!AB147</f>
        <v>250</v>
      </c>
      <c r="H257" s="142">
        <f>'Upgrade Projects'!AJ147</f>
        <v>1064645.8657975094</v>
      </c>
      <c r="I257" s="162">
        <f t="shared" si="3"/>
        <v>10.416666666666666</v>
      </c>
      <c r="K257"/>
      <c r="L257"/>
      <c r="M257"/>
      <c r="N257"/>
      <c r="O257"/>
    </row>
    <row r="258" spans="1:15" x14ac:dyDescent="0.2">
      <c r="A258" s="140">
        <f>'Upgrade Projects'!A148</f>
        <v>775</v>
      </c>
      <c r="B258" s="141" t="str">
        <f>'Upgrade Projects'!B148</f>
        <v>ATCO</v>
      </c>
      <c r="C258" s="141" t="str">
        <f>IF('Upgrade Projects'!E148="AESO","DFO-T",'Upgrade Projects'!E148)</f>
        <v>DFO-D</v>
      </c>
      <c r="D258" s="141"/>
      <c r="E258" s="141" t="s">
        <v>4</v>
      </c>
      <c r="F258" s="157">
        <f>'Upgrade Projects'!T148</f>
        <v>15</v>
      </c>
      <c r="G258" s="157">
        <f>'Upgrade Projects'!AB148</f>
        <v>16.600000000000001</v>
      </c>
      <c r="H258" s="142">
        <f>'Upgrade Projects'!AJ148</f>
        <v>1405874.4428987999</v>
      </c>
      <c r="I258" s="162">
        <f t="shared" si="3"/>
        <v>1.1066666666666667</v>
      </c>
      <c r="K258"/>
      <c r="L258"/>
      <c r="M258"/>
      <c r="N258"/>
      <c r="O258"/>
    </row>
    <row r="259" spans="1:15" x14ac:dyDescent="0.2">
      <c r="A259" s="140">
        <f>'Upgrade Projects'!A149</f>
        <v>1646</v>
      </c>
      <c r="B259" s="141" t="str">
        <f>'Upgrade Projects'!B149</f>
        <v>ATCO</v>
      </c>
      <c r="C259" s="141" t="str">
        <f>IF('Upgrade Projects'!E149="AESO","DFO-T",'Upgrade Projects'!E149)</f>
        <v>DFO-D</v>
      </c>
      <c r="D259" s="141"/>
      <c r="E259" s="141" t="s">
        <v>4</v>
      </c>
      <c r="F259" s="157">
        <f>'Upgrade Projects'!T149</f>
        <v>6.4</v>
      </c>
      <c r="G259" s="157">
        <f>'Upgrade Projects'!AB149</f>
        <v>24.6</v>
      </c>
      <c r="H259" s="142">
        <f>'Upgrade Projects'!AJ149</f>
        <v>6689568.045006589</v>
      </c>
      <c r="I259" s="162">
        <f t="shared" si="3"/>
        <v>3.84375</v>
      </c>
      <c r="K259"/>
      <c r="L259"/>
      <c r="M259"/>
      <c r="N259"/>
      <c r="O259"/>
    </row>
    <row r="260" spans="1:15" x14ac:dyDescent="0.2">
      <c r="A260" s="140">
        <f>'Upgrade Projects'!A150</f>
        <v>467</v>
      </c>
      <c r="B260" s="141" t="str">
        <f>'Upgrade Projects'!B150</f>
        <v>ATCO</v>
      </c>
      <c r="C260" s="141" t="str">
        <f>IF('Upgrade Projects'!E150="AESO","DFO-T",'Upgrade Projects'!E150)</f>
        <v>DFO-D</v>
      </c>
      <c r="D260" s="141"/>
      <c r="E260" s="141" t="s">
        <v>4</v>
      </c>
      <c r="F260" s="157">
        <f>'Upgrade Projects'!T150</f>
        <v>13.6</v>
      </c>
      <c r="G260" s="157">
        <f>'Upgrade Projects'!AB150</f>
        <v>48.3</v>
      </c>
      <c r="H260" s="142">
        <f>'Upgrade Projects'!AJ150</f>
        <v>3485502.2233326952</v>
      </c>
      <c r="I260" s="162">
        <f t="shared" si="3"/>
        <v>3.5514705882352939</v>
      </c>
      <c r="K260"/>
      <c r="L260"/>
      <c r="M260"/>
      <c r="N260"/>
      <c r="O260"/>
    </row>
    <row r="261" spans="1:15" x14ac:dyDescent="0.2">
      <c r="A261" s="140">
        <f>'Upgrade Projects'!A151</f>
        <v>437</v>
      </c>
      <c r="B261" s="141" t="str">
        <f>'Upgrade Projects'!B151</f>
        <v>ATCO</v>
      </c>
      <c r="C261" s="141" t="str">
        <f>IF('Upgrade Projects'!E151="AESO","DFO-T",'Upgrade Projects'!E151)</f>
        <v>DFO-D</v>
      </c>
      <c r="D261" s="141"/>
      <c r="E261" s="141" t="s">
        <v>4</v>
      </c>
      <c r="F261" s="157">
        <f>'Upgrade Projects'!T151</f>
        <v>40</v>
      </c>
      <c r="G261" s="157">
        <f>'Upgrade Projects'!AB151</f>
        <v>96.7</v>
      </c>
      <c r="H261" s="142">
        <f>'Upgrade Projects'!AJ151</f>
        <v>3631380.4067567294</v>
      </c>
      <c r="I261" s="162">
        <f t="shared" si="3"/>
        <v>2.4175</v>
      </c>
      <c r="K261"/>
      <c r="L261"/>
      <c r="M261"/>
      <c r="N261"/>
      <c r="O261"/>
    </row>
    <row r="262" spans="1:15" x14ac:dyDescent="0.2">
      <c r="A262" s="140">
        <f>'Upgrade Projects'!A152</f>
        <v>1233</v>
      </c>
      <c r="B262" s="141" t="str">
        <f>'Upgrade Projects'!B152</f>
        <v>ATCO</v>
      </c>
      <c r="C262" s="141" t="str">
        <f>IF('Upgrade Projects'!E152="AESO","DFO-T",'Upgrade Projects'!E152)</f>
        <v>DFO-D</v>
      </c>
      <c r="D262" s="141"/>
      <c r="E262" s="141" t="s">
        <v>4</v>
      </c>
      <c r="F262" s="157">
        <f>'Upgrade Projects'!T152</f>
        <v>50</v>
      </c>
      <c r="G262" s="157">
        <f>'Upgrade Projects'!AB152</f>
        <v>96.7</v>
      </c>
      <c r="H262" s="142">
        <f>'Upgrade Projects'!AJ152</f>
        <v>3890411.7673360803</v>
      </c>
      <c r="I262" s="162">
        <f t="shared" si="3"/>
        <v>1.9340000000000002</v>
      </c>
      <c r="K262"/>
      <c r="L262"/>
      <c r="M262"/>
      <c r="N262"/>
      <c r="O262"/>
    </row>
    <row r="263" spans="1:15" x14ac:dyDescent="0.2">
      <c r="A263" s="140">
        <f>'Upgrade Projects'!A153</f>
        <v>361</v>
      </c>
      <c r="B263" s="141" t="str">
        <f>'Upgrade Projects'!B153</f>
        <v>AML</v>
      </c>
      <c r="C263" s="141" t="str">
        <f>IF('Upgrade Projects'!E153="AESO","DFO-T",'Upgrade Projects'!E153)</f>
        <v>DFO-D</v>
      </c>
      <c r="D263" s="141"/>
      <c r="E263" s="141" t="s">
        <v>4</v>
      </c>
      <c r="F263" s="157">
        <f>'Upgrade Projects'!T153</f>
        <v>25.22</v>
      </c>
      <c r="G263" s="157">
        <f>'Upgrade Projects'!AB153</f>
        <v>67</v>
      </c>
      <c r="H263" s="142">
        <f>'Upgrade Projects'!AJ153</f>
        <v>1171978.0512644304</v>
      </c>
      <c r="I263" s="162">
        <f t="shared" si="3"/>
        <v>2.6566217287866776</v>
      </c>
      <c r="K263"/>
      <c r="L263"/>
      <c r="M263"/>
      <c r="N263"/>
      <c r="O263"/>
    </row>
    <row r="264" spans="1:15" x14ac:dyDescent="0.2">
      <c r="A264" s="140">
        <f>'Upgrade Projects'!A154</f>
        <v>645</v>
      </c>
      <c r="B264" s="141" t="str">
        <f>'Upgrade Projects'!B154</f>
        <v>AML</v>
      </c>
      <c r="C264" s="141" t="str">
        <f>IF('Upgrade Projects'!E154="AESO","DFO-T",'Upgrade Projects'!E154)</f>
        <v>DFO-D</v>
      </c>
      <c r="D264" s="141"/>
      <c r="E264" s="141" t="s">
        <v>4</v>
      </c>
      <c r="F264" s="157">
        <f>'Upgrade Projects'!T154</f>
        <v>26.22</v>
      </c>
      <c r="G264" s="157">
        <f>'Upgrade Projects'!AB154</f>
        <v>67</v>
      </c>
      <c r="H264" s="142">
        <f>'Upgrade Projects'!AJ154</f>
        <v>226677.56309168192</v>
      </c>
      <c r="I264" s="162">
        <f t="shared" si="3"/>
        <v>2.555301296720061</v>
      </c>
      <c r="K264"/>
      <c r="L264"/>
      <c r="M264"/>
      <c r="N264"/>
      <c r="O264"/>
    </row>
    <row r="265" spans="1:15" x14ac:dyDescent="0.2">
      <c r="A265" s="140">
        <f>'Upgrade Projects'!A155</f>
        <v>720</v>
      </c>
      <c r="B265" s="141" t="str">
        <f>'Upgrade Projects'!B155</f>
        <v>AML</v>
      </c>
      <c r="C265" s="141" t="str">
        <f>IF('Upgrade Projects'!E155="AESO","DFO-T",'Upgrade Projects'!E155)</f>
        <v>DFO-D</v>
      </c>
      <c r="D265" s="141"/>
      <c r="E265" s="141" t="s">
        <v>4</v>
      </c>
      <c r="F265" s="157">
        <f>'Upgrade Projects'!T155</f>
        <v>9.1999999999999993</v>
      </c>
      <c r="G265" s="157">
        <f>'Upgrade Projects'!AB155</f>
        <v>56</v>
      </c>
      <c r="H265" s="142">
        <f>'Upgrade Projects'!AJ155</f>
        <v>3214674.226156069</v>
      </c>
      <c r="I265" s="162">
        <f t="shared" ref="I265:I292" si="4">IF(F265=0,0,G265/F265)</f>
        <v>6.0869565217391308</v>
      </c>
      <c r="K265"/>
      <c r="L265"/>
      <c r="M265"/>
      <c r="N265"/>
      <c r="O265"/>
    </row>
    <row r="266" spans="1:15" x14ac:dyDescent="0.2">
      <c r="A266" s="140">
        <f>'Upgrade Projects'!A156</f>
        <v>1554</v>
      </c>
      <c r="B266" s="141" t="str">
        <f>'Upgrade Projects'!B156</f>
        <v>ATCO</v>
      </c>
      <c r="C266" s="141" t="str">
        <f>IF('Upgrade Projects'!E156="AESO","DFO-T",'Upgrade Projects'!E156)</f>
        <v>DFO-T</v>
      </c>
      <c r="D266" s="141"/>
      <c r="E266" s="141" t="s">
        <v>4</v>
      </c>
      <c r="F266" s="157">
        <f>'Upgrade Projects'!T156</f>
        <v>31</v>
      </c>
      <c r="G266" s="157">
        <f>'Upgrade Projects'!AB156</f>
        <v>50</v>
      </c>
      <c r="H266" s="142">
        <f>'Upgrade Projects'!AJ156</f>
        <v>4004092.963367763</v>
      </c>
      <c r="I266" s="162">
        <f t="shared" si="4"/>
        <v>1.6129032258064515</v>
      </c>
      <c r="K266"/>
      <c r="L266"/>
      <c r="M266"/>
      <c r="N266"/>
      <c r="O266"/>
    </row>
    <row r="267" spans="1:15" x14ac:dyDescent="0.2">
      <c r="A267" s="140">
        <f>'Upgrade Projects'!A157</f>
        <v>1570</v>
      </c>
      <c r="B267" s="141" t="str">
        <f>'Upgrade Projects'!B157</f>
        <v>ATCO</v>
      </c>
      <c r="C267" s="141" t="str">
        <f>IF('Upgrade Projects'!E157="AESO","DFO-T",'Upgrade Projects'!E157)</f>
        <v>DFO-T</v>
      </c>
      <c r="D267" s="141"/>
      <c r="E267" s="141" t="s">
        <v>4</v>
      </c>
      <c r="F267" s="157">
        <f>'Upgrade Projects'!T157</f>
        <v>19</v>
      </c>
      <c r="G267" s="157">
        <f>'Upgrade Projects'!AB157</f>
        <v>50</v>
      </c>
      <c r="H267" s="142">
        <f>'Upgrade Projects'!AJ157</f>
        <v>5712872.9653456798</v>
      </c>
      <c r="I267" s="162">
        <f t="shared" si="4"/>
        <v>2.6315789473684212</v>
      </c>
      <c r="K267"/>
      <c r="L267"/>
      <c r="M267"/>
      <c r="N267"/>
      <c r="O267"/>
    </row>
    <row r="268" spans="1:15" x14ac:dyDescent="0.2">
      <c r="A268" s="140">
        <f>'Upgrade Projects'!A158</f>
        <v>1280</v>
      </c>
      <c r="B268" s="141" t="str">
        <f>'Upgrade Projects'!B158</f>
        <v>ATCO</v>
      </c>
      <c r="C268" s="141" t="str">
        <f>IF('Upgrade Projects'!E158="AESO","DFO-T",'Upgrade Projects'!E158)</f>
        <v>DFO-T</v>
      </c>
      <c r="D268" s="141"/>
      <c r="E268" s="141" t="s">
        <v>4</v>
      </c>
      <c r="F268" s="157">
        <f>'Upgrade Projects'!T158</f>
        <v>20</v>
      </c>
      <c r="G268" s="157">
        <f>'Upgrade Projects'!AB158</f>
        <v>50</v>
      </c>
      <c r="H268" s="142">
        <f>'Upgrade Projects'!AJ158</f>
        <v>3956711.7678399109</v>
      </c>
      <c r="I268" s="162">
        <f t="shared" si="4"/>
        <v>2.5</v>
      </c>
      <c r="K268"/>
      <c r="L268"/>
      <c r="M268"/>
      <c r="N268"/>
      <c r="O268"/>
    </row>
    <row r="269" spans="1:15" x14ac:dyDescent="0.2">
      <c r="A269" s="140">
        <f>'Upgrade Projects'!A159</f>
        <v>659</v>
      </c>
      <c r="B269" s="141" t="str">
        <f>'Upgrade Projects'!B159</f>
        <v>AML</v>
      </c>
      <c r="C269" s="141" t="str">
        <f>IF('Upgrade Projects'!E159="AESO","DFO-T",'Upgrade Projects'!E159)</f>
        <v>DFO-T</v>
      </c>
      <c r="D269" s="141"/>
      <c r="E269" s="141" t="s">
        <v>4</v>
      </c>
      <c r="F269" s="157">
        <f>'Upgrade Projects'!T159</f>
        <v>58</v>
      </c>
      <c r="G269" s="157">
        <f>'Upgrade Projects'!AB159</f>
        <v>149.4</v>
      </c>
      <c r="H269" s="142">
        <f>'Upgrade Projects'!AJ159</f>
        <v>190388.6190750667</v>
      </c>
      <c r="I269" s="162">
        <f t="shared" si="4"/>
        <v>2.5758620689655172</v>
      </c>
      <c r="K269"/>
      <c r="L269"/>
      <c r="M269"/>
      <c r="N269"/>
      <c r="O269"/>
    </row>
    <row r="270" spans="1:15" x14ac:dyDescent="0.2">
      <c r="A270" s="140">
        <f>'Upgrade Projects'!A160</f>
        <v>1240</v>
      </c>
      <c r="B270" s="141" t="str">
        <f>'Upgrade Projects'!B160</f>
        <v>ATCO</v>
      </c>
      <c r="C270" s="141" t="str">
        <f>IF('Upgrade Projects'!E160="AESO","DFO-T",'Upgrade Projects'!E160)</f>
        <v>DFO-T</v>
      </c>
      <c r="D270" s="141"/>
      <c r="E270" s="141" t="s">
        <v>4</v>
      </c>
      <c r="F270" s="157">
        <f>'Upgrade Projects'!T160</f>
        <v>21</v>
      </c>
      <c r="G270" s="157">
        <f>'Upgrade Projects'!AB160</f>
        <v>16.7</v>
      </c>
      <c r="H270" s="142">
        <f>'Upgrade Projects'!AJ160</f>
        <v>2476238.9627807443</v>
      </c>
      <c r="I270" s="162">
        <f t="shared" si="4"/>
        <v>0.79523809523809519</v>
      </c>
      <c r="K270"/>
      <c r="L270"/>
      <c r="M270"/>
      <c r="N270"/>
      <c r="O270"/>
    </row>
    <row r="271" spans="1:15" x14ac:dyDescent="0.2">
      <c r="A271" s="140">
        <f>'Upgrade Projects'!A161</f>
        <v>317</v>
      </c>
      <c r="B271" s="141" t="str">
        <f>'Upgrade Projects'!B161</f>
        <v>AML</v>
      </c>
      <c r="C271" s="141" t="str">
        <f>IF('Upgrade Projects'!E161="AESO","DFO-T",'Upgrade Projects'!E161)</f>
        <v>DFO-D</v>
      </c>
      <c r="D271" s="141"/>
      <c r="E271" s="141" t="s">
        <v>4</v>
      </c>
      <c r="F271" s="157">
        <f>'Upgrade Projects'!T161</f>
        <v>35.130000000000003</v>
      </c>
      <c r="G271" s="157">
        <f>'Upgrade Projects'!AB161</f>
        <v>89</v>
      </c>
      <c r="H271" s="142">
        <f>'Upgrade Projects'!AJ161</f>
        <v>3733615.4837609362</v>
      </c>
      <c r="I271" s="162">
        <f t="shared" si="4"/>
        <v>2.5334471961286646</v>
      </c>
      <c r="K271"/>
      <c r="L271"/>
      <c r="M271"/>
      <c r="N271"/>
      <c r="O271"/>
    </row>
    <row r="272" spans="1:15" x14ac:dyDescent="0.2">
      <c r="A272" s="140">
        <f>'Upgrade Projects'!A162</f>
        <v>1510</v>
      </c>
      <c r="B272" s="141" t="str">
        <f>'Upgrade Projects'!B162</f>
        <v>AML</v>
      </c>
      <c r="C272" s="141" t="str">
        <f>IF('Upgrade Projects'!E162="AESO","DFO-T",'Upgrade Projects'!E162)</f>
        <v>DFO-D</v>
      </c>
      <c r="D272" s="141"/>
      <c r="E272" s="141" t="s">
        <v>4</v>
      </c>
      <c r="F272" s="157">
        <f>'Upgrade Projects'!T162</f>
        <v>35.130000000000003</v>
      </c>
      <c r="G272" s="157">
        <f>'Upgrade Projects'!AB162</f>
        <v>89</v>
      </c>
      <c r="H272" s="142">
        <f>'Upgrade Projects'!AJ162</f>
        <v>1037844.2790997116</v>
      </c>
      <c r="I272" s="162">
        <f t="shared" si="4"/>
        <v>2.5334471961286646</v>
      </c>
      <c r="K272"/>
      <c r="L272"/>
      <c r="M272"/>
      <c r="N272"/>
      <c r="O272"/>
    </row>
    <row r="273" spans="1:15" x14ac:dyDescent="0.2">
      <c r="A273" s="140">
        <f>'Upgrade Projects'!A163</f>
        <v>1678</v>
      </c>
      <c r="B273" s="141" t="str">
        <f>'Upgrade Projects'!B163</f>
        <v>EPCOR</v>
      </c>
      <c r="C273" s="141" t="str">
        <f>IF('Upgrade Projects'!E163="AESO","DFO-T",'Upgrade Projects'!E163)</f>
        <v>DFO-D</v>
      </c>
      <c r="D273" s="141"/>
      <c r="E273" s="141" t="s">
        <v>4</v>
      </c>
      <c r="F273" s="157">
        <f>'Upgrade Projects'!T163</f>
        <v>75</v>
      </c>
      <c r="G273" s="157">
        <f>'Upgrade Projects'!AB163</f>
        <v>500</v>
      </c>
      <c r="H273" s="142">
        <f>'Upgrade Projects'!AJ163</f>
        <v>187688.0715541229</v>
      </c>
      <c r="I273" s="162">
        <f t="shared" si="4"/>
        <v>6.666666666666667</v>
      </c>
      <c r="J273" s="58" t="s">
        <v>984</v>
      </c>
      <c r="K273"/>
      <c r="L273"/>
      <c r="M273"/>
      <c r="N273"/>
      <c r="O273"/>
    </row>
    <row r="274" spans="1:15" x14ac:dyDescent="0.2">
      <c r="A274" s="140">
        <f>'Upgrade Projects'!A164</f>
        <v>409</v>
      </c>
      <c r="B274" s="141" t="str">
        <f>'Upgrade Projects'!B164</f>
        <v>EPCOR</v>
      </c>
      <c r="C274" s="141" t="str">
        <f>IF('Upgrade Projects'!E164="AESO","DFO-T",'Upgrade Projects'!E164)</f>
        <v>DFO-D</v>
      </c>
      <c r="D274" s="141"/>
      <c r="E274" s="141" t="s">
        <v>4</v>
      </c>
      <c r="F274" s="157">
        <f>'Upgrade Projects'!T164</f>
        <v>50.9</v>
      </c>
      <c r="G274" s="157">
        <f>'Upgrade Projects'!AB164</f>
        <v>126</v>
      </c>
      <c r="H274" s="142">
        <f>'Upgrade Projects'!AJ164</f>
        <v>6950027.5644125203</v>
      </c>
      <c r="I274" s="162">
        <f t="shared" si="4"/>
        <v>2.4754420432220039</v>
      </c>
      <c r="K274"/>
      <c r="L274"/>
      <c r="M274"/>
      <c r="N274"/>
      <c r="O274"/>
    </row>
    <row r="275" spans="1:15" x14ac:dyDescent="0.2">
      <c r="A275" s="140">
        <f>'Upgrade Projects'!A165</f>
        <v>620</v>
      </c>
      <c r="B275" s="141" t="str">
        <f>'Upgrade Projects'!B165</f>
        <v>EPCOR</v>
      </c>
      <c r="C275" s="141" t="str">
        <f>IF('Upgrade Projects'!E165="AESO","DFO-T",'Upgrade Projects'!E165)</f>
        <v>DFO-D</v>
      </c>
      <c r="D275" s="141"/>
      <c r="E275" s="141" t="s">
        <v>4</v>
      </c>
      <c r="F275" s="157">
        <f>'Upgrade Projects'!T165</f>
        <v>67.040000000000006</v>
      </c>
      <c r="G275" s="157">
        <f>'Upgrade Projects'!AB165</f>
        <v>133.4</v>
      </c>
      <c r="H275" s="142">
        <f>'Upgrade Projects'!AJ165</f>
        <v>52327.10135106941</v>
      </c>
      <c r="I275" s="162">
        <f t="shared" si="4"/>
        <v>1.9898568019093077</v>
      </c>
      <c r="K275"/>
      <c r="L275"/>
      <c r="M275"/>
      <c r="N275"/>
      <c r="O275"/>
    </row>
    <row r="276" spans="1:15" x14ac:dyDescent="0.2">
      <c r="A276" s="140">
        <f>'Upgrade Projects'!A166</f>
        <v>1085</v>
      </c>
      <c r="B276" s="141" t="str">
        <f>'Upgrade Projects'!B166</f>
        <v>EPCOR</v>
      </c>
      <c r="C276" s="141" t="str">
        <f>IF('Upgrade Projects'!E166="AESO","DFO-T",'Upgrade Projects'!E166)</f>
        <v>DFO-D</v>
      </c>
      <c r="D276" s="141"/>
      <c r="E276" s="141" t="s">
        <v>4</v>
      </c>
      <c r="F276" s="157">
        <f>'Upgrade Projects'!T166</f>
        <v>69.040000000000006</v>
      </c>
      <c r="G276" s="157">
        <f>'Upgrade Projects'!AB166</f>
        <v>133.4</v>
      </c>
      <c r="H276" s="142">
        <f>'Upgrade Projects'!AJ166</f>
        <v>79312.35890156441</v>
      </c>
      <c r="I276" s="162">
        <f t="shared" si="4"/>
        <v>1.9322132097334876</v>
      </c>
      <c r="K276"/>
      <c r="L276"/>
      <c r="M276"/>
      <c r="N276"/>
      <c r="O276"/>
    </row>
    <row r="277" spans="1:15" x14ac:dyDescent="0.2">
      <c r="A277" s="140">
        <f>'Upgrade Projects'!A167</f>
        <v>589</v>
      </c>
      <c r="B277" s="141" t="str">
        <f>'Upgrade Projects'!B167</f>
        <v>Red Deer</v>
      </c>
      <c r="C277" s="141" t="str">
        <f>IF('Upgrade Projects'!E167="AESO","DFO-T",'Upgrade Projects'!E167)</f>
        <v>DFO-D</v>
      </c>
      <c r="D277" s="141"/>
      <c r="E277" s="141" t="s">
        <v>4</v>
      </c>
      <c r="F277" s="157">
        <f>'Upgrade Projects'!T167</f>
        <v>36.963000000000001</v>
      </c>
      <c r="G277" s="157">
        <f>'Upgrade Projects'!AB167</f>
        <v>106</v>
      </c>
      <c r="H277" s="142">
        <f>'Upgrade Projects'!AJ167</f>
        <v>32007.376892660457</v>
      </c>
      <c r="I277" s="162">
        <f t="shared" si="4"/>
        <v>2.8677325974623273</v>
      </c>
      <c r="K277"/>
      <c r="L277"/>
      <c r="M277"/>
      <c r="N277"/>
      <c r="O277"/>
    </row>
    <row r="278" spans="1:15" x14ac:dyDescent="0.2">
      <c r="A278" s="140">
        <f>'Upgrade Projects'!A168</f>
        <v>836</v>
      </c>
      <c r="B278" s="141" t="str">
        <f>'Upgrade Projects'!B168</f>
        <v>Red Deer</v>
      </c>
      <c r="C278" s="141" t="str">
        <f>IF('Upgrade Projects'!E168="AESO","DFO-T",'Upgrade Projects'!E168)</f>
        <v>DFO-D</v>
      </c>
      <c r="D278" s="141"/>
      <c r="E278" s="141" t="s">
        <v>4</v>
      </c>
      <c r="F278" s="157">
        <f>'Upgrade Projects'!T168</f>
        <v>44</v>
      </c>
      <c r="G278" s="157">
        <f>'Upgrade Projects'!AB168</f>
        <v>106</v>
      </c>
      <c r="H278" s="142">
        <f>'Upgrade Projects'!AJ168</f>
        <v>208248.46319974697</v>
      </c>
      <c r="I278" s="162">
        <f t="shared" si="4"/>
        <v>2.4090909090909092</v>
      </c>
      <c r="K278"/>
      <c r="L278"/>
      <c r="M278"/>
      <c r="N278"/>
      <c r="O278"/>
    </row>
    <row r="279" spans="1:15" x14ac:dyDescent="0.2">
      <c r="A279" s="140">
        <f>'Upgrade Projects'!A169</f>
        <v>1417</v>
      </c>
      <c r="B279" s="141" t="str">
        <f>'Upgrade Projects'!B169</f>
        <v>Red Deer</v>
      </c>
      <c r="C279" s="141" t="str">
        <f>IF('Upgrade Projects'!E169="AESO","DFO-T",'Upgrade Projects'!E169)</f>
        <v>DFO-D</v>
      </c>
      <c r="D279" s="141"/>
      <c r="E279" s="141" t="s">
        <v>4</v>
      </c>
      <c r="F279" s="157">
        <f>'Upgrade Projects'!T169</f>
        <v>56</v>
      </c>
      <c r="G279" s="157">
        <f>'Upgrade Projects'!AB169</f>
        <v>100</v>
      </c>
      <c r="H279" s="142">
        <f>'Upgrade Projects'!AJ169</f>
        <v>366317.55287404399</v>
      </c>
      <c r="I279" s="162">
        <f t="shared" si="4"/>
        <v>1.7857142857142858</v>
      </c>
      <c r="K279"/>
      <c r="L279"/>
      <c r="M279"/>
      <c r="N279"/>
      <c r="O279"/>
    </row>
    <row r="280" spans="1:15" x14ac:dyDescent="0.2">
      <c r="A280" s="140">
        <f>'Upgrade Projects'!A170</f>
        <v>1575</v>
      </c>
      <c r="B280" s="141" t="str">
        <f>'Upgrade Projects'!B170</f>
        <v>EPCOR</v>
      </c>
      <c r="C280" s="141" t="str">
        <f>IF('Upgrade Projects'!E170="AESO","DFO-T",'Upgrade Projects'!E170)</f>
        <v>DFO-D</v>
      </c>
      <c r="D280" s="141"/>
      <c r="E280" s="141" t="s">
        <v>4</v>
      </c>
      <c r="F280" s="157">
        <f>'Upgrade Projects'!T170</f>
        <v>110</v>
      </c>
      <c r="G280" s="157">
        <f>'Upgrade Projects'!AB170</f>
        <v>290.8</v>
      </c>
      <c r="H280" s="142">
        <f>'Upgrade Projects'!AJ170</f>
        <v>84606.13805829866</v>
      </c>
      <c r="I280" s="162">
        <f t="shared" si="4"/>
        <v>2.6436363636363636</v>
      </c>
      <c r="K280"/>
      <c r="L280"/>
      <c r="M280"/>
      <c r="N280"/>
      <c r="O280"/>
    </row>
    <row r="281" spans="1:15" x14ac:dyDescent="0.2">
      <c r="A281" s="140">
        <f>'Upgrade Projects'!A171</f>
        <v>1480</v>
      </c>
      <c r="B281" s="141" t="str">
        <f>'Upgrade Projects'!B171</f>
        <v>ENMAX</v>
      </c>
      <c r="C281" s="141" t="str">
        <f>IF('Upgrade Projects'!E171="AESO","DFO-T",'Upgrade Projects'!E171)</f>
        <v>DFO-D</v>
      </c>
      <c r="D281" s="141"/>
      <c r="E281" s="141" t="s">
        <v>4</v>
      </c>
      <c r="F281" s="157">
        <f>'Upgrade Projects'!T171</f>
        <v>101</v>
      </c>
      <c r="G281" s="157">
        <f>'Upgrade Projects'!AB171</f>
        <v>200</v>
      </c>
      <c r="H281" s="142">
        <f>'Upgrade Projects'!AJ171</f>
        <v>1418629.2000498641</v>
      </c>
      <c r="I281" s="162">
        <f t="shared" si="4"/>
        <v>1.9801980198019802</v>
      </c>
      <c r="K281"/>
      <c r="L281"/>
      <c r="M281"/>
      <c r="N281"/>
      <c r="O281"/>
    </row>
    <row r="282" spans="1:15" x14ac:dyDescent="0.2">
      <c r="A282" s="140">
        <f>'Upgrade Projects'!A172</f>
        <v>1644</v>
      </c>
      <c r="B282" s="141" t="str">
        <f>'Upgrade Projects'!B172</f>
        <v>ENMAX</v>
      </c>
      <c r="C282" s="141" t="str">
        <f>IF('Upgrade Projects'!E172="AESO","DFO-T",'Upgrade Projects'!E172)</f>
        <v>DFO-D</v>
      </c>
      <c r="D282" s="141"/>
      <c r="E282" s="141" t="s">
        <v>4</v>
      </c>
      <c r="F282" s="157">
        <f>'Upgrade Projects'!T172</f>
        <v>39</v>
      </c>
      <c r="G282" s="157">
        <f>'Upgrade Projects'!AB172</f>
        <v>100</v>
      </c>
      <c r="H282" s="142">
        <f>'Upgrade Projects'!AJ172</f>
        <v>6488176.858708987</v>
      </c>
      <c r="I282" s="162">
        <f t="shared" si="4"/>
        <v>2.5641025641025643</v>
      </c>
      <c r="K282"/>
      <c r="L282"/>
      <c r="M282"/>
      <c r="N282"/>
      <c r="O282"/>
    </row>
    <row r="283" spans="1:15" x14ac:dyDescent="0.2">
      <c r="A283" s="140">
        <f>'Upgrade Projects'!A173</f>
        <v>1276</v>
      </c>
      <c r="B283" s="141" t="str">
        <f>'Upgrade Projects'!B173</f>
        <v>ENMAX</v>
      </c>
      <c r="C283" s="141" t="str">
        <f>IF('Upgrade Projects'!E173="AESO","DFO-T",'Upgrade Projects'!E173)</f>
        <v>DFO-D</v>
      </c>
      <c r="D283" s="141"/>
      <c r="E283" s="141" t="s">
        <v>4</v>
      </c>
      <c r="F283" s="157">
        <f>'Upgrade Projects'!T173</f>
        <v>38</v>
      </c>
      <c r="G283" s="157">
        <f>'Upgrade Projects'!AB173</f>
        <v>172</v>
      </c>
      <c r="H283" s="142">
        <f>'Upgrade Projects'!AJ173</f>
        <v>697551.92087391275</v>
      </c>
      <c r="I283" s="162">
        <f t="shared" si="4"/>
        <v>4.5263157894736841</v>
      </c>
      <c r="K283"/>
      <c r="L283"/>
      <c r="M283"/>
      <c r="N283"/>
      <c r="O283"/>
    </row>
    <row r="284" spans="1:15" x14ac:dyDescent="0.2">
      <c r="A284" s="140">
        <f>'Upgrade Projects'!A174</f>
        <v>823</v>
      </c>
      <c r="B284" s="141" t="str">
        <f>'Upgrade Projects'!B174</f>
        <v>ENMAX</v>
      </c>
      <c r="C284" s="141" t="str">
        <f>IF('Upgrade Projects'!E174="AESO","DFO-T",'Upgrade Projects'!E174)</f>
        <v>DFO-D</v>
      </c>
      <c r="D284" s="141"/>
      <c r="E284" s="141" t="s">
        <v>4</v>
      </c>
      <c r="F284" s="157">
        <f>'Upgrade Projects'!T174</f>
        <v>35</v>
      </c>
      <c r="G284" s="157">
        <f>'Upgrade Projects'!AB174</f>
        <v>100</v>
      </c>
      <c r="H284" s="142">
        <f>'Upgrade Projects'!AJ174</f>
        <v>8315661.423378624</v>
      </c>
      <c r="I284" s="162">
        <f t="shared" si="4"/>
        <v>2.8571428571428572</v>
      </c>
      <c r="K284"/>
      <c r="L284"/>
      <c r="M284"/>
      <c r="N284"/>
      <c r="O284"/>
    </row>
    <row r="285" spans="1:15" x14ac:dyDescent="0.2">
      <c r="A285" s="140">
        <f>'Upgrade Projects'!A175</f>
        <v>1601</v>
      </c>
      <c r="B285" s="141" t="str">
        <f>'Upgrade Projects'!B175</f>
        <v>ENMAX</v>
      </c>
      <c r="C285" s="141" t="str">
        <f>IF('Upgrade Projects'!E175="AESO","DFO-T",'Upgrade Projects'!E175)</f>
        <v>DFO-D</v>
      </c>
      <c r="D285" s="141"/>
      <c r="E285" s="141" t="s">
        <v>4</v>
      </c>
      <c r="F285" s="157">
        <f>'Upgrade Projects'!T175</f>
        <v>77</v>
      </c>
      <c r="G285" s="157">
        <f>'Upgrade Projects'!AB175</f>
        <v>133.6</v>
      </c>
      <c r="H285" s="142">
        <f>'Upgrade Projects'!AJ175</f>
        <v>4009464.8670350015</v>
      </c>
      <c r="I285" s="162">
        <f t="shared" si="4"/>
        <v>1.735064935064935</v>
      </c>
      <c r="K285"/>
      <c r="L285"/>
      <c r="M285"/>
      <c r="N285"/>
      <c r="O285"/>
    </row>
    <row r="286" spans="1:15" x14ac:dyDescent="0.2">
      <c r="A286" s="140">
        <f>'Upgrade Projects'!A176</f>
        <v>1046</v>
      </c>
      <c r="B286" s="141" t="str">
        <f>'Upgrade Projects'!B176</f>
        <v>ENMAX</v>
      </c>
      <c r="C286" s="141" t="str">
        <f>IF('Upgrade Projects'!E176="AESO","DFO-T",'Upgrade Projects'!E176)</f>
        <v>DFO-D</v>
      </c>
      <c r="D286" s="141"/>
      <c r="E286" s="141" t="s">
        <v>4</v>
      </c>
      <c r="F286" s="157">
        <f>'Upgrade Projects'!T176</f>
        <v>50</v>
      </c>
      <c r="G286" s="157">
        <f>'Upgrade Projects'!AB176</f>
        <v>110</v>
      </c>
      <c r="H286" s="142">
        <f>'Upgrade Projects'!AJ176</f>
        <v>13838101.419471104</v>
      </c>
      <c r="I286" s="162">
        <f t="shared" si="4"/>
        <v>2.2000000000000002</v>
      </c>
      <c r="K286"/>
      <c r="L286"/>
      <c r="M286"/>
      <c r="N286"/>
      <c r="O286"/>
    </row>
    <row r="287" spans="1:15" x14ac:dyDescent="0.2">
      <c r="A287" s="140">
        <f>'Upgrade Projects'!A177</f>
        <v>873</v>
      </c>
      <c r="B287" s="141" t="str">
        <f>'Upgrade Projects'!B177</f>
        <v>ENMAX</v>
      </c>
      <c r="C287" s="141" t="str">
        <f>IF('Upgrade Projects'!E177="AESO","DFO-T",'Upgrade Projects'!E177)</f>
        <v>DFO-D</v>
      </c>
      <c r="D287" s="141"/>
      <c r="E287" s="141" t="s">
        <v>4</v>
      </c>
      <c r="F287" s="157">
        <f>'Upgrade Projects'!T177</f>
        <v>48</v>
      </c>
      <c r="G287" s="157">
        <f>'Upgrade Projects'!AB177</f>
        <v>126.7</v>
      </c>
      <c r="H287" s="142">
        <f>'Upgrade Projects'!AJ177</f>
        <v>10835025.062169574</v>
      </c>
      <c r="I287" s="162">
        <f t="shared" si="4"/>
        <v>2.6395833333333334</v>
      </c>
      <c r="K287"/>
      <c r="L287"/>
      <c r="M287"/>
      <c r="N287"/>
      <c r="O287"/>
    </row>
    <row r="288" spans="1:15" x14ac:dyDescent="0.2">
      <c r="A288" s="140">
        <f>'Upgrade Projects'!A178</f>
        <v>630</v>
      </c>
      <c r="B288" s="141" t="str">
        <f>'Upgrade Projects'!B178</f>
        <v>ENMAX</v>
      </c>
      <c r="C288" s="141" t="str">
        <f>IF('Upgrade Projects'!E178="AESO","DFO-T",'Upgrade Projects'!E178)</f>
        <v>DFO-D</v>
      </c>
      <c r="D288" s="141"/>
      <c r="E288" s="141" t="s">
        <v>4</v>
      </c>
      <c r="F288" s="157">
        <f>'Upgrade Projects'!T178</f>
        <v>40</v>
      </c>
      <c r="G288" s="157">
        <f>'Upgrade Projects'!AB178</f>
        <v>113.3</v>
      </c>
      <c r="H288" s="142">
        <f>'Upgrade Projects'!AJ178</f>
        <v>761818.60016629798</v>
      </c>
      <c r="I288" s="162">
        <f t="shared" si="4"/>
        <v>2.8325</v>
      </c>
      <c r="K288"/>
      <c r="L288"/>
      <c r="M288"/>
      <c r="N288"/>
      <c r="O288"/>
    </row>
    <row r="289" spans="1:15" x14ac:dyDescent="0.2">
      <c r="A289" s="140">
        <f>'Upgrade Projects'!A179</f>
        <v>1107</v>
      </c>
      <c r="B289" s="141" t="str">
        <f>'Upgrade Projects'!B179</f>
        <v>ENMAX</v>
      </c>
      <c r="C289" s="141" t="str">
        <f>IF('Upgrade Projects'!E179="AESO","DFO-T",'Upgrade Projects'!E179)</f>
        <v>DFO-D</v>
      </c>
      <c r="D289" s="141"/>
      <c r="E289" s="141" t="s">
        <v>4</v>
      </c>
      <c r="F289" s="157">
        <f>'Upgrade Projects'!T179</f>
        <v>40</v>
      </c>
      <c r="G289" s="157">
        <f>'Upgrade Projects'!AB179</f>
        <v>100</v>
      </c>
      <c r="H289" s="142">
        <f>'Upgrade Projects'!AJ179</f>
        <v>7700009.4501504581</v>
      </c>
      <c r="I289" s="162">
        <f t="shared" si="4"/>
        <v>2.5</v>
      </c>
      <c r="K289"/>
      <c r="L289"/>
      <c r="M289"/>
      <c r="N289"/>
      <c r="O289"/>
    </row>
    <row r="290" spans="1:15" x14ac:dyDescent="0.2">
      <c r="A290" s="140">
        <f>'Upgrade Projects'!A180</f>
        <v>682</v>
      </c>
      <c r="B290" s="141" t="str">
        <f>'Upgrade Projects'!B180</f>
        <v>ENMAX</v>
      </c>
      <c r="C290" s="141" t="str">
        <f>IF('Upgrade Projects'!E180="AESO","DFO-T",'Upgrade Projects'!E180)</f>
        <v>DFO-D</v>
      </c>
      <c r="D290" s="141"/>
      <c r="E290" s="141" t="s">
        <v>4</v>
      </c>
      <c r="F290" s="157">
        <f>'Upgrade Projects'!T180</f>
        <v>30</v>
      </c>
      <c r="G290" s="157">
        <f>'Upgrade Projects'!AB180</f>
        <v>60</v>
      </c>
      <c r="H290" s="142">
        <f>'Upgrade Projects'!AJ180</f>
        <v>4225223.3548626928</v>
      </c>
      <c r="I290" s="162">
        <f t="shared" si="4"/>
        <v>2</v>
      </c>
      <c r="K290"/>
      <c r="L290"/>
      <c r="M290"/>
      <c r="N290"/>
      <c r="O290"/>
    </row>
    <row r="291" spans="1:15" x14ac:dyDescent="0.2">
      <c r="A291" s="140">
        <f>'Upgrade Projects'!A181</f>
        <v>677</v>
      </c>
      <c r="B291" s="141" t="str">
        <f>'Upgrade Projects'!B181</f>
        <v>ENMAX</v>
      </c>
      <c r="C291" s="141" t="str">
        <f>IF('Upgrade Projects'!E181="AESO","DFO-T",'Upgrade Projects'!E181)</f>
        <v>DFO-D</v>
      </c>
      <c r="D291" s="141"/>
      <c r="E291" s="141" t="s">
        <v>4</v>
      </c>
      <c r="F291" s="157">
        <f>'Upgrade Projects'!T181</f>
        <v>117</v>
      </c>
      <c r="G291" s="157">
        <f>'Upgrade Projects'!AB181</f>
        <v>360</v>
      </c>
      <c r="H291" s="142">
        <f>'Upgrade Projects'!AJ181</f>
        <v>5967266.0834890455</v>
      </c>
      <c r="I291" s="162">
        <f t="shared" si="4"/>
        <v>3.0769230769230771</v>
      </c>
      <c r="K291"/>
      <c r="L291"/>
      <c r="M291"/>
      <c r="N291"/>
      <c r="O291"/>
    </row>
    <row r="292" spans="1:15" x14ac:dyDescent="0.2">
      <c r="A292" s="140">
        <f>'Upgrade Projects'!A182</f>
        <v>643</v>
      </c>
      <c r="B292" s="141" t="str">
        <f>'Upgrade Projects'!B182</f>
        <v>ENMAX</v>
      </c>
      <c r="C292" s="141" t="str">
        <f>IF('Upgrade Projects'!E182="AESO","DFO-T",'Upgrade Projects'!E182)</f>
        <v>DFO-D</v>
      </c>
      <c r="D292" s="141"/>
      <c r="E292" s="141" t="s">
        <v>4</v>
      </c>
      <c r="F292" s="157">
        <f>'Upgrade Projects'!T182</f>
        <v>53.87</v>
      </c>
      <c r="G292" s="157">
        <f>'Upgrade Projects'!AB182</f>
        <v>133.30000000000001</v>
      </c>
      <c r="H292" s="142">
        <f>'Upgrade Projects'!AJ182</f>
        <v>4408671.5648995526</v>
      </c>
      <c r="I292" s="162">
        <f t="shared" si="4"/>
        <v>2.4744755893818455</v>
      </c>
    </row>
  </sheetData>
  <autoFilter ref="A7:I292"/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"/>
  <sheetViews>
    <sheetView zoomScaleNormal="100" workbookViewId="0"/>
  </sheetViews>
  <sheetFormatPr defaultRowHeight="12.75" x14ac:dyDescent="0.2"/>
  <cols>
    <col min="1" max="5" width="12.7109375" customWidth="1"/>
    <col min="6" max="6" width="18.140625" customWidth="1"/>
    <col min="7" max="7" width="12.7109375" customWidth="1"/>
    <col min="9" max="9" width="12.7109375" customWidth="1"/>
  </cols>
  <sheetData>
    <row r="1" spans="1:9" s="1" customFormat="1" x14ac:dyDescent="0.2">
      <c r="A1" s="1" t="s">
        <v>54</v>
      </c>
    </row>
    <row r="2" spans="1:9" s="1" customFormat="1" x14ac:dyDescent="0.2">
      <c r="A2" s="1" t="str">
        <f>Application</f>
        <v>2018 ISO Tariff Application</v>
      </c>
    </row>
    <row r="3" spans="1:9" s="1" customFormat="1" x14ac:dyDescent="0.2">
      <c r="A3" s="1" t="str">
        <f>ApplicationSection</f>
        <v>Appendix G - Point of Delivery Cost Function Workbook</v>
      </c>
    </row>
    <row r="4" spans="1:9" s="1" customFormat="1" x14ac:dyDescent="0.2">
      <c r="A4" s="1" t="s">
        <v>966</v>
      </c>
    </row>
    <row r="5" spans="1:9" s="1" customFormat="1" x14ac:dyDescent="0.2">
      <c r="A5" s="43" t="str">
        <f>TableDate</f>
        <v>August 17, 2018</v>
      </c>
      <c r="B5" s="44"/>
    </row>
    <row r="6" spans="1:9" x14ac:dyDescent="0.2">
      <c r="G6" s="90"/>
    </row>
    <row r="7" spans="1:9" ht="25.5" x14ac:dyDescent="0.2">
      <c r="A7" s="143" t="s">
        <v>937</v>
      </c>
      <c r="B7" s="143" t="s">
        <v>938</v>
      </c>
      <c r="C7" s="143" t="s">
        <v>939</v>
      </c>
      <c r="D7" s="143" t="s">
        <v>940</v>
      </c>
      <c r="E7" s="143" t="s">
        <v>941</v>
      </c>
      <c r="F7" s="143" t="s">
        <v>942</v>
      </c>
      <c r="G7" s="144" t="s">
        <v>943</v>
      </c>
      <c r="H7" s="145"/>
      <c r="I7" s="144" t="s">
        <v>944</v>
      </c>
    </row>
    <row r="8" spans="1:9" ht="25.5" x14ac:dyDescent="0.2">
      <c r="A8" s="81"/>
      <c r="B8" s="81"/>
      <c r="C8" s="81" t="s">
        <v>945</v>
      </c>
      <c r="D8" s="81" t="s">
        <v>946</v>
      </c>
      <c r="E8" s="81" t="s">
        <v>947</v>
      </c>
      <c r="F8" s="81" t="s">
        <v>948</v>
      </c>
      <c r="G8" s="53" t="s">
        <v>949</v>
      </c>
      <c r="I8" s="53"/>
    </row>
    <row r="9" spans="1:9" x14ac:dyDescent="0.2">
      <c r="A9" s="2">
        <v>1986</v>
      </c>
      <c r="B9" t="s">
        <v>950</v>
      </c>
      <c r="C9" s="146">
        <v>-1.9039204118760132E-4</v>
      </c>
      <c r="D9" s="147"/>
      <c r="E9" s="146">
        <v>3.3960221616295486E-2</v>
      </c>
      <c r="F9" s="146">
        <f t="shared" ref="F9:F34" si="0">(C9*65%)+(E9*35%)</f>
        <v>1.1762322738931479E-2</v>
      </c>
      <c r="G9" s="148">
        <f t="shared" ref="G9:G32" si="1">G10*(1+F10)</f>
        <v>2.559955793487025</v>
      </c>
      <c r="I9" s="146">
        <v>1.1762322738931479E-2</v>
      </c>
    </row>
    <row r="10" spans="1:9" x14ac:dyDescent="0.2">
      <c r="A10" s="2">
        <v>1987</v>
      </c>
      <c r="B10" t="s">
        <v>950</v>
      </c>
      <c r="C10" s="146">
        <v>8.5658815730224099E-3</v>
      </c>
      <c r="D10" s="147"/>
      <c r="E10" s="146">
        <v>4.0303585584964892E-2</v>
      </c>
      <c r="F10" s="146">
        <f t="shared" si="0"/>
        <v>1.9674077977202279E-2</v>
      </c>
      <c r="G10" s="148">
        <f t="shared" si="1"/>
        <v>2.5105627854788519</v>
      </c>
      <c r="I10" s="146">
        <v>1.9674077977202279E-2</v>
      </c>
    </row>
    <row r="11" spans="1:9" x14ac:dyDescent="0.2">
      <c r="A11" s="2">
        <v>1988</v>
      </c>
      <c r="B11" t="s">
        <v>950</v>
      </c>
      <c r="C11" s="146">
        <v>3.8537412105330078E-2</v>
      </c>
      <c r="D11" s="147"/>
      <c r="E11" s="146">
        <v>2.7169811320755081E-2</v>
      </c>
      <c r="F11" s="146">
        <f t="shared" si="0"/>
        <v>3.4558751830728832E-2</v>
      </c>
      <c r="G11" s="148">
        <f t="shared" si="1"/>
        <v>2.4266990937307562</v>
      </c>
      <c r="I11" s="146">
        <v>3.4558751830728832E-2</v>
      </c>
    </row>
    <row r="12" spans="1:9" x14ac:dyDescent="0.2">
      <c r="A12" s="2">
        <v>1989</v>
      </c>
      <c r="B12" t="s">
        <v>950</v>
      </c>
      <c r="C12" s="146">
        <v>5.0094723920686611E-2</v>
      </c>
      <c r="D12" s="147"/>
      <c r="E12" s="146">
        <v>4.2003428728875587E-2</v>
      </c>
      <c r="F12" s="146">
        <f t="shared" si="0"/>
        <v>4.7262770603552759E-2</v>
      </c>
      <c r="G12" s="148">
        <f>G13*(1+F13)</f>
        <v>2.3171826229745704</v>
      </c>
      <c r="I12" s="146">
        <v>4.7262770603552759E-2</v>
      </c>
    </row>
    <row r="13" spans="1:9" x14ac:dyDescent="0.2">
      <c r="A13" s="2">
        <v>1990</v>
      </c>
      <c r="B13" t="s">
        <v>950</v>
      </c>
      <c r="C13" s="146">
        <v>4.8401703347000113E-2</v>
      </c>
      <c r="D13" s="147"/>
      <c r="E13" s="146">
        <v>5.7468562705073375E-2</v>
      </c>
      <c r="F13" s="146">
        <f t="shared" si="0"/>
        <v>5.1575104122325757E-2</v>
      </c>
      <c r="G13" s="148">
        <f t="shared" si="1"/>
        <v>2.2035350721892151</v>
      </c>
      <c r="I13" s="146">
        <v>5.1575104122325757E-2</v>
      </c>
    </row>
    <row r="14" spans="1:9" x14ac:dyDescent="0.2">
      <c r="A14" s="2">
        <v>1991</v>
      </c>
      <c r="B14" t="s">
        <v>950</v>
      </c>
      <c r="C14" s="146">
        <v>6.2350494286212393E-2</v>
      </c>
      <c r="D14" s="147"/>
      <c r="E14" s="146">
        <v>5.8346299517486773E-2</v>
      </c>
      <c r="F14" s="146">
        <f t="shared" si="0"/>
        <v>6.0949026117158425E-2</v>
      </c>
      <c r="G14" s="148">
        <f t="shared" si="1"/>
        <v>2.0769471651750058</v>
      </c>
      <c r="I14" s="146">
        <v>6.0949026117158425E-2</v>
      </c>
    </row>
    <row r="15" spans="1:9" x14ac:dyDescent="0.2">
      <c r="A15" s="2">
        <v>1992</v>
      </c>
      <c r="B15" t="s">
        <v>950</v>
      </c>
      <c r="C15" s="146">
        <v>2.2622587088984455E-2</v>
      </c>
      <c r="D15" s="147"/>
      <c r="E15" s="146">
        <v>1.5121285306075561E-2</v>
      </c>
      <c r="F15" s="146">
        <f t="shared" si="0"/>
        <v>1.9997131464966341E-2</v>
      </c>
      <c r="G15" s="148">
        <f>G16*(1+F16)</f>
        <v>2.0362284374192305</v>
      </c>
      <c r="I15" s="146">
        <v>1.9997131464966341E-2</v>
      </c>
    </row>
    <row r="16" spans="1:9" x14ac:dyDescent="0.2">
      <c r="A16" s="2">
        <v>1993</v>
      </c>
      <c r="B16" t="s">
        <v>950</v>
      </c>
      <c r="C16" s="146">
        <v>1.3994862209065421E-2</v>
      </c>
      <c r="D16" s="147"/>
      <c r="E16" s="146">
        <v>1.0965138717085932E-2</v>
      </c>
      <c r="F16" s="146">
        <f t="shared" si="0"/>
        <v>1.29344589868726E-2</v>
      </c>
      <c r="G16" s="148">
        <f t="shared" si="1"/>
        <v>2.0102272356849693</v>
      </c>
      <c r="I16" s="146">
        <v>1.29344589868726E-2</v>
      </c>
    </row>
    <row r="17" spans="1:9" x14ac:dyDescent="0.2">
      <c r="A17" s="2">
        <v>1994</v>
      </c>
      <c r="B17" t="s">
        <v>950</v>
      </c>
      <c r="C17" s="146">
        <v>1.157467534775819E-2</v>
      </c>
      <c r="D17" s="147"/>
      <c r="E17" s="146">
        <v>1.4632149905787846E-2</v>
      </c>
      <c r="F17" s="146">
        <f t="shared" si="0"/>
        <v>1.264479144306857E-2</v>
      </c>
      <c r="G17" s="148">
        <f t="shared" si="1"/>
        <v>1.985125734780403</v>
      </c>
      <c r="I17" s="146">
        <v>1.264479144306857E-2</v>
      </c>
    </row>
    <row r="18" spans="1:9" x14ac:dyDescent="0.2">
      <c r="A18" s="2">
        <v>1995</v>
      </c>
      <c r="B18" t="s">
        <v>950</v>
      </c>
      <c r="C18" s="146">
        <v>8.5222867362251143E-3</v>
      </c>
      <c r="D18" s="147"/>
      <c r="E18" s="146">
        <v>2.2892295686051996E-2</v>
      </c>
      <c r="F18" s="146">
        <f t="shared" si="0"/>
        <v>1.3551789868664522E-2</v>
      </c>
      <c r="G18" s="148">
        <f t="shared" si="1"/>
        <v>1.9585834237810722</v>
      </c>
      <c r="I18" s="146">
        <v>1.3551789868664522E-2</v>
      </c>
    </row>
    <row r="19" spans="1:9" x14ac:dyDescent="0.2">
      <c r="A19" s="2">
        <v>1996</v>
      </c>
      <c r="B19" t="s">
        <v>950</v>
      </c>
      <c r="C19" s="146">
        <v>4.87826560971239E-2</v>
      </c>
      <c r="D19" s="147"/>
      <c r="E19" s="146">
        <v>2.1689835249426352E-2</v>
      </c>
      <c r="F19" s="146">
        <f t="shared" si="0"/>
        <v>3.9300168800429754E-2</v>
      </c>
      <c r="G19" s="148">
        <f t="shared" si="1"/>
        <v>1.8845214140989586</v>
      </c>
      <c r="I19" s="146">
        <v>3.9300168800429754E-2</v>
      </c>
    </row>
    <row r="20" spans="1:9" x14ac:dyDescent="0.2">
      <c r="A20" s="2">
        <v>1997</v>
      </c>
      <c r="B20" t="s">
        <v>950</v>
      </c>
      <c r="C20" s="146">
        <v>3.8229848307870108E-2</v>
      </c>
      <c r="D20" s="147"/>
      <c r="E20" s="146">
        <v>2.065039042349686E-2</v>
      </c>
      <c r="F20" s="146">
        <f t="shared" si="0"/>
        <v>3.2077038048339473E-2</v>
      </c>
      <c r="G20" s="148">
        <f t="shared" si="1"/>
        <v>1.8259503357061346</v>
      </c>
      <c r="I20" s="146">
        <v>3.2077038048339473E-2</v>
      </c>
    </row>
    <row r="21" spans="1:9" x14ac:dyDescent="0.2">
      <c r="A21" s="2">
        <v>1998</v>
      </c>
      <c r="B21" t="s">
        <v>950</v>
      </c>
      <c r="C21" s="146">
        <v>3.4603806419660377E-2</v>
      </c>
      <c r="D21" s="147"/>
      <c r="E21" s="146">
        <v>1.1534461947912371E-2</v>
      </c>
      <c r="F21" s="146">
        <f t="shared" si="0"/>
        <v>2.6529535854548574E-2</v>
      </c>
      <c r="G21" s="148">
        <f t="shared" si="1"/>
        <v>1.7787606414910384</v>
      </c>
      <c r="I21" s="146">
        <v>2.6529535854548574E-2</v>
      </c>
    </row>
    <row r="22" spans="1:9" x14ac:dyDescent="0.2">
      <c r="A22" s="2">
        <v>1999</v>
      </c>
      <c r="B22" t="s">
        <v>950</v>
      </c>
      <c r="C22" s="146">
        <v>3.5249272103518262E-2</v>
      </c>
      <c r="D22" s="147"/>
      <c r="E22" s="146">
        <v>2.4581736419369726E-2</v>
      </c>
      <c r="F22" s="146">
        <f t="shared" si="0"/>
        <v>3.1515634614066271E-2</v>
      </c>
      <c r="G22" s="148">
        <f t="shared" si="1"/>
        <v>1.7244146203916222</v>
      </c>
      <c r="I22" s="146">
        <v>3.1515634614066271E-2</v>
      </c>
    </row>
    <row r="23" spans="1:9" x14ac:dyDescent="0.2">
      <c r="A23" s="2">
        <v>2000</v>
      </c>
      <c r="B23" t="s">
        <v>950</v>
      </c>
      <c r="C23" s="146">
        <v>3.2233614250205947E-2</v>
      </c>
      <c r="D23" s="147"/>
      <c r="E23" s="146">
        <v>3.4938879857690133E-2</v>
      </c>
      <c r="F23" s="146">
        <f t="shared" si="0"/>
        <v>3.3180457212825414E-2</v>
      </c>
      <c r="G23" s="148">
        <f t="shared" si="1"/>
        <v>1.669035267124114</v>
      </c>
      <c r="I23" s="146">
        <v>3.3180457212825414E-2</v>
      </c>
    </row>
    <row r="24" spans="1:9" x14ac:dyDescent="0.2">
      <c r="A24" s="2">
        <v>2001</v>
      </c>
      <c r="B24" t="s">
        <v>950</v>
      </c>
      <c r="C24" s="146">
        <v>5.3842179968941167E-2</v>
      </c>
      <c r="D24" s="147"/>
      <c r="E24" s="146">
        <v>2.2565006520708333E-2</v>
      </c>
      <c r="F24" s="146">
        <f t="shared" si="0"/>
        <v>4.2895169262059676E-2</v>
      </c>
      <c r="G24" s="148">
        <f t="shared" si="1"/>
        <v>1.6003864207225198</v>
      </c>
      <c r="I24" s="146">
        <v>4.2895169262059676E-2</v>
      </c>
    </row>
    <row r="25" spans="1:9" x14ac:dyDescent="0.2">
      <c r="A25" s="2">
        <v>2002</v>
      </c>
      <c r="B25" t="s">
        <v>950</v>
      </c>
      <c r="C25" s="146">
        <v>4.2231648701693596E-2</v>
      </c>
      <c r="D25" s="147"/>
      <c r="E25" s="146">
        <v>3.4307387121799954E-2</v>
      </c>
      <c r="F25" s="146">
        <f t="shared" si="0"/>
        <v>3.945815714873082E-2</v>
      </c>
      <c r="G25" s="148">
        <f t="shared" si="1"/>
        <v>1.5396352510354376</v>
      </c>
      <c r="I25" s="146">
        <v>3.945815714873082E-2</v>
      </c>
    </row>
    <row r="26" spans="1:9" x14ac:dyDescent="0.2">
      <c r="A26" s="2">
        <v>2003</v>
      </c>
      <c r="B26" t="s">
        <v>950</v>
      </c>
      <c r="C26" s="146">
        <v>-3.8362928665573613E-3</v>
      </c>
      <c r="D26" s="147"/>
      <c r="E26" s="146">
        <v>4.4170346869600821E-2</v>
      </c>
      <c r="F26" s="146">
        <f t="shared" si="0"/>
        <v>1.2966031041098001E-2</v>
      </c>
      <c r="G26" s="148">
        <f t="shared" si="1"/>
        <v>1.5199278197444033</v>
      </c>
      <c r="I26" s="146">
        <v>1.2966031041098001E-2</v>
      </c>
    </row>
    <row r="27" spans="1:9" x14ac:dyDescent="0.2">
      <c r="A27" s="2">
        <v>2004</v>
      </c>
      <c r="B27" t="s">
        <v>950</v>
      </c>
      <c r="C27" s="146">
        <v>2.9913834052197181E-2</v>
      </c>
      <c r="D27" s="147"/>
      <c r="E27" s="146">
        <v>1.4047410818139637E-2</v>
      </c>
      <c r="F27" s="146">
        <f t="shared" si="0"/>
        <v>2.4360585920277039E-2</v>
      </c>
      <c r="G27" s="148">
        <f t="shared" si="1"/>
        <v>1.483782020350688</v>
      </c>
      <c r="I27" s="146">
        <v>2.4360585920277039E-2</v>
      </c>
    </row>
    <row r="28" spans="1:9" x14ac:dyDescent="0.2">
      <c r="A28" s="2">
        <v>2005</v>
      </c>
      <c r="B28" t="s">
        <v>950</v>
      </c>
      <c r="C28" s="146">
        <v>7.5375915986766309E-2</v>
      </c>
      <c r="D28" s="147"/>
      <c r="E28" s="146">
        <v>2.1408892561983504E-2</v>
      </c>
      <c r="F28" s="146">
        <f t="shared" si="0"/>
        <v>5.6487457788092332E-2</v>
      </c>
      <c r="G28" s="148">
        <f t="shared" si="1"/>
        <v>1.4044483059526309</v>
      </c>
      <c r="I28" s="146">
        <v>5.6487457788092332E-2</v>
      </c>
    </row>
    <row r="29" spans="1:9" x14ac:dyDescent="0.2">
      <c r="A29" s="2">
        <v>2006</v>
      </c>
      <c r="B29" t="s">
        <v>950</v>
      </c>
      <c r="C29" s="146">
        <v>7.3723591124294385E-2</v>
      </c>
      <c r="D29" s="147"/>
      <c r="E29" s="146">
        <v>3.8837944114723126E-2</v>
      </c>
      <c r="F29" s="146">
        <f t="shared" si="0"/>
        <v>6.1513614670944447E-2</v>
      </c>
      <c r="G29" s="148">
        <f t="shared" si="1"/>
        <v>1.3230619810637019</v>
      </c>
      <c r="I29" s="146">
        <v>6.1513614670944447E-2</v>
      </c>
    </row>
    <row r="30" spans="1:9" x14ac:dyDescent="0.2">
      <c r="A30" s="2">
        <v>2007</v>
      </c>
      <c r="B30" t="s">
        <v>950</v>
      </c>
      <c r="C30" s="146">
        <v>5.9262509356612217E-2</v>
      </c>
      <c r="D30" s="147"/>
      <c r="E30" s="146">
        <v>4.9328687855987811E-2</v>
      </c>
      <c r="F30" s="146">
        <f t="shared" si="0"/>
        <v>5.5785671831393671E-2</v>
      </c>
      <c r="G30" s="148">
        <f t="shared" si="1"/>
        <v>1.2531539462632446</v>
      </c>
      <c r="I30" s="146">
        <v>5.5785671831393671E-2</v>
      </c>
    </row>
    <row r="31" spans="1:9" x14ac:dyDescent="0.2">
      <c r="A31" s="2">
        <v>2008</v>
      </c>
      <c r="B31" t="s">
        <v>950</v>
      </c>
      <c r="C31" s="146">
        <v>5.1698531441947401E-2</v>
      </c>
      <c r="D31" s="147"/>
      <c r="E31" s="146">
        <v>3.1811110516314085E-2</v>
      </c>
      <c r="F31" s="146">
        <f t="shared" si="0"/>
        <v>4.473793411797574E-2</v>
      </c>
      <c r="G31" s="148">
        <f t="shared" si="1"/>
        <v>1.199491188497166</v>
      </c>
      <c r="I31" s="146">
        <v>4.473793411797574E-2</v>
      </c>
    </row>
    <row r="32" spans="1:9" x14ac:dyDescent="0.2">
      <c r="A32" s="2">
        <v>2009</v>
      </c>
      <c r="B32" t="s">
        <v>950</v>
      </c>
      <c r="C32" s="146">
        <v>2.5778694394814266E-2</v>
      </c>
      <c r="D32" s="147"/>
      <c r="E32" s="146">
        <v>-1.4387482881878151E-3</v>
      </c>
      <c r="F32" s="146">
        <f t="shared" si="0"/>
        <v>1.6252589455763539E-2</v>
      </c>
      <c r="G32" s="148">
        <f t="shared" si="1"/>
        <v>1.1803081251084759</v>
      </c>
      <c r="I32" s="146">
        <v>1.6252589455763539E-2</v>
      </c>
    </row>
    <row r="33" spans="1:9" x14ac:dyDescent="0.2">
      <c r="A33" s="2">
        <v>2010</v>
      </c>
      <c r="B33" t="s">
        <v>950</v>
      </c>
      <c r="C33" s="146">
        <v>1.6398601135809938E-2</v>
      </c>
      <c r="D33" s="147"/>
      <c r="E33" s="146">
        <v>1.0222983176366536E-2</v>
      </c>
      <c r="F33" s="146">
        <f t="shared" si="0"/>
        <v>1.4237134850004747E-2</v>
      </c>
      <c r="G33" s="148">
        <f>G34*(1+F34)</f>
        <v>1.1637398045803473</v>
      </c>
      <c r="I33" s="146">
        <v>1.4237134850004747E-2</v>
      </c>
    </row>
    <row r="34" spans="1:9" x14ac:dyDescent="0.2">
      <c r="A34" s="2">
        <v>2011</v>
      </c>
      <c r="B34" t="s">
        <v>950</v>
      </c>
      <c r="C34" s="146">
        <v>2.354236308490535E-2</v>
      </c>
      <c r="D34" s="149">
        <v>4.3583119740055354E-2</v>
      </c>
      <c r="E34" s="146">
        <v>2.4449877750611245E-2</v>
      </c>
      <c r="F34" s="146">
        <f t="shared" si="0"/>
        <v>2.3859993217902414E-2</v>
      </c>
      <c r="G34" s="148">
        <f t="shared" ref="G34:G40" si="2">G35*(1+F35)</f>
        <v>1.1366200577120069</v>
      </c>
      <c r="I34" s="146">
        <v>2.3859993217902359E-2</v>
      </c>
    </row>
    <row r="35" spans="1:9" x14ac:dyDescent="0.2">
      <c r="A35" s="2">
        <v>2012</v>
      </c>
      <c r="B35" s="90" t="s">
        <v>950</v>
      </c>
      <c r="C35" s="146">
        <v>5.6114100116529876E-2</v>
      </c>
      <c r="D35" s="149">
        <v>3.5100612085053669E-2</v>
      </c>
      <c r="E35" s="146">
        <v>1.1137629276054028E-2</v>
      </c>
      <c r="F35" s="146">
        <f>(C35*65%)+(E35*35%)</f>
        <v>4.0372335322363333E-2</v>
      </c>
      <c r="G35" s="148">
        <f t="shared" si="2"/>
        <v>1.0925127659799037</v>
      </c>
      <c r="I35" s="146">
        <v>4.037233532236336E-2</v>
      </c>
    </row>
    <row r="36" spans="1:9" x14ac:dyDescent="0.2">
      <c r="A36" s="2">
        <v>2013</v>
      </c>
      <c r="B36" s="90" t="s">
        <v>950</v>
      </c>
      <c r="C36" s="150"/>
      <c r="D36" s="149">
        <v>3.502199968238251E-2</v>
      </c>
      <c r="E36" s="149">
        <v>1.4162077104642104E-2</v>
      </c>
      <c r="F36" s="149">
        <f t="shared" ref="F36:F41" si="3">(D36*65%)+(E36*35%)</f>
        <v>2.7721026780173366E-2</v>
      </c>
      <c r="G36" s="151">
        <f t="shared" si="2"/>
        <v>1.0630440922306721</v>
      </c>
      <c r="I36" s="146">
        <v>3.8773533667651329E-2</v>
      </c>
    </row>
    <row r="37" spans="1:9" x14ac:dyDescent="0.2">
      <c r="A37" s="2">
        <v>2014</v>
      </c>
      <c r="B37" s="90" t="s">
        <v>950</v>
      </c>
      <c r="C37" s="150"/>
      <c r="D37" s="149">
        <v>3.7293765117874231E-2</v>
      </c>
      <c r="E37" s="149">
        <v>2.5601241272303978E-2</v>
      </c>
      <c r="F37" s="149">
        <f t="shared" si="3"/>
        <v>3.3201381771924644E-2</v>
      </c>
      <c r="G37" s="151">
        <f t="shared" si="2"/>
        <v>1.0288837306891399</v>
      </c>
      <c r="I37" s="146">
        <v>2.8796908985520561E-2</v>
      </c>
    </row>
    <row r="38" spans="1:9" x14ac:dyDescent="0.2">
      <c r="A38" s="2">
        <v>2015</v>
      </c>
      <c r="B38" s="90" t="s">
        <v>950</v>
      </c>
      <c r="C38" s="150"/>
      <c r="D38" s="149">
        <v>-2.8974662397326391E-3</v>
      </c>
      <c r="E38" s="149">
        <v>1.1346444780635402E-2</v>
      </c>
      <c r="F38" s="149">
        <f t="shared" si="3"/>
        <v>2.0879026173961754E-3</v>
      </c>
      <c r="G38" s="151">
        <f t="shared" si="2"/>
        <v>1.0267399975608473</v>
      </c>
      <c r="I38" s="146"/>
    </row>
    <row r="39" spans="1:9" x14ac:dyDescent="0.2">
      <c r="A39" s="2">
        <v>2016</v>
      </c>
      <c r="B39" s="152" t="s">
        <v>951</v>
      </c>
      <c r="C39" s="150"/>
      <c r="D39" s="149">
        <v>-2.5038515558935347E-2</v>
      </c>
      <c r="E39" s="149">
        <v>1.4727356911351321E-2</v>
      </c>
      <c r="F39" s="149">
        <f t="shared" si="3"/>
        <v>-1.1120460194335012E-2</v>
      </c>
      <c r="G39" s="151">
        <f>G40*(1+F40)</f>
        <v>1.038286218119775</v>
      </c>
      <c r="I39" s="146"/>
    </row>
    <row r="40" spans="1:9" x14ac:dyDescent="0.2">
      <c r="A40" s="2">
        <v>2017</v>
      </c>
      <c r="B40" s="152" t="s">
        <v>952</v>
      </c>
      <c r="C40" s="150"/>
      <c r="D40" s="149">
        <v>1.0768178445136828E-2</v>
      </c>
      <c r="E40" s="149">
        <v>2.1836363515528263E-2</v>
      </c>
      <c r="F40" s="149">
        <f t="shared" si="3"/>
        <v>1.4642043219773831E-2</v>
      </c>
      <c r="G40" s="151">
        <f t="shared" si="2"/>
        <v>1.0233029717800486</v>
      </c>
      <c r="I40" s="146"/>
    </row>
    <row r="41" spans="1:9" x14ac:dyDescent="0.2">
      <c r="A41" s="2">
        <v>2018</v>
      </c>
      <c r="B41" s="152" t="s">
        <v>952</v>
      </c>
      <c r="C41" s="150"/>
      <c r="D41" s="149">
        <v>2.4111643235636235E-2</v>
      </c>
      <c r="E41" s="149">
        <v>2.1801153362528705E-2</v>
      </c>
      <c r="F41" s="149">
        <f t="shared" si="3"/>
        <v>2.3302971780048597E-2</v>
      </c>
      <c r="G41" s="153">
        <f>1</f>
        <v>1</v>
      </c>
      <c r="I41" s="146"/>
    </row>
    <row r="42" spans="1:9" x14ac:dyDescent="0.2">
      <c r="I42" s="146"/>
    </row>
    <row r="43" spans="1:9" x14ac:dyDescent="0.2">
      <c r="A43" s="90" t="s">
        <v>953</v>
      </c>
      <c r="F43" s="135">
        <f>AVERAGE(F9:F37)</f>
        <v>3.2460763546978785E-2</v>
      </c>
      <c r="I43" s="135">
        <f>AVERAGE(I9:I37)</f>
        <v>3.2690006102188231E-2</v>
      </c>
    </row>
    <row r="44" spans="1:9" x14ac:dyDescent="0.2">
      <c r="A44" s="90" t="s">
        <v>954</v>
      </c>
      <c r="F44" s="135">
        <f>AVERAGE(F9:F41)</f>
        <v>2.9402260614705106E-2</v>
      </c>
      <c r="I44" s="146"/>
    </row>
    <row r="46" spans="1:9" x14ac:dyDescent="0.2">
      <c r="A46" s="90" t="s">
        <v>955</v>
      </c>
    </row>
    <row r="47" spans="1:9" x14ac:dyDescent="0.2">
      <c r="A47" s="154" t="s">
        <v>956</v>
      </c>
    </row>
    <row r="48" spans="1:9" x14ac:dyDescent="0.2">
      <c r="A48" s="154" t="s">
        <v>957</v>
      </c>
    </row>
    <row r="49" spans="1:5" ht="12.75" customHeight="1" x14ac:dyDescent="0.2">
      <c r="A49" s="90" t="s">
        <v>958</v>
      </c>
    </row>
    <row r="50" spans="1:5" x14ac:dyDescent="0.2">
      <c r="A50" s="154" t="s">
        <v>959</v>
      </c>
    </row>
    <row r="51" spans="1:5" ht="14.25" x14ac:dyDescent="0.2">
      <c r="A51" s="155" t="s">
        <v>960</v>
      </c>
      <c r="B51" s="84"/>
      <c r="C51" s="84"/>
      <c r="D51" s="84"/>
      <c r="E51" s="84"/>
    </row>
    <row r="52" spans="1:5" x14ac:dyDescent="0.2">
      <c r="A52" s="155" t="s">
        <v>961</v>
      </c>
      <c r="B52" s="84"/>
      <c r="C52" s="84"/>
      <c r="D52" s="84"/>
      <c r="E52" s="84"/>
    </row>
    <row r="53" spans="1:5" x14ac:dyDescent="0.2">
      <c r="A53" s="155"/>
      <c r="B53" s="84"/>
      <c r="C53" s="84"/>
      <c r="D53" s="84"/>
      <c r="E53" s="84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23"/>
  <sheetViews>
    <sheetView zoomScaleNormal="100" workbookViewId="0"/>
  </sheetViews>
  <sheetFormatPr defaultColWidth="19.5703125" defaultRowHeight="12.75" x14ac:dyDescent="0.2"/>
  <sheetData>
    <row r="1" spans="1:3" s="1" customFormat="1" x14ac:dyDescent="0.2">
      <c r="A1" s="1" t="s">
        <v>54</v>
      </c>
    </row>
    <row r="2" spans="1:3" s="1" customFormat="1" x14ac:dyDescent="0.2">
      <c r="A2" s="1" t="str">
        <f>Application</f>
        <v>2018 ISO Tariff Application</v>
      </c>
    </row>
    <row r="3" spans="1:3" s="1" customFormat="1" x14ac:dyDescent="0.2">
      <c r="A3" s="1" t="str">
        <f>ApplicationSection</f>
        <v>Appendix G - Point of Delivery Cost Function Workbook</v>
      </c>
    </row>
    <row r="4" spans="1:3" s="1" customFormat="1" x14ac:dyDescent="0.2">
      <c r="A4" s="1" t="s">
        <v>967</v>
      </c>
    </row>
    <row r="5" spans="1:3" s="1" customFormat="1" x14ac:dyDescent="0.2">
      <c r="A5" s="43" t="str">
        <f>TableDate</f>
        <v>August 17, 2018</v>
      </c>
      <c r="B5" s="44"/>
    </row>
    <row r="6" spans="1:3" s="5" customFormat="1" x14ac:dyDescent="0.2">
      <c r="A6" s="45"/>
      <c r="C6" s="46"/>
    </row>
    <row r="7" spans="1:3" x14ac:dyDescent="0.2">
      <c r="A7" s="1"/>
    </row>
    <row r="37" spans="1:4" x14ac:dyDescent="0.2">
      <c r="B37" s="2"/>
      <c r="D37" s="2" t="str">
        <f>"Cost = "&amp;FIXED('GF + UG Iteration 15'!P16,4)&amp;" x MW^"&amp;FIXED('GF + UG Iteration 15'!P15,4)</f>
        <v>Cost = 2.5542 x MW^0.5726</v>
      </c>
    </row>
    <row r="38" spans="1:4" s="2" customFormat="1" x14ac:dyDescent="0.2">
      <c r="A38" s="6" t="s">
        <v>2</v>
      </c>
      <c r="B38" s="6" t="s">
        <v>3</v>
      </c>
      <c r="C38" s="6" t="s">
        <v>4</v>
      </c>
      <c r="D38" s="2" t="s">
        <v>5</v>
      </c>
    </row>
    <row r="39" spans="1:4" x14ac:dyDescent="0.2">
      <c r="A39" s="7">
        <f>'GF + UG Iteration 15'!I8</f>
        <v>14</v>
      </c>
      <c r="B39" s="8">
        <f>'GF + UG Iteration 15'!J8</f>
        <v>16.861812370959647</v>
      </c>
      <c r="C39" s="8"/>
      <c r="D39" s="8">
        <f>SUM(B39:C39)</f>
        <v>16.861812370959647</v>
      </c>
    </row>
    <row r="40" spans="1:4" x14ac:dyDescent="0.2">
      <c r="A40" s="7">
        <f>'GF + UG Iteration 15'!I9</f>
        <v>8.5</v>
      </c>
      <c r="B40" s="8">
        <f>'GF + UG Iteration 15'!J9</f>
        <v>6.0182252638842719</v>
      </c>
      <c r="C40" s="8"/>
      <c r="D40" s="8">
        <f t="shared" ref="D40:D102" si="0">SUM(B40:C40)</f>
        <v>6.0182252638842719</v>
      </c>
    </row>
    <row r="41" spans="1:4" x14ac:dyDescent="0.2">
      <c r="A41" s="7">
        <f>'GF + UG Iteration 15'!I10</f>
        <v>30</v>
      </c>
      <c r="B41" s="8">
        <f>'GF + UG Iteration 15'!J10</f>
        <v>14.998991377977235</v>
      </c>
      <c r="C41" s="8"/>
      <c r="D41" s="8">
        <f t="shared" si="0"/>
        <v>14.998991377977235</v>
      </c>
    </row>
    <row r="42" spans="1:4" x14ac:dyDescent="0.2">
      <c r="A42" s="7">
        <f>'GF + UG Iteration 15'!I11</f>
        <v>13</v>
      </c>
      <c r="B42" s="8">
        <f>'GF + UG Iteration 15'!J11</f>
        <v>11.164764224012115</v>
      </c>
      <c r="C42" s="8"/>
      <c r="D42" s="8">
        <f t="shared" si="0"/>
        <v>11.164764224012115</v>
      </c>
    </row>
    <row r="43" spans="1:4" x14ac:dyDescent="0.2">
      <c r="A43" s="7">
        <f>'GF + UG Iteration 15'!I12</f>
        <v>24.3</v>
      </c>
      <c r="B43" s="8">
        <f>'GF + UG Iteration 15'!J12</f>
        <v>11.705577131494863</v>
      </c>
      <c r="C43" s="8"/>
      <c r="D43" s="8">
        <f t="shared" si="0"/>
        <v>11.705577131494863</v>
      </c>
    </row>
    <row r="44" spans="1:4" x14ac:dyDescent="0.2">
      <c r="A44" s="7">
        <f>'GF + UG Iteration 15'!I13</f>
        <v>18</v>
      </c>
      <c r="B44" s="8">
        <f>'GF + UG Iteration 15'!J13</f>
        <v>31.659927445331629</v>
      </c>
      <c r="C44" s="8"/>
      <c r="D44" s="8">
        <f t="shared" si="0"/>
        <v>31.659927445331629</v>
      </c>
    </row>
    <row r="45" spans="1:4" x14ac:dyDescent="0.2">
      <c r="A45" s="7">
        <f>'GF + UG Iteration 15'!I14</f>
        <v>6</v>
      </c>
      <c r="B45" s="8">
        <f>'GF + UG Iteration 15'!J14</f>
        <v>9.6396451057157435</v>
      </c>
      <c r="C45" s="8"/>
      <c r="D45" s="8">
        <f t="shared" si="0"/>
        <v>9.6396451057157435</v>
      </c>
    </row>
    <row r="46" spans="1:4" x14ac:dyDescent="0.2">
      <c r="A46" s="7">
        <f>'GF + UG Iteration 15'!I15</f>
        <v>10</v>
      </c>
      <c r="B46" s="8">
        <f>'GF + UG Iteration 15'!J15</f>
        <v>16.009559216092757</v>
      </c>
      <c r="C46" s="8"/>
      <c r="D46" s="8">
        <f t="shared" si="0"/>
        <v>16.009559216092757</v>
      </c>
    </row>
    <row r="47" spans="1:4" x14ac:dyDescent="0.2">
      <c r="A47" s="7">
        <f>'GF + UG Iteration 15'!I16</f>
        <v>20</v>
      </c>
      <c r="B47" s="8">
        <f>'GF + UG Iteration 15'!J16</f>
        <v>16.293644713264708</v>
      </c>
      <c r="C47" s="8"/>
      <c r="D47" s="8">
        <f t="shared" si="0"/>
        <v>16.293644713264708</v>
      </c>
    </row>
    <row r="48" spans="1:4" x14ac:dyDescent="0.2">
      <c r="A48" s="7">
        <f>'GF + UG Iteration 15'!I17</f>
        <v>17.2</v>
      </c>
      <c r="B48" s="8">
        <f>'GF + UG Iteration 15'!J17</f>
        <v>8.9094125785416409</v>
      </c>
      <c r="C48" s="8"/>
      <c r="D48" s="8">
        <f t="shared" si="0"/>
        <v>8.9094125785416409</v>
      </c>
    </row>
    <row r="49" spans="1:4" x14ac:dyDescent="0.2">
      <c r="A49" s="7">
        <f>'GF + UG Iteration 15'!I18</f>
        <v>20</v>
      </c>
      <c r="B49" s="8">
        <f>'GF + UG Iteration 15'!J18</f>
        <v>17.299482978955592</v>
      </c>
      <c r="C49" s="8"/>
      <c r="D49" s="8">
        <f t="shared" si="0"/>
        <v>17.299482978955592</v>
      </c>
    </row>
    <row r="50" spans="1:4" x14ac:dyDescent="0.2">
      <c r="A50" s="7">
        <f>'GF + UG Iteration 15'!I19</f>
        <v>9</v>
      </c>
      <c r="B50" s="8">
        <f>'GF + UG Iteration 15'!J19</f>
        <v>9.9511250787738224</v>
      </c>
      <c r="C50" s="8"/>
      <c r="D50" s="8">
        <f t="shared" si="0"/>
        <v>9.9511250787738224</v>
      </c>
    </row>
    <row r="51" spans="1:4" x14ac:dyDescent="0.2">
      <c r="A51" s="7">
        <f>'GF + UG Iteration 15'!I20</f>
        <v>8</v>
      </c>
      <c r="B51" s="8">
        <f>'GF + UG Iteration 15'!J20</f>
        <v>6.0754029342110369</v>
      </c>
      <c r="C51" s="8"/>
      <c r="D51" s="8">
        <f t="shared" si="0"/>
        <v>6.0754029342110369</v>
      </c>
    </row>
    <row r="52" spans="1:4" x14ac:dyDescent="0.2">
      <c r="A52" s="7">
        <f>'GF + UG Iteration 15'!I21</f>
        <v>13.6</v>
      </c>
      <c r="B52" s="8">
        <f>'GF + UG Iteration 15'!J21</f>
        <v>10.90270245998838</v>
      </c>
      <c r="C52" s="8"/>
      <c r="D52" s="8">
        <f t="shared" si="0"/>
        <v>10.90270245998838</v>
      </c>
    </row>
    <row r="53" spans="1:4" x14ac:dyDescent="0.2">
      <c r="A53" s="7">
        <f>'GF + UG Iteration 15'!I22</f>
        <v>10.548</v>
      </c>
      <c r="B53" s="8">
        <f>'GF + UG Iteration 15'!J22</f>
        <v>9.3004925979781259</v>
      </c>
      <c r="C53" s="8"/>
      <c r="D53" s="8">
        <f t="shared" si="0"/>
        <v>9.3004925979781259</v>
      </c>
    </row>
    <row r="54" spans="1:4" x14ac:dyDescent="0.2">
      <c r="A54" s="7">
        <f>'GF + UG Iteration 15'!I23</f>
        <v>27</v>
      </c>
      <c r="B54" s="8">
        <f>'GF + UG Iteration 15'!J23</f>
        <v>13.07265503282744</v>
      </c>
      <c r="C54" s="8"/>
      <c r="D54" s="8">
        <f t="shared" si="0"/>
        <v>13.07265503282744</v>
      </c>
    </row>
    <row r="55" spans="1:4" x14ac:dyDescent="0.2">
      <c r="A55" s="7">
        <f>'GF + UG Iteration 15'!I24</f>
        <v>28</v>
      </c>
      <c r="B55" s="8">
        <f>'GF + UG Iteration 15'!J24</f>
        <v>34.903749706800433</v>
      </c>
      <c r="C55" s="8"/>
      <c r="D55" s="8">
        <f t="shared" si="0"/>
        <v>34.903749706800433</v>
      </c>
    </row>
    <row r="56" spans="1:4" x14ac:dyDescent="0.2">
      <c r="A56" s="7">
        <f>'GF + UG Iteration 15'!I25</f>
        <v>24</v>
      </c>
      <c r="B56" s="8">
        <f>'GF + UG Iteration 15'!J25</f>
        <v>13.650794587226329</v>
      </c>
      <c r="C56" s="8"/>
      <c r="D56" s="8">
        <f t="shared" si="0"/>
        <v>13.650794587226329</v>
      </c>
    </row>
    <row r="57" spans="1:4" x14ac:dyDescent="0.2">
      <c r="A57" s="7">
        <f>'GF + UG Iteration 15'!I26</f>
        <v>43</v>
      </c>
      <c r="B57" s="8">
        <f>'GF + UG Iteration 15'!J26</f>
        <v>26.816090615909914</v>
      </c>
      <c r="C57" s="8"/>
      <c r="D57" s="8">
        <f t="shared" si="0"/>
        <v>26.816090615909914</v>
      </c>
    </row>
    <row r="58" spans="1:4" x14ac:dyDescent="0.2">
      <c r="A58" s="7">
        <f>'GF + UG Iteration 15'!I27</f>
        <v>7.5</v>
      </c>
      <c r="B58" s="8">
        <f>'GF + UG Iteration 15'!J27</f>
        <v>9.5130592102135658</v>
      </c>
      <c r="C58" s="8"/>
      <c r="D58" s="8">
        <f t="shared" si="0"/>
        <v>9.5130592102135658</v>
      </c>
    </row>
    <row r="59" spans="1:4" x14ac:dyDescent="0.2">
      <c r="A59" s="7">
        <f>'GF + UG Iteration 15'!I28</f>
        <v>17.8</v>
      </c>
      <c r="B59" s="8">
        <f>'GF + UG Iteration 15'!J28</f>
        <v>13.152201549137706</v>
      </c>
      <c r="C59" s="8"/>
      <c r="D59" s="8">
        <f t="shared" si="0"/>
        <v>13.152201549137706</v>
      </c>
    </row>
    <row r="60" spans="1:4" x14ac:dyDescent="0.2">
      <c r="A60" s="7">
        <f>'GF + UG Iteration 15'!I29</f>
        <v>20.6</v>
      </c>
      <c r="B60" s="8">
        <f>'GF + UG Iteration 15'!J29</f>
        <v>11.291169205189183</v>
      </c>
      <c r="C60" s="8"/>
      <c r="D60" s="8">
        <f t="shared" si="0"/>
        <v>11.291169205189183</v>
      </c>
    </row>
    <row r="61" spans="1:4" x14ac:dyDescent="0.2">
      <c r="A61" s="7">
        <f>'GF + UG Iteration 15'!I30</f>
        <v>19.600000000000001</v>
      </c>
      <c r="B61" s="8">
        <f>'GF + UG Iteration 15'!J30</f>
        <v>20.965601428070691</v>
      </c>
      <c r="C61" s="8"/>
      <c r="D61" s="8">
        <f t="shared" si="0"/>
        <v>20.965601428070691</v>
      </c>
    </row>
    <row r="62" spans="1:4" x14ac:dyDescent="0.2">
      <c r="A62" s="7">
        <f>'GF + UG Iteration 15'!I31</f>
        <v>22</v>
      </c>
      <c r="B62" s="8">
        <f>'GF + UG Iteration 15'!J31</f>
        <v>13.309615571039751</v>
      </c>
      <c r="C62" s="8"/>
      <c r="D62" s="8">
        <f t="shared" si="0"/>
        <v>13.309615571039751</v>
      </c>
    </row>
    <row r="63" spans="1:4" x14ac:dyDescent="0.2">
      <c r="A63" s="7">
        <f>'GF + UG Iteration 15'!I32</f>
        <v>18.8</v>
      </c>
      <c r="B63" s="8">
        <f>'GF + UG Iteration 15'!J32</f>
        <v>7.9463711126733889</v>
      </c>
      <c r="C63" s="8"/>
      <c r="D63" s="8">
        <f t="shared" si="0"/>
        <v>7.9463711126733889</v>
      </c>
    </row>
    <row r="64" spans="1:4" x14ac:dyDescent="0.2">
      <c r="A64" s="7">
        <f>'GF + UG Iteration 15'!I33</f>
        <v>15.6</v>
      </c>
      <c r="B64" s="8">
        <f>'GF + UG Iteration 15'!J33</f>
        <v>13.99971574022935</v>
      </c>
      <c r="C64" s="8"/>
      <c r="D64" s="8">
        <f t="shared" si="0"/>
        <v>13.99971574022935</v>
      </c>
    </row>
    <row r="65" spans="1:4" x14ac:dyDescent="0.2">
      <c r="A65" s="7">
        <f>'GF + UG Iteration 15'!I34</f>
        <v>19.8</v>
      </c>
      <c r="B65" s="8">
        <f>'GF + UG Iteration 15'!J34</f>
        <v>7.2248521864398549</v>
      </c>
      <c r="C65" s="8"/>
      <c r="D65" s="8">
        <f t="shared" si="0"/>
        <v>7.2248521864398549</v>
      </c>
    </row>
    <row r="66" spans="1:4" x14ac:dyDescent="0.2">
      <c r="A66" s="7">
        <f>'GF + UG Iteration 15'!I35</f>
        <v>28.4</v>
      </c>
      <c r="B66" s="8">
        <f>'GF + UG Iteration 15'!J35</f>
        <v>5.2101531080390755</v>
      </c>
      <c r="C66" s="8"/>
      <c r="D66" s="8">
        <f t="shared" si="0"/>
        <v>5.2101531080390755</v>
      </c>
    </row>
    <row r="67" spans="1:4" x14ac:dyDescent="0.2">
      <c r="A67" s="7">
        <f>'GF + UG Iteration 15'!I36</f>
        <v>19</v>
      </c>
      <c r="B67" s="8">
        <f>'GF + UG Iteration 15'!J36</f>
        <v>13.758834109767626</v>
      </c>
      <c r="C67" s="8"/>
      <c r="D67" s="8">
        <f t="shared" si="0"/>
        <v>13.758834109767626</v>
      </c>
    </row>
    <row r="68" spans="1:4" x14ac:dyDescent="0.2">
      <c r="A68" s="7">
        <f>'GF + UG Iteration 15'!I37</f>
        <v>12</v>
      </c>
      <c r="B68" s="8">
        <f>'GF + UG Iteration 15'!J37</f>
        <v>4.4533584840568787</v>
      </c>
      <c r="C68" s="8"/>
      <c r="D68" s="8">
        <f t="shared" si="0"/>
        <v>4.4533584840568787</v>
      </c>
    </row>
    <row r="69" spans="1:4" x14ac:dyDescent="0.2">
      <c r="A69" s="7">
        <f>'GF + UG Iteration 15'!I38</f>
        <v>25</v>
      </c>
      <c r="B69" s="8">
        <f>'GF + UG Iteration 15'!J38</f>
        <v>12.931754132918639</v>
      </c>
      <c r="C69" s="8"/>
      <c r="D69" s="8">
        <f t="shared" si="0"/>
        <v>12.931754132918639</v>
      </c>
    </row>
    <row r="70" spans="1:4" x14ac:dyDescent="0.2">
      <c r="A70" s="7">
        <f>'GF + UG Iteration 15'!I39</f>
        <v>15</v>
      </c>
      <c r="B70" s="8">
        <f>'GF + UG Iteration 15'!J39</f>
        <v>14.973718181093032</v>
      </c>
      <c r="C70" s="8"/>
      <c r="D70" s="8">
        <f t="shared" si="0"/>
        <v>14.973718181093032</v>
      </c>
    </row>
    <row r="71" spans="1:4" x14ac:dyDescent="0.2">
      <c r="A71" s="7">
        <f>'GF + UG Iteration 15'!I40</f>
        <v>23</v>
      </c>
      <c r="B71" s="8">
        <f>'GF + UG Iteration 15'!J40</f>
        <v>28.66706963950903</v>
      </c>
      <c r="C71" s="8"/>
      <c r="D71" s="8">
        <f t="shared" si="0"/>
        <v>28.66706963950903</v>
      </c>
    </row>
    <row r="72" spans="1:4" x14ac:dyDescent="0.2">
      <c r="A72" s="7">
        <f>'GF + UG Iteration 15'!I41</f>
        <v>9.8000000000000007</v>
      </c>
      <c r="B72" s="8">
        <f>'GF + UG Iteration 15'!J41</f>
        <v>7.0657947644327148</v>
      </c>
      <c r="C72" s="8"/>
      <c r="D72" s="8">
        <f t="shared" si="0"/>
        <v>7.0657947644327148</v>
      </c>
    </row>
    <row r="73" spans="1:4" x14ac:dyDescent="0.2">
      <c r="A73" s="7">
        <f>'GF + UG Iteration 15'!I42</f>
        <v>30</v>
      </c>
      <c r="B73" s="8">
        <f>'GF + UG Iteration 15'!J42</f>
        <v>16.03232257186292</v>
      </c>
      <c r="C73" s="8"/>
      <c r="D73" s="8">
        <f t="shared" si="0"/>
        <v>16.03232257186292</v>
      </c>
    </row>
    <row r="74" spans="1:4" x14ac:dyDescent="0.2">
      <c r="A74" s="7">
        <f>'GF + UG Iteration 15'!I43</f>
        <v>115</v>
      </c>
      <c r="B74" s="8">
        <f>'GF + UG Iteration 15'!J43</f>
        <v>56.859498956472109</v>
      </c>
      <c r="C74" s="8"/>
      <c r="D74" s="8">
        <f t="shared" si="0"/>
        <v>56.859498956472109</v>
      </c>
    </row>
    <row r="75" spans="1:4" x14ac:dyDescent="0.2">
      <c r="A75" s="7">
        <f>'GF + UG Iteration 15'!I44</f>
        <v>67</v>
      </c>
      <c r="B75" s="8">
        <f>'GF + UG Iteration 15'!J44</f>
        <v>43.13883453102715</v>
      </c>
      <c r="C75" s="8"/>
      <c r="D75" s="8">
        <f t="shared" si="0"/>
        <v>43.13883453102715</v>
      </c>
    </row>
    <row r="76" spans="1:4" x14ac:dyDescent="0.2">
      <c r="A76" s="7">
        <f>'GF + UG Iteration 15'!I45</f>
        <v>16</v>
      </c>
      <c r="B76" s="8">
        <f>'GF + UG Iteration 15'!J45</f>
        <v>7.5134124542159286</v>
      </c>
      <c r="C76" s="8"/>
      <c r="D76" s="8">
        <f t="shared" si="0"/>
        <v>7.5134124542159286</v>
      </c>
    </row>
    <row r="77" spans="1:4" x14ac:dyDescent="0.2">
      <c r="A77" s="7">
        <f>'GF + UG Iteration 15'!I46</f>
        <v>25</v>
      </c>
      <c r="B77" s="8">
        <f>'GF + UG Iteration 15'!J46</f>
        <v>22.308265318441425</v>
      </c>
      <c r="C77" s="8"/>
      <c r="D77" s="8">
        <f t="shared" si="0"/>
        <v>22.308265318441425</v>
      </c>
    </row>
    <row r="78" spans="1:4" x14ac:dyDescent="0.2">
      <c r="A78" s="7">
        <f>'GF + UG Iteration 15'!I47</f>
        <v>8</v>
      </c>
      <c r="B78" s="8">
        <f>'GF + UG Iteration 15'!J47</f>
        <v>5.0823375539699818</v>
      </c>
      <c r="C78" s="8"/>
      <c r="D78" s="8">
        <f t="shared" si="0"/>
        <v>5.0823375539699818</v>
      </c>
    </row>
    <row r="79" spans="1:4" x14ac:dyDescent="0.2">
      <c r="A79" s="7">
        <f>'GF + UG Iteration 15'!I48</f>
        <v>6.2</v>
      </c>
      <c r="B79" s="8">
        <f>'GF + UG Iteration 15'!J48</f>
        <v>8.9160103759227685</v>
      </c>
      <c r="C79" s="8"/>
      <c r="D79" s="8">
        <f t="shared" si="0"/>
        <v>8.9160103759227685</v>
      </c>
    </row>
    <row r="80" spans="1:4" x14ac:dyDescent="0.2">
      <c r="A80" s="7">
        <f>'GF + UG Iteration 15'!I49</f>
        <v>35</v>
      </c>
      <c r="B80" s="8">
        <f>'GF + UG Iteration 15'!J49</f>
        <v>8.3689831482940882</v>
      </c>
      <c r="C80" s="8"/>
      <c r="D80" s="8">
        <f t="shared" si="0"/>
        <v>8.3689831482940882</v>
      </c>
    </row>
    <row r="81" spans="1:4" x14ac:dyDescent="0.2">
      <c r="A81" s="7">
        <f>'GF + UG Iteration 15'!I50</f>
        <v>15.2</v>
      </c>
      <c r="B81" s="8">
        <f>'GF + UG Iteration 15'!J50</f>
        <v>54.551770509232071</v>
      </c>
      <c r="C81" s="8"/>
      <c r="D81" s="8">
        <f t="shared" si="0"/>
        <v>54.551770509232071</v>
      </c>
    </row>
    <row r="82" spans="1:4" x14ac:dyDescent="0.2">
      <c r="A82" s="7">
        <f>'GF + UG Iteration 15'!I51</f>
        <v>17</v>
      </c>
      <c r="B82" s="8">
        <f>'GF + UG Iteration 15'!J51</f>
        <v>10.739901169983137</v>
      </c>
      <c r="C82" s="8"/>
      <c r="D82" s="8">
        <f t="shared" si="0"/>
        <v>10.739901169983137</v>
      </c>
    </row>
    <row r="83" spans="1:4" x14ac:dyDescent="0.2">
      <c r="A83" s="7">
        <f>'GF + UG Iteration 15'!I52</f>
        <v>8</v>
      </c>
      <c r="B83" s="8">
        <f>'GF + UG Iteration 15'!J52</f>
        <v>3.3788339951362953</v>
      </c>
      <c r="C83" s="8"/>
      <c r="D83" s="8">
        <f t="shared" si="0"/>
        <v>3.3788339951362953</v>
      </c>
    </row>
    <row r="84" spans="1:4" x14ac:dyDescent="0.2">
      <c r="A84" s="7">
        <f>'GF + UG Iteration 15'!I53</f>
        <v>9.4060000000000006</v>
      </c>
      <c r="B84" s="8">
        <f>'GF + UG Iteration 15'!J53</f>
        <v>9.7991326901064184</v>
      </c>
      <c r="C84" s="8"/>
      <c r="D84" s="8">
        <f t="shared" si="0"/>
        <v>9.7991326901064184</v>
      </c>
    </row>
    <row r="85" spans="1:4" x14ac:dyDescent="0.2">
      <c r="A85" s="7">
        <f>'GF + UG Iteration 15'!I54</f>
        <v>18</v>
      </c>
      <c r="B85" s="8">
        <f>'GF + UG Iteration 15'!J54</f>
        <v>11.984110505191126</v>
      </c>
      <c r="C85" s="8"/>
      <c r="D85" s="8">
        <f t="shared" si="0"/>
        <v>11.984110505191126</v>
      </c>
    </row>
    <row r="86" spans="1:4" x14ac:dyDescent="0.2">
      <c r="A86" s="7">
        <f>'GF + UG Iteration 15'!I55</f>
        <v>22</v>
      </c>
      <c r="B86" s="8">
        <f>'GF + UG Iteration 15'!J55</f>
        <v>16.606728766354362</v>
      </c>
      <c r="C86" s="8"/>
      <c r="D86" s="8">
        <f t="shared" si="0"/>
        <v>16.606728766354362</v>
      </c>
    </row>
    <row r="87" spans="1:4" x14ac:dyDescent="0.2">
      <c r="A87" s="7">
        <f>'GF + UG Iteration 15'!I56</f>
        <v>7.5</v>
      </c>
      <c r="B87" s="8">
        <f>'GF + UG Iteration 15'!J56</f>
        <v>8.5880709825089685</v>
      </c>
      <c r="C87" s="8"/>
      <c r="D87" s="8">
        <f t="shared" si="0"/>
        <v>8.5880709825089685</v>
      </c>
    </row>
    <row r="88" spans="1:4" x14ac:dyDescent="0.2">
      <c r="A88" s="7">
        <f>'GF + UG Iteration 15'!I57</f>
        <v>25</v>
      </c>
      <c r="B88" s="8">
        <f>'GF + UG Iteration 15'!J57</f>
        <v>8.6091983279462436</v>
      </c>
      <c r="C88" s="8"/>
      <c r="D88" s="8">
        <f t="shared" si="0"/>
        <v>8.6091983279462436</v>
      </c>
    </row>
    <row r="89" spans="1:4" x14ac:dyDescent="0.2">
      <c r="A89" s="7">
        <f>'GF + UG Iteration 15'!I58</f>
        <v>25</v>
      </c>
      <c r="B89" s="8">
        <f>'GF + UG Iteration 15'!J58</f>
        <v>8.2434360504581008</v>
      </c>
      <c r="C89" s="8"/>
      <c r="D89" s="8">
        <f t="shared" si="0"/>
        <v>8.2434360504581008</v>
      </c>
    </row>
    <row r="90" spans="1:4" x14ac:dyDescent="0.2">
      <c r="A90" s="7">
        <f>'GF + UG Iteration 15'!I59</f>
        <v>17</v>
      </c>
      <c r="B90" s="8">
        <f>'GF + UG Iteration 15'!J59</f>
        <v>6.9318595783251213</v>
      </c>
      <c r="C90" s="8"/>
      <c r="D90" s="8">
        <f t="shared" si="0"/>
        <v>6.9318595783251213</v>
      </c>
    </row>
    <row r="91" spans="1:4" x14ac:dyDescent="0.2">
      <c r="A91" s="7">
        <f>'GF + UG Iteration 15'!I60</f>
        <v>11</v>
      </c>
      <c r="B91" s="8">
        <f>'GF + UG Iteration 15'!J60</f>
        <v>19.087371326529755</v>
      </c>
      <c r="C91" s="8"/>
      <c r="D91" s="8">
        <f t="shared" si="0"/>
        <v>19.087371326529755</v>
      </c>
    </row>
    <row r="92" spans="1:4" x14ac:dyDescent="0.2">
      <c r="A92" s="7">
        <f>'GF + UG Iteration 15'!I61</f>
        <v>17</v>
      </c>
      <c r="B92" s="8">
        <f>'GF + UG Iteration 15'!J61</f>
        <v>5.2657663175025586</v>
      </c>
      <c r="C92" s="8"/>
      <c r="D92" s="8">
        <f t="shared" si="0"/>
        <v>5.2657663175025586</v>
      </c>
    </row>
    <row r="93" spans="1:4" x14ac:dyDescent="0.2">
      <c r="A93" s="7">
        <f>'GF + UG Iteration 15'!I62</f>
        <v>17</v>
      </c>
      <c r="B93" s="8">
        <f>'GF + UG Iteration 15'!J62</f>
        <v>7.7921694439597555</v>
      </c>
      <c r="C93" s="8"/>
      <c r="D93" s="8">
        <f t="shared" si="0"/>
        <v>7.7921694439597555</v>
      </c>
    </row>
    <row r="94" spans="1:4" x14ac:dyDescent="0.2">
      <c r="A94" s="7">
        <f>'GF + UG Iteration 15'!I63</f>
        <v>18</v>
      </c>
      <c r="B94" s="8">
        <f>'GF + UG Iteration 15'!J63</f>
        <v>11.923356574074873</v>
      </c>
      <c r="C94" s="8"/>
      <c r="D94" s="8">
        <f t="shared" si="0"/>
        <v>11.923356574074873</v>
      </c>
    </row>
    <row r="95" spans="1:4" x14ac:dyDescent="0.2">
      <c r="A95" s="7">
        <f>'GF + UG Iteration 15'!I64</f>
        <v>46</v>
      </c>
      <c r="B95" s="8">
        <f>'GF + UG Iteration 15'!J64</f>
        <v>58.100097147658744</v>
      </c>
      <c r="C95" s="8"/>
      <c r="D95" s="8">
        <f t="shared" si="0"/>
        <v>58.100097147658744</v>
      </c>
    </row>
    <row r="96" spans="1:4" x14ac:dyDescent="0.2">
      <c r="A96" s="7">
        <f>'GF + UG Iteration 15'!I65</f>
        <v>3</v>
      </c>
      <c r="B96" s="8">
        <f>'GF + UG Iteration 15'!J65</f>
        <v>10.634643135603309</v>
      </c>
      <c r="C96" s="8"/>
      <c r="D96" s="8">
        <f t="shared" si="0"/>
        <v>10.634643135603309</v>
      </c>
    </row>
    <row r="97" spans="1:4" x14ac:dyDescent="0.2">
      <c r="A97" s="7">
        <f>'GF + UG Iteration 15'!I66</f>
        <v>22</v>
      </c>
      <c r="B97" s="8">
        <f>'GF + UG Iteration 15'!J66</f>
        <v>7.1174715515965792</v>
      </c>
      <c r="C97" s="8"/>
      <c r="D97" s="8">
        <f t="shared" si="0"/>
        <v>7.1174715515965792</v>
      </c>
    </row>
    <row r="98" spans="1:4" x14ac:dyDescent="0.2">
      <c r="A98" s="7">
        <f>'GF + UG Iteration 15'!I67</f>
        <v>12</v>
      </c>
      <c r="B98" s="8">
        <f>'GF + UG Iteration 15'!J67</f>
        <v>20.217898457447252</v>
      </c>
      <c r="C98" s="8"/>
      <c r="D98" s="8">
        <f t="shared" si="0"/>
        <v>20.217898457447252</v>
      </c>
    </row>
    <row r="99" spans="1:4" x14ac:dyDescent="0.2">
      <c r="A99" s="7">
        <f>'GF + UG Iteration 15'!I68</f>
        <v>25</v>
      </c>
      <c r="B99" s="8">
        <f>'GF + UG Iteration 15'!J68</f>
        <v>15.17251837286627</v>
      </c>
      <c r="C99" s="8"/>
      <c r="D99" s="8">
        <f t="shared" si="0"/>
        <v>15.17251837286627</v>
      </c>
    </row>
    <row r="100" spans="1:4" x14ac:dyDescent="0.2">
      <c r="A100" s="7">
        <f>'GF + UG Iteration 15'!I69</f>
        <v>11</v>
      </c>
      <c r="B100" s="8">
        <f>'GF + UG Iteration 15'!J69</f>
        <v>12.628076471206382</v>
      </c>
      <c r="C100" s="8"/>
      <c r="D100" s="8">
        <f t="shared" si="0"/>
        <v>12.628076471206382</v>
      </c>
    </row>
    <row r="101" spans="1:4" x14ac:dyDescent="0.2">
      <c r="A101" s="7">
        <f>'GF + UG Iteration 15'!I70</f>
        <v>10</v>
      </c>
      <c r="B101" s="8">
        <f>'GF + UG Iteration 15'!J70</f>
        <v>24.362790290493837</v>
      </c>
      <c r="C101" s="8"/>
      <c r="D101" s="8">
        <f t="shared" si="0"/>
        <v>24.362790290493837</v>
      </c>
    </row>
    <row r="102" spans="1:4" x14ac:dyDescent="0.2">
      <c r="A102" s="7">
        <f>'GF + UG Iteration 15'!I71</f>
        <v>9</v>
      </c>
      <c r="B102" s="8">
        <f>'GF + UG Iteration 15'!J71</f>
        <v>14.71443826778331</v>
      </c>
      <c r="C102" s="8"/>
      <c r="D102" s="8">
        <f t="shared" si="0"/>
        <v>14.71443826778331</v>
      </c>
    </row>
    <row r="103" spans="1:4" x14ac:dyDescent="0.2">
      <c r="A103" s="7">
        <f>'GF + UG Iteration 15'!I72</f>
        <v>25</v>
      </c>
      <c r="B103" s="8">
        <f>'GF + UG Iteration 15'!J72</f>
        <v>9.825778201045452</v>
      </c>
      <c r="C103" s="8"/>
      <c r="D103" s="8">
        <f t="shared" ref="D103:D135" si="1">SUM(B103:C103)</f>
        <v>9.825778201045452</v>
      </c>
    </row>
    <row r="104" spans="1:4" x14ac:dyDescent="0.2">
      <c r="A104" s="7">
        <f>'GF + UG Iteration 15'!I73</f>
        <v>45</v>
      </c>
      <c r="B104" s="8">
        <f>'GF + UG Iteration 15'!J73</f>
        <v>25.798393978216257</v>
      </c>
      <c r="C104" s="8"/>
      <c r="D104" s="8">
        <f t="shared" si="1"/>
        <v>25.798393978216257</v>
      </c>
    </row>
    <row r="105" spans="1:4" x14ac:dyDescent="0.2">
      <c r="A105" s="7">
        <f>'GF + UG Iteration 15'!I74</f>
        <v>10.5</v>
      </c>
      <c r="B105" s="8">
        <f>'GF + UG Iteration 15'!J74</f>
        <v>13.501544643115857</v>
      </c>
      <c r="C105" s="8"/>
      <c r="D105" s="8">
        <f t="shared" si="1"/>
        <v>13.501544643115857</v>
      </c>
    </row>
    <row r="106" spans="1:4" x14ac:dyDescent="0.2">
      <c r="A106" s="7">
        <f>'GF + UG Iteration 15'!I75</f>
        <v>60</v>
      </c>
      <c r="B106" s="8">
        <f>'GF + UG Iteration 15'!J75</f>
        <v>25.887106037100622</v>
      </c>
      <c r="C106" s="8"/>
      <c r="D106" s="8">
        <f t="shared" si="1"/>
        <v>25.887106037100622</v>
      </c>
    </row>
    <row r="107" spans="1:4" x14ac:dyDescent="0.2">
      <c r="A107" s="7">
        <f>'GF + UG Iteration 15'!I76</f>
        <v>11.2</v>
      </c>
      <c r="B107" s="8">
        <f>'GF + UG Iteration 15'!J76</f>
        <v>26.918199168374588</v>
      </c>
      <c r="C107" s="8"/>
      <c r="D107" s="8">
        <f t="shared" si="1"/>
        <v>26.918199168374588</v>
      </c>
    </row>
    <row r="108" spans="1:4" x14ac:dyDescent="0.2">
      <c r="A108" s="7">
        <f>'GF + UG Iteration 15'!I77</f>
        <v>20</v>
      </c>
      <c r="B108" s="8">
        <f>'GF + UG Iteration 15'!J77</f>
        <v>13.969254162639503</v>
      </c>
      <c r="C108" s="8"/>
      <c r="D108" s="8">
        <f t="shared" si="1"/>
        <v>13.969254162639503</v>
      </c>
    </row>
    <row r="109" spans="1:4" x14ac:dyDescent="0.2">
      <c r="A109" s="7">
        <f>'GF + UG Iteration 15'!I78</f>
        <v>16</v>
      </c>
      <c r="B109" s="8">
        <f>'GF + UG Iteration 15'!J78</f>
        <v>17.647037003819346</v>
      </c>
      <c r="C109" s="8"/>
      <c r="D109" s="8">
        <f t="shared" si="1"/>
        <v>17.647037003819346</v>
      </c>
    </row>
    <row r="110" spans="1:4" x14ac:dyDescent="0.2">
      <c r="A110" s="7">
        <f>'GF + UG Iteration 15'!I79</f>
        <v>18</v>
      </c>
      <c r="B110" s="8">
        <f>'GF + UG Iteration 15'!J79</f>
        <v>8.4369732753123952</v>
      </c>
      <c r="C110" s="8"/>
      <c r="D110" s="8">
        <f t="shared" si="1"/>
        <v>8.4369732753123952</v>
      </c>
    </row>
    <row r="111" spans="1:4" x14ac:dyDescent="0.2">
      <c r="A111" s="7">
        <f>'GF + UG Iteration 15'!I80</f>
        <v>10</v>
      </c>
      <c r="B111" s="8">
        <f>'GF + UG Iteration 15'!J80</f>
        <v>8.8753762889293544</v>
      </c>
      <c r="C111" s="8"/>
      <c r="D111" s="8">
        <f t="shared" si="1"/>
        <v>8.8753762889293544</v>
      </c>
    </row>
    <row r="112" spans="1:4" x14ac:dyDescent="0.2">
      <c r="A112" s="7">
        <f>'GF + UG Iteration 15'!I81</f>
        <v>20</v>
      </c>
      <c r="B112" s="8">
        <f>'GF + UG Iteration 15'!J81</f>
        <v>27.761077137379147</v>
      </c>
      <c r="C112" s="8"/>
      <c r="D112" s="8">
        <f t="shared" si="1"/>
        <v>27.761077137379147</v>
      </c>
    </row>
    <row r="113" spans="1:4" x14ac:dyDescent="0.2">
      <c r="A113" s="7">
        <f>'GF + UG Iteration 15'!I82</f>
        <v>17</v>
      </c>
      <c r="B113" s="8">
        <f>'GF + UG Iteration 15'!J82</f>
        <v>11.725448588458148</v>
      </c>
      <c r="C113" s="8"/>
      <c r="D113" s="8">
        <f t="shared" si="1"/>
        <v>11.725448588458148</v>
      </c>
    </row>
    <row r="114" spans="1:4" x14ac:dyDescent="0.2">
      <c r="A114" s="7">
        <f>'GF + UG Iteration 15'!I83</f>
        <v>12</v>
      </c>
      <c r="B114" s="8">
        <f>'GF + UG Iteration 15'!J83</f>
        <v>7.5607136656563343</v>
      </c>
      <c r="C114" s="8"/>
      <c r="D114" s="8">
        <f t="shared" si="1"/>
        <v>7.5607136656563343</v>
      </c>
    </row>
    <row r="115" spans="1:4" x14ac:dyDescent="0.2">
      <c r="A115" s="7">
        <f>'GF + UG Iteration 15'!I84</f>
        <v>40</v>
      </c>
      <c r="B115" s="8">
        <f>'GF + UG Iteration 15'!J84</f>
        <v>26.381292343151443</v>
      </c>
      <c r="C115" s="8"/>
      <c r="D115" s="8">
        <f t="shared" si="1"/>
        <v>26.381292343151443</v>
      </c>
    </row>
    <row r="116" spans="1:4" x14ac:dyDescent="0.2">
      <c r="A116" s="7">
        <f>'GF + UG Iteration 15'!I85</f>
        <v>57</v>
      </c>
      <c r="B116" s="8">
        <f>'GF + UG Iteration 15'!J85</f>
        <v>12.653662771089085</v>
      </c>
      <c r="C116" s="8"/>
      <c r="D116" s="8">
        <f t="shared" si="1"/>
        <v>12.653662771089085</v>
      </c>
    </row>
    <row r="117" spans="1:4" x14ac:dyDescent="0.2">
      <c r="A117" s="7">
        <f>'GF + UG Iteration 15'!I86</f>
        <v>45</v>
      </c>
      <c r="B117" s="8">
        <f>'GF + UG Iteration 15'!J86</f>
        <v>63.556235718349399</v>
      </c>
      <c r="C117" s="8"/>
      <c r="D117" s="8">
        <f t="shared" si="1"/>
        <v>63.556235718349399</v>
      </c>
    </row>
    <row r="118" spans="1:4" x14ac:dyDescent="0.2">
      <c r="A118" s="7">
        <f>'GF + UG Iteration 15'!I87</f>
        <v>52</v>
      </c>
      <c r="B118" s="8">
        <f>'GF + UG Iteration 15'!J87</f>
        <v>22.631695273294461</v>
      </c>
      <c r="C118" s="8"/>
      <c r="D118" s="8">
        <f t="shared" si="1"/>
        <v>22.631695273294461</v>
      </c>
    </row>
    <row r="119" spans="1:4" x14ac:dyDescent="0.2">
      <c r="A119" s="7">
        <f>'GF + UG Iteration 15'!I88</f>
        <v>20</v>
      </c>
      <c r="B119" s="8">
        <f>'GF + UG Iteration 15'!J88</f>
        <v>18.636695744675041</v>
      </c>
      <c r="C119" s="8"/>
      <c r="D119" s="8">
        <f t="shared" si="1"/>
        <v>18.636695744675041</v>
      </c>
    </row>
    <row r="120" spans="1:4" x14ac:dyDescent="0.2">
      <c r="A120" s="7">
        <f>'GF + UG Iteration 15'!I89</f>
        <v>8</v>
      </c>
      <c r="B120" s="8">
        <f>'GF + UG Iteration 15'!J89</f>
        <v>19.611656992669992</v>
      </c>
      <c r="C120" s="8"/>
      <c r="D120" s="8">
        <f t="shared" si="1"/>
        <v>19.611656992669992</v>
      </c>
    </row>
    <row r="121" spans="1:4" x14ac:dyDescent="0.2">
      <c r="A121" s="7">
        <f>'GF + UG Iteration 15'!I90</f>
        <v>15</v>
      </c>
      <c r="B121" s="8">
        <f>'GF + UG Iteration 15'!J90</f>
        <v>16.109333942693336</v>
      </c>
      <c r="C121" s="8"/>
      <c r="D121" s="8">
        <f t="shared" si="1"/>
        <v>16.109333942693336</v>
      </c>
    </row>
    <row r="122" spans="1:4" x14ac:dyDescent="0.2">
      <c r="A122" s="7">
        <f>'GF + UG Iteration 15'!I91</f>
        <v>34</v>
      </c>
      <c r="B122" s="8">
        <f>'GF + UG Iteration 15'!J91</f>
        <v>8.9679522578977586</v>
      </c>
      <c r="C122" s="8"/>
      <c r="D122" s="8">
        <f t="shared" si="1"/>
        <v>8.9679522578977586</v>
      </c>
    </row>
    <row r="123" spans="1:4" x14ac:dyDescent="0.2">
      <c r="A123" s="7">
        <f>'GF + UG Iteration 15'!I92</f>
        <v>27</v>
      </c>
      <c r="B123" s="8">
        <f>'GF + UG Iteration 15'!J92</f>
        <v>13.07265503282744</v>
      </c>
      <c r="C123" s="8"/>
      <c r="D123" s="8">
        <f t="shared" si="1"/>
        <v>13.07265503282744</v>
      </c>
    </row>
    <row r="124" spans="1:4" x14ac:dyDescent="0.2">
      <c r="A124" s="7">
        <f>'GF + UG Iteration 15'!I93</f>
        <v>35</v>
      </c>
      <c r="B124" s="8">
        <f>'GF + UG Iteration 15'!J93</f>
        <v>35.276341164894447</v>
      </c>
      <c r="C124" s="8"/>
      <c r="D124" s="8">
        <f t="shared" si="1"/>
        <v>35.276341164894447</v>
      </c>
    </row>
    <row r="125" spans="1:4" x14ac:dyDescent="0.2">
      <c r="A125" s="7">
        <f>'GF + UG Iteration 15'!I94</f>
        <v>18.399999999999999</v>
      </c>
      <c r="B125" s="8">
        <f>'GF + UG Iteration 15'!J94</f>
        <v>18.765793673519447</v>
      </c>
      <c r="C125" s="8"/>
      <c r="D125" s="8">
        <f t="shared" si="1"/>
        <v>18.765793673519447</v>
      </c>
    </row>
    <row r="126" spans="1:4" x14ac:dyDescent="0.2">
      <c r="A126" s="7">
        <f>'GF + UG Iteration 15'!I95</f>
        <v>7.2</v>
      </c>
      <c r="B126" s="8">
        <f>'GF + UG Iteration 15'!J95</f>
        <v>12.99271394051414</v>
      </c>
      <c r="C126" s="8"/>
      <c r="D126" s="8">
        <f t="shared" si="1"/>
        <v>12.99271394051414</v>
      </c>
    </row>
    <row r="127" spans="1:4" x14ac:dyDescent="0.2">
      <c r="A127" s="7">
        <f>'GF + UG Iteration 15'!I96</f>
        <v>21</v>
      </c>
      <c r="B127" s="8">
        <f>'GF + UG Iteration 15'!J96</f>
        <v>15.965955598995766</v>
      </c>
      <c r="C127" s="8"/>
      <c r="D127" s="8">
        <f t="shared" si="1"/>
        <v>15.965955598995766</v>
      </c>
    </row>
    <row r="128" spans="1:4" x14ac:dyDescent="0.2">
      <c r="A128" s="7">
        <f>'GF + UG Iteration 15'!I97</f>
        <v>17.899999999999999</v>
      </c>
      <c r="B128" s="8">
        <f>'GF + UG Iteration 15'!J97</f>
        <v>17.172783979023848</v>
      </c>
      <c r="C128" s="8"/>
      <c r="D128" s="8">
        <f t="shared" si="1"/>
        <v>17.172783979023848</v>
      </c>
    </row>
    <row r="129" spans="1:4" x14ac:dyDescent="0.2">
      <c r="A129" s="7">
        <f>'GF + UG Iteration 15'!I98</f>
        <v>46</v>
      </c>
      <c r="B129" s="8">
        <f>'GF + UG Iteration 15'!J98</f>
        <v>53.518330212347877</v>
      </c>
      <c r="C129" s="8"/>
      <c r="D129" s="8">
        <f t="shared" si="1"/>
        <v>53.518330212347877</v>
      </c>
    </row>
    <row r="130" spans="1:4" x14ac:dyDescent="0.2">
      <c r="A130" s="7">
        <f>'GF + UG Iteration 15'!I99</f>
        <v>24.1</v>
      </c>
      <c r="B130" s="8">
        <f>'GF + UG Iteration 15'!J99</f>
        <v>7.0843108002972475</v>
      </c>
      <c r="C130" s="8"/>
      <c r="D130" s="8">
        <f t="shared" si="1"/>
        <v>7.0843108002972475</v>
      </c>
    </row>
    <row r="131" spans="1:4" x14ac:dyDescent="0.2">
      <c r="A131" s="7">
        <f>'GF + UG Iteration 15'!I100</f>
        <v>2.2000000000000002</v>
      </c>
      <c r="B131" s="8">
        <f>'GF + UG Iteration 15'!J100</f>
        <v>2.4933711786255444</v>
      </c>
      <c r="C131" s="8"/>
      <c r="D131" s="8">
        <f t="shared" si="1"/>
        <v>2.4933711786255444</v>
      </c>
    </row>
    <row r="132" spans="1:4" x14ac:dyDescent="0.2">
      <c r="A132" s="7">
        <f>'GF + UG Iteration 15'!I101</f>
        <v>1.464</v>
      </c>
      <c r="B132" s="8">
        <f>'GF + UG Iteration 15'!J101</f>
        <v>1.4940223849019025</v>
      </c>
      <c r="C132" s="8"/>
      <c r="D132" s="8">
        <f t="shared" si="1"/>
        <v>1.4940223849019025</v>
      </c>
    </row>
    <row r="133" spans="1:4" x14ac:dyDescent="0.2">
      <c r="A133" s="7">
        <f>'GF + UG Iteration 15'!I102</f>
        <v>4.0750000000000002</v>
      </c>
      <c r="B133" s="8">
        <f>'GF + UG Iteration 15'!J102</f>
        <v>1.9369408873503524</v>
      </c>
      <c r="C133" s="8"/>
      <c r="D133" s="8">
        <f t="shared" si="1"/>
        <v>1.9369408873503524</v>
      </c>
    </row>
    <row r="134" spans="1:4" x14ac:dyDescent="0.2">
      <c r="A134" s="7">
        <f>'GF + UG Iteration 15'!I103</f>
        <v>10</v>
      </c>
      <c r="B134" s="8">
        <f>'GF + UG Iteration 15'!J103</f>
        <v>8.526519330793306</v>
      </c>
      <c r="C134" s="8"/>
      <c r="D134" s="8">
        <f t="shared" si="1"/>
        <v>8.526519330793306</v>
      </c>
    </row>
    <row r="135" spans="1:4" x14ac:dyDescent="0.2">
      <c r="A135" s="7">
        <f>'GF + UG Iteration 15'!I104</f>
        <v>4.8</v>
      </c>
      <c r="B135" s="8">
        <f>'GF + UG Iteration 15'!J104</f>
        <v>4.0521826998299986</v>
      </c>
      <c r="C135" s="8"/>
      <c r="D135" s="8">
        <f t="shared" si="1"/>
        <v>4.0521826998299986</v>
      </c>
    </row>
    <row r="136" spans="1:4" x14ac:dyDescent="0.2">
      <c r="A136" s="7">
        <f>'GF + UG Iteration 15'!I105</f>
        <v>5.0999999999999996</v>
      </c>
      <c r="B136" s="8">
        <f>'GF + UG Iteration 15'!J105</f>
        <v>9.6482174286466869</v>
      </c>
      <c r="C136" s="8"/>
      <c r="D136" s="8">
        <f t="shared" ref="D136:D148" si="2">SUM(B136:C136)</f>
        <v>9.6482174286466869</v>
      </c>
    </row>
    <row r="137" spans="1:4" x14ac:dyDescent="0.2">
      <c r="A137" s="7">
        <f>'GF + UG Iteration 15'!I106</f>
        <v>6.9</v>
      </c>
      <c r="B137" s="8">
        <f>'GF + UG Iteration 15'!J106</f>
        <v>5.029432718717521</v>
      </c>
      <c r="C137" s="8"/>
      <c r="D137" s="8">
        <f t="shared" si="2"/>
        <v>5.029432718717521</v>
      </c>
    </row>
    <row r="138" spans="1:4" x14ac:dyDescent="0.2">
      <c r="A138" s="7">
        <f>'GF + UG Iteration 15'!I107</f>
        <v>11.8</v>
      </c>
      <c r="B138" s="8">
        <f>'GF + UG Iteration 15'!J107</f>
        <v>6.372939235597177</v>
      </c>
      <c r="C138" s="8"/>
      <c r="D138" s="8">
        <f t="shared" si="2"/>
        <v>6.372939235597177</v>
      </c>
    </row>
    <row r="139" spans="1:4" x14ac:dyDescent="0.2">
      <c r="A139" s="7">
        <f>'GF + UG Iteration 15'!I108</f>
        <v>9.6999999999999993</v>
      </c>
      <c r="B139" s="8">
        <f>'GF + UG Iteration 15'!J108</f>
        <v>2.9443376052628771</v>
      </c>
      <c r="C139" s="8"/>
      <c r="D139" s="8">
        <f t="shared" si="2"/>
        <v>2.9443376052628771</v>
      </c>
    </row>
    <row r="140" spans="1:4" x14ac:dyDescent="0.2">
      <c r="A140" s="7">
        <f>'GF + UG Iteration 15'!I109</f>
        <v>6.12</v>
      </c>
      <c r="B140" s="8">
        <f>'GF + UG Iteration 15'!J109</f>
        <v>13.481108575958453</v>
      </c>
      <c r="C140" s="8"/>
      <c r="D140" s="8">
        <f t="shared" si="2"/>
        <v>13.481108575958453</v>
      </c>
    </row>
    <row r="141" spans="1:4" x14ac:dyDescent="0.2">
      <c r="A141" s="7">
        <f>'GF + UG Iteration 15'!I110</f>
        <v>6.2671999999999999</v>
      </c>
      <c r="B141" s="8">
        <f>'GF + UG Iteration 15'!J110</f>
        <v>2.9102311039234974</v>
      </c>
      <c r="C141" s="8"/>
      <c r="D141" s="8">
        <f t="shared" si="2"/>
        <v>2.9102311039234974</v>
      </c>
    </row>
    <row r="142" spans="1:4" x14ac:dyDescent="0.2">
      <c r="A142" s="7">
        <f>'GF + UG Iteration 15'!I111</f>
        <v>6.3659999999999997</v>
      </c>
      <c r="B142" s="8">
        <f>'GF + UG Iteration 15'!J111</f>
        <v>9.8906921245327926</v>
      </c>
      <c r="C142" s="8"/>
      <c r="D142" s="8">
        <f t="shared" si="2"/>
        <v>9.8906921245327926</v>
      </c>
    </row>
    <row r="143" spans="1:4" x14ac:dyDescent="0.2">
      <c r="A143" s="7">
        <f>'GF + UG Iteration 15'!I112</f>
        <v>8.5</v>
      </c>
      <c r="B143" s="8">
        <f>'GF + UG Iteration 15'!J112</f>
        <v>5.9446476688134462</v>
      </c>
      <c r="C143" s="8"/>
      <c r="D143" s="8">
        <f t="shared" si="2"/>
        <v>5.9446476688134462</v>
      </c>
    </row>
    <row r="144" spans="1:4" x14ac:dyDescent="0.2">
      <c r="A144" s="7">
        <f>'GF + UG Iteration 15'!I113</f>
        <v>46.55</v>
      </c>
      <c r="B144" s="8">
        <f>'GF + UG Iteration 15'!J113</f>
        <v>7.1936227504100643</v>
      </c>
      <c r="C144" s="8"/>
      <c r="D144" s="8">
        <f t="shared" si="2"/>
        <v>7.1936227504100643</v>
      </c>
    </row>
    <row r="145" spans="1:4" x14ac:dyDescent="0.2">
      <c r="A145" s="7">
        <f>'GF + UG Iteration 15'!I114</f>
        <v>56.8</v>
      </c>
      <c r="B145" s="8">
        <f>'GF + UG Iteration 15'!J114</f>
        <v>17.594466678549747</v>
      </c>
      <c r="C145" s="8"/>
      <c r="D145" s="8">
        <f t="shared" si="2"/>
        <v>17.594466678549747</v>
      </c>
    </row>
    <row r="146" spans="1:4" x14ac:dyDescent="0.2">
      <c r="A146" s="7">
        <f>'GF + UG Iteration 15'!I115</f>
        <v>81.575999999999993</v>
      </c>
      <c r="B146" s="8">
        <f>'GF + UG Iteration 15'!J115</f>
        <v>14.026199251012313</v>
      </c>
      <c r="C146" s="8"/>
      <c r="D146" s="8">
        <f t="shared" si="2"/>
        <v>14.026199251012313</v>
      </c>
    </row>
    <row r="147" spans="1:4" x14ac:dyDescent="0.2">
      <c r="A147" s="7">
        <f>'GF + UG Iteration 15'!I116</f>
        <v>95.2</v>
      </c>
      <c r="B147" s="8">
        <f>'GF + UG Iteration 15'!J116</f>
        <v>14.219904176944949</v>
      </c>
      <c r="C147" s="8"/>
      <c r="D147" s="8">
        <f t="shared" si="2"/>
        <v>14.219904176944949</v>
      </c>
    </row>
    <row r="148" spans="1:4" x14ac:dyDescent="0.2">
      <c r="A148" s="7">
        <f>'GF + UG Iteration 15'!I117</f>
        <v>122.77200000000001</v>
      </c>
      <c r="B148" s="8">
        <f>'GF + UG Iteration 15'!J117</f>
        <v>23.447549869052086</v>
      </c>
      <c r="C148" s="8"/>
      <c r="D148" s="8">
        <f t="shared" si="2"/>
        <v>23.447549869052086</v>
      </c>
    </row>
    <row r="149" spans="1:4" x14ac:dyDescent="0.2">
      <c r="A149" s="7">
        <f>'GF + UG Iteration 15'!I118</f>
        <v>48.2</v>
      </c>
      <c r="C149" s="8">
        <f>'GF + UG Iteration 15'!J118</f>
        <v>36.778074147618554</v>
      </c>
      <c r="D149" s="8">
        <f>SUM(B149:C149)</f>
        <v>36.778074147618554</v>
      </c>
    </row>
    <row r="150" spans="1:4" x14ac:dyDescent="0.2">
      <c r="A150" s="7">
        <f>'GF + UG Iteration 15'!I119</f>
        <v>48.2</v>
      </c>
      <c r="C150" s="8">
        <f>'GF + UG Iteration 15'!J119</f>
        <v>24.606586792522773</v>
      </c>
      <c r="D150" s="8">
        <f t="shared" ref="D150:D214" si="3">SUM(B150:C150)</f>
        <v>24.606586792522773</v>
      </c>
    </row>
    <row r="151" spans="1:4" x14ac:dyDescent="0.2">
      <c r="A151" s="7">
        <f>'GF + UG Iteration 15'!I120</f>
        <v>20.77</v>
      </c>
      <c r="C151" s="8">
        <f>'GF + UG Iteration 15'!J120</f>
        <v>13.25032120127613</v>
      </c>
      <c r="D151" s="8">
        <f t="shared" si="3"/>
        <v>13.25032120127613</v>
      </c>
    </row>
    <row r="152" spans="1:4" x14ac:dyDescent="0.2">
      <c r="A152" s="7">
        <f>'GF + UG Iteration 15'!I121</f>
        <v>27.4</v>
      </c>
      <c r="C152" s="8">
        <f>'GF + UG Iteration 15'!J121</f>
        <v>16.881757967986672</v>
      </c>
      <c r="D152" s="8">
        <f t="shared" si="3"/>
        <v>16.881757967986672</v>
      </c>
    </row>
    <row r="153" spans="1:4" x14ac:dyDescent="0.2">
      <c r="A153" s="7">
        <f>'GF + UG Iteration 15'!I122</f>
        <v>29.1</v>
      </c>
      <c r="C153" s="8">
        <f>'GF + UG Iteration 15'!J122</f>
        <v>17.807408874153417</v>
      </c>
      <c r="D153" s="8">
        <f t="shared" si="3"/>
        <v>17.807408874153417</v>
      </c>
    </row>
    <row r="154" spans="1:4" x14ac:dyDescent="0.2">
      <c r="A154" s="7">
        <f>'GF + UG Iteration 15'!I123</f>
        <v>38.9</v>
      </c>
      <c r="C154" s="8">
        <f>'GF + UG Iteration 15'!J123</f>
        <v>20.07541784306337</v>
      </c>
      <c r="D154" s="8">
        <f t="shared" si="3"/>
        <v>20.07541784306337</v>
      </c>
    </row>
    <row r="155" spans="1:4" x14ac:dyDescent="0.2">
      <c r="A155" s="7">
        <f>'GF + UG Iteration 15'!I124</f>
        <v>46.1</v>
      </c>
      <c r="C155" s="8">
        <f>'GF + UG Iteration 15'!J124</f>
        <v>28.839068290051969</v>
      </c>
      <c r="D155" s="8">
        <f t="shared" si="3"/>
        <v>28.839068290051969</v>
      </c>
    </row>
    <row r="156" spans="1:4" x14ac:dyDescent="0.2">
      <c r="A156" s="7">
        <f>'GF + UG Iteration 15'!I125</f>
        <v>25.6</v>
      </c>
      <c r="C156" s="8">
        <f>'GF + UG Iteration 15'!J125</f>
        <v>14.421924568587798</v>
      </c>
      <c r="D156" s="8">
        <f t="shared" si="3"/>
        <v>14.421924568587798</v>
      </c>
    </row>
    <row r="157" spans="1:4" x14ac:dyDescent="0.2">
      <c r="A157" s="7">
        <f>'GF + UG Iteration 15'!I126</f>
        <v>14.391999999999999</v>
      </c>
      <c r="C157" s="8">
        <f>'GF + UG Iteration 15'!J126</f>
        <v>11.218931134597224</v>
      </c>
      <c r="D157" s="8">
        <f t="shared" si="3"/>
        <v>11.218931134597224</v>
      </c>
    </row>
    <row r="158" spans="1:4" x14ac:dyDescent="0.2">
      <c r="A158" s="7">
        <f>'GF + UG Iteration 15'!I127</f>
        <v>41.4</v>
      </c>
      <c r="C158" s="8">
        <f>'GF + UG Iteration 15'!J127</f>
        <v>22.645761424949509</v>
      </c>
      <c r="D158" s="8">
        <f t="shared" si="3"/>
        <v>22.645761424949509</v>
      </c>
    </row>
    <row r="159" spans="1:4" x14ac:dyDescent="0.2">
      <c r="A159" s="7">
        <f>'GF + UG Iteration 15'!I128</f>
        <v>13.4</v>
      </c>
      <c r="C159" s="8">
        <f>'GF + UG Iteration 15'!J128</f>
        <v>15.312603897662129</v>
      </c>
      <c r="D159" s="8">
        <f t="shared" ref="D159" si="4">SUM(B159:C159)</f>
        <v>15.312603897662129</v>
      </c>
    </row>
    <row r="160" spans="1:4" x14ac:dyDescent="0.2">
      <c r="A160" s="7">
        <f>'GF + UG Iteration 15'!I129</f>
        <v>17.7</v>
      </c>
      <c r="C160" s="8">
        <f>'GF + UG Iteration 15'!J129</f>
        <v>16.976246874015271</v>
      </c>
      <c r="D160" s="8">
        <f t="shared" si="3"/>
        <v>16.976246874015271</v>
      </c>
    </row>
    <row r="161" spans="1:4" x14ac:dyDescent="0.2">
      <c r="A161" s="7">
        <f>'GF + UG Iteration 15'!I130</f>
        <v>3.5</v>
      </c>
      <c r="C161" s="8">
        <f>'GF + UG Iteration 15'!J130</f>
        <v>4.1607256421764527</v>
      </c>
      <c r="D161" s="8">
        <f t="shared" si="3"/>
        <v>4.1607256421764527</v>
      </c>
    </row>
    <row r="162" spans="1:4" x14ac:dyDescent="0.2">
      <c r="A162" s="7">
        <f>'GF + UG Iteration 15'!I131</f>
        <v>14.5</v>
      </c>
      <c r="C162" s="8">
        <f>'GF + UG Iteration 15'!J131</f>
        <v>9.5910423430896934</v>
      </c>
      <c r="D162" s="8">
        <f t="shared" si="3"/>
        <v>9.5910423430896934</v>
      </c>
    </row>
    <row r="163" spans="1:4" x14ac:dyDescent="0.2">
      <c r="A163" s="7">
        <f>'GF + UG Iteration 15'!I132</f>
        <v>51.2</v>
      </c>
      <c r="C163" s="8">
        <f>'GF + UG Iteration 15'!J132</f>
        <v>16.799208864356519</v>
      </c>
      <c r="D163" s="8">
        <f t="shared" si="3"/>
        <v>16.799208864356519</v>
      </c>
    </row>
    <row r="164" spans="1:4" x14ac:dyDescent="0.2">
      <c r="A164" s="7">
        <f>'GF + UG Iteration 15'!I133</f>
        <v>15.400000000000002</v>
      </c>
      <c r="C164" s="8">
        <f>'GF + UG Iteration 15'!J133</f>
        <v>8.5974106471763321</v>
      </c>
      <c r="D164" s="8">
        <f t="shared" si="3"/>
        <v>8.5974106471763321</v>
      </c>
    </row>
    <row r="165" spans="1:4" x14ac:dyDescent="0.2">
      <c r="A165" s="7">
        <f>'GF + UG Iteration 15'!I134</f>
        <v>10</v>
      </c>
      <c r="C165" s="8">
        <f>'GF + UG Iteration 15'!J134</f>
        <v>15.857594575130145</v>
      </c>
      <c r="D165" s="8">
        <f t="shared" si="3"/>
        <v>15.857594575130145</v>
      </c>
    </row>
    <row r="166" spans="1:4" x14ac:dyDescent="0.2">
      <c r="A166" s="7">
        <f>'GF + UG Iteration 15'!I135</f>
        <v>24.3</v>
      </c>
      <c r="C166" s="8">
        <f>'GF + UG Iteration 15'!J135</f>
        <v>20.93393354259711</v>
      </c>
      <c r="D166" s="8">
        <f t="shared" si="3"/>
        <v>20.93393354259711</v>
      </c>
    </row>
    <row r="167" spans="1:4" x14ac:dyDescent="0.2">
      <c r="A167" s="7">
        <f>'GF + UG Iteration 15'!I136</f>
        <v>16.169</v>
      </c>
      <c r="C167" s="8">
        <f>'GF + UG Iteration 15'!J136</f>
        <v>13.046514526232018</v>
      </c>
      <c r="D167" s="8">
        <f t="shared" si="3"/>
        <v>13.046514526232018</v>
      </c>
    </row>
    <row r="168" spans="1:4" x14ac:dyDescent="0.2">
      <c r="A168" s="7">
        <f>'GF + UG Iteration 15'!I137</f>
        <v>27.7</v>
      </c>
      <c r="C168" s="8">
        <f>'GF + UG Iteration 15'!J137</f>
        <v>19.421878307671069</v>
      </c>
      <c r="D168" s="8">
        <f t="shared" si="3"/>
        <v>19.421878307671069</v>
      </c>
    </row>
    <row r="169" spans="1:4" x14ac:dyDescent="0.2">
      <c r="A169" s="7">
        <f>'GF + UG Iteration 15'!I138</f>
        <v>35.799999999999997</v>
      </c>
      <c r="C169" s="8">
        <f>'GF + UG Iteration 15'!J138</f>
        <v>20.694074782351972</v>
      </c>
      <c r="D169" s="8">
        <f t="shared" si="3"/>
        <v>20.694074782351972</v>
      </c>
    </row>
    <row r="170" spans="1:4" x14ac:dyDescent="0.2">
      <c r="A170" s="7">
        <f>'GF + UG Iteration 15'!I139</f>
        <v>29.329000000000001</v>
      </c>
      <c r="C170" s="8">
        <f>'GF + UG Iteration 15'!J139</f>
        <v>18.43226952271576</v>
      </c>
      <c r="D170" s="8">
        <f t="shared" si="3"/>
        <v>18.43226952271576</v>
      </c>
    </row>
    <row r="171" spans="1:4" x14ac:dyDescent="0.2">
      <c r="A171" s="7">
        <f>'GF + UG Iteration 15'!I140</f>
        <v>18.899999999999999</v>
      </c>
      <c r="C171" s="8">
        <f>'GF + UG Iteration 15'!J140</f>
        <v>22.682917854316081</v>
      </c>
      <c r="D171" s="8">
        <f t="shared" si="3"/>
        <v>22.682917854316081</v>
      </c>
    </row>
    <row r="172" spans="1:4" x14ac:dyDescent="0.2">
      <c r="A172" s="7">
        <f>'GF + UG Iteration 15'!I141</f>
        <v>41</v>
      </c>
      <c r="C172" s="8">
        <f>'GF + UG Iteration 15'!J141</f>
        <v>21.213217586397207</v>
      </c>
      <c r="D172" s="8">
        <f t="shared" si="3"/>
        <v>21.213217586397207</v>
      </c>
    </row>
    <row r="173" spans="1:4" x14ac:dyDescent="0.2">
      <c r="A173" s="7">
        <f>'GF + UG Iteration 15'!I142</f>
        <v>26</v>
      </c>
      <c r="C173" s="8">
        <f>'GF + UG Iteration 15'!J142</f>
        <v>18.793898907718912</v>
      </c>
      <c r="D173" s="8">
        <f t="shared" si="3"/>
        <v>18.793898907718912</v>
      </c>
    </row>
    <row r="174" spans="1:4" x14ac:dyDescent="0.2">
      <c r="A174" s="7">
        <f>'GF + UG Iteration 15'!I143</f>
        <v>23.63</v>
      </c>
      <c r="C174" s="8">
        <f>'GF + UG Iteration 15'!J143</f>
        <v>21.645566351941191</v>
      </c>
      <c r="D174" s="8">
        <f t="shared" si="3"/>
        <v>21.645566351941191</v>
      </c>
    </row>
    <row r="175" spans="1:4" x14ac:dyDescent="0.2">
      <c r="A175" s="7">
        <f>'GF + UG Iteration 15'!I144</f>
        <v>22.6</v>
      </c>
      <c r="C175" s="8">
        <f>'GF + UG Iteration 15'!J144</f>
        <v>19.720912787898005</v>
      </c>
      <c r="D175" s="8">
        <f t="shared" si="3"/>
        <v>19.720912787898005</v>
      </c>
    </row>
    <row r="176" spans="1:4" x14ac:dyDescent="0.2">
      <c r="A176" s="7">
        <f>'GF + UG Iteration 15'!I145</f>
        <v>39.5</v>
      </c>
      <c r="C176" s="8">
        <f>'GF + UG Iteration 15'!J145</f>
        <v>21.891070070767071</v>
      </c>
      <c r="D176" s="8">
        <f t="shared" si="3"/>
        <v>21.891070070767071</v>
      </c>
    </row>
    <row r="177" spans="1:4" x14ac:dyDescent="0.2">
      <c r="A177" s="7">
        <f>'GF + UG Iteration 15'!I146</f>
        <v>16</v>
      </c>
      <c r="C177" s="8">
        <f>'GF + UG Iteration 15'!J146</f>
        <v>11.918322205792837</v>
      </c>
      <c r="D177" s="8">
        <f t="shared" si="3"/>
        <v>11.918322205792837</v>
      </c>
    </row>
    <row r="178" spans="1:4" x14ac:dyDescent="0.2">
      <c r="A178" s="7">
        <f>'GF + UG Iteration 15'!I147</f>
        <v>36</v>
      </c>
      <c r="C178" s="8">
        <f>'GF + UG Iteration 15'!J147</f>
        <v>19.025252986131726</v>
      </c>
      <c r="D178" s="8">
        <f t="shared" si="3"/>
        <v>19.025252986131726</v>
      </c>
    </row>
    <row r="179" spans="1:4" x14ac:dyDescent="0.2">
      <c r="A179" s="7">
        <f>'GF + UG Iteration 15'!I148</f>
        <v>14.8</v>
      </c>
      <c r="C179" s="8">
        <f>'GF + UG Iteration 15'!J148</f>
        <v>10.457714051889134</v>
      </c>
      <c r="D179" s="8">
        <f t="shared" si="3"/>
        <v>10.457714051889134</v>
      </c>
    </row>
    <row r="180" spans="1:4" x14ac:dyDescent="0.2">
      <c r="A180" s="7">
        <f>'GF + UG Iteration 15'!I149</f>
        <v>17.8</v>
      </c>
      <c r="C180" s="8">
        <f>'GF + UG Iteration 15'!J149</f>
        <v>18.186899144900238</v>
      </c>
      <c r="D180" s="8">
        <f t="shared" si="3"/>
        <v>18.186899144900238</v>
      </c>
    </row>
    <row r="181" spans="1:4" x14ac:dyDescent="0.2">
      <c r="A181" s="7">
        <f>'GF + UG Iteration 15'!I150</f>
        <v>38.799999999999997</v>
      </c>
      <c r="C181" s="8">
        <f>'GF + UG Iteration 15'!J150</f>
        <v>18.100769736486626</v>
      </c>
      <c r="D181" s="8">
        <f t="shared" si="3"/>
        <v>18.100769736486626</v>
      </c>
    </row>
    <row r="182" spans="1:4" x14ac:dyDescent="0.2">
      <c r="A182" s="7">
        <f>'GF + UG Iteration 15'!I151</f>
        <v>19.3</v>
      </c>
      <c r="C182" s="8">
        <f>'GF + UG Iteration 15'!J151</f>
        <v>17.67015657430769</v>
      </c>
      <c r="D182" s="8">
        <f t="shared" si="3"/>
        <v>17.67015657430769</v>
      </c>
    </row>
    <row r="183" spans="1:4" x14ac:dyDescent="0.2">
      <c r="A183" s="7">
        <f>'GF + UG Iteration 15'!I152</f>
        <v>65.5</v>
      </c>
      <c r="C183" s="8">
        <f>'GF + UG Iteration 15'!J152</f>
        <v>21.910567439273201</v>
      </c>
      <c r="D183" s="8">
        <f t="shared" si="3"/>
        <v>21.910567439273201</v>
      </c>
    </row>
    <row r="184" spans="1:4" x14ac:dyDescent="0.2">
      <c r="A184" s="7">
        <f>'GF + UG Iteration 15'!I153</f>
        <v>65.5</v>
      </c>
      <c r="C184" s="8">
        <f>'GF + UG Iteration 15'!J153</f>
        <v>30.224460458497123</v>
      </c>
      <c r="D184" s="8">
        <f t="shared" si="3"/>
        <v>30.224460458497123</v>
      </c>
    </row>
    <row r="185" spans="1:4" x14ac:dyDescent="0.2">
      <c r="A185" s="7">
        <f>'GF + UG Iteration 15'!I154</f>
        <v>23.87</v>
      </c>
      <c r="C185" s="8">
        <f>'GF + UG Iteration 15'!J154</f>
        <v>16.098385402135094</v>
      </c>
      <c r="D185" s="8">
        <f t="shared" si="3"/>
        <v>16.098385402135094</v>
      </c>
    </row>
    <row r="186" spans="1:4" x14ac:dyDescent="0.2">
      <c r="A186" s="7">
        <f>'GF + UG Iteration 15'!I155</f>
        <v>29.3</v>
      </c>
      <c r="C186" s="8">
        <f>'GF + UG Iteration 15'!J155</f>
        <v>16.400052388307152</v>
      </c>
      <c r="D186" s="8">
        <f t="shared" si="3"/>
        <v>16.400052388307152</v>
      </c>
    </row>
    <row r="187" spans="1:4" x14ac:dyDescent="0.2">
      <c r="A187" s="7">
        <f>'GF + UG Iteration 15'!I156</f>
        <v>29.3</v>
      </c>
      <c r="C187" s="8">
        <f>'GF + UG Iteration 15'!J156</f>
        <v>22.811062945657291</v>
      </c>
      <c r="D187" s="8">
        <f t="shared" si="3"/>
        <v>22.811062945657291</v>
      </c>
    </row>
    <row r="188" spans="1:4" x14ac:dyDescent="0.2">
      <c r="A188" s="7">
        <f>'GF + UG Iteration 15'!I157</f>
        <v>46.2</v>
      </c>
      <c r="C188" s="8">
        <f>'GF + UG Iteration 15'!J157</f>
        <v>19.673958902637303</v>
      </c>
      <c r="D188" s="8">
        <f t="shared" si="3"/>
        <v>19.673958902637303</v>
      </c>
    </row>
    <row r="189" spans="1:4" x14ac:dyDescent="0.2">
      <c r="A189" s="7">
        <f>'GF + UG Iteration 15'!I158</f>
        <v>21.5</v>
      </c>
      <c r="C189" s="8">
        <f>'GF + UG Iteration 15'!J158</f>
        <v>23.739868266321359</v>
      </c>
      <c r="D189" s="8">
        <f t="shared" si="3"/>
        <v>23.739868266321359</v>
      </c>
    </row>
    <row r="190" spans="1:4" x14ac:dyDescent="0.2">
      <c r="A190" s="7">
        <f>'GF + UG Iteration 15'!I159</f>
        <v>37.799999999999997</v>
      </c>
      <c r="C190" s="8">
        <f>'GF + UG Iteration 15'!J159</f>
        <v>19.951546809746667</v>
      </c>
      <c r="D190" s="8">
        <f t="shared" si="3"/>
        <v>19.951546809746667</v>
      </c>
    </row>
    <row r="191" spans="1:4" x14ac:dyDescent="0.2">
      <c r="A191" s="7">
        <f>'GF + UG Iteration 15'!I160</f>
        <v>26.5</v>
      </c>
      <c r="C191" s="8">
        <f>'GF + UG Iteration 15'!J160</f>
        <v>14.373202925420948</v>
      </c>
      <c r="D191" s="8">
        <f t="shared" si="3"/>
        <v>14.373202925420948</v>
      </c>
    </row>
    <row r="192" spans="1:4" x14ac:dyDescent="0.2">
      <c r="A192" s="7">
        <f>'GF + UG Iteration 15'!I161</f>
        <v>60.3</v>
      </c>
      <c r="C192" s="8">
        <f>'GF + UG Iteration 15'!J161</f>
        <v>21.698834823712605</v>
      </c>
      <c r="D192" s="8">
        <f t="shared" si="3"/>
        <v>21.698834823712605</v>
      </c>
    </row>
    <row r="193" spans="1:4" x14ac:dyDescent="0.2">
      <c r="A193" s="7">
        <f>'GF + UG Iteration 15'!I162</f>
        <v>24.6</v>
      </c>
      <c r="C193" s="8">
        <f>'GF + UG Iteration 15'!J162</f>
        <v>26.844036862912738</v>
      </c>
      <c r="D193" s="8">
        <f t="shared" si="3"/>
        <v>26.844036862912738</v>
      </c>
    </row>
    <row r="194" spans="1:4" x14ac:dyDescent="0.2">
      <c r="A194" s="7">
        <f>'GF + UG Iteration 15'!I163</f>
        <v>14</v>
      </c>
      <c r="C194" s="8">
        <f>'GF + UG Iteration 15'!J163</f>
        <v>11.24202021846045</v>
      </c>
      <c r="D194" s="8">
        <f t="shared" si="3"/>
        <v>11.24202021846045</v>
      </c>
    </row>
    <row r="195" spans="1:4" x14ac:dyDescent="0.2">
      <c r="A195" s="7">
        <f>'GF + UG Iteration 15'!I164</f>
        <v>25.425999999999998</v>
      </c>
      <c r="C195" s="8">
        <f>'GF + UG Iteration 15'!J164</f>
        <v>15.51220894473059</v>
      </c>
      <c r="D195" s="8">
        <f t="shared" si="3"/>
        <v>15.51220894473059</v>
      </c>
    </row>
    <row r="196" spans="1:4" x14ac:dyDescent="0.2">
      <c r="A196" s="7">
        <f>'GF + UG Iteration 15'!I165</f>
        <v>28.7</v>
      </c>
      <c r="C196" s="8">
        <f>'GF + UG Iteration 15'!J165</f>
        <v>19.680962000696528</v>
      </c>
      <c r="D196" s="8">
        <f t="shared" si="3"/>
        <v>19.680962000696528</v>
      </c>
    </row>
    <row r="197" spans="1:4" x14ac:dyDescent="0.2">
      <c r="A197" s="7">
        <f>'GF + UG Iteration 15'!I166</f>
        <v>32.9</v>
      </c>
      <c r="C197" s="8">
        <f>'GF + UG Iteration 15'!J166</f>
        <v>18.406235302496437</v>
      </c>
      <c r="D197" s="8">
        <f t="shared" si="3"/>
        <v>18.406235302496437</v>
      </c>
    </row>
    <row r="198" spans="1:4" x14ac:dyDescent="0.2">
      <c r="A198" s="7">
        <f>'GF + UG Iteration 15'!I167</f>
        <v>28</v>
      </c>
      <c r="C198" s="8">
        <f>'GF + UG Iteration 15'!J167</f>
        <v>23.481258744032175</v>
      </c>
      <c r="D198" s="8">
        <f t="shared" si="3"/>
        <v>23.481258744032175</v>
      </c>
    </row>
    <row r="199" spans="1:4" x14ac:dyDescent="0.2">
      <c r="A199" s="7">
        <f>'GF + UG Iteration 15'!I168</f>
        <v>19</v>
      </c>
      <c r="C199" s="8">
        <f>'GF + UG Iteration 15'!J168</f>
        <v>12.948215009011957</v>
      </c>
      <c r="D199" s="8">
        <f t="shared" si="3"/>
        <v>12.948215009011957</v>
      </c>
    </row>
    <row r="200" spans="1:4" x14ac:dyDescent="0.2">
      <c r="A200" s="7">
        <f>'GF + UG Iteration 15'!I169</f>
        <v>13.6</v>
      </c>
      <c r="C200" s="8">
        <f>'GF + UG Iteration 15'!J169</f>
        <v>14.033331422486748</v>
      </c>
      <c r="D200" s="8">
        <f t="shared" si="3"/>
        <v>14.033331422486748</v>
      </c>
    </row>
    <row r="201" spans="1:4" x14ac:dyDescent="0.2">
      <c r="A201" s="7">
        <f>'GF + UG Iteration 15'!I170</f>
        <v>15.9</v>
      </c>
      <c r="C201" s="8">
        <f>'GF + UG Iteration 15'!J170</f>
        <v>10.736909066831798</v>
      </c>
      <c r="D201" s="8">
        <f t="shared" si="3"/>
        <v>10.736909066831798</v>
      </c>
    </row>
    <row r="202" spans="1:4" x14ac:dyDescent="0.2">
      <c r="A202" s="7">
        <f>'GF + UG Iteration 15'!I171</f>
        <v>18.399999999999999</v>
      </c>
      <c r="C202" s="8">
        <f>'GF + UG Iteration 15'!J171</f>
        <v>20.774841677751532</v>
      </c>
      <c r="D202" s="8">
        <f t="shared" si="3"/>
        <v>20.774841677751532</v>
      </c>
    </row>
    <row r="203" spans="1:4" x14ac:dyDescent="0.2">
      <c r="A203" s="7">
        <f>'GF + UG Iteration 15'!I172</f>
        <v>12.211</v>
      </c>
      <c r="C203" s="8">
        <f>'GF + UG Iteration 15'!J172</f>
        <v>10.74862353158473</v>
      </c>
      <c r="D203" s="8">
        <f t="shared" si="3"/>
        <v>10.74862353158473</v>
      </c>
    </row>
    <row r="204" spans="1:4" x14ac:dyDescent="0.2">
      <c r="A204" s="7">
        <f>'GF + UG Iteration 15'!I173</f>
        <v>23</v>
      </c>
      <c r="C204" s="8">
        <f>'GF + UG Iteration 15'!J173</f>
        <v>21.328893636348948</v>
      </c>
      <c r="D204" s="8">
        <f t="shared" si="3"/>
        <v>21.328893636348948</v>
      </c>
    </row>
    <row r="205" spans="1:4" x14ac:dyDescent="0.2">
      <c r="A205" s="7">
        <f>'GF + UG Iteration 15'!I174</f>
        <v>32.700000000000003</v>
      </c>
      <c r="C205" s="8">
        <f>'GF + UG Iteration 15'!J174</f>
        <v>14.417214049046967</v>
      </c>
      <c r="D205" s="8">
        <f t="shared" si="3"/>
        <v>14.417214049046967</v>
      </c>
    </row>
    <row r="206" spans="1:4" x14ac:dyDescent="0.2">
      <c r="A206" s="7">
        <f>'GF + UG Iteration 15'!I175</f>
        <v>21</v>
      </c>
      <c r="C206" s="8">
        <f>'GF + UG Iteration 15'!J175</f>
        <v>24.697803674226897</v>
      </c>
      <c r="D206" s="8">
        <f t="shared" si="3"/>
        <v>24.697803674226897</v>
      </c>
    </row>
    <row r="207" spans="1:4" x14ac:dyDescent="0.2">
      <c r="A207" s="7">
        <f>'GF + UG Iteration 15'!I176</f>
        <v>9.5</v>
      </c>
      <c r="C207" s="8">
        <f>'GF + UG Iteration 15'!J176</f>
        <v>14.760584180177112</v>
      </c>
      <c r="D207" s="8">
        <f t="shared" si="3"/>
        <v>14.760584180177112</v>
      </c>
    </row>
    <row r="208" spans="1:4" x14ac:dyDescent="0.2">
      <c r="A208" s="7">
        <f>'GF + UG Iteration 15'!I177</f>
        <v>64.55</v>
      </c>
      <c r="C208" s="8">
        <f>'GF + UG Iteration 15'!J177</f>
        <v>24.679237323964443</v>
      </c>
      <c r="D208" s="8">
        <f t="shared" si="3"/>
        <v>24.679237323964443</v>
      </c>
    </row>
    <row r="209" spans="1:4" x14ac:dyDescent="0.2">
      <c r="A209" s="7">
        <f>'GF + UG Iteration 15'!I178</f>
        <v>65.87</v>
      </c>
      <c r="C209" s="8">
        <f>'GF + UG Iteration 15'!J178</f>
        <v>28.341279504462129</v>
      </c>
      <c r="D209" s="8">
        <f t="shared" si="3"/>
        <v>28.341279504462129</v>
      </c>
    </row>
    <row r="210" spans="1:4" x14ac:dyDescent="0.2">
      <c r="A210" s="7">
        <f>'GF + UG Iteration 15'!I179</f>
        <v>65.87</v>
      </c>
      <c r="C210" s="8">
        <f>'GF + UG Iteration 15'!J179</f>
        <v>31.132068130980208</v>
      </c>
      <c r="D210" s="8">
        <f t="shared" si="3"/>
        <v>31.132068130980208</v>
      </c>
    </row>
    <row r="211" spans="1:4" x14ac:dyDescent="0.2">
      <c r="A211" s="7">
        <f>'GF + UG Iteration 15'!I180</f>
        <v>36.1</v>
      </c>
      <c r="C211" s="8">
        <f>'GF + UG Iteration 15'!J180</f>
        <v>18.284153285306729</v>
      </c>
      <c r="D211" s="8">
        <f t="shared" si="3"/>
        <v>18.284153285306729</v>
      </c>
    </row>
    <row r="212" spans="1:4" x14ac:dyDescent="0.2">
      <c r="A212" s="7">
        <f>'GF + UG Iteration 15'!I181</f>
        <v>36.1</v>
      </c>
      <c r="C212" s="8">
        <f>'GF + UG Iteration 15'!J181</f>
        <v>21.341810561864097</v>
      </c>
      <c r="D212" s="8">
        <f t="shared" si="3"/>
        <v>21.341810561864097</v>
      </c>
    </row>
    <row r="213" spans="1:4" x14ac:dyDescent="0.2">
      <c r="A213" s="7">
        <f>'GF + UG Iteration 15'!I182</f>
        <v>6.9</v>
      </c>
      <c r="C213" s="8">
        <f>'GF + UG Iteration 15'!J182</f>
        <v>11.027416471455282</v>
      </c>
      <c r="D213" s="8">
        <f t="shared" si="3"/>
        <v>11.027416471455282</v>
      </c>
    </row>
    <row r="214" spans="1:4" x14ac:dyDescent="0.2">
      <c r="A214" s="7">
        <f>'GF + UG Iteration 15'!I183</f>
        <v>28.9</v>
      </c>
      <c r="C214" s="8">
        <f>'GF + UG Iteration 15'!J183</f>
        <v>17.372323669436312</v>
      </c>
      <c r="D214" s="8">
        <f t="shared" si="3"/>
        <v>17.372323669436312</v>
      </c>
    </row>
    <row r="215" spans="1:4" x14ac:dyDescent="0.2">
      <c r="A215" s="7">
        <f>'GF + UG Iteration 15'!I184</f>
        <v>26</v>
      </c>
      <c r="C215" s="8">
        <f>'GF + UG Iteration 15'!J184</f>
        <v>14.814113631279618</v>
      </c>
      <c r="D215" s="8">
        <f t="shared" ref="D215:D277" si="5">SUM(B215:C215)</f>
        <v>14.814113631279618</v>
      </c>
    </row>
    <row r="216" spans="1:4" x14ac:dyDescent="0.2">
      <c r="A216" s="7">
        <f>'GF + UG Iteration 15'!I185</f>
        <v>53.3</v>
      </c>
      <c r="C216" s="8">
        <f>'GF + UG Iteration 15'!J185</f>
        <v>20.735388184955461</v>
      </c>
      <c r="D216" s="8">
        <f t="shared" si="5"/>
        <v>20.735388184955461</v>
      </c>
    </row>
    <row r="217" spans="1:4" x14ac:dyDescent="0.2">
      <c r="A217" s="7">
        <f>'GF + UG Iteration 15'!I186</f>
        <v>32.799999999999997</v>
      </c>
      <c r="C217" s="8">
        <f>'GF + UG Iteration 15'!J186</f>
        <v>22.482229688318004</v>
      </c>
      <c r="D217" s="8">
        <f t="shared" si="5"/>
        <v>22.482229688318004</v>
      </c>
    </row>
    <row r="218" spans="1:4" x14ac:dyDescent="0.2">
      <c r="A218" s="7">
        <f>'GF + UG Iteration 15'!I187</f>
        <v>46.904000000000003</v>
      </c>
      <c r="C218" s="8">
        <f>'GF + UG Iteration 15'!J187</f>
        <v>23.878779301945503</v>
      </c>
      <c r="D218" s="8">
        <f t="shared" si="5"/>
        <v>23.878779301945503</v>
      </c>
    </row>
    <row r="219" spans="1:4" x14ac:dyDescent="0.2">
      <c r="A219" s="7">
        <f>'GF + UG Iteration 15'!I188</f>
        <v>25.2</v>
      </c>
      <c r="C219" s="8">
        <f>'GF + UG Iteration 15'!J188</f>
        <v>21.404323463083873</v>
      </c>
      <c r="D219" s="8">
        <f t="shared" si="5"/>
        <v>21.404323463083873</v>
      </c>
    </row>
    <row r="220" spans="1:4" x14ac:dyDescent="0.2">
      <c r="A220" s="7">
        <f>'GF + UG Iteration 15'!I189</f>
        <v>41.7</v>
      </c>
      <c r="C220" s="8">
        <f>'GF + UG Iteration 15'!J189</f>
        <v>22.79130258787935</v>
      </c>
      <c r="D220" s="8">
        <f t="shared" si="5"/>
        <v>22.79130258787935</v>
      </c>
    </row>
    <row r="221" spans="1:4" x14ac:dyDescent="0.2">
      <c r="A221" s="7">
        <f>'GF + UG Iteration 15'!I190</f>
        <v>47.4</v>
      </c>
      <c r="C221" s="8">
        <f>'GF + UG Iteration 15'!J190</f>
        <v>22.082584566553013</v>
      </c>
      <c r="D221" s="8">
        <f t="shared" si="5"/>
        <v>22.082584566553013</v>
      </c>
    </row>
    <row r="222" spans="1:4" x14ac:dyDescent="0.2">
      <c r="A222" s="7">
        <f>'GF + UG Iteration 15'!I191</f>
        <v>23.9</v>
      </c>
      <c r="C222" s="8">
        <f>'GF + UG Iteration 15'!J191</f>
        <v>17.338975795427601</v>
      </c>
      <c r="D222" s="8">
        <f t="shared" si="5"/>
        <v>17.338975795427601</v>
      </c>
    </row>
    <row r="223" spans="1:4" x14ac:dyDescent="0.2">
      <c r="A223" s="7">
        <f>'GF + UG Iteration 15'!I192</f>
        <v>39.299999999999997</v>
      </c>
      <c r="C223" s="8">
        <f>'GF + UG Iteration 15'!J192</f>
        <v>22.251446642501474</v>
      </c>
      <c r="D223" s="8">
        <f t="shared" si="5"/>
        <v>22.251446642501474</v>
      </c>
    </row>
    <row r="224" spans="1:4" x14ac:dyDescent="0.2">
      <c r="A224" s="7">
        <f>'GF + UG Iteration 15'!I193</f>
        <v>24.4</v>
      </c>
      <c r="C224" s="8">
        <f>'GF + UG Iteration 15'!J193</f>
        <v>25.459370584793227</v>
      </c>
      <c r="D224" s="8">
        <f t="shared" ref="D224" si="6">SUM(B224:C224)</f>
        <v>25.459370584793227</v>
      </c>
    </row>
    <row r="225" spans="1:4" x14ac:dyDescent="0.2">
      <c r="A225" s="7">
        <f>'GF + UG Iteration 15'!I194</f>
        <v>24.4</v>
      </c>
      <c r="C225" s="8">
        <f>'GF + UG Iteration 15'!J194</f>
        <v>33.143969189469402</v>
      </c>
      <c r="D225" s="8">
        <f t="shared" si="5"/>
        <v>33.143969189469402</v>
      </c>
    </row>
    <row r="226" spans="1:4" x14ac:dyDescent="0.2">
      <c r="A226" s="7">
        <f>'GF + UG Iteration 15'!I195</f>
        <v>21.1</v>
      </c>
      <c r="C226" s="8">
        <f>'GF + UG Iteration 15'!J195</f>
        <v>23.437297521130496</v>
      </c>
      <c r="D226" s="8">
        <f t="shared" si="5"/>
        <v>23.437297521130496</v>
      </c>
    </row>
    <row r="227" spans="1:4" x14ac:dyDescent="0.2">
      <c r="A227" s="7">
        <f>'GF + UG Iteration 15'!I196</f>
        <v>25.2</v>
      </c>
      <c r="C227" s="8">
        <f>'GF + UG Iteration 15'!J196</f>
        <v>19.604158958084053</v>
      </c>
      <c r="D227" s="8">
        <f t="shared" si="5"/>
        <v>19.604158958084053</v>
      </c>
    </row>
    <row r="228" spans="1:4" x14ac:dyDescent="0.2">
      <c r="A228" s="7">
        <f>'GF + UG Iteration 15'!I197</f>
        <v>39.741999999999997</v>
      </c>
      <c r="C228" s="8">
        <f>'GF + UG Iteration 15'!J197</f>
        <v>20.991823928596464</v>
      </c>
      <c r="D228" s="8">
        <f t="shared" si="5"/>
        <v>20.991823928596464</v>
      </c>
    </row>
    <row r="229" spans="1:4" x14ac:dyDescent="0.2">
      <c r="A229" s="7">
        <f>'GF + UG Iteration 15'!I198</f>
        <v>60.6</v>
      </c>
      <c r="C229" s="8">
        <f>'GF + UG Iteration 15'!J198</f>
        <v>22.465529926779467</v>
      </c>
      <c r="D229" s="8">
        <f t="shared" si="5"/>
        <v>22.465529926779467</v>
      </c>
    </row>
    <row r="230" spans="1:4" x14ac:dyDescent="0.2">
      <c r="A230" s="7">
        <f>'GF + UG Iteration 15'!I199</f>
        <v>17.2</v>
      </c>
      <c r="C230" s="8">
        <f>'GF + UG Iteration 15'!J199</f>
        <v>9.3342036302728673</v>
      </c>
      <c r="D230" s="8">
        <f t="shared" si="5"/>
        <v>9.3342036302728673</v>
      </c>
    </row>
    <row r="231" spans="1:4" x14ac:dyDescent="0.2">
      <c r="A231" s="7">
        <f>'GF + UG Iteration 15'!I200</f>
        <v>17.2</v>
      </c>
      <c r="C231" s="8">
        <f>'GF + UG Iteration 15'!J200</f>
        <v>19.629417865437667</v>
      </c>
      <c r="D231" s="8">
        <f t="shared" si="5"/>
        <v>19.629417865437667</v>
      </c>
    </row>
    <row r="232" spans="1:4" x14ac:dyDescent="0.2">
      <c r="A232" s="7">
        <f>'GF + UG Iteration 15'!I201</f>
        <v>34.9</v>
      </c>
      <c r="C232" s="8">
        <f>'GF + UG Iteration 15'!J201</f>
        <v>21.524365866278451</v>
      </c>
      <c r="D232" s="8">
        <f t="shared" si="5"/>
        <v>21.524365866278451</v>
      </c>
    </row>
    <row r="233" spans="1:4" x14ac:dyDescent="0.2">
      <c r="A233" s="7">
        <f>'GF + UG Iteration 15'!I202</f>
        <v>39.04</v>
      </c>
      <c r="C233" s="8">
        <f>'GF + UG Iteration 15'!J202</f>
        <v>20.545688609944008</v>
      </c>
      <c r="D233" s="8">
        <f t="shared" si="5"/>
        <v>20.545688609944008</v>
      </c>
    </row>
    <row r="234" spans="1:4" x14ac:dyDescent="0.2">
      <c r="A234" s="7">
        <f>'GF + UG Iteration 15'!I203</f>
        <v>41.7</v>
      </c>
      <c r="C234" s="8">
        <f>'GF + UG Iteration 15'!J203</f>
        <v>18.453870536769514</v>
      </c>
      <c r="D234" s="8">
        <f t="shared" si="5"/>
        <v>18.453870536769514</v>
      </c>
    </row>
    <row r="235" spans="1:4" x14ac:dyDescent="0.2">
      <c r="A235" s="7">
        <f>'GF + UG Iteration 15'!I204</f>
        <v>23.9</v>
      </c>
      <c r="C235" s="8">
        <f>'GF + UG Iteration 15'!J204</f>
        <v>18.876897439106745</v>
      </c>
      <c r="D235" s="8">
        <f t="shared" si="5"/>
        <v>18.876897439106745</v>
      </c>
    </row>
    <row r="236" spans="1:4" x14ac:dyDescent="0.2">
      <c r="A236" s="7">
        <f>'GF + UG Iteration 15'!I205</f>
        <v>11.7</v>
      </c>
      <c r="C236" s="8">
        <f>'GF + UG Iteration 15'!J205</f>
        <v>8.7031229822775042</v>
      </c>
      <c r="D236" s="8">
        <f t="shared" si="5"/>
        <v>8.7031229822775042</v>
      </c>
    </row>
    <row r="237" spans="1:4" x14ac:dyDescent="0.2">
      <c r="A237" s="7">
        <f>'GF + UG Iteration 15'!I206</f>
        <v>21.7</v>
      </c>
      <c r="C237" s="8">
        <f>'GF + UG Iteration 15'!J206</f>
        <v>15.450764178118762</v>
      </c>
      <c r="D237" s="8">
        <f t="shared" si="5"/>
        <v>15.450764178118762</v>
      </c>
    </row>
    <row r="238" spans="1:4" x14ac:dyDescent="0.2">
      <c r="A238" s="7">
        <f>'GF + UG Iteration 15'!I207</f>
        <v>10.1</v>
      </c>
      <c r="C238" s="8">
        <f>'GF + UG Iteration 15'!J207</f>
        <v>13.260596655827342</v>
      </c>
      <c r="D238" s="8">
        <f t="shared" si="5"/>
        <v>13.260596655827342</v>
      </c>
    </row>
    <row r="239" spans="1:4" x14ac:dyDescent="0.2">
      <c r="A239" s="7">
        <f>'GF + UG Iteration 15'!I208</f>
        <v>55.7</v>
      </c>
      <c r="C239" s="8">
        <f>'GF + UG Iteration 15'!J208</f>
        <v>21.193717013096855</v>
      </c>
      <c r="D239" s="8">
        <f t="shared" si="5"/>
        <v>21.193717013096855</v>
      </c>
    </row>
    <row r="240" spans="1:4" x14ac:dyDescent="0.2">
      <c r="A240" s="7">
        <f>'GF + UG Iteration 15'!I209</f>
        <v>28.1</v>
      </c>
      <c r="C240" s="8">
        <f>'GF + UG Iteration 15'!J209</f>
        <v>16.631733240213876</v>
      </c>
      <c r="D240" s="8">
        <f t="shared" si="5"/>
        <v>16.631733240213876</v>
      </c>
    </row>
    <row r="241" spans="1:4" x14ac:dyDescent="0.2">
      <c r="A241" s="7">
        <f>'GF + UG Iteration 15'!I210</f>
        <v>49.3</v>
      </c>
      <c r="C241" s="8">
        <f>'GF + UG Iteration 15'!J210</f>
        <v>32.063533413384008</v>
      </c>
      <c r="D241" s="8">
        <f t="shared" si="5"/>
        <v>32.063533413384008</v>
      </c>
    </row>
    <row r="242" spans="1:4" x14ac:dyDescent="0.2">
      <c r="A242" s="7">
        <f>'GF + UG Iteration 15'!I211</f>
        <v>13.4</v>
      </c>
      <c r="C242" s="8">
        <f>'GF + UG Iteration 15'!J211</f>
        <v>15.528043349229463</v>
      </c>
      <c r="D242" s="8">
        <f t="shared" si="5"/>
        <v>15.528043349229463</v>
      </c>
    </row>
    <row r="243" spans="1:4" x14ac:dyDescent="0.2">
      <c r="A243" s="7">
        <f>'GF + UG Iteration 15'!I212</f>
        <v>30.7</v>
      </c>
      <c r="C243" s="8">
        <f>'GF + UG Iteration 15'!J212</f>
        <v>15.437283445034353</v>
      </c>
      <c r="D243" s="8">
        <f t="shared" si="5"/>
        <v>15.437283445034353</v>
      </c>
    </row>
    <row r="244" spans="1:4" x14ac:dyDescent="0.2">
      <c r="A244" s="7">
        <f>'GF + UG Iteration 15'!I213</f>
        <v>50</v>
      </c>
      <c r="C244" s="8">
        <f>'GF + UG Iteration 15'!J213</f>
        <v>24.130968610842572</v>
      </c>
      <c r="D244" s="8">
        <f t="shared" si="5"/>
        <v>24.130968610842572</v>
      </c>
    </row>
    <row r="245" spans="1:4" x14ac:dyDescent="0.2">
      <c r="A245" s="7">
        <f>'GF + UG Iteration 15'!I214</f>
        <v>25</v>
      </c>
      <c r="C245" s="8">
        <f>'GF + UG Iteration 15'!J214</f>
        <v>14.315472916985184</v>
      </c>
      <c r="D245" s="8">
        <f t="shared" si="5"/>
        <v>14.315472916985184</v>
      </c>
    </row>
    <row r="246" spans="1:4" x14ac:dyDescent="0.2">
      <c r="A246" s="7">
        <f>'GF + UG Iteration 15'!I215</f>
        <v>12.974</v>
      </c>
      <c r="C246" s="8">
        <f>'GF + UG Iteration 15'!J215</f>
        <v>14.672600720889093</v>
      </c>
      <c r="D246" s="8">
        <f t="shared" si="5"/>
        <v>14.672600720889093</v>
      </c>
    </row>
    <row r="247" spans="1:4" x14ac:dyDescent="0.2">
      <c r="A247" s="7">
        <f>'GF + UG Iteration 15'!I216</f>
        <v>8.51</v>
      </c>
      <c r="C247" s="8">
        <f>'GF + UG Iteration 15'!J216</f>
        <v>5.6872409102814867</v>
      </c>
      <c r="D247" s="8">
        <f t="shared" si="5"/>
        <v>5.6872409102814867</v>
      </c>
    </row>
    <row r="248" spans="1:4" x14ac:dyDescent="0.2">
      <c r="A248" s="7">
        <f>'GF + UG Iteration 15'!I217</f>
        <v>22</v>
      </c>
      <c r="C248" s="8">
        <f>'GF + UG Iteration 15'!J217</f>
        <v>18.43950011138152</v>
      </c>
      <c r="D248" s="8">
        <f t="shared" si="5"/>
        <v>18.43950011138152</v>
      </c>
    </row>
    <row r="249" spans="1:4" x14ac:dyDescent="0.2">
      <c r="A249" s="7">
        <f>'GF + UG Iteration 15'!I218</f>
        <v>42.5</v>
      </c>
      <c r="C249" s="8">
        <f>'GF + UG Iteration 15'!J218</f>
        <v>17.493724136199816</v>
      </c>
      <c r="D249" s="8">
        <f t="shared" si="5"/>
        <v>17.493724136199816</v>
      </c>
    </row>
    <row r="250" spans="1:4" x14ac:dyDescent="0.2">
      <c r="A250" s="7">
        <f>'GF + UG Iteration 15'!I219</f>
        <v>47</v>
      </c>
      <c r="C250" s="8">
        <f>'GF + UG Iteration 15'!J219</f>
        <v>22.051476457074493</v>
      </c>
      <c r="D250" s="8">
        <f t="shared" si="5"/>
        <v>22.051476457074493</v>
      </c>
    </row>
    <row r="251" spans="1:4" x14ac:dyDescent="0.2">
      <c r="A251" s="7">
        <f>'GF + UG Iteration 15'!I220</f>
        <v>56</v>
      </c>
      <c r="C251" s="8">
        <f>'GF + UG Iteration 15'!J220</f>
        <v>26.474881514191051</v>
      </c>
      <c r="D251" s="8">
        <f t="shared" si="5"/>
        <v>26.474881514191051</v>
      </c>
    </row>
    <row r="252" spans="1:4" x14ac:dyDescent="0.2">
      <c r="A252" s="7">
        <f>'GF + UG Iteration 15'!I221</f>
        <v>57</v>
      </c>
      <c r="C252" s="8">
        <f>'GF + UG Iteration 15'!J221</f>
        <v>25.551123362322379</v>
      </c>
      <c r="D252" s="8">
        <f t="shared" si="5"/>
        <v>25.551123362322379</v>
      </c>
    </row>
    <row r="253" spans="1:4" x14ac:dyDescent="0.2">
      <c r="A253" s="7">
        <f>'GF + UG Iteration 15'!I222</f>
        <v>13.95</v>
      </c>
      <c r="C253" s="8">
        <f>'GF + UG Iteration 15'!J222</f>
        <v>10.329277540729267</v>
      </c>
      <c r="D253" s="8">
        <f t="shared" si="5"/>
        <v>10.329277540729267</v>
      </c>
    </row>
    <row r="254" spans="1:4" x14ac:dyDescent="0.2">
      <c r="A254" s="7">
        <f>'GF + UG Iteration 15'!I223</f>
        <v>18</v>
      </c>
      <c r="C254" s="8">
        <f>'GF + UG Iteration 15'!J223</f>
        <v>12.467510615037952</v>
      </c>
      <c r="D254" s="8">
        <f t="shared" si="5"/>
        <v>12.467510615037952</v>
      </c>
    </row>
    <row r="255" spans="1:4" x14ac:dyDescent="0.2">
      <c r="A255" s="7">
        <f>'GF + UG Iteration 15'!I224</f>
        <v>24</v>
      </c>
      <c r="C255" s="8">
        <f>'GF + UG Iteration 15'!J224</f>
        <v>14.785154679571448</v>
      </c>
      <c r="D255" s="8">
        <f t="shared" si="5"/>
        <v>14.785154679571448</v>
      </c>
    </row>
    <row r="256" spans="1:4" x14ac:dyDescent="0.2">
      <c r="A256" s="7">
        <f>'GF + UG Iteration 15'!I225</f>
        <v>31.26</v>
      </c>
      <c r="C256" s="8">
        <f>'GF + UG Iteration 15'!J225</f>
        <v>16.442301414256082</v>
      </c>
      <c r="D256" s="8">
        <f t="shared" si="5"/>
        <v>16.442301414256082</v>
      </c>
    </row>
    <row r="257" spans="1:4" x14ac:dyDescent="0.2">
      <c r="A257" s="7">
        <f>'GF + UG Iteration 15'!I226</f>
        <v>16.8</v>
      </c>
      <c r="C257" s="8">
        <f>'GF + UG Iteration 15'!J226</f>
        <v>13.444679684020127</v>
      </c>
      <c r="D257" s="8">
        <f t="shared" si="5"/>
        <v>13.444679684020127</v>
      </c>
    </row>
    <row r="258" spans="1:4" x14ac:dyDescent="0.2">
      <c r="A258" s="7">
        <f>'GF + UG Iteration 15'!I227</f>
        <v>11</v>
      </c>
      <c r="C258" s="8">
        <f>'GF + UG Iteration 15'!J227</f>
        <v>13.535778037382723</v>
      </c>
      <c r="D258" s="8">
        <f t="shared" si="5"/>
        <v>13.535778037382723</v>
      </c>
    </row>
    <row r="259" spans="1:4" x14ac:dyDescent="0.2">
      <c r="A259" s="7">
        <f>'GF + UG Iteration 15'!I228</f>
        <v>15</v>
      </c>
      <c r="C259" s="8">
        <f>'GF + UG Iteration 15'!J228</f>
        <v>15.80558791178823</v>
      </c>
      <c r="D259" s="8">
        <f t="shared" si="5"/>
        <v>15.80558791178823</v>
      </c>
    </row>
    <row r="260" spans="1:4" x14ac:dyDescent="0.2">
      <c r="A260" s="7">
        <f>'GF + UG Iteration 15'!I229</f>
        <v>32</v>
      </c>
      <c r="C260" s="8">
        <f>'GF + UG Iteration 15'!J229</f>
        <v>19.58636880391645</v>
      </c>
      <c r="D260" s="8">
        <f t="shared" si="5"/>
        <v>19.58636880391645</v>
      </c>
    </row>
    <row r="261" spans="1:4" x14ac:dyDescent="0.2">
      <c r="A261" s="7">
        <f>'GF + UG Iteration 15'!I230</f>
        <v>47.43</v>
      </c>
      <c r="C261" s="8">
        <f>'GF + UG Iteration 15'!J230</f>
        <v>15.717554196062636</v>
      </c>
      <c r="D261" s="8">
        <f t="shared" si="5"/>
        <v>15.717554196062636</v>
      </c>
    </row>
    <row r="262" spans="1:4" x14ac:dyDescent="0.2">
      <c r="A262" s="7">
        <f>'GF + UG Iteration 15'!I231</f>
        <v>52.8</v>
      </c>
      <c r="C262" s="8">
        <f>'GF + UG Iteration 15'!J231</f>
        <v>25.272957076065214</v>
      </c>
      <c r="D262" s="8">
        <f t="shared" si="5"/>
        <v>25.272957076065214</v>
      </c>
    </row>
    <row r="263" spans="1:4" x14ac:dyDescent="0.2">
      <c r="A263" s="7">
        <f>'GF + UG Iteration 15'!I232</f>
        <v>52</v>
      </c>
      <c r="C263" s="8">
        <f>'GF + UG Iteration 15'!J232</f>
        <v>24.284317838923613</v>
      </c>
      <c r="D263" s="8">
        <f t="shared" si="5"/>
        <v>24.284317838923613</v>
      </c>
    </row>
    <row r="264" spans="1:4" x14ac:dyDescent="0.2">
      <c r="A264" s="7">
        <f>'GF + UG Iteration 15'!I233</f>
        <v>26.29</v>
      </c>
      <c r="C264" s="8">
        <f>'GF + UG Iteration 15'!J233</f>
        <v>16.940775058298087</v>
      </c>
      <c r="D264" s="8">
        <f t="shared" si="5"/>
        <v>16.940775058298087</v>
      </c>
    </row>
    <row r="265" spans="1:4" x14ac:dyDescent="0.2">
      <c r="A265" s="7">
        <f>'GF + UG Iteration 15'!I234</f>
        <v>9.2460000000000004</v>
      </c>
      <c r="C265" s="8">
        <f>'GF + UG Iteration 15'!J234</f>
        <v>8.7297542367249878</v>
      </c>
      <c r="D265" s="8">
        <f t="shared" si="5"/>
        <v>8.7297542367249878</v>
      </c>
    </row>
    <row r="266" spans="1:4" x14ac:dyDescent="0.2">
      <c r="A266" s="7">
        <f>'GF + UG Iteration 15'!I235</f>
        <v>26.541</v>
      </c>
      <c r="C266" s="8">
        <f>'GF + UG Iteration 15'!J235</f>
        <v>16.720966309844982</v>
      </c>
      <c r="D266" s="8">
        <f t="shared" si="5"/>
        <v>16.720966309844982</v>
      </c>
    </row>
    <row r="267" spans="1:4" x14ac:dyDescent="0.2">
      <c r="A267" s="7">
        <f>'GF + UG Iteration 15'!I236</f>
        <v>20</v>
      </c>
      <c r="C267" s="8">
        <f>'GF + UG Iteration 15'!J236</f>
        <v>15.602709526357405</v>
      </c>
      <c r="D267" s="8">
        <f t="shared" si="5"/>
        <v>15.602709526357405</v>
      </c>
    </row>
    <row r="268" spans="1:4" x14ac:dyDescent="0.2">
      <c r="A268" s="7">
        <f>'GF + UG Iteration 15'!I237</f>
        <v>13.05</v>
      </c>
      <c r="C268" s="8">
        <f>'GF + UG Iteration 15'!J237</f>
        <v>14.368016853685994</v>
      </c>
      <c r="D268" s="8">
        <f t="shared" si="5"/>
        <v>14.368016853685994</v>
      </c>
    </row>
    <row r="269" spans="1:4" x14ac:dyDescent="0.2">
      <c r="A269" s="7">
        <f>'GF + UG Iteration 15'!I238</f>
        <v>10.496</v>
      </c>
      <c r="C269" s="8">
        <f>'GF + UG Iteration 15'!J238</f>
        <v>12.007593756136471</v>
      </c>
      <c r="D269" s="8">
        <f t="shared" si="5"/>
        <v>12.007593756136471</v>
      </c>
    </row>
    <row r="270" spans="1:4" x14ac:dyDescent="0.2">
      <c r="A270" s="7">
        <f>'GF + UG Iteration 15'!I239</f>
        <v>22.5</v>
      </c>
      <c r="C270" s="8">
        <f>'GF + UG Iteration 15'!J239</f>
        <v>12.428911808042386</v>
      </c>
      <c r="D270" s="8">
        <f t="shared" si="5"/>
        <v>12.428911808042386</v>
      </c>
    </row>
    <row r="271" spans="1:4" x14ac:dyDescent="0.2">
      <c r="A271" s="7">
        <f>'GF + UG Iteration 15'!I240</f>
        <v>8.5</v>
      </c>
      <c r="C271" s="8">
        <f>'GF + UG Iteration 15'!J240</f>
        <v>15.987417012011372</v>
      </c>
      <c r="D271" s="8">
        <f t="shared" si="5"/>
        <v>15.987417012011372</v>
      </c>
    </row>
    <row r="272" spans="1:4" x14ac:dyDescent="0.2">
      <c r="A272" s="7">
        <f>'GF + UG Iteration 15'!I241</f>
        <v>31</v>
      </c>
      <c r="C272" s="8">
        <f>'GF + UG Iteration 15'!J241</f>
        <v>17.398552455476558</v>
      </c>
      <c r="D272" s="8">
        <f t="shared" si="5"/>
        <v>17.398552455476558</v>
      </c>
    </row>
    <row r="273" spans="1:4" x14ac:dyDescent="0.2">
      <c r="A273" s="7">
        <f>'GF + UG Iteration 15'!I242</f>
        <v>45</v>
      </c>
      <c r="C273" s="8">
        <f>'GF + UG Iteration 15'!J242</f>
        <v>20.635647067937235</v>
      </c>
      <c r="D273" s="8">
        <f t="shared" si="5"/>
        <v>20.635647067937235</v>
      </c>
    </row>
    <row r="274" spans="1:4" x14ac:dyDescent="0.2">
      <c r="A274" s="7">
        <f>'GF + UG Iteration 15'!I243</f>
        <v>12</v>
      </c>
      <c r="C274" s="8">
        <f>'GF + UG Iteration 15'!J243</f>
        <v>9.5605486512531499</v>
      </c>
      <c r="D274" s="8">
        <f t="shared" si="5"/>
        <v>9.5605486512531499</v>
      </c>
    </row>
    <row r="275" spans="1:4" x14ac:dyDescent="0.2">
      <c r="A275" s="7">
        <f>'GF + UG Iteration 15'!I244</f>
        <v>16</v>
      </c>
      <c r="C275" s="8">
        <f>'GF + UG Iteration 15'!J244</f>
        <v>11.343666057676106</v>
      </c>
      <c r="D275" s="8">
        <f t="shared" si="5"/>
        <v>11.343666057676106</v>
      </c>
    </row>
    <row r="276" spans="1:4" x14ac:dyDescent="0.2">
      <c r="A276" s="7">
        <f>'GF + UG Iteration 15'!I245</f>
        <v>10.071999999999999</v>
      </c>
      <c r="C276" s="8">
        <f>'GF + UG Iteration 15'!J245</f>
        <v>11.551053818283352</v>
      </c>
      <c r="D276" s="8">
        <f t="shared" si="5"/>
        <v>11.551053818283352</v>
      </c>
    </row>
    <row r="277" spans="1:4" x14ac:dyDescent="0.2">
      <c r="A277" s="7">
        <f>'GF + UG Iteration 15'!I246</f>
        <v>15</v>
      </c>
      <c r="C277" s="8">
        <f>'GF + UG Iteration 15'!J246</f>
        <v>14.219993992095553</v>
      </c>
      <c r="D277" s="8">
        <f t="shared" si="5"/>
        <v>14.219993992095553</v>
      </c>
    </row>
    <row r="278" spans="1:4" x14ac:dyDescent="0.2">
      <c r="A278" s="7">
        <f>'GF + UG Iteration 15'!I247</f>
        <v>40.4</v>
      </c>
      <c r="C278" s="8">
        <f>'GF + UG Iteration 15'!J247</f>
        <v>20.185865715944502</v>
      </c>
      <c r="D278" s="8">
        <f t="shared" ref="D278:D316" si="7">SUM(B278:C278)</f>
        <v>20.185865715944502</v>
      </c>
    </row>
    <row r="279" spans="1:4" x14ac:dyDescent="0.2">
      <c r="A279" s="7">
        <f>'GF + UG Iteration 15'!I248</f>
        <v>40</v>
      </c>
      <c r="C279" s="8">
        <f>'GF + UG Iteration 15'!J248</f>
        <v>20.159493134242823</v>
      </c>
      <c r="D279" s="8">
        <f t="shared" si="7"/>
        <v>20.159493134242823</v>
      </c>
    </row>
    <row r="280" spans="1:4" x14ac:dyDescent="0.2">
      <c r="A280" s="7">
        <f>'GF + UG Iteration 15'!I249</f>
        <v>13</v>
      </c>
      <c r="C280" s="8">
        <f>'GF + UG Iteration 15'!J249</f>
        <v>12.038031208423698</v>
      </c>
      <c r="D280" s="8">
        <f t="shared" si="7"/>
        <v>12.038031208423698</v>
      </c>
    </row>
    <row r="281" spans="1:4" x14ac:dyDescent="0.2">
      <c r="A281" s="7">
        <f>'GF + UG Iteration 15'!I250</f>
        <v>14.4</v>
      </c>
      <c r="C281" s="8">
        <f>'GF + UG Iteration 15'!J250</f>
        <v>13.410720693131255</v>
      </c>
      <c r="D281" s="8">
        <f t="shared" si="7"/>
        <v>13.410720693131255</v>
      </c>
    </row>
    <row r="282" spans="1:4" x14ac:dyDescent="0.2">
      <c r="A282" s="7">
        <f>'GF + UG Iteration 15'!I251</f>
        <v>8.4</v>
      </c>
      <c r="C282" s="8">
        <f>'GF + UG Iteration 15'!J251</f>
        <v>7.6921697361862424</v>
      </c>
      <c r="D282" s="8">
        <f t="shared" si="7"/>
        <v>7.6921697361862424</v>
      </c>
    </row>
    <row r="283" spans="1:4" x14ac:dyDescent="0.2">
      <c r="A283" s="7">
        <f>'GF + UG Iteration 15'!I252</f>
        <v>2</v>
      </c>
      <c r="C283" s="8">
        <f>'GF + UG Iteration 15'!J252</f>
        <v>1.1703883757222286</v>
      </c>
      <c r="D283" s="8">
        <f t="shared" si="7"/>
        <v>1.1703883757222286</v>
      </c>
    </row>
    <row r="284" spans="1:4" x14ac:dyDescent="0.2">
      <c r="A284" s="7">
        <f>'GF + UG Iteration 15'!I253</f>
        <v>13</v>
      </c>
      <c r="C284" s="8">
        <f>'GF + UG Iteration 15'!J253</f>
        <v>5.3907286189026609</v>
      </c>
      <c r="D284" s="8">
        <f t="shared" si="7"/>
        <v>5.3907286189026609</v>
      </c>
    </row>
    <row r="285" spans="1:4" x14ac:dyDescent="0.2">
      <c r="A285" s="7">
        <f>'GF + UG Iteration 15'!I254</f>
        <v>25.55</v>
      </c>
      <c r="C285" s="8">
        <f>'GF + UG Iteration 15'!J254</f>
        <v>12.475914006599453</v>
      </c>
      <c r="D285" s="8">
        <f t="shared" si="7"/>
        <v>12.475914006599453</v>
      </c>
    </row>
    <row r="286" spans="1:4" x14ac:dyDescent="0.2">
      <c r="A286" s="7">
        <f>'GF + UG Iteration 15'!I255</f>
        <v>28.1</v>
      </c>
      <c r="C286" s="8">
        <f>'GF + UG Iteration 15'!J255</f>
        <v>14.674842324050763</v>
      </c>
      <c r="D286" s="8">
        <f t="shared" si="7"/>
        <v>14.674842324050763</v>
      </c>
    </row>
    <row r="287" spans="1:4" x14ac:dyDescent="0.2">
      <c r="A287" s="7">
        <f>'GF + UG Iteration 15'!I256</f>
        <v>18</v>
      </c>
      <c r="C287" s="8">
        <f>'GF + UG Iteration 15'!J256</f>
        <v>11.980787441417062</v>
      </c>
      <c r="D287" s="8">
        <f t="shared" si="7"/>
        <v>11.980787441417062</v>
      </c>
    </row>
    <row r="288" spans="1:4" x14ac:dyDescent="0.2">
      <c r="A288" s="7">
        <f>'GF + UG Iteration 15'!I257</f>
        <v>24</v>
      </c>
      <c r="C288" s="8">
        <f>'GF + UG Iteration 15'!J257</f>
        <v>14.431643799592235</v>
      </c>
      <c r="D288" s="8">
        <f t="shared" si="7"/>
        <v>14.431643799592235</v>
      </c>
    </row>
    <row r="289" spans="1:4" x14ac:dyDescent="0.2">
      <c r="A289" s="7">
        <f>'GF + UG Iteration 15'!I258</f>
        <v>15</v>
      </c>
      <c r="C289" s="8">
        <f>'GF + UG Iteration 15'!J258</f>
        <v>9.8076985553094307</v>
      </c>
      <c r="D289" s="8">
        <f t="shared" si="7"/>
        <v>9.8076985553094307</v>
      </c>
    </row>
    <row r="290" spans="1:4" x14ac:dyDescent="0.2">
      <c r="A290" s="7">
        <f>'GF + UG Iteration 15'!I259</f>
        <v>6.4</v>
      </c>
      <c r="C290" s="8">
        <f>'GF + UG Iteration 15'!J259</f>
        <v>11.370277239705693</v>
      </c>
      <c r="D290" s="8">
        <f t="shared" si="7"/>
        <v>11.370277239705693</v>
      </c>
    </row>
    <row r="291" spans="1:4" x14ac:dyDescent="0.2">
      <c r="A291" s="7">
        <f>'GF + UG Iteration 15'!I260</f>
        <v>13.6</v>
      </c>
      <c r="C291" s="8">
        <f>'GF + UG Iteration 15'!J260</f>
        <v>10.405053893251552</v>
      </c>
      <c r="D291" s="8">
        <f t="shared" si="7"/>
        <v>10.405053893251552</v>
      </c>
    </row>
    <row r="292" spans="1:4" x14ac:dyDescent="0.2">
      <c r="A292" s="7">
        <f>'GF + UG Iteration 15'!I261</f>
        <v>40</v>
      </c>
      <c r="C292" s="8">
        <f>'GF + UG Iteration 15'!J261</f>
        <v>19.01258611219972</v>
      </c>
      <c r="D292" s="8">
        <f t="shared" si="7"/>
        <v>19.01258611219972</v>
      </c>
    </row>
    <row r="293" spans="1:4" x14ac:dyDescent="0.2">
      <c r="A293" s="7">
        <f>'GF + UG Iteration 15'!I262</f>
        <v>50</v>
      </c>
      <c r="C293" s="8">
        <f>'GF + UG Iteration 15'!J262</f>
        <v>25.00608691603346</v>
      </c>
      <c r="D293" s="8">
        <f t="shared" si="7"/>
        <v>25.00608691603346</v>
      </c>
    </row>
    <row r="294" spans="1:4" x14ac:dyDescent="0.2">
      <c r="A294" s="7">
        <f>'GF + UG Iteration 15'!I263</f>
        <v>25.22</v>
      </c>
      <c r="C294" s="8">
        <f>'GF + UG Iteration 15'!J263</f>
        <v>11.880302896779666</v>
      </c>
      <c r="D294" s="8">
        <f t="shared" si="7"/>
        <v>11.880302896779666</v>
      </c>
    </row>
    <row r="295" spans="1:4" x14ac:dyDescent="0.2">
      <c r="A295" s="7">
        <f>'GF + UG Iteration 15'!I264</f>
        <v>26.22</v>
      </c>
      <c r="C295" s="8">
        <f>'GF + UG Iteration 15'!J264</f>
        <v>16.441205976476603</v>
      </c>
      <c r="D295" s="8">
        <f t="shared" si="7"/>
        <v>16.441205976476603</v>
      </c>
    </row>
    <row r="296" spans="1:4" x14ac:dyDescent="0.2">
      <c r="A296" s="7">
        <f>'GF + UG Iteration 15'!I265</f>
        <v>9.1999999999999993</v>
      </c>
      <c r="C296" s="8">
        <f>'GF + UG Iteration 15'!J265</f>
        <v>9.8446917792732034</v>
      </c>
      <c r="D296" s="8">
        <f t="shared" si="7"/>
        <v>9.8446917792732034</v>
      </c>
    </row>
    <row r="297" spans="1:4" x14ac:dyDescent="0.2">
      <c r="A297" s="7">
        <f>'GF + UG Iteration 15'!I266</f>
        <v>31</v>
      </c>
      <c r="C297" s="8">
        <f>'GF + UG Iteration 15'!J266</f>
        <v>17.371090897162489</v>
      </c>
      <c r="D297" s="8">
        <f t="shared" si="7"/>
        <v>17.371090897162489</v>
      </c>
    </row>
    <row r="298" spans="1:4" x14ac:dyDescent="0.2">
      <c r="A298" s="7">
        <f>'GF + UG Iteration 15'!I267</f>
        <v>19</v>
      </c>
      <c r="C298" s="8">
        <f>'GF + UG Iteration 15'!J267</f>
        <v>16.310380481299589</v>
      </c>
      <c r="D298" s="8">
        <f t="shared" si="7"/>
        <v>16.310380481299589</v>
      </c>
    </row>
    <row r="299" spans="1:4" x14ac:dyDescent="0.2">
      <c r="A299" s="7">
        <f>'GF + UG Iteration 15'!I268</f>
        <v>20</v>
      </c>
      <c r="C299" s="8">
        <f>'GF + UG Iteration 15'!J268</f>
        <v>13.503656757567578</v>
      </c>
      <c r="D299" s="8">
        <f t="shared" si="7"/>
        <v>13.503656757567578</v>
      </c>
    </row>
    <row r="300" spans="1:4" x14ac:dyDescent="0.2">
      <c r="A300" s="7">
        <f>'GF + UG Iteration 15'!I269</f>
        <v>58</v>
      </c>
      <c r="C300" s="8">
        <f>'GF + UG Iteration 15'!J269</f>
        <v>24.457622693762993</v>
      </c>
      <c r="D300" s="8">
        <f t="shared" si="7"/>
        <v>24.457622693762993</v>
      </c>
    </row>
    <row r="301" spans="1:4" x14ac:dyDescent="0.2">
      <c r="A301" s="7">
        <f>'GF + UG Iteration 15'!I270</f>
        <v>21</v>
      </c>
      <c r="C301" s="8">
        <f>'GF + UG Iteration 15'!J270</f>
        <v>11.464250163728556</v>
      </c>
      <c r="D301" s="8">
        <f t="shared" si="7"/>
        <v>11.464250163728556</v>
      </c>
    </row>
    <row r="302" spans="1:4" x14ac:dyDescent="0.2">
      <c r="A302" s="7">
        <f>'GF + UG Iteration 15'!I271</f>
        <v>35.130000000000003</v>
      </c>
      <c r="C302" s="8">
        <f>'GF + UG Iteration 15'!J271</f>
        <v>20.475560340039056</v>
      </c>
      <c r="D302" s="8">
        <f t="shared" si="7"/>
        <v>20.475560340039056</v>
      </c>
    </row>
    <row r="303" spans="1:4" x14ac:dyDescent="0.2">
      <c r="A303" s="7">
        <f>'GF + UG Iteration 15'!I272</f>
        <v>35.130000000000003</v>
      </c>
      <c r="C303" s="8">
        <f>'GF + UG Iteration 15'!J272</f>
        <v>20.640758334030458</v>
      </c>
      <c r="D303" s="8">
        <f t="shared" si="7"/>
        <v>20.640758334030458</v>
      </c>
    </row>
    <row r="304" spans="1:4" x14ac:dyDescent="0.2">
      <c r="A304" s="7">
        <f>'GF + UG Iteration 15'!I273</f>
        <v>75</v>
      </c>
      <c r="C304" s="8">
        <f>'GF + UG Iteration 15'!J273</f>
        <v>29.561543467136225</v>
      </c>
      <c r="D304" s="8">
        <f t="shared" si="7"/>
        <v>29.561543467136225</v>
      </c>
    </row>
    <row r="305" spans="1:4" x14ac:dyDescent="0.2">
      <c r="A305" s="7">
        <f>'GF + UG Iteration 15'!I274</f>
        <v>50.9</v>
      </c>
      <c r="C305" s="8">
        <f>'GF + UG Iteration 15'!J274</f>
        <v>31.190004214671859</v>
      </c>
      <c r="D305" s="8">
        <f t="shared" si="7"/>
        <v>31.190004214671859</v>
      </c>
    </row>
    <row r="306" spans="1:4" x14ac:dyDescent="0.2">
      <c r="A306" s="7">
        <f>'GF + UG Iteration 15'!I275</f>
        <v>67.040000000000006</v>
      </c>
      <c r="C306" s="8">
        <f>'GF + UG Iteration 15'!J275</f>
        <v>28.189943732149782</v>
      </c>
      <c r="D306" s="8">
        <f t="shared" si="7"/>
        <v>28.189943732149782</v>
      </c>
    </row>
    <row r="307" spans="1:4" x14ac:dyDescent="0.2">
      <c r="A307" s="7">
        <f>'GF + UG Iteration 15'!I276</f>
        <v>69.040000000000006</v>
      </c>
      <c r="C307" s="8">
        <f>'GF + UG Iteration 15'!J276</f>
        <v>28.460113158527722</v>
      </c>
      <c r="D307" s="8">
        <f t="shared" si="7"/>
        <v>28.460113158527722</v>
      </c>
    </row>
    <row r="308" spans="1:4" x14ac:dyDescent="0.2">
      <c r="A308" s="7">
        <f>'GF + UG Iteration 15'!I277</f>
        <v>36.963000000000001</v>
      </c>
      <c r="C308" s="8">
        <f>'GF + UG Iteration 15'!J277</f>
        <v>20.214224299573498</v>
      </c>
      <c r="D308" s="8">
        <f t="shared" si="7"/>
        <v>20.214224299573498</v>
      </c>
    </row>
    <row r="309" spans="1:4" x14ac:dyDescent="0.2">
      <c r="A309" s="7">
        <f>'GF + UG Iteration 15'!I278</f>
        <v>44</v>
      </c>
      <c r="C309" s="8">
        <f>'GF + UG Iteration 15'!J278</f>
        <v>19.435595469096977</v>
      </c>
      <c r="D309" s="8">
        <f t="shared" si="7"/>
        <v>19.435595469096977</v>
      </c>
    </row>
    <row r="310" spans="1:4" x14ac:dyDescent="0.2">
      <c r="A310" s="7">
        <f>'GF + UG Iteration 15'!I279</f>
        <v>56</v>
      </c>
      <c r="C310" s="8">
        <f>'GF + UG Iteration 15'!J279</f>
        <v>25.22112579102641</v>
      </c>
      <c r="D310" s="8">
        <f t="shared" si="7"/>
        <v>25.22112579102641</v>
      </c>
    </row>
    <row r="311" spans="1:4" x14ac:dyDescent="0.2">
      <c r="A311" s="7">
        <f>'GF + UG Iteration 15'!I280</f>
        <v>110</v>
      </c>
      <c r="C311" s="8">
        <f>'GF + UG Iteration 15'!J280</f>
        <v>37.336095341251266</v>
      </c>
      <c r="D311" s="8">
        <f t="shared" si="7"/>
        <v>37.336095341251266</v>
      </c>
    </row>
    <row r="312" spans="1:4" x14ac:dyDescent="0.2">
      <c r="A312" s="7">
        <f>'GF + UG Iteration 15'!I281</f>
        <v>101</v>
      </c>
      <c r="C312" s="8">
        <f>'GF + UG Iteration 15'!J281</f>
        <v>35.438364667352474</v>
      </c>
      <c r="D312" s="8">
        <f t="shared" si="7"/>
        <v>35.438364667352474</v>
      </c>
    </row>
    <row r="313" spans="1:4" x14ac:dyDescent="0.2">
      <c r="A313" s="7">
        <f>'GF + UG Iteration 15'!I282</f>
        <v>39</v>
      </c>
      <c r="C313" s="8">
        <f>'GF + UG Iteration 15'!J282</f>
        <v>22.621563080664739</v>
      </c>
      <c r="D313" s="8">
        <f t="shared" si="7"/>
        <v>22.621563080664739</v>
      </c>
    </row>
    <row r="314" spans="1:4" x14ac:dyDescent="0.2">
      <c r="A314" s="7">
        <f>'GF + UG Iteration 15'!I283</f>
        <v>38</v>
      </c>
      <c r="C314" s="8">
        <f>'GF + UG Iteration 15'!J283</f>
        <v>19.936890235405254</v>
      </c>
      <c r="D314" s="8">
        <f t="shared" si="7"/>
        <v>19.936890235405254</v>
      </c>
    </row>
    <row r="315" spans="1:4" x14ac:dyDescent="0.2">
      <c r="A315" s="7">
        <f>'GF + UG Iteration 15'!I284</f>
        <v>35</v>
      </c>
      <c r="C315" s="8">
        <f>'GF + UG Iteration 15'!J284</f>
        <v>17.862606413106292</v>
      </c>
      <c r="D315" s="8">
        <f t="shared" si="7"/>
        <v>17.862606413106292</v>
      </c>
    </row>
    <row r="316" spans="1:4" x14ac:dyDescent="0.2">
      <c r="A316" s="7">
        <f>'GF + UG Iteration 15'!I285</f>
        <v>77</v>
      </c>
      <c r="C316" s="8">
        <f>'GF + UG Iteration 15'!J285</f>
        <v>34.732950319817093</v>
      </c>
      <c r="D316" s="8">
        <f t="shared" si="7"/>
        <v>34.732950319817093</v>
      </c>
    </row>
    <row r="317" spans="1:4" x14ac:dyDescent="0.2">
      <c r="A317" s="7">
        <f>'GF + UG Iteration 15'!I286</f>
        <v>50</v>
      </c>
      <c r="C317" s="8">
        <f>'GF + UG Iteration 15'!J286</f>
        <v>32.751360167648485</v>
      </c>
      <c r="D317" s="8">
        <f>SUM(B317:C317)</f>
        <v>32.751360167648485</v>
      </c>
    </row>
    <row r="318" spans="1:4" x14ac:dyDescent="0.2">
      <c r="A318" s="7">
        <f>'GF + UG Iteration 15'!I287</f>
        <v>48</v>
      </c>
      <c r="C318" s="8">
        <f>'GF + UG Iteration 15'!J287</f>
        <v>31.339538653081593</v>
      </c>
      <c r="D318" s="8">
        <f t="shared" ref="D318:D323" si="8">SUM(B318:C318)</f>
        <v>31.339538653081593</v>
      </c>
    </row>
    <row r="319" spans="1:4" x14ac:dyDescent="0.2">
      <c r="A319" s="7">
        <f>'GF + UG Iteration 15'!I288</f>
        <v>40</v>
      </c>
      <c r="C319" s="8">
        <f>'GF + UG Iteration 15'!J288</f>
        <v>20.767438135708794</v>
      </c>
      <c r="D319" s="8">
        <f t="shared" si="8"/>
        <v>20.767438135708794</v>
      </c>
    </row>
    <row r="320" spans="1:4" x14ac:dyDescent="0.2">
      <c r="A320" s="7">
        <f>'GF + UG Iteration 15'!I289</f>
        <v>40</v>
      </c>
      <c r="C320" s="8">
        <f>'GF + UG Iteration 15'!J289</f>
        <v>20.195228140894468</v>
      </c>
      <c r="D320" s="8">
        <f t="shared" si="8"/>
        <v>20.195228140894468</v>
      </c>
    </row>
    <row r="321" spans="1:4" x14ac:dyDescent="0.2">
      <c r="A321" s="7">
        <f>'GF + UG Iteration 15'!I290</f>
        <v>30</v>
      </c>
      <c r="C321" s="8">
        <f>'GF + UG Iteration 15'!J290</f>
        <v>14.822730870816603</v>
      </c>
      <c r="D321" s="8">
        <f t="shared" si="8"/>
        <v>14.822730870816603</v>
      </c>
    </row>
    <row r="322" spans="1:4" x14ac:dyDescent="0.2">
      <c r="A322" s="7">
        <f>'GF + UG Iteration 15'!I291</f>
        <v>117</v>
      </c>
      <c r="C322" s="8">
        <f>'GF + UG Iteration 15'!J291</f>
        <v>45.007231144972067</v>
      </c>
      <c r="D322" s="8">
        <f t="shared" si="8"/>
        <v>45.007231144972067</v>
      </c>
    </row>
    <row r="323" spans="1:4" x14ac:dyDescent="0.2">
      <c r="A323" s="7">
        <f>'GF + UG Iteration 15'!I292</f>
        <v>53.87</v>
      </c>
      <c r="C323" s="8">
        <f>'GF + UG Iteration 15'!J292</f>
        <v>29.315361115154108</v>
      </c>
      <c r="D323" s="8">
        <f t="shared" si="8"/>
        <v>29.315361115154108</v>
      </c>
    </row>
  </sheetData>
  <printOptions horizontalCentered="1"/>
  <pageMargins left="0.5" right="0.5" top="1" bottom="0.75" header="0.3" footer="0.3"/>
  <pageSetup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9"/>
  <sheetViews>
    <sheetView showGridLines="0" zoomScaleNormal="100" workbookViewId="0">
      <pane ySplit="7" topLeftCell="A8" activePane="bottomLeft" state="frozen"/>
      <selection activeCell="F41" sqref="F41"/>
      <selection pane="bottomLeft" activeCell="A8" sqref="A8"/>
    </sheetView>
  </sheetViews>
  <sheetFormatPr defaultColWidth="9.28515625" defaultRowHeight="12.75" x14ac:dyDescent="0.2"/>
  <cols>
    <col min="1" max="1" width="9.28515625" style="4" customWidth="1"/>
    <col min="2" max="2" width="9.28515625" style="5" customWidth="1"/>
    <col min="3" max="3" width="9.28515625" style="9" customWidth="1"/>
    <col min="4" max="4" width="9.28515625" style="27" customWidth="1"/>
    <col min="5" max="5" width="9.28515625" style="28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5.7109375" style="5" customWidth="1"/>
    <col min="19" max="16384" width="9.28515625" style="5"/>
  </cols>
  <sheetData>
    <row r="1" spans="1:20" s="1" customFormat="1" x14ac:dyDescent="0.2">
      <c r="A1" s="1" t="s">
        <v>54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G - Point of Delivery Cost Function Workbook</v>
      </c>
    </row>
    <row r="4" spans="1:20" s="1" customFormat="1" x14ac:dyDescent="0.2">
      <c r="A4" s="1" t="s">
        <v>968</v>
      </c>
      <c r="B4" s="42"/>
    </row>
    <row r="5" spans="1:20" s="1" customFormat="1" x14ac:dyDescent="0.2">
      <c r="A5" s="43" t="str">
        <f>TableDate</f>
        <v>August 17, 2018</v>
      </c>
      <c r="B5" s="44"/>
    </row>
    <row r="6" spans="1:20" customFormat="1" x14ac:dyDescent="0.2"/>
    <row r="7" spans="1:20" ht="25.5" x14ac:dyDescent="0.2">
      <c r="A7" s="10" t="s">
        <v>0</v>
      </c>
      <c r="B7" s="11" t="s">
        <v>7</v>
      </c>
      <c r="C7" s="12" t="s">
        <v>8</v>
      </c>
      <c r="D7" s="13" t="s">
        <v>9</v>
      </c>
      <c r="E7" s="14" t="s">
        <v>10</v>
      </c>
      <c r="F7" s="12" t="s">
        <v>11</v>
      </c>
      <c r="G7" s="13" t="s">
        <v>12</v>
      </c>
      <c r="H7" s="14" t="s">
        <v>13</v>
      </c>
      <c r="I7" s="12" t="s">
        <v>2</v>
      </c>
      <c r="J7" s="13" t="s">
        <v>14</v>
      </c>
      <c r="K7" s="14" t="s">
        <v>15</v>
      </c>
      <c r="M7" s="11" t="s">
        <v>16</v>
      </c>
      <c r="N7" s="11" t="s">
        <v>17</v>
      </c>
      <c r="P7" s="41" t="s">
        <v>53</v>
      </c>
      <c r="Q7" s="15"/>
      <c r="T7" s="3"/>
    </row>
    <row r="8" spans="1:20" x14ac:dyDescent="0.2">
      <c r="A8" s="16">
        <f>'Greenfield Projects'!$A8</f>
        <v>476</v>
      </c>
      <c r="B8" s="17" t="s">
        <v>18</v>
      </c>
      <c r="C8" s="18">
        <f>'Greenfield Projects'!$Y8</f>
        <v>14</v>
      </c>
      <c r="D8" s="19">
        <f>'Greenfield Projects'!$AG8/10^6</f>
        <v>16.861812370959647</v>
      </c>
      <c r="E8" s="20">
        <f>'Greenfield Projects'!$Z8</f>
        <v>2003</v>
      </c>
      <c r="F8" s="18"/>
      <c r="G8" s="19"/>
      <c r="H8" s="20"/>
      <c r="I8" s="18">
        <f>C8+F8</f>
        <v>14</v>
      </c>
      <c r="J8" s="19">
        <f>D8+G8</f>
        <v>16.861812370959647</v>
      </c>
      <c r="K8" s="20"/>
      <c r="M8" s="21">
        <f>LN(I8)</f>
        <v>2.6390573296152584</v>
      </c>
      <c r="N8" s="21">
        <f>LN(J8)</f>
        <v>2.8250514421084625</v>
      </c>
      <c r="O8" s="3" t="s">
        <v>19</v>
      </c>
      <c r="P8" s="22">
        <f t="array" ref="P8:Q12">LINEST(N8:N117,M8:M117,TRUE,TRUE)</f>
        <v>0.54294588313783509</v>
      </c>
      <c r="Q8" s="22">
        <v>0.96578700490589631</v>
      </c>
      <c r="R8" s="5" t="s">
        <v>20</v>
      </c>
    </row>
    <row r="9" spans="1:20" x14ac:dyDescent="0.2">
      <c r="A9" s="16">
        <f>'Greenfield Projects'!$A9</f>
        <v>478</v>
      </c>
      <c r="B9" s="17" t="s">
        <v>18</v>
      </c>
      <c r="C9" s="18">
        <f>'Greenfield Projects'!$Y9</f>
        <v>8.5</v>
      </c>
      <c r="D9" s="19">
        <f>'Greenfield Projects'!$AG9/10^6</f>
        <v>6.0182252638842719</v>
      </c>
      <c r="E9" s="20">
        <f>'Greenfield Projects'!$Z9</f>
        <v>2003</v>
      </c>
      <c r="F9" s="18"/>
      <c r="G9" s="19"/>
      <c r="H9" s="20"/>
      <c r="I9" s="18">
        <f t="shared" ref="I9:I71" si="0">C9+F9</f>
        <v>8.5</v>
      </c>
      <c r="J9" s="19">
        <f t="shared" ref="J9:J71" si="1">D9+G9</f>
        <v>6.0182252638842719</v>
      </c>
      <c r="K9" s="20"/>
      <c r="M9" s="21">
        <f t="shared" ref="M9:M71" si="2">LN(I9)</f>
        <v>2.1400661634962708</v>
      </c>
      <c r="N9" s="21">
        <f t="shared" ref="N9:N71" si="3">LN(J9)</f>
        <v>1.7947924091929603</v>
      </c>
      <c r="O9" s="3" t="s">
        <v>21</v>
      </c>
      <c r="P9" s="22">
        <v>6.8365742875595562E-2</v>
      </c>
      <c r="Q9" s="22">
        <v>0.20015409491067362</v>
      </c>
      <c r="R9" s="5" t="s">
        <v>22</v>
      </c>
    </row>
    <row r="10" spans="1:20" x14ac:dyDescent="0.2">
      <c r="A10" s="16">
        <f>'Greenfield Projects'!$A10</f>
        <v>473</v>
      </c>
      <c r="B10" s="17" t="s">
        <v>18</v>
      </c>
      <c r="C10" s="18">
        <f>'Greenfield Projects'!$Y10</f>
        <v>30</v>
      </c>
      <c r="D10" s="19">
        <f>'Greenfield Projects'!$AG10/10^6</f>
        <v>14.998991377977235</v>
      </c>
      <c r="E10" s="20">
        <f>'Greenfield Projects'!$Z10</f>
        <v>2003</v>
      </c>
      <c r="F10" s="18"/>
      <c r="G10" s="19"/>
      <c r="H10" s="20"/>
      <c r="I10" s="18">
        <f t="shared" si="0"/>
        <v>30</v>
      </c>
      <c r="J10" s="19">
        <f t="shared" si="1"/>
        <v>14.998991377977235</v>
      </c>
      <c r="K10" s="20"/>
      <c r="M10" s="21">
        <f t="shared" si="2"/>
        <v>3.4011973816621555</v>
      </c>
      <c r="N10" s="21">
        <f t="shared" si="3"/>
        <v>2.707982957373217</v>
      </c>
      <c r="O10" s="3" t="s">
        <v>1</v>
      </c>
      <c r="P10" s="22">
        <v>0.3686865534112192</v>
      </c>
      <c r="Q10" s="22">
        <v>0.55634479555855132</v>
      </c>
      <c r="R10" s="5" t="s">
        <v>23</v>
      </c>
    </row>
    <row r="11" spans="1:20" x14ac:dyDescent="0.2">
      <c r="A11" s="16">
        <f>'Greenfield Projects'!$A11</f>
        <v>1042</v>
      </c>
      <c r="B11" s="17" t="s">
        <v>18</v>
      </c>
      <c r="C11" s="18">
        <f>'Greenfield Projects'!$Y11</f>
        <v>13</v>
      </c>
      <c r="D11" s="19">
        <f>'Greenfield Projects'!$AG11/10^6</f>
        <v>11.164764224012115</v>
      </c>
      <c r="E11" s="20">
        <f>'Greenfield Projects'!$Z11</f>
        <v>2011</v>
      </c>
      <c r="F11" s="18"/>
      <c r="G11" s="19"/>
      <c r="H11" s="20"/>
      <c r="I11" s="18">
        <f t="shared" si="0"/>
        <v>13</v>
      </c>
      <c r="J11" s="19">
        <f t="shared" si="1"/>
        <v>11.164764224012115</v>
      </c>
      <c r="K11" s="20"/>
      <c r="M11" s="21">
        <f t="shared" si="2"/>
        <v>2.5649493574615367</v>
      </c>
      <c r="N11" s="21">
        <f t="shared" si="3"/>
        <v>2.4127627676497201</v>
      </c>
      <c r="O11" s="3" t="s">
        <v>24</v>
      </c>
      <c r="P11" s="22">
        <v>63.071914567262588</v>
      </c>
      <c r="Q11" s="22">
        <v>108</v>
      </c>
      <c r="R11" s="5" t="s">
        <v>25</v>
      </c>
    </row>
    <row r="12" spans="1:20" x14ac:dyDescent="0.2">
      <c r="A12" s="16">
        <f>'Greenfield Projects'!$A12</f>
        <v>443</v>
      </c>
      <c r="B12" s="17" t="s">
        <v>18</v>
      </c>
      <c r="C12" s="18">
        <f>'Greenfield Projects'!$Y12</f>
        <v>24.3</v>
      </c>
      <c r="D12" s="19">
        <f>'Greenfield Projects'!$AG12/10^6</f>
        <v>11.705577131494863</v>
      </c>
      <c r="E12" s="20">
        <f>'Greenfield Projects'!$Z12</f>
        <v>2006</v>
      </c>
      <c r="F12" s="18"/>
      <c r="G12" s="19"/>
      <c r="H12" s="20"/>
      <c r="I12" s="18">
        <f t="shared" si="0"/>
        <v>24.3</v>
      </c>
      <c r="J12" s="19">
        <f t="shared" si="1"/>
        <v>11.705577131494863</v>
      </c>
      <c r="K12" s="20"/>
      <c r="M12" s="21">
        <f t="shared" si="2"/>
        <v>3.1904763503465028</v>
      </c>
      <c r="N12" s="21">
        <f t="shared" si="3"/>
        <v>2.4600654061344325</v>
      </c>
      <c r="O12" s="3" t="s">
        <v>26</v>
      </c>
      <c r="P12" s="22">
        <v>19.521989450510816</v>
      </c>
      <c r="Q12" s="22">
        <v>33.428109406869311</v>
      </c>
      <c r="R12" s="5" t="s">
        <v>27</v>
      </c>
    </row>
    <row r="13" spans="1:20" x14ac:dyDescent="0.2">
      <c r="A13" s="16">
        <f>'Greenfield Projects'!$A13</f>
        <v>1195</v>
      </c>
      <c r="B13" s="17" t="s">
        <v>18</v>
      </c>
      <c r="C13" s="18">
        <f>'Greenfield Projects'!$Y13</f>
        <v>18</v>
      </c>
      <c r="D13" s="19">
        <f>'Greenfield Projects'!$AG13/10^6</f>
        <v>31.659927445331629</v>
      </c>
      <c r="E13" s="20">
        <f>'Greenfield Projects'!$Z13</f>
        <v>2011</v>
      </c>
      <c r="F13" s="18"/>
      <c r="G13" s="19"/>
      <c r="H13" s="20"/>
      <c r="I13" s="18">
        <f t="shared" si="0"/>
        <v>18</v>
      </c>
      <c r="J13" s="19">
        <f t="shared" si="1"/>
        <v>31.659927445331629</v>
      </c>
      <c r="K13" s="20"/>
      <c r="M13" s="21">
        <f t="shared" si="2"/>
        <v>2.8903717578961645</v>
      </c>
      <c r="N13" s="21">
        <f t="shared" si="3"/>
        <v>3.4550517627677269</v>
      </c>
    </row>
    <row r="14" spans="1:20" x14ac:dyDescent="0.2">
      <c r="A14" s="16">
        <f>'Greenfield Projects'!$A14</f>
        <v>420</v>
      </c>
      <c r="B14" s="17" t="s">
        <v>18</v>
      </c>
      <c r="C14" s="18">
        <f>'Greenfield Projects'!$Y14</f>
        <v>6</v>
      </c>
      <c r="D14" s="19">
        <f>'Greenfield Projects'!$AG14/10^6</f>
        <v>9.6396451057157435</v>
      </c>
      <c r="E14" s="20">
        <f>'Greenfield Projects'!$Z14</f>
        <v>2007</v>
      </c>
      <c r="F14" s="18"/>
      <c r="G14" s="19"/>
      <c r="H14" s="20"/>
      <c r="I14" s="18">
        <f t="shared" si="0"/>
        <v>6</v>
      </c>
      <c r="J14" s="19">
        <f t="shared" si="1"/>
        <v>9.6396451057157435</v>
      </c>
      <c r="K14" s="20"/>
      <c r="M14" s="21">
        <f t="shared" si="2"/>
        <v>1.791759469228055</v>
      </c>
      <c r="N14" s="21">
        <f t="shared" si="3"/>
        <v>2.2658842931849965</v>
      </c>
      <c r="P14" s="15" t="s">
        <v>6</v>
      </c>
      <c r="Q14" s="15"/>
    </row>
    <row r="15" spans="1:20" x14ac:dyDescent="0.2">
      <c r="A15" s="16">
        <f>'Greenfield Projects'!$A15</f>
        <v>440</v>
      </c>
      <c r="B15" s="17" t="s">
        <v>18</v>
      </c>
      <c r="C15" s="18">
        <f>'Greenfield Projects'!$Y15</f>
        <v>10</v>
      </c>
      <c r="D15" s="19">
        <f>'Greenfield Projects'!$AG15/10^6</f>
        <v>16.009559216092757</v>
      </c>
      <c r="E15" s="20">
        <f>'Greenfield Projects'!$Z15</f>
        <v>2006</v>
      </c>
      <c r="F15" s="18"/>
      <c r="G15" s="19"/>
      <c r="H15" s="20"/>
      <c r="I15" s="18">
        <f t="shared" si="0"/>
        <v>10</v>
      </c>
      <c r="J15" s="19">
        <f t="shared" si="1"/>
        <v>16.009559216092757</v>
      </c>
      <c r="K15" s="20"/>
      <c r="M15" s="21">
        <f t="shared" si="2"/>
        <v>2.3025850929940459</v>
      </c>
      <c r="N15" s="21">
        <f t="shared" si="3"/>
        <v>2.7731859948427808</v>
      </c>
      <c r="O15" s="3" t="s">
        <v>19</v>
      </c>
      <c r="P15" s="23">
        <f>P8</f>
        <v>0.54294588313783509</v>
      </c>
    </row>
    <row r="16" spans="1:20" x14ac:dyDescent="0.2">
      <c r="A16" s="16">
        <f>'Greenfield Projects'!$A16</f>
        <v>1102</v>
      </c>
      <c r="B16" s="17" t="s">
        <v>18</v>
      </c>
      <c r="C16" s="18">
        <f>'Greenfield Projects'!$Y16</f>
        <v>20</v>
      </c>
      <c r="D16" s="19">
        <f>'Greenfield Projects'!$AG16/10^6</f>
        <v>16.293644713264708</v>
      </c>
      <c r="E16" s="20">
        <f>'Greenfield Projects'!$Z16</f>
        <v>2011</v>
      </c>
      <c r="F16" s="18"/>
      <c r="G16" s="19"/>
      <c r="H16" s="20"/>
      <c r="I16" s="18">
        <f t="shared" si="0"/>
        <v>20</v>
      </c>
      <c r="J16" s="19">
        <f t="shared" si="1"/>
        <v>16.293644713264708</v>
      </c>
      <c r="K16" s="20"/>
      <c r="M16" s="21">
        <f t="shared" si="2"/>
        <v>2.9957322735539909</v>
      </c>
      <c r="N16" s="21">
        <f t="shared" si="3"/>
        <v>2.7907751368922047</v>
      </c>
      <c r="O16" s="3" t="s">
        <v>28</v>
      </c>
      <c r="P16" s="23">
        <f>EXP(Q8)</f>
        <v>2.6268541903166294</v>
      </c>
    </row>
    <row r="17" spans="1:17" x14ac:dyDescent="0.2">
      <c r="A17" s="16">
        <f>'Greenfield Projects'!$A17</f>
        <v>324</v>
      </c>
      <c r="B17" s="17" t="s">
        <v>18</v>
      </c>
      <c r="C17" s="18">
        <f>'Greenfield Projects'!$Y17</f>
        <v>17.2</v>
      </c>
      <c r="D17" s="19">
        <f>'Greenfield Projects'!$AG17/10^6</f>
        <v>8.9094125785416409</v>
      </c>
      <c r="E17" s="20">
        <f>'Greenfield Projects'!$Z17</f>
        <v>2003</v>
      </c>
      <c r="F17" s="18"/>
      <c r="G17" s="19"/>
      <c r="H17" s="20"/>
      <c r="I17" s="18">
        <f t="shared" si="0"/>
        <v>17.2</v>
      </c>
      <c r="J17" s="19">
        <f t="shared" si="1"/>
        <v>8.9094125785416409</v>
      </c>
      <c r="K17" s="20"/>
      <c r="M17" s="21">
        <f t="shared" si="2"/>
        <v>2.8449093838194073</v>
      </c>
      <c r="N17" s="21">
        <f t="shared" si="3"/>
        <v>2.1871083109750784</v>
      </c>
      <c r="O17" s="3"/>
      <c r="P17" s="24"/>
    </row>
    <row r="18" spans="1:17" x14ac:dyDescent="0.2">
      <c r="A18" s="16">
        <f>'Greenfield Projects'!$A18</f>
        <v>1103</v>
      </c>
      <c r="B18" s="17" t="s">
        <v>18</v>
      </c>
      <c r="C18" s="18">
        <f>'Greenfield Projects'!$Y18</f>
        <v>20</v>
      </c>
      <c r="D18" s="19">
        <f>'Greenfield Projects'!$AG18/10^6</f>
        <v>17.299482978955592</v>
      </c>
      <c r="E18" s="20">
        <f>'Greenfield Projects'!$Z18</f>
        <v>2011</v>
      </c>
      <c r="F18" s="18"/>
      <c r="G18" s="19"/>
      <c r="H18" s="20"/>
      <c r="I18" s="18">
        <f t="shared" si="0"/>
        <v>20</v>
      </c>
      <c r="J18" s="19">
        <f t="shared" si="1"/>
        <v>17.299482978955592</v>
      </c>
      <c r="K18" s="20"/>
      <c r="M18" s="21">
        <f t="shared" si="2"/>
        <v>2.9957322735539909</v>
      </c>
      <c r="N18" s="21">
        <f t="shared" si="3"/>
        <v>2.8506766154476462</v>
      </c>
      <c r="P18"/>
      <c r="Q18"/>
    </row>
    <row r="19" spans="1:17" x14ac:dyDescent="0.2">
      <c r="A19" s="16">
        <f>'Greenfield Projects'!$A19</f>
        <v>386</v>
      </c>
      <c r="B19" s="17" t="s">
        <v>18</v>
      </c>
      <c r="C19" s="18">
        <f>'Greenfield Projects'!$Y19</f>
        <v>9</v>
      </c>
      <c r="D19" s="19">
        <f>'Greenfield Projects'!$AG19/10^6</f>
        <v>9.9511250787738224</v>
      </c>
      <c r="E19" s="20">
        <f>'Greenfield Projects'!$Z19</f>
        <v>2003</v>
      </c>
      <c r="F19" s="18"/>
      <c r="G19" s="19"/>
      <c r="H19" s="20"/>
      <c r="I19" s="18">
        <f t="shared" si="0"/>
        <v>9</v>
      </c>
      <c r="J19" s="19">
        <f t="shared" si="1"/>
        <v>9.9511250787738224</v>
      </c>
      <c r="K19" s="20"/>
      <c r="M19" s="21">
        <f t="shared" si="2"/>
        <v>2.1972245773362196</v>
      </c>
      <c r="N19" s="21">
        <f t="shared" si="3"/>
        <v>2.2976856180218044</v>
      </c>
      <c r="P19"/>
      <c r="Q19"/>
    </row>
    <row r="20" spans="1:17" x14ac:dyDescent="0.2">
      <c r="A20" s="16">
        <f>'Greenfield Projects'!$A20</f>
        <v>80</v>
      </c>
      <c r="B20" s="17" t="s">
        <v>18</v>
      </c>
      <c r="C20" s="18">
        <f>'Greenfield Projects'!$Y20</f>
        <v>8</v>
      </c>
      <c r="D20" s="19">
        <f>'Greenfield Projects'!$AG20/10^6</f>
        <v>6.0754029342110369</v>
      </c>
      <c r="E20" s="20">
        <f>'Greenfield Projects'!$Z20</f>
        <v>2001</v>
      </c>
      <c r="F20" s="18"/>
      <c r="G20" s="19"/>
      <c r="H20" s="20"/>
      <c r="I20" s="18">
        <f t="shared" si="0"/>
        <v>8</v>
      </c>
      <c r="J20" s="19">
        <f t="shared" si="1"/>
        <v>6.0754029342110369</v>
      </c>
      <c r="K20" s="20"/>
      <c r="M20" s="21">
        <f t="shared" si="2"/>
        <v>2.0794415416798357</v>
      </c>
      <c r="N20" s="21">
        <f t="shared" si="3"/>
        <v>1.8042483136462</v>
      </c>
      <c r="P20"/>
      <c r="Q20"/>
    </row>
    <row r="21" spans="1:17" x14ac:dyDescent="0.2">
      <c r="A21" s="16">
        <f>'Greenfield Projects'!$A21</f>
        <v>1052</v>
      </c>
      <c r="B21" s="17" t="s">
        <v>18</v>
      </c>
      <c r="C21" s="18">
        <f>'Greenfield Projects'!$Y21</f>
        <v>13.6</v>
      </c>
      <c r="D21" s="19">
        <f>'Greenfield Projects'!$AG21/10^6</f>
        <v>10.90270245998838</v>
      </c>
      <c r="E21" s="20">
        <f>'Greenfield Projects'!$Z21</f>
        <v>2011</v>
      </c>
      <c r="F21" s="18"/>
      <c r="G21" s="19"/>
      <c r="H21" s="20"/>
      <c r="I21" s="18">
        <f t="shared" si="0"/>
        <v>13.6</v>
      </c>
      <c r="J21" s="19">
        <f t="shared" si="1"/>
        <v>10.90270245998838</v>
      </c>
      <c r="K21" s="20"/>
      <c r="M21" s="21">
        <f t="shared" si="2"/>
        <v>2.6100697927420065</v>
      </c>
      <c r="N21" s="21">
        <f t="shared" si="3"/>
        <v>2.3890106906140374</v>
      </c>
      <c r="P21"/>
      <c r="Q21"/>
    </row>
    <row r="22" spans="1:17" x14ac:dyDescent="0.2">
      <c r="A22" s="16">
        <f>'Greenfield Projects'!$A22</f>
        <v>347</v>
      </c>
      <c r="B22" s="17" t="s">
        <v>18</v>
      </c>
      <c r="C22" s="18">
        <f>'Greenfield Projects'!$Y22</f>
        <v>10.548</v>
      </c>
      <c r="D22" s="19">
        <f>'Greenfield Projects'!$AG22/10^6</f>
        <v>9.3004925979781259</v>
      </c>
      <c r="E22" s="20">
        <f>'Greenfield Projects'!$Z22</f>
        <v>2003</v>
      </c>
      <c r="F22" s="18"/>
      <c r="G22" s="19"/>
      <c r="H22" s="20"/>
      <c r="I22" s="18">
        <f t="shared" si="0"/>
        <v>10.548</v>
      </c>
      <c r="J22" s="19">
        <f t="shared" si="1"/>
        <v>9.3004925979781259</v>
      </c>
      <c r="K22" s="20"/>
      <c r="M22" s="21">
        <f t="shared" si="2"/>
        <v>2.3559362684910403</v>
      </c>
      <c r="N22" s="21">
        <f t="shared" si="3"/>
        <v>2.23006736628101</v>
      </c>
    </row>
    <row r="23" spans="1:17" x14ac:dyDescent="0.2">
      <c r="A23" s="16">
        <f>'Greenfield Projects'!$A23</f>
        <v>1358</v>
      </c>
      <c r="B23" s="17" t="s">
        <v>18</v>
      </c>
      <c r="C23" s="18">
        <f>'Greenfield Projects'!$Y23</f>
        <v>27</v>
      </c>
      <c r="D23" s="19">
        <f>'Greenfield Projects'!$AG23/10^6</f>
        <v>13.07265503282744</v>
      </c>
      <c r="E23" s="20">
        <f>'Greenfield Projects'!$Z23</f>
        <v>2011</v>
      </c>
      <c r="F23" s="18"/>
      <c r="G23" s="19"/>
      <c r="H23" s="20"/>
      <c r="I23" s="18">
        <f t="shared" si="0"/>
        <v>27</v>
      </c>
      <c r="J23" s="19">
        <f t="shared" si="1"/>
        <v>13.07265503282744</v>
      </c>
      <c r="K23" s="20"/>
      <c r="M23" s="21">
        <f t="shared" si="2"/>
        <v>3.2958368660043291</v>
      </c>
      <c r="N23" s="21">
        <f t="shared" si="3"/>
        <v>2.5705226464726247</v>
      </c>
    </row>
    <row r="24" spans="1:17" x14ac:dyDescent="0.2">
      <c r="A24" s="16">
        <f>'Greenfield Projects'!$A24</f>
        <v>584</v>
      </c>
      <c r="B24" s="17" t="s">
        <v>18</v>
      </c>
      <c r="C24" s="18">
        <f>'Greenfield Projects'!$Y24</f>
        <v>28</v>
      </c>
      <c r="D24" s="19">
        <f>'Greenfield Projects'!$AG24/10^6</f>
        <v>34.903749706800433</v>
      </c>
      <c r="E24" s="20">
        <f>'Greenfield Projects'!$Z24</f>
        <v>2011</v>
      </c>
      <c r="F24" s="18"/>
      <c r="G24" s="19"/>
      <c r="H24" s="20"/>
      <c r="I24" s="18">
        <f t="shared" si="0"/>
        <v>28</v>
      </c>
      <c r="J24" s="19">
        <f t="shared" si="1"/>
        <v>34.903749706800433</v>
      </c>
      <c r="K24" s="20"/>
      <c r="M24" s="21">
        <f t="shared" si="2"/>
        <v>3.3322045101752038</v>
      </c>
      <c r="N24" s="21">
        <f t="shared" si="3"/>
        <v>3.5525942648925612</v>
      </c>
    </row>
    <row r="25" spans="1:17" x14ac:dyDescent="0.2">
      <c r="A25" s="16">
        <f>'Greenfield Projects'!$A25</f>
        <v>422</v>
      </c>
      <c r="B25" s="17" t="s">
        <v>18</v>
      </c>
      <c r="C25" s="18">
        <f>'Greenfield Projects'!$Y25</f>
        <v>24</v>
      </c>
      <c r="D25" s="19">
        <f>'Greenfield Projects'!$AG25/10^6</f>
        <v>13.650794587226329</v>
      </c>
      <c r="E25" s="20">
        <f>'Greenfield Projects'!$Z25</f>
        <v>2003</v>
      </c>
      <c r="F25" s="18"/>
      <c r="G25" s="19"/>
      <c r="H25" s="20"/>
      <c r="I25" s="18">
        <f t="shared" si="0"/>
        <v>24</v>
      </c>
      <c r="J25" s="19">
        <f t="shared" si="1"/>
        <v>13.650794587226329</v>
      </c>
      <c r="K25" s="20"/>
      <c r="M25" s="21">
        <f t="shared" si="2"/>
        <v>3.1780538303479458</v>
      </c>
      <c r="N25" s="21">
        <f t="shared" si="3"/>
        <v>2.6137977314551564</v>
      </c>
    </row>
    <row r="26" spans="1:17" x14ac:dyDescent="0.2">
      <c r="A26" s="16">
        <f>'Greenfield Projects'!$A26</f>
        <v>944</v>
      </c>
      <c r="B26" s="17" t="s">
        <v>18</v>
      </c>
      <c r="C26" s="18">
        <f>'Greenfield Projects'!$Y26</f>
        <v>43</v>
      </c>
      <c r="D26" s="19">
        <f>'Greenfield Projects'!$AG26/10^6</f>
        <v>26.816090615909914</v>
      </c>
      <c r="E26" s="20">
        <f>'Greenfield Projects'!$Z26</f>
        <v>2010</v>
      </c>
      <c r="F26" s="18"/>
      <c r="G26" s="19"/>
      <c r="H26" s="20"/>
      <c r="I26" s="18">
        <f t="shared" si="0"/>
        <v>43</v>
      </c>
      <c r="J26" s="19">
        <f t="shared" si="1"/>
        <v>26.816090615909914</v>
      </c>
      <c r="K26" s="20"/>
      <c r="M26" s="21">
        <f t="shared" si="2"/>
        <v>3.7612001156935624</v>
      </c>
      <c r="N26" s="21">
        <f t="shared" si="3"/>
        <v>3.2890021034672148</v>
      </c>
    </row>
    <row r="27" spans="1:17" x14ac:dyDescent="0.2">
      <c r="A27" s="16">
        <f>'Greenfield Projects'!$A27</f>
        <v>387</v>
      </c>
      <c r="B27" s="17" t="s">
        <v>18</v>
      </c>
      <c r="C27" s="18">
        <f>'Greenfield Projects'!$Y27</f>
        <v>7.5</v>
      </c>
      <c r="D27" s="19">
        <f>'Greenfield Projects'!$AG27/10^6</f>
        <v>9.5130592102135658</v>
      </c>
      <c r="E27" s="20">
        <f>'Greenfield Projects'!$Z27</f>
        <v>2003</v>
      </c>
      <c r="F27" s="18"/>
      <c r="G27" s="19"/>
      <c r="H27" s="20"/>
      <c r="I27" s="18">
        <f t="shared" si="0"/>
        <v>7.5</v>
      </c>
      <c r="J27" s="19">
        <f t="shared" si="1"/>
        <v>9.5130592102135658</v>
      </c>
      <c r="K27" s="20"/>
      <c r="M27" s="21">
        <f t="shared" si="2"/>
        <v>2.0149030205422647</v>
      </c>
      <c r="N27" s="21">
        <f t="shared" si="3"/>
        <v>2.2526655083417699</v>
      </c>
    </row>
    <row r="28" spans="1:17" x14ac:dyDescent="0.2">
      <c r="A28" s="16">
        <f>'Greenfield Projects'!$A28</f>
        <v>587</v>
      </c>
      <c r="B28" s="17" t="s">
        <v>18</v>
      </c>
      <c r="C28" s="18">
        <f>'Greenfield Projects'!$Y28</f>
        <v>17.8</v>
      </c>
      <c r="D28" s="19">
        <f>'Greenfield Projects'!$AG28/10^6</f>
        <v>13.152201549137706</v>
      </c>
      <c r="E28" s="20">
        <f>'Greenfield Projects'!$Z28</f>
        <v>2006</v>
      </c>
      <c r="F28" s="18"/>
      <c r="G28" s="19"/>
      <c r="H28" s="20"/>
      <c r="I28" s="18">
        <f t="shared" si="0"/>
        <v>17.8</v>
      </c>
      <c r="J28" s="19">
        <f t="shared" si="1"/>
        <v>13.152201549137706</v>
      </c>
      <c r="K28" s="20"/>
      <c r="M28" s="21">
        <f t="shared" si="2"/>
        <v>2.8791984572980396</v>
      </c>
      <c r="N28" s="21">
        <f t="shared" si="3"/>
        <v>2.57658916279629</v>
      </c>
    </row>
    <row r="29" spans="1:17" x14ac:dyDescent="0.2">
      <c r="A29" s="16">
        <f>'Greenfield Projects'!$A29</f>
        <v>585</v>
      </c>
      <c r="B29" s="17" t="s">
        <v>18</v>
      </c>
      <c r="C29" s="18">
        <f>'Greenfield Projects'!$Y29</f>
        <v>20.6</v>
      </c>
      <c r="D29" s="19">
        <f>'Greenfield Projects'!$AG29/10^6</f>
        <v>11.291169205189183</v>
      </c>
      <c r="E29" s="20">
        <f>'Greenfield Projects'!$Z29</f>
        <v>2007</v>
      </c>
      <c r="F29" s="18"/>
      <c r="G29" s="19"/>
      <c r="H29" s="20"/>
      <c r="I29" s="18">
        <f t="shared" si="0"/>
        <v>20.6</v>
      </c>
      <c r="J29" s="19">
        <f t="shared" si="1"/>
        <v>11.291169205189183</v>
      </c>
      <c r="K29" s="20"/>
      <c r="M29" s="21">
        <f t="shared" si="2"/>
        <v>3.0252910757955354</v>
      </c>
      <c r="N29" s="21">
        <f t="shared" si="3"/>
        <v>2.4240209339322751</v>
      </c>
    </row>
    <row r="30" spans="1:17" x14ac:dyDescent="0.2">
      <c r="A30" s="16">
        <f>'Greenfield Projects'!$A30</f>
        <v>831</v>
      </c>
      <c r="B30" s="17" t="s">
        <v>18</v>
      </c>
      <c r="C30" s="18">
        <f>'Greenfield Projects'!$Y30</f>
        <v>19.600000000000001</v>
      </c>
      <c r="D30" s="19">
        <f>'Greenfield Projects'!$AG30/10^6</f>
        <v>20.965601428070691</v>
      </c>
      <c r="E30" s="20">
        <f>'Greenfield Projects'!$Z30</f>
        <v>2011</v>
      </c>
      <c r="F30" s="18"/>
      <c r="G30" s="19"/>
      <c r="H30" s="20"/>
      <c r="I30" s="18">
        <f t="shared" si="0"/>
        <v>19.600000000000001</v>
      </c>
      <c r="J30" s="19">
        <f t="shared" si="1"/>
        <v>20.965601428070691</v>
      </c>
      <c r="K30" s="20"/>
      <c r="M30" s="21">
        <f t="shared" si="2"/>
        <v>2.9755295662364718</v>
      </c>
      <c r="N30" s="21">
        <f t="shared" si="3"/>
        <v>3.042883067455266</v>
      </c>
    </row>
    <row r="31" spans="1:17" x14ac:dyDescent="0.2">
      <c r="A31" s="16">
        <f>'Greenfield Projects'!$A31</f>
        <v>340</v>
      </c>
      <c r="B31" s="17" t="s">
        <v>18</v>
      </c>
      <c r="C31" s="18">
        <f>'Greenfield Projects'!$Y31</f>
        <v>22</v>
      </c>
      <c r="D31" s="19">
        <f>'Greenfield Projects'!$AG31/10^6</f>
        <v>13.309615571039751</v>
      </c>
      <c r="E31" s="20">
        <f>'Greenfield Projects'!$Z31</f>
        <v>2003</v>
      </c>
      <c r="F31" s="18"/>
      <c r="G31" s="19"/>
      <c r="H31" s="20"/>
      <c r="I31" s="18">
        <f t="shared" si="0"/>
        <v>22</v>
      </c>
      <c r="J31" s="19">
        <f t="shared" si="1"/>
        <v>13.309615571039751</v>
      </c>
      <c r="K31" s="20"/>
      <c r="M31" s="21">
        <f t="shared" si="2"/>
        <v>3.0910424533583161</v>
      </c>
      <c r="N31" s="21">
        <f t="shared" si="3"/>
        <v>2.5884867492731334</v>
      </c>
    </row>
    <row r="32" spans="1:17" x14ac:dyDescent="0.2">
      <c r="A32" s="16">
        <f>'Greenfield Projects'!$A32</f>
        <v>334</v>
      </c>
      <c r="B32" s="17" t="s">
        <v>18</v>
      </c>
      <c r="C32" s="18">
        <f>'Greenfield Projects'!$Y32</f>
        <v>18.8</v>
      </c>
      <c r="D32" s="19">
        <f>'Greenfield Projects'!$AG32/10^6</f>
        <v>7.9463711126733889</v>
      </c>
      <c r="E32" s="20">
        <f>'Greenfield Projects'!$Z32</f>
        <v>2003</v>
      </c>
      <c r="F32" s="18"/>
      <c r="G32" s="19"/>
      <c r="H32" s="20"/>
      <c r="I32" s="18">
        <f t="shared" si="0"/>
        <v>18.8</v>
      </c>
      <c r="J32" s="19">
        <f t="shared" si="1"/>
        <v>7.9463711126733889</v>
      </c>
      <c r="K32" s="20"/>
      <c r="M32" s="21">
        <f t="shared" si="2"/>
        <v>2.9338568698359038</v>
      </c>
      <c r="N32" s="21">
        <f t="shared" si="3"/>
        <v>2.072715360640252</v>
      </c>
    </row>
    <row r="33" spans="1:14" x14ac:dyDescent="0.2">
      <c r="A33" s="16">
        <f>'Greenfield Projects'!$A33</f>
        <v>343</v>
      </c>
      <c r="B33" s="17" t="s">
        <v>18</v>
      </c>
      <c r="C33" s="18">
        <f>'Greenfield Projects'!$Y33</f>
        <v>15.6</v>
      </c>
      <c r="D33" s="19">
        <f>'Greenfield Projects'!$AG33/10^6</f>
        <v>13.99971574022935</v>
      </c>
      <c r="E33" s="20">
        <f>'Greenfield Projects'!$Z33</f>
        <v>2003</v>
      </c>
      <c r="F33" s="18"/>
      <c r="G33" s="19"/>
      <c r="H33" s="20"/>
      <c r="I33" s="18">
        <f t="shared" si="0"/>
        <v>15.6</v>
      </c>
      <c r="J33" s="19">
        <f t="shared" si="1"/>
        <v>13.99971574022935</v>
      </c>
      <c r="K33" s="20"/>
      <c r="M33" s="21">
        <f t="shared" si="2"/>
        <v>2.7472709142554912</v>
      </c>
      <c r="N33" s="21">
        <f t="shared" si="3"/>
        <v>2.6390370251397921</v>
      </c>
    </row>
    <row r="34" spans="1:14" x14ac:dyDescent="0.2">
      <c r="A34" s="16">
        <f>'Greenfield Projects'!$A34</f>
        <v>358</v>
      </c>
      <c r="B34" s="17" t="s">
        <v>18</v>
      </c>
      <c r="C34" s="18">
        <f>'Greenfield Projects'!$Y34</f>
        <v>19.8</v>
      </c>
      <c r="D34" s="19">
        <f>'Greenfield Projects'!$AG34/10^6</f>
        <v>7.2248521864398549</v>
      </c>
      <c r="E34" s="20">
        <f>'Greenfield Projects'!$Z34</f>
        <v>2003</v>
      </c>
      <c r="F34" s="18"/>
      <c r="G34" s="19"/>
      <c r="H34" s="20"/>
      <c r="I34" s="18">
        <f t="shared" si="0"/>
        <v>19.8</v>
      </c>
      <c r="J34" s="19">
        <f t="shared" si="1"/>
        <v>7.2248521864398549</v>
      </c>
      <c r="K34" s="20"/>
      <c r="M34" s="21">
        <f t="shared" si="2"/>
        <v>2.9856819377004897</v>
      </c>
      <c r="N34" s="21">
        <f t="shared" si="3"/>
        <v>1.9775267751649739</v>
      </c>
    </row>
    <row r="35" spans="1:14" x14ac:dyDescent="0.2">
      <c r="A35" s="16">
        <f>'Greenfield Projects'!$A35</f>
        <v>702</v>
      </c>
      <c r="B35" s="17" t="s">
        <v>18</v>
      </c>
      <c r="C35" s="18">
        <f>'Greenfield Projects'!$Y35</f>
        <v>28.4</v>
      </c>
      <c r="D35" s="19">
        <f>'Greenfield Projects'!$AG35/10^6</f>
        <v>5.2101531080390755</v>
      </c>
      <c r="E35" s="20">
        <f>'Greenfield Projects'!$Z35</f>
        <v>2007</v>
      </c>
      <c r="F35" s="18"/>
      <c r="G35" s="19"/>
      <c r="H35" s="20"/>
      <c r="I35" s="18">
        <f t="shared" si="0"/>
        <v>28.4</v>
      </c>
      <c r="J35" s="19">
        <f t="shared" si="1"/>
        <v>5.2101531080390755</v>
      </c>
      <c r="K35" s="20"/>
      <c r="M35" s="21">
        <f t="shared" si="2"/>
        <v>3.3463891451671604</v>
      </c>
      <c r="N35" s="21">
        <f t="shared" si="3"/>
        <v>1.6506092426730299</v>
      </c>
    </row>
    <row r="36" spans="1:14" x14ac:dyDescent="0.2">
      <c r="A36" s="16">
        <f>'Greenfield Projects'!$A36</f>
        <v>526</v>
      </c>
      <c r="B36" s="17" t="s">
        <v>18</v>
      </c>
      <c r="C36" s="18">
        <f>'Greenfield Projects'!$Y36</f>
        <v>19</v>
      </c>
      <c r="D36" s="19">
        <f>'Greenfield Projects'!$AG36/10^6</f>
        <v>13.758834109767626</v>
      </c>
      <c r="E36" s="20">
        <f>'Greenfield Projects'!$Z36</f>
        <v>2007</v>
      </c>
      <c r="F36" s="18"/>
      <c r="G36" s="19"/>
      <c r="H36" s="20"/>
      <c r="I36" s="18">
        <f t="shared" si="0"/>
        <v>19</v>
      </c>
      <c r="J36" s="19">
        <f t="shared" si="1"/>
        <v>13.758834109767626</v>
      </c>
      <c r="K36" s="20"/>
      <c r="M36" s="21">
        <f t="shared" si="2"/>
        <v>2.9444389791664403</v>
      </c>
      <c r="N36" s="21">
        <f t="shared" si="3"/>
        <v>2.6216810985205803</v>
      </c>
    </row>
    <row r="37" spans="1:14" x14ac:dyDescent="0.2">
      <c r="A37" s="16">
        <f>'Greenfield Projects'!$A37</f>
        <v>288</v>
      </c>
      <c r="B37" s="17" t="s">
        <v>18</v>
      </c>
      <c r="C37" s="18">
        <f>'Greenfield Projects'!$Y37</f>
        <v>12</v>
      </c>
      <c r="D37" s="19">
        <f>'Greenfield Projects'!$AG37/10^6</f>
        <v>4.4533584840568787</v>
      </c>
      <c r="E37" s="20">
        <f>'Greenfield Projects'!$Z37</f>
        <v>2001</v>
      </c>
      <c r="F37" s="18"/>
      <c r="G37" s="19"/>
      <c r="H37" s="20"/>
      <c r="I37" s="18">
        <f t="shared" si="0"/>
        <v>12</v>
      </c>
      <c r="J37" s="19">
        <f t="shared" si="1"/>
        <v>4.4533584840568787</v>
      </c>
      <c r="K37" s="20"/>
      <c r="M37" s="21">
        <f t="shared" si="2"/>
        <v>2.4849066497880004</v>
      </c>
      <c r="N37" s="21">
        <f t="shared" si="3"/>
        <v>1.4936585270420049</v>
      </c>
    </row>
    <row r="38" spans="1:14" x14ac:dyDescent="0.2">
      <c r="A38" s="16">
        <f>'Greenfield Projects'!$A38</f>
        <v>851</v>
      </c>
      <c r="B38" s="17" t="s">
        <v>18</v>
      </c>
      <c r="C38" s="18">
        <f>'Greenfield Projects'!$Y38</f>
        <v>25</v>
      </c>
      <c r="D38" s="19">
        <f>'Greenfield Projects'!$AG38/10^6</f>
        <v>12.931754132918639</v>
      </c>
      <c r="E38" s="20">
        <f>'Greenfield Projects'!$Z38</f>
        <v>2007</v>
      </c>
      <c r="F38" s="18"/>
      <c r="G38" s="19"/>
      <c r="H38" s="20"/>
      <c r="I38" s="18">
        <f t="shared" si="0"/>
        <v>25</v>
      </c>
      <c r="J38" s="19">
        <f t="shared" si="1"/>
        <v>12.931754132918639</v>
      </c>
      <c r="K38" s="20"/>
      <c r="M38" s="21">
        <f t="shared" si="2"/>
        <v>3.2188758248682006</v>
      </c>
      <c r="N38" s="21">
        <f t="shared" si="3"/>
        <v>2.5596858473810773</v>
      </c>
    </row>
    <row r="39" spans="1:14" x14ac:dyDescent="0.2">
      <c r="A39" s="16">
        <f>'Greenfield Projects'!$A39</f>
        <v>648</v>
      </c>
      <c r="B39" s="17" t="s">
        <v>18</v>
      </c>
      <c r="C39" s="18">
        <f>'Greenfield Projects'!$Y39</f>
        <v>15</v>
      </c>
      <c r="D39" s="19">
        <f>'Greenfield Projects'!$AG39/10^6</f>
        <v>14.973718181093032</v>
      </c>
      <c r="E39" s="20">
        <f>'Greenfield Projects'!$Z39</f>
        <v>2007</v>
      </c>
      <c r="F39" s="18"/>
      <c r="G39" s="19"/>
      <c r="H39" s="20"/>
      <c r="I39" s="18">
        <f t="shared" si="0"/>
        <v>15</v>
      </c>
      <c r="J39" s="19">
        <f t="shared" si="1"/>
        <v>14.973718181093032</v>
      </c>
      <c r="K39" s="20"/>
      <c r="M39" s="21">
        <f t="shared" si="2"/>
        <v>2.7080502011022101</v>
      </c>
      <c r="N39" s="21">
        <f t="shared" si="3"/>
        <v>2.7062965430819679</v>
      </c>
    </row>
    <row r="40" spans="1:14" x14ac:dyDescent="0.2">
      <c r="A40" s="16">
        <f>'Greenfield Projects'!$A40</f>
        <v>855</v>
      </c>
      <c r="B40" s="17" t="s">
        <v>18</v>
      </c>
      <c r="C40" s="18">
        <f>'Greenfield Projects'!$Y40</f>
        <v>23</v>
      </c>
      <c r="D40" s="19">
        <f>'Greenfield Projects'!$AG40/10^6</f>
        <v>28.66706963950903</v>
      </c>
      <c r="E40" s="20">
        <f>'Greenfield Projects'!$Z40</f>
        <v>2011</v>
      </c>
      <c r="F40" s="18"/>
      <c r="G40" s="19"/>
      <c r="H40" s="20"/>
      <c r="I40" s="18">
        <f t="shared" si="0"/>
        <v>23</v>
      </c>
      <c r="J40" s="19">
        <f t="shared" si="1"/>
        <v>28.66706963950903</v>
      </c>
      <c r="K40" s="20"/>
      <c r="M40" s="21">
        <f t="shared" si="2"/>
        <v>3.1354942159291497</v>
      </c>
      <c r="N40" s="21">
        <f t="shared" si="3"/>
        <v>3.355749064678772</v>
      </c>
    </row>
    <row r="41" spans="1:14" x14ac:dyDescent="0.2">
      <c r="A41" s="16">
        <f>'Greenfield Projects'!$A41</f>
        <v>700</v>
      </c>
      <c r="B41" s="17" t="s">
        <v>18</v>
      </c>
      <c r="C41" s="18">
        <f>'Greenfield Projects'!$Y41</f>
        <v>9.8000000000000007</v>
      </c>
      <c r="D41" s="19">
        <f>'Greenfield Projects'!$AG41/10^6</f>
        <v>7.0657947644327148</v>
      </c>
      <c r="E41" s="20">
        <f>'Greenfield Projects'!$Z41</f>
        <v>2007</v>
      </c>
      <c r="F41" s="18"/>
      <c r="G41" s="19"/>
      <c r="H41" s="20"/>
      <c r="I41" s="18">
        <f t="shared" si="0"/>
        <v>9.8000000000000007</v>
      </c>
      <c r="J41" s="19">
        <f t="shared" si="1"/>
        <v>7.0657947644327148</v>
      </c>
      <c r="K41" s="20"/>
      <c r="M41" s="21">
        <f t="shared" si="2"/>
        <v>2.2823823856765264</v>
      </c>
      <c r="N41" s="21">
        <f t="shared" si="3"/>
        <v>1.9552655030060266</v>
      </c>
    </row>
    <row r="42" spans="1:14" x14ac:dyDescent="0.2">
      <c r="A42" s="16">
        <f>'Greenfield Projects'!$A42</f>
        <v>683</v>
      </c>
      <c r="B42" s="17" t="s">
        <v>18</v>
      </c>
      <c r="C42" s="18">
        <f>'Greenfield Projects'!$Y42</f>
        <v>30</v>
      </c>
      <c r="D42" s="19">
        <f>'Greenfield Projects'!$AG42/10^6</f>
        <v>16.03232257186292</v>
      </c>
      <c r="E42" s="20">
        <f>'Greenfield Projects'!$Z42</f>
        <v>2011</v>
      </c>
      <c r="F42" s="18"/>
      <c r="G42" s="19"/>
      <c r="H42" s="20"/>
      <c r="I42" s="18">
        <f t="shared" si="0"/>
        <v>30</v>
      </c>
      <c r="J42" s="19">
        <f t="shared" si="1"/>
        <v>16.03232257186292</v>
      </c>
      <c r="K42" s="20"/>
      <c r="M42" s="21">
        <f t="shared" si="2"/>
        <v>3.4011973816621555</v>
      </c>
      <c r="N42" s="21">
        <f t="shared" si="3"/>
        <v>2.7746068452004713</v>
      </c>
    </row>
    <row r="43" spans="1:14" x14ac:dyDescent="0.2">
      <c r="A43" s="16">
        <f>'Greenfield Projects'!$A43</f>
        <v>559</v>
      </c>
      <c r="B43" s="17" t="s">
        <v>18</v>
      </c>
      <c r="C43" s="18">
        <f>'Greenfield Projects'!$Y43</f>
        <v>115</v>
      </c>
      <c r="D43" s="19">
        <f>'Greenfield Projects'!$AG43/10^6</f>
        <v>56.859498956472109</v>
      </c>
      <c r="E43" s="20">
        <f>'Greenfield Projects'!$Z43</f>
        <v>2011</v>
      </c>
      <c r="F43" s="18"/>
      <c r="G43" s="19"/>
      <c r="H43" s="20"/>
      <c r="I43" s="18">
        <f t="shared" si="0"/>
        <v>115</v>
      </c>
      <c r="J43" s="19">
        <f t="shared" si="1"/>
        <v>56.859498956472109</v>
      </c>
      <c r="K43" s="20"/>
      <c r="M43" s="21">
        <f t="shared" si="2"/>
        <v>4.7449321283632502</v>
      </c>
      <c r="N43" s="21">
        <f t="shared" si="3"/>
        <v>4.0405832943034818</v>
      </c>
    </row>
    <row r="44" spans="1:14" x14ac:dyDescent="0.2">
      <c r="A44" s="16">
        <f>'Greenfield Projects'!$A44</f>
        <v>1074</v>
      </c>
      <c r="B44" s="17" t="s">
        <v>18</v>
      </c>
      <c r="C44" s="18">
        <f>'Greenfield Projects'!$Y44</f>
        <v>67</v>
      </c>
      <c r="D44" s="19">
        <f>'Greenfield Projects'!$AG44/10^6</f>
        <v>43.13883453102715</v>
      </c>
      <c r="E44" s="20">
        <f>'Greenfield Projects'!$Z44</f>
        <v>2011</v>
      </c>
      <c r="F44" s="18"/>
      <c r="G44" s="19"/>
      <c r="H44" s="20"/>
      <c r="I44" s="18">
        <f t="shared" si="0"/>
        <v>67</v>
      </c>
      <c r="J44" s="19">
        <f t="shared" si="1"/>
        <v>43.13883453102715</v>
      </c>
      <c r="K44" s="20"/>
      <c r="M44" s="21">
        <f t="shared" si="2"/>
        <v>4.2046926193909657</v>
      </c>
      <c r="N44" s="21">
        <f t="shared" si="3"/>
        <v>3.7644236246254454</v>
      </c>
    </row>
    <row r="45" spans="1:14" x14ac:dyDescent="0.2">
      <c r="A45" s="16">
        <f>'Greenfield Projects'!$A45</f>
        <v>34</v>
      </c>
      <c r="B45" s="17" t="s">
        <v>18</v>
      </c>
      <c r="C45" s="18">
        <f>'Greenfield Projects'!$Y45</f>
        <v>16</v>
      </c>
      <c r="D45" s="19">
        <f>'Greenfield Projects'!$AG45/10^6</f>
        <v>7.5134124542159286</v>
      </c>
      <c r="E45" s="20">
        <f>'Greenfield Projects'!$Z45</f>
        <v>2000</v>
      </c>
      <c r="F45" s="18"/>
      <c r="G45" s="19"/>
      <c r="H45" s="20"/>
      <c r="I45" s="18">
        <f t="shared" si="0"/>
        <v>16</v>
      </c>
      <c r="J45" s="19">
        <f t="shared" si="1"/>
        <v>7.5134124542159286</v>
      </c>
      <c r="K45" s="20"/>
      <c r="M45" s="21">
        <f t="shared" si="2"/>
        <v>2.7725887222397811</v>
      </c>
      <c r="N45" s="21">
        <f t="shared" si="3"/>
        <v>2.0166897506177883</v>
      </c>
    </row>
    <row r="46" spans="1:14" x14ac:dyDescent="0.2">
      <c r="A46" s="16">
        <f>'Greenfield Projects'!$A46</f>
        <v>433</v>
      </c>
      <c r="B46" s="17" t="s">
        <v>18</v>
      </c>
      <c r="C46" s="18">
        <f>'Greenfield Projects'!$Y46</f>
        <v>25</v>
      </c>
      <c r="D46" s="19">
        <f>'Greenfield Projects'!$AG46/10^6</f>
        <v>22.308265318441425</v>
      </c>
      <c r="E46" s="20">
        <f>'Greenfield Projects'!$Z46</f>
        <v>2003</v>
      </c>
      <c r="F46" s="18"/>
      <c r="G46" s="19"/>
      <c r="H46" s="20"/>
      <c r="I46" s="18">
        <f t="shared" si="0"/>
        <v>25</v>
      </c>
      <c r="J46" s="19">
        <f t="shared" si="1"/>
        <v>22.308265318441425</v>
      </c>
      <c r="K46" s="20"/>
      <c r="M46" s="21">
        <f t="shared" si="2"/>
        <v>3.2188758248682006</v>
      </c>
      <c r="N46" s="21">
        <f t="shared" si="3"/>
        <v>3.1049572518778392</v>
      </c>
    </row>
    <row r="47" spans="1:14" x14ac:dyDescent="0.2">
      <c r="A47" s="16" t="str">
        <f>'Greenfield Projects'!$A47</f>
        <v>79A</v>
      </c>
      <c r="B47" s="17" t="s">
        <v>18</v>
      </c>
      <c r="C47" s="18">
        <f>'Greenfield Projects'!$Y47</f>
        <v>8</v>
      </c>
      <c r="D47" s="19">
        <f>'Greenfield Projects'!$AG47/10^6</f>
        <v>5.0823375539699818</v>
      </c>
      <c r="E47" s="20">
        <f>'Greenfield Projects'!$Z47</f>
        <v>2000</v>
      </c>
      <c r="F47" s="18"/>
      <c r="G47" s="19"/>
      <c r="H47" s="20"/>
      <c r="I47" s="18">
        <f t="shared" si="0"/>
        <v>8</v>
      </c>
      <c r="J47" s="19">
        <f t="shared" si="1"/>
        <v>5.0823375539699818</v>
      </c>
      <c r="K47" s="20"/>
      <c r="M47" s="21">
        <f t="shared" si="2"/>
        <v>2.0794415416798357</v>
      </c>
      <c r="N47" s="21">
        <f t="shared" si="3"/>
        <v>1.62577130417386</v>
      </c>
    </row>
    <row r="48" spans="1:14" x14ac:dyDescent="0.2">
      <c r="A48" s="16" t="str">
        <f>'Greenfield Projects'!$A48</f>
        <v>10A</v>
      </c>
      <c r="B48" s="17" t="s">
        <v>18</v>
      </c>
      <c r="C48" s="18">
        <f>'Greenfield Projects'!$Y48</f>
        <v>6.2</v>
      </c>
      <c r="D48" s="19">
        <f>'Greenfield Projects'!$AG48/10^6</f>
        <v>8.9160103759227685</v>
      </c>
      <c r="E48" s="20">
        <f>'Greenfield Projects'!$Z48</f>
        <v>2001</v>
      </c>
      <c r="F48" s="18"/>
      <c r="G48" s="19"/>
      <c r="H48" s="20"/>
      <c r="I48" s="18">
        <f t="shared" si="0"/>
        <v>6.2</v>
      </c>
      <c r="J48" s="19">
        <f t="shared" si="1"/>
        <v>8.9160103759227685</v>
      </c>
      <c r="K48" s="20"/>
      <c r="M48" s="21">
        <f t="shared" si="2"/>
        <v>1.824549292051046</v>
      </c>
      <c r="N48" s="21">
        <f t="shared" si="3"/>
        <v>2.1878485792648439</v>
      </c>
    </row>
    <row r="49" spans="1:14" x14ac:dyDescent="0.2">
      <c r="A49" s="16">
        <f>'Greenfield Projects'!$A49</f>
        <v>345</v>
      </c>
      <c r="B49" s="17" t="s">
        <v>18</v>
      </c>
      <c r="C49" s="18">
        <f>'Greenfield Projects'!$Y49</f>
        <v>35</v>
      </c>
      <c r="D49" s="19">
        <f>'Greenfield Projects'!$AG49/10^6</f>
        <v>8.3689831482940882</v>
      </c>
      <c r="E49" s="20">
        <f>'Greenfield Projects'!$Z49</f>
        <v>2003</v>
      </c>
      <c r="F49" s="18"/>
      <c r="G49" s="19"/>
      <c r="H49" s="20"/>
      <c r="I49" s="18">
        <f t="shared" si="0"/>
        <v>35</v>
      </c>
      <c r="J49" s="19">
        <f t="shared" si="1"/>
        <v>8.3689831482940882</v>
      </c>
      <c r="K49" s="20"/>
      <c r="M49" s="21">
        <f t="shared" si="2"/>
        <v>3.5553480614894135</v>
      </c>
      <c r="N49" s="21">
        <f t="shared" si="3"/>
        <v>2.1245323894621508</v>
      </c>
    </row>
    <row r="50" spans="1:14" x14ac:dyDescent="0.2">
      <c r="A50" s="16">
        <f>'Greenfield Projects'!$A50</f>
        <v>1049</v>
      </c>
      <c r="B50" s="17" t="s">
        <v>18</v>
      </c>
      <c r="C50" s="18">
        <f>'Greenfield Projects'!$Y50</f>
        <v>15.2</v>
      </c>
      <c r="D50" s="19">
        <f>'Greenfield Projects'!$AG50/10^6</f>
        <v>54.551770509232071</v>
      </c>
      <c r="E50" s="20">
        <f>'Greenfield Projects'!$Z50</f>
        <v>2011</v>
      </c>
      <c r="F50" s="18"/>
      <c r="G50" s="19"/>
      <c r="H50" s="20"/>
      <c r="I50" s="18">
        <f t="shared" si="0"/>
        <v>15.2</v>
      </c>
      <c r="J50" s="19">
        <f t="shared" si="1"/>
        <v>54.551770509232071</v>
      </c>
      <c r="K50" s="20"/>
      <c r="M50" s="21">
        <f t="shared" si="2"/>
        <v>2.7212954278522306</v>
      </c>
      <c r="N50" s="21">
        <f t="shared" si="3"/>
        <v>3.9991501683835766</v>
      </c>
    </row>
    <row r="51" spans="1:14" x14ac:dyDescent="0.2">
      <c r="A51" s="16">
        <f>'Greenfield Projects'!$A51</f>
        <v>230</v>
      </c>
      <c r="B51" s="17" t="s">
        <v>18</v>
      </c>
      <c r="C51" s="18">
        <f>'Greenfield Projects'!$Y51</f>
        <v>17</v>
      </c>
      <c r="D51" s="19">
        <f>'Greenfield Projects'!$AG51/10^6</f>
        <v>10.739901169983137</v>
      </c>
      <c r="E51" s="20">
        <f>'Greenfield Projects'!$Z51</f>
        <v>2003</v>
      </c>
      <c r="F51" s="18"/>
      <c r="G51" s="19"/>
      <c r="H51" s="20"/>
      <c r="I51" s="18">
        <f t="shared" si="0"/>
        <v>17</v>
      </c>
      <c r="J51" s="19">
        <f t="shared" si="1"/>
        <v>10.739901169983137</v>
      </c>
      <c r="K51" s="20"/>
      <c r="M51" s="21">
        <f t="shared" si="2"/>
        <v>2.8332133440562162</v>
      </c>
      <c r="N51" s="21">
        <f t="shared" si="3"/>
        <v>2.3739658869883922</v>
      </c>
    </row>
    <row r="52" spans="1:14" x14ac:dyDescent="0.2">
      <c r="A52" s="16" t="str">
        <f>'Greenfield Projects'!$A52</f>
        <v>79B</v>
      </c>
      <c r="B52" s="17" t="s">
        <v>18</v>
      </c>
      <c r="C52" s="18">
        <f>'Greenfield Projects'!$Y52</f>
        <v>8</v>
      </c>
      <c r="D52" s="19">
        <f>'Greenfield Projects'!$AG52/10^6</f>
        <v>3.3788339951362953</v>
      </c>
      <c r="E52" s="20">
        <f>'Greenfield Projects'!$Z52</f>
        <v>2000</v>
      </c>
      <c r="F52" s="18"/>
      <c r="G52" s="19"/>
      <c r="H52" s="20"/>
      <c r="I52" s="18">
        <f t="shared" si="0"/>
        <v>8</v>
      </c>
      <c r="J52" s="19">
        <f t="shared" si="1"/>
        <v>3.3788339951362953</v>
      </c>
      <c r="K52" s="20"/>
      <c r="M52" s="21">
        <f t="shared" si="2"/>
        <v>2.0794415416798357</v>
      </c>
      <c r="N52" s="21">
        <f t="shared" si="3"/>
        <v>1.2175306781252826</v>
      </c>
    </row>
    <row r="53" spans="1:14" x14ac:dyDescent="0.2">
      <c r="A53" s="16" t="str">
        <f>'Greenfield Projects'!$A53</f>
        <v>10B</v>
      </c>
      <c r="B53" s="17" t="s">
        <v>18</v>
      </c>
      <c r="C53" s="18">
        <f>'Greenfield Projects'!$Y53</f>
        <v>9.4060000000000006</v>
      </c>
      <c r="D53" s="19">
        <f>'Greenfield Projects'!$AG53/10^6</f>
        <v>9.7991326901064184</v>
      </c>
      <c r="E53" s="20">
        <f>'Greenfield Projects'!$Z53</f>
        <v>2001</v>
      </c>
      <c r="F53" s="18"/>
      <c r="G53" s="19"/>
      <c r="H53" s="20"/>
      <c r="I53" s="18">
        <f t="shared" si="0"/>
        <v>9.4060000000000006</v>
      </c>
      <c r="J53" s="19">
        <f t="shared" si="1"/>
        <v>9.7991326901064184</v>
      </c>
      <c r="K53" s="20"/>
      <c r="M53" s="21">
        <f t="shared" si="2"/>
        <v>2.2413477835228561</v>
      </c>
      <c r="N53" s="21">
        <f t="shared" si="3"/>
        <v>2.2822938807505317</v>
      </c>
    </row>
    <row r="54" spans="1:14" x14ac:dyDescent="0.2">
      <c r="A54" s="16">
        <f>'Greenfield Projects'!$A54</f>
        <v>8</v>
      </c>
      <c r="B54" s="17" t="s">
        <v>18</v>
      </c>
      <c r="C54" s="18">
        <f>'Greenfield Projects'!$Y54</f>
        <v>18</v>
      </c>
      <c r="D54" s="19">
        <f>'Greenfield Projects'!$AG54/10^6</f>
        <v>11.984110505191126</v>
      </c>
      <c r="E54" s="20">
        <f>'Greenfield Projects'!$Z54</f>
        <v>2000</v>
      </c>
      <c r="F54" s="18"/>
      <c r="G54" s="19"/>
      <c r="H54" s="20"/>
      <c r="I54" s="18">
        <f t="shared" si="0"/>
        <v>18</v>
      </c>
      <c r="J54" s="19">
        <f t="shared" si="1"/>
        <v>11.984110505191126</v>
      </c>
      <c r="K54" s="20"/>
      <c r="M54" s="21">
        <f t="shared" si="2"/>
        <v>2.8903717578961645</v>
      </c>
      <c r="N54" s="21">
        <f t="shared" si="3"/>
        <v>2.4835816477930246</v>
      </c>
    </row>
    <row r="55" spans="1:14" x14ac:dyDescent="0.2">
      <c r="A55" s="16">
        <f>'Greenfield Projects'!$A55</f>
        <v>487</v>
      </c>
      <c r="B55" s="17" t="s">
        <v>18</v>
      </c>
      <c r="C55" s="18">
        <f>'Greenfield Projects'!$Y55</f>
        <v>22</v>
      </c>
      <c r="D55" s="19">
        <f>'Greenfield Projects'!$AG55/10^6</f>
        <v>16.606728766354362</v>
      </c>
      <c r="E55" s="20">
        <f>'Greenfield Projects'!$Z55</f>
        <v>2007</v>
      </c>
      <c r="F55" s="18"/>
      <c r="G55" s="19"/>
      <c r="H55" s="20"/>
      <c r="I55" s="18">
        <f t="shared" si="0"/>
        <v>22</v>
      </c>
      <c r="J55" s="19">
        <f t="shared" si="1"/>
        <v>16.606728766354362</v>
      </c>
      <c r="K55" s="20"/>
      <c r="M55" s="21">
        <f t="shared" si="2"/>
        <v>3.0910424533583161</v>
      </c>
      <c r="N55" s="21">
        <f t="shared" si="3"/>
        <v>2.8098079606021904</v>
      </c>
    </row>
    <row r="56" spans="1:14" x14ac:dyDescent="0.2">
      <c r="A56" s="16">
        <f>'Greenfield Projects'!$A56</f>
        <v>385</v>
      </c>
      <c r="B56" s="17" t="s">
        <v>18</v>
      </c>
      <c r="C56" s="18">
        <f>'Greenfield Projects'!$Y56</f>
        <v>7.5</v>
      </c>
      <c r="D56" s="19">
        <f>'Greenfield Projects'!$AG56/10^6</f>
        <v>8.5880709825089685</v>
      </c>
      <c r="E56" s="20">
        <f>'Greenfield Projects'!$Z56</f>
        <v>2003</v>
      </c>
      <c r="F56" s="18"/>
      <c r="G56" s="19"/>
      <c r="H56" s="20"/>
      <c r="I56" s="18">
        <f t="shared" si="0"/>
        <v>7.5</v>
      </c>
      <c r="J56" s="19">
        <f t="shared" si="1"/>
        <v>8.5880709825089685</v>
      </c>
      <c r="K56" s="20"/>
      <c r="M56" s="21">
        <f t="shared" si="2"/>
        <v>2.0149030205422647</v>
      </c>
      <c r="N56" s="21">
        <f t="shared" si="3"/>
        <v>2.1503741452954848</v>
      </c>
    </row>
    <row r="57" spans="1:14" x14ac:dyDescent="0.2">
      <c r="A57" s="16">
        <f>'Greenfield Projects'!$A57</f>
        <v>865</v>
      </c>
      <c r="B57" s="17" t="s">
        <v>18</v>
      </c>
      <c r="C57" s="18">
        <f>'Greenfield Projects'!$Y57</f>
        <v>25</v>
      </c>
      <c r="D57" s="19">
        <f>'Greenfield Projects'!$AG57/10^6</f>
        <v>8.6091983279462436</v>
      </c>
      <c r="E57" s="20">
        <f>'Greenfield Projects'!$Z57</f>
        <v>2007</v>
      </c>
      <c r="F57" s="18"/>
      <c r="G57" s="19"/>
      <c r="H57" s="20"/>
      <c r="I57" s="18">
        <f t="shared" si="0"/>
        <v>25</v>
      </c>
      <c r="J57" s="19">
        <f t="shared" si="1"/>
        <v>8.6091983279462436</v>
      </c>
      <c r="K57" s="20"/>
      <c r="M57" s="21">
        <f t="shared" si="2"/>
        <v>3.2188758248682006</v>
      </c>
      <c r="N57" s="21">
        <f t="shared" si="3"/>
        <v>2.1528312046907798</v>
      </c>
    </row>
    <row r="58" spans="1:14" x14ac:dyDescent="0.2">
      <c r="A58" s="16">
        <f>'Greenfield Projects'!$A58</f>
        <v>863</v>
      </c>
      <c r="B58" s="17" t="s">
        <v>18</v>
      </c>
      <c r="C58" s="18">
        <f>'Greenfield Projects'!$Y58</f>
        <v>25</v>
      </c>
      <c r="D58" s="19">
        <f>'Greenfield Projects'!$AG58/10^6</f>
        <v>8.2434360504581008</v>
      </c>
      <c r="E58" s="20">
        <f>'Greenfield Projects'!$Z58</f>
        <v>2007</v>
      </c>
      <c r="F58" s="18"/>
      <c r="G58" s="19"/>
      <c r="H58" s="20"/>
      <c r="I58" s="18">
        <f t="shared" si="0"/>
        <v>25</v>
      </c>
      <c r="J58" s="19">
        <f t="shared" si="1"/>
        <v>8.2434360504581008</v>
      </c>
      <c r="K58" s="20"/>
      <c r="M58" s="21">
        <f t="shared" si="2"/>
        <v>3.2188758248682006</v>
      </c>
      <c r="N58" s="21">
        <f t="shared" si="3"/>
        <v>2.1094172534173556</v>
      </c>
    </row>
    <row r="59" spans="1:14" x14ac:dyDescent="0.2">
      <c r="A59" s="16">
        <f>'Greenfield Projects'!$A59</f>
        <v>527</v>
      </c>
      <c r="B59" s="17" t="s">
        <v>18</v>
      </c>
      <c r="C59" s="18">
        <f>'Greenfield Projects'!$Y59</f>
        <v>17</v>
      </c>
      <c r="D59" s="19">
        <f>'Greenfield Projects'!$AG59/10^6</f>
        <v>6.9318595783251213</v>
      </c>
      <c r="E59" s="20">
        <f>'Greenfield Projects'!$Z59</f>
        <v>2007</v>
      </c>
      <c r="F59" s="18"/>
      <c r="G59" s="19"/>
      <c r="H59" s="20"/>
      <c r="I59" s="18">
        <f t="shared" si="0"/>
        <v>17</v>
      </c>
      <c r="J59" s="19">
        <f t="shared" si="1"/>
        <v>6.9318595783251213</v>
      </c>
      <c r="K59" s="20"/>
      <c r="M59" s="21">
        <f t="shared" si="2"/>
        <v>2.8332133440562162</v>
      </c>
      <c r="N59" s="21">
        <f t="shared" si="3"/>
        <v>1.936128114626418</v>
      </c>
    </row>
    <row r="60" spans="1:14" x14ac:dyDescent="0.2">
      <c r="A60" s="16">
        <f>'Greenfield Projects'!$A60</f>
        <v>595</v>
      </c>
      <c r="B60" s="17" t="s">
        <v>18</v>
      </c>
      <c r="C60" s="18">
        <f>'Greenfield Projects'!$Y60</f>
        <v>11</v>
      </c>
      <c r="D60" s="19">
        <f>'Greenfield Projects'!$AG60/10^6</f>
        <v>19.087371326529755</v>
      </c>
      <c r="E60" s="20">
        <f>'Greenfield Projects'!$Z60</f>
        <v>2007</v>
      </c>
      <c r="F60" s="18"/>
      <c r="G60" s="19"/>
      <c r="H60" s="20"/>
      <c r="I60" s="18">
        <f t="shared" si="0"/>
        <v>11</v>
      </c>
      <c r="J60" s="19">
        <f t="shared" si="1"/>
        <v>19.087371326529755</v>
      </c>
      <c r="K60" s="20"/>
      <c r="M60" s="21">
        <f t="shared" si="2"/>
        <v>2.3978952727983707</v>
      </c>
      <c r="N60" s="21">
        <f t="shared" si="3"/>
        <v>2.9490269292793174</v>
      </c>
    </row>
    <row r="61" spans="1:14" x14ac:dyDescent="0.2">
      <c r="A61" s="16">
        <f>'Greenfield Projects'!$A61</f>
        <v>528</v>
      </c>
      <c r="B61" s="17" t="s">
        <v>18</v>
      </c>
      <c r="C61" s="18">
        <f>'Greenfield Projects'!$Y61</f>
        <v>17</v>
      </c>
      <c r="D61" s="19">
        <f>'Greenfield Projects'!$AG61/10^6</f>
        <v>5.2657663175025586</v>
      </c>
      <c r="E61" s="20">
        <f>'Greenfield Projects'!$Z61</f>
        <v>2007</v>
      </c>
      <c r="F61" s="18"/>
      <c r="G61" s="19"/>
      <c r="H61" s="20"/>
      <c r="I61" s="18">
        <f t="shared" si="0"/>
        <v>17</v>
      </c>
      <c r="J61" s="19">
        <f t="shared" si="1"/>
        <v>5.2657663175025586</v>
      </c>
      <c r="K61" s="20"/>
      <c r="M61" s="21">
        <f t="shared" si="2"/>
        <v>2.8332133440562162</v>
      </c>
      <c r="N61" s="21">
        <f t="shared" si="3"/>
        <v>1.6612266843778571</v>
      </c>
    </row>
    <row r="62" spans="1:14" x14ac:dyDescent="0.2">
      <c r="A62" s="16">
        <f>'Greenfield Projects'!$A62</f>
        <v>529</v>
      </c>
      <c r="B62" s="17" t="s">
        <v>18</v>
      </c>
      <c r="C62" s="18">
        <f>'Greenfield Projects'!$Y62</f>
        <v>17</v>
      </c>
      <c r="D62" s="19">
        <f>'Greenfield Projects'!$AG62/10^6</f>
        <v>7.7921694439597555</v>
      </c>
      <c r="E62" s="20">
        <f>'Greenfield Projects'!$Z62</f>
        <v>2007</v>
      </c>
      <c r="F62" s="18"/>
      <c r="G62" s="19"/>
      <c r="H62" s="20"/>
      <c r="I62" s="18">
        <f t="shared" si="0"/>
        <v>17</v>
      </c>
      <c r="J62" s="19">
        <f t="shared" si="1"/>
        <v>7.7921694439597555</v>
      </c>
      <c r="K62" s="20"/>
      <c r="M62" s="21">
        <f t="shared" si="2"/>
        <v>2.8332133440562162</v>
      </c>
      <c r="N62" s="21">
        <f t="shared" si="3"/>
        <v>2.0531193119918547</v>
      </c>
    </row>
    <row r="63" spans="1:14" x14ac:dyDescent="0.2">
      <c r="A63" s="16">
        <f>'Greenfield Projects'!$A63</f>
        <v>1095</v>
      </c>
      <c r="B63" s="17" t="s">
        <v>18</v>
      </c>
      <c r="C63" s="18">
        <f>'Greenfield Projects'!$Y63</f>
        <v>18</v>
      </c>
      <c r="D63" s="19">
        <f>'Greenfield Projects'!$AG63/10^6</f>
        <v>11.923356574074873</v>
      </c>
      <c r="E63" s="20">
        <f>'Greenfield Projects'!$Z63</f>
        <v>2011</v>
      </c>
      <c r="F63" s="18"/>
      <c r="G63" s="19"/>
      <c r="H63" s="20"/>
      <c r="I63" s="18">
        <f t="shared" si="0"/>
        <v>18</v>
      </c>
      <c r="J63" s="19">
        <f t="shared" si="1"/>
        <v>11.923356574074873</v>
      </c>
      <c r="K63" s="20"/>
      <c r="M63" s="21">
        <f t="shared" si="2"/>
        <v>2.8903717578961645</v>
      </c>
      <c r="N63" s="21">
        <f t="shared" si="3"/>
        <v>2.4784992137824831</v>
      </c>
    </row>
    <row r="64" spans="1:14" x14ac:dyDescent="0.2">
      <c r="A64" s="16">
        <f>'Greenfield Projects'!$A64</f>
        <v>561</v>
      </c>
      <c r="B64" s="17" t="s">
        <v>18</v>
      </c>
      <c r="C64" s="18">
        <f>'Greenfield Projects'!$Y64</f>
        <v>46</v>
      </c>
      <c r="D64" s="19">
        <f>'Greenfield Projects'!$AG64/10^6</f>
        <v>58.100097147658744</v>
      </c>
      <c r="E64" s="20">
        <f>'Greenfield Projects'!$Z64</f>
        <v>2011</v>
      </c>
      <c r="F64" s="18"/>
      <c r="G64" s="19"/>
      <c r="H64" s="20"/>
      <c r="I64" s="18">
        <f t="shared" si="0"/>
        <v>46</v>
      </c>
      <c r="J64" s="19">
        <f t="shared" si="1"/>
        <v>58.100097147658744</v>
      </c>
      <c r="K64" s="20"/>
      <c r="M64" s="21">
        <f t="shared" si="2"/>
        <v>3.8286413964890951</v>
      </c>
      <c r="N64" s="21">
        <f t="shared" si="3"/>
        <v>4.0621673359332098</v>
      </c>
    </row>
    <row r="65" spans="1:14" x14ac:dyDescent="0.2">
      <c r="A65" s="16">
        <f>'Greenfield Projects'!$A65</f>
        <v>1018</v>
      </c>
      <c r="B65" s="17" t="s">
        <v>18</v>
      </c>
      <c r="C65" s="18">
        <f>'Greenfield Projects'!$Y65</f>
        <v>3</v>
      </c>
      <c r="D65" s="19">
        <f>'Greenfield Projects'!$AG65/10^6</f>
        <v>10.634643135603309</v>
      </c>
      <c r="E65" s="20">
        <f>'Greenfield Projects'!$Z65</f>
        <v>2011</v>
      </c>
      <c r="F65" s="18"/>
      <c r="G65" s="19"/>
      <c r="H65" s="20"/>
      <c r="I65" s="18">
        <f t="shared" si="0"/>
        <v>3</v>
      </c>
      <c r="J65" s="19">
        <f t="shared" si="1"/>
        <v>10.634643135603309</v>
      </c>
      <c r="K65" s="20"/>
      <c r="M65" s="21">
        <f t="shared" si="2"/>
        <v>1.0986122886681098</v>
      </c>
      <c r="N65" s="21">
        <f t="shared" si="3"/>
        <v>2.3641168924336546</v>
      </c>
    </row>
    <row r="66" spans="1:14" x14ac:dyDescent="0.2">
      <c r="A66" s="16">
        <f>'Greenfield Projects'!$A66</f>
        <v>360</v>
      </c>
      <c r="B66" s="17" t="s">
        <v>18</v>
      </c>
      <c r="C66" s="18">
        <f>'Greenfield Projects'!$Y66</f>
        <v>22</v>
      </c>
      <c r="D66" s="19">
        <f>'Greenfield Projects'!$AG66/10^6</f>
        <v>7.1174715515965792</v>
      </c>
      <c r="E66" s="20">
        <f>'Greenfield Projects'!$Z66</f>
        <v>2003</v>
      </c>
      <c r="F66" s="18"/>
      <c r="G66" s="19"/>
      <c r="H66" s="20"/>
      <c r="I66" s="18">
        <f t="shared" si="0"/>
        <v>22</v>
      </c>
      <c r="J66" s="19">
        <f t="shared" si="1"/>
        <v>7.1174715515965792</v>
      </c>
      <c r="K66" s="20"/>
      <c r="M66" s="21">
        <f t="shared" si="2"/>
        <v>3.0910424533583161</v>
      </c>
      <c r="N66" s="21">
        <f t="shared" si="3"/>
        <v>1.9625525431963604</v>
      </c>
    </row>
    <row r="67" spans="1:14" x14ac:dyDescent="0.2">
      <c r="A67" s="16">
        <f>'Greenfield Projects'!$A67</f>
        <v>1106</v>
      </c>
      <c r="B67" s="17" t="s">
        <v>18</v>
      </c>
      <c r="C67" s="18">
        <f>'Greenfield Projects'!$Y67</f>
        <v>12</v>
      </c>
      <c r="D67" s="19">
        <f>'Greenfield Projects'!$AG67/10^6</f>
        <v>20.217898457447252</v>
      </c>
      <c r="E67" s="20">
        <f>'Greenfield Projects'!$Z67</f>
        <v>2011</v>
      </c>
      <c r="F67" s="18"/>
      <c r="G67" s="19"/>
      <c r="H67" s="20"/>
      <c r="I67" s="18">
        <f t="shared" si="0"/>
        <v>12</v>
      </c>
      <c r="J67" s="19">
        <f t="shared" si="1"/>
        <v>20.217898457447252</v>
      </c>
      <c r="K67" s="20"/>
      <c r="M67" s="21">
        <f t="shared" si="2"/>
        <v>2.4849066497880004</v>
      </c>
      <c r="N67" s="21">
        <f t="shared" si="3"/>
        <v>3.0065682743355979</v>
      </c>
    </row>
    <row r="68" spans="1:14" x14ac:dyDescent="0.2">
      <c r="A68" s="16">
        <f>'Greenfield Projects'!$A68</f>
        <v>899</v>
      </c>
      <c r="B68" s="17" t="s">
        <v>18</v>
      </c>
      <c r="C68" s="18">
        <f>'Greenfield Projects'!$Y68</f>
        <v>25</v>
      </c>
      <c r="D68" s="19">
        <f>'Greenfield Projects'!$AG68/10^6</f>
        <v>15.17251837286627</v>
      </c>
      <c r="E68" s="20">
        <f>'Greenfield Projects'!$Z68</f>
        <v>2010</v>
      </c>
      <c r="F68" s="18"/>
      <c r="G68" s="19"/>
      <c r="H68" s="20"/>
      <c r="I68" s="18">
        <f t="shared" si="0"/>
        <v>25</v>
      </c>
      <c r="J68" s="19">
        <f t="shared" si="1"/>
        <v>15.17251837286627</v>
      </c>
      <c r="K68" s="20"/>
      <c r="M68" s="21">
        <f t="shared" si="2"/>
        <v>3.2188758248682006</v>
      </c>
      <c r="N68" s="21">
        <f t="shared" si="3"/>
        <v>2.7194857896591729</v>
      </c>
    </row>
    <row r="69" spans="1:14" x14ac:dyDescent="0.2">
      <c r="A69" s="16">
        <f>'Greenfield Projects'!$A69</f>
        <v>1191</v>
      </c>
      <c r="B69" s="17" t="s">
        <v>18</v>
      </c>
      <c r="C69" s="18">
        <f>'Greenfield Projects'!$Y69</f>
        <v>11</v>
      </c>
      <c r="D69" s="19">
        <f>'Greenfield Projects'!$AG69/10^6</f>
        <v>12.628076471206382</v>
      </c>
      <c r="E69" s="20">
        <f>'Greenfield Projects'!$Z69</f>
        <v>2011</v>
      </c>
      <c r="F69" s="18"/>
      <c r="G69" s="19"/>
      <c r="H69" s="20"/>
      <c r="I69" s="18">
        <f t="shared" si="0"/>
        <v>11</v>
      </c>
      <c r="J69" s="19">
        <f t="shared" si="1"/>
        <v>12.628076471206382</v>
      </c>
      <c r="K69" s="20"/>
      <c r="M69" s="21">
        <f t="shared" si="2"/>
        <v>2.3978952727983707</v>
      </c>
      <c r="N69" s="21">
        <f t="shared" si="3"/>
        <v>2.5359226263636927</v>
      </c>
    </row>
    <row r="70" spans="1:14" x14ac:dyDescent="0.2">
      <c r="A70" s="16">
        <f>'Greenfield Projects'!$A70</f>
        <v>1115</v>
      </c>
      <c r="B70" s="17" t="s">
        <v>18</v>
      </c>
      <c r="C70" s="18">
        <f>'Greenfield Projects'!$Y70</f>
        <v>10</v>
      </c>
      <c r="D70" s="19">
        <f>'Greenfield Projects'!$AG70/10^6</f>
        <v>24.362790290493837</v>
      </c>
      <c r="E70" s="20">
        <f>'Greenfield Projects'!$Z70</f>
        <v>2011</v>
      </c>
      <c r="F70" s="18"/>
      <c r="G70" s="19"/>
      <c r="H70" s="20"/>
      <c r="I70" s="18">
        <f t="shared" si="0"/>
        <v>10</v>
      </c>
      <c r="J70" s="19">
        <f t="shared" si="1"/>
        <v>24.362790290493837</v>
      </c>
      <c r="K70" s="20"/>
      <c r="M70" s="21">
        <f t="shared" si="2"/>
        <v>2.3025850929940459</v>
      </c>
      <c r="N70" s="21">
        <f t="shared" si="3"/>
        <v>3.1930569802267783</v>
      </c>
    </row>
    <row r="71" spans="1:14" x14ac:dyDescent="0.2">
      <c r="A71" s="16">
        <f>'Greenfield Projects'!$A71</f>
        <v>1053</v>
      </c>
      <c r="B71" s="17" t="s">
        <v>18</v>
      </c>
      <c r="C71" s="18">
        <f>'Greenfield Projects'!$Y71</f>
        <v>9</v>
      </c>
      <c r="D71" s="19">
        <f>'Greenfield Projects'!$AG71/10^6</f>
        <v>14.71443826778331</v>
      </c>
      <c r="E71" s="20">
        <f>'Greenfield Projects'!$Z71</f>
        <v>2011</v>
      </c>
      <c r="F71" s="18"/>
      <c r="G71" s="19"/>
      <c r="H71" s="20"/>
      <c r="I71" s="18">
        <f t="shared" si="0"/>
        <v>9</v>
      </c>
      <c r="J71" s="19">
        <f t="shared" si="1"/>
        <v>14.71443826778331</v>
      </c>
      <c r="K71" s="20"/>
      <c r="M71" s="21">
        <f t="shared" si="2"/>
        <v>2.1972245773362196</v>
      </c>
      <c r="N71" s="21">
        <f t="shared" si="3"/>
        <v>2.6888292068340069</v>
      </c>
    </row>
    <row r="72" spans="1:14" x14ac:dyDescent="0.2">
      <c r="A72" s="16">
        <f>'Greenfield Projects'!$A72</f>
        <v>864</v>
      </c>
      <c r="B72" s="17" t="s">
        <v>18</v>
      </c>
      <c r="C72" s="18">
        <f>'Greenfield Projects'!$Y72</f>
        <v>25</v>
      </c>
      <c r="D72" s="19">
        <f>'Greenfield Projects'!$AG72/10^6</f>
        <v>9.825778201045452</v>
      </c>
      <c r="E72" s="20">
        <f>'Greenfield Projects'!$Z72</f>
        <v>2007</v>
      </c>
      <c r="F72" s="18"/>
      <c r="G72" s="19"/>
      <c r="H72" s="20"/>
      <c r="I72" s="18">
        <f t="shared" ref="I72:I100" si="4">C72+F72</f>
        <v>25</v>
      </c>
      <c r="J72" s="19">
        <f t="shared" ref="J72:J100" si="5">D72+G72</f>
        <v>9.825778201045452</v>
      </c>
      <c r="K72" s="20"/>
      <c r="M72" s="21">
        <f t="shared" ref="M72:M100" si="6">LN(I72)</f>
        <v>3.2188758248682006</v>
      </c>
      <c r="N72" s="21">
        <f t="shared" ref="N72:N100" si="7">LN(J72)</f>
        <v>2.2850093608319559</v>
      </c>
    </row>
    <row r="73" spans="1:14" x14ac:dyDescent="0.2">
      <c r="A73" s="16">
        <f>'Greenfield Projects'!$A73</f>
        <v>834</v>
      </c>
      <c r="B73" s="17" t="s">
        <v>18</v>
      </c>
      <c r="C73" s="18">
        <f>'Greenfield Projects'!$Y73</f>
        <v>45</v>
      </c>
      <c r="D73" s="19">
        <f>'Greenfield Projects'!$AG73/10^6</f>
        <v>25.798393978216257</v>
      </c>
      <c r="E73" s="20">
        <f>'Greenfield Projects'!$Z73</f>
        <v>2010</v>
      </c>
      <c r="F73" s="18"/>
      <c r="G73" s="19"/>
      <c r="H73" s="20"/>
      <c r="I73" s="18">
        <f t="shared" si="4"/>
        <v>45</v>
      </c>
      <c r="J73" s="19">
        <f t="shared" si="5"/>
        <v>25.798393978216257</v>
      </c>
      <c r="K73" s="20"/>
      <c r="M73" s="21">
        <f t="shared" si="6"/>
        <v>3.8066624897703196</v>
      </c>
      <c r="N73" s="21">
        <f t="shared" si="7"/>
        <v>3.2503122410836816</v>
      </c>
    </row>
    <row r="74" spans="1:14" x14ac:dyDescent="0.2">
      <c r="A74" s="16">
        <f>'Greenfield Projects'!$A74</f>
        <v>722</v>
      </c>
      <c r="B74" s="17" t="s">
        <v>18</v>
      </c>
      <c r="C74" s="18">
        <f>'Greenfield Projects'!$Y74</f>
        <v>10.5</v>
      </c>
      <c r="D74" s="19">
        <f>'Greenfield Projects'!$AG74/10^6</f>
        <v>13.501544643115857</v>
      </c>
      <c r="E74" s="20">
        <f>'Greenfield Projects'!$Z74</f>
        <v>2010</v>
      </c>
      <c r="F74" s="18"/>
      <c r="G74" s="19"/>
      <c r="H74" s="20"/>
      <c r="I74" s="18">
        <f t="shared" si="4"/>
        <v>10.5</v>
      </c>
      <c r="J74" s="19">
        <f t="shared" si="5"/>
        <v>13.501544643115857</v>
      </c>
      <c r="K74" s="20"/>
      <c r="M74" s="21">
        <f t="shared" si="6"/>
        <v>2.3513752571634776</v>
      </c>
      <c r="N74" s="21">
        <f t="shared" si="7"/>
        <v>2.6028040969077249</v>
      </c>
    </row>
    <row r="75" spans="1:14" x14ac:dyDescent="0.2">
      <c r="A75" s="16">
        <f>'Greenfield Projects'!$A75</f>
        <v>927</v>
      </c>
      <c r="B75" s="17" t="s">
        <v>18</v>
      </c>
      <c r="C75" s="18">
        <f>'Greenfield Projects'!$Y75</f>
        <v>60</v>
      </c>
      <c r="D75" s="19">
        <f>'Greenfield Projects'!$AG75/10^6</f>
        <v>25.887106037100622</v>
      </c>
      <c r="E75" s="20">
        <f>'Greenfield Projects'!$Z75</f>
        <v>2011</v>
      </c>
      <c r="F75" s="18"/>
      <c r="G75" s="19"/>
      <c r="H75" s="20"/>
      <c r="I75" s="18">
        <f t="shared" si="4"/>
        <v>60</v>
      </c>
      <c r="J75" s="19">
        <f t="shared" si="5"/>
        <v>25.887106037100622</v>
      </c>
      <c r="K75" s="20"/>
      <c r="M75" s="21">
        <f t="shared" si="6"/>
        <v>4.0943445622221004</v>
      </c>
      <c r="N75" s="21">
        <f t="shared" si="7"/>
        <v>3.2537450083384241</v>
      </c>
    </row>
    <row r="76" spans="1:14" x14ac:dyDescent="0.2">
      <c r="A76" s="16">
        <f>'Greenfield Projects'!$A76</f>
        <v>1068</v>
      </c>
      <c r="B76" s="17" t="s">
        <v>18</v>
      </c>
      <c r="C76" s="18">
        <f>'Greenfield Projects'!$Y76</f>
        <v>11.2</v>
      </c>
      <c r="D76" s="19">
        <f>'Greenfield Projects'!$AG76/10^6</f>
        <v>26.918199168374588</v>
      </c>
      <c r="E76" s="20">
        <f>'Greenfield Projects'!$Z76</f>
        <v>2011</v>
      </c>
      <c r="F76" s="18"/>
      <c r="G76" s="19"/>
      <c r="H76" s="20"/>
      <c r="I76" s="18">
        <f t="shared" si="4"/>
        <v>11.2</v>
      </c>
      <c r="J76" s="19">
        <f t="shared" si="5"/>
        <v>26.918199168374588</v>
      </c>
      <c r="K76" s="20"/>
      <c r="M76" s="21">
        <f t="shared" si="6"/>
        <v>2.4159137783010487</v>
      </c>
      <c r="N76" s="21">
        <f t="shared" si="7"/>
        <v>3.2928026068618901</v>
      </c>
    </row>
    <row r="77" spans="1:14" x14ac:dyDescent="0.2">
      <c r="A77" s="16">
        <f>'Greenfield Projects'!$A77</f>
        <v>506</v>
      </c>
      <c r="B77" s="17" t="s">
        <v>18</v>
      </c>
      <c r="C77" s="18">
        <f>'Greenfield Projects'!$Y77</f>
        <v>20</v>
      </c>
      <c r="D77" s="19">
        <f>'Greenfield Projects'!$AG77/10^6</f>
        <v>13.969254162639503</v>
      </c>
      <c r="E77" s="20">
        <f>'Greenfield Projects'!$Z77</f>
        <v>2003</v>
      </c>
      <c r="F77" s="18"/>
      <c r="G77" s="19"/>
      <c r="H77" s="20"/>
      <c r="I77" s="18">
        <f t="shared" si="4"/>
        <v>20</v>
      </c>
      <c r="J77" s="19">
        <f t="shared" si="5"/>
        <v>13.969254162639503</v>
      </c>
      <c r="K77" s="20"/>
      <c r="M77" s="21">
        <f t="shared" si="6"/>
        <v>2.9957322735539909</v>
      </c>
      <c r="N77" s="21">
        <f t="shared" si="7"/>
        <v>2.6368587833425443</v>
      </c>
    </row>
    <row r="78" spans="1:14" x14ac:dyDescent="0.2">
      <c r="A78" s="16">
        <f>'Greenfield Projects'!$A78</f>
        <v>456</v>
      </c>
      <c r="B78" s="17" t="s">
        <v>18</v>
      </c>
      <c r="C78" s="18">
        <f>'Greenfield Projects'!$Y78</f>
        <v>16</v>
      </c>
      <c r="D78" s="19">
        <f>'Greenfield Projects'!$AG78/10^6</f>
        <v>17.647037003819346</v>
      </c>
      <c r="E78" s="20">
        <f>'Greenfield Projects'!$Z78</f>
        <v>2007</v>
      </c>
      <c r="F78" s="18"/>
      <c r="G78" s="19"/>
      <c r="H78" s="20"/>
      <c r="I78" s="18">
        <f t="shared" si="4"/>
        <v>16</v>
      </c>
      <c r="J78" s="19">
        <f t="shared" si="5"/>
        <v>17.647037003819346</v>
      </c>
      <c r="K78" s="20"/>
      <c r="M78" s="21">
        <f t="shared" si="6"/>
        <v>2.7725887222397811</v>
      </c>
      <c r="N78" s="21">
        <f t="shared" si="7"/>
        <v>2.8705678941489836</v>
      </c>
    </row>
    <row r="79" spans="1:14" x14ac:dyDescent="0.2">
      <c r="A79" s="16">
        <f>'Greenfield Projects'!$A79</f>
        <v>130</v>
      </c>
      <c r="B79" s="17" t="s">
        <v>18</v>
      </c>
      <c r="C79" s="18">
        <f>'Greenfield Projects'!$Y79</f>
        <v>18</v>
      </c>
      <c r="D79" s="19">
        <f>'Greenfield Projects'!$AG79/10^6</f>
        <v>8.4369732753123952</v>
      </c>
      <c r="E79" s="20">
        <f>'Greenfield Projects'!$Z79</f>
        <v>2001</v>
      </c>
      <c r="F79" s="18"/>
      <c r="G79" s="19"/>
      <c r="H79" s="20"/>
      <c r="I79" s="18">
        <f t="shared" si="4"/>
        <v>18</v>
      </c>
      <c r="J79" s="19">
        <f t="shared" si="5"/>
        <v>8.4369732753123952</v>
      </c>
      <c r="K79" s="20"/>
      <c r="M79" s="21">
        <f t="shared" si="6"/>
        <v>2.8903717578961645</v>
      </c>
      <c r="N79" s="21">
        <f t="shared" si="7"/>
        <v>2.1326236276203829</v>
      </c>
    </row>
    <row r="80" spans="1:14" x14ac:dyDescent="0.2">
      <c r="A80" s="16">
        <f>'Greenfield Projects'!$A80</f>
        <v>308</v>
      </c>
      <c r="B80" s="17" t="s">
        <v>18</v>
      </c>
      <c r="C80" s="18">
        <f>'Greenfield Projects'!$Y80</f>
        <v>10</v>
      </c>
      <c r="D80" s="19">
        <f>'Greenfield Projects'!$AG80/10^6</f>
        <v>8.8753762889293544</v>
      </c>
      <c r="E80" s="20">
        <f>'Greenfield Projects'!$Z80</f>
        <v>2003</v>
      </c>
      <c r="F80" s="18"/>
      <c r="G80" s="19"/>
      <c r="H80" s="20"/>
      <c r="I80" s="18">
        <f t="shared" si="4"/>
        <v>10</v>
      </c>
      <c r="J80" s="19">
        <f t="shared" si="5"/>
        <v>8.8753762889293544</v>
      </c>
      <c r="K80" s="20"/>
      <c r="M80" s="21">
        <f t="shared" si="6"/>
        <v>2.3025850929940459</v>
      </c>
      <c r="N80" s="21">
        <f t="shared" si="7"/>
        <v>2.1832807332152813</v>
      </c>
    </row>
    <row r="81" spans="1:14" x14ac:dyDescent="0.2">
      <c r="A81" s="16">
        <f>'Greenfield Projects'!$A81</f>
        <v>829</v>
      </c>
      <c r="B81" s="17" t="s">
        <v>18</v>
      </c>
      <c r="C81" s="18">
        <f>'Greenfield Projects'!$Y81</f>
        <v>20</v>
      </c>
      <c r="D81" s="19">
        <f>'Greenfield Projects'!$AG81/10^6</f>
        <v>27.761077137379147</v>
      </c>
      <c r="E81" s="20">
        <f>'Greenfield Projects'!$Z81</f>
        <v>2011</v>
      </c>
      <c r="F81" s="18"/>
      <c r="G81" s="19"/>
      <c r="H81" s="20"/>
      <c r="I81" s="18">
        <f t="shared" si="4"/>
        <v>20</v>
      </c>
      <c r="J81" s="19">
        <f t="shared" si="5"/>
        <v>27.761077137379147</v>
      </c>
      <c r="K81" s="20"/>
      <c r="M81" s="21">
        <f t="shared" si="6"/>
        <v>2.9957322735539909</v>
      </c>
      <c r="N81" s="21">
        <f t="shared" si="7"/>
        <v>3.3236349366646221</v>
      </c>
    </row>
    <row r="82" spans="1:14" x14ac:dyDescent="0.2">
      <c r="A82" s="16">
        <f>'Greenfield Projects'!$A82</f>
        <v>425</v>
      </c>
      <c r="B82" s="17" t="s">
        <v>18</v>
      </c>
      <c r="C82" s="18">
        <f>'Greenfield Projects'!$Y82</f>
        <v>17</v>
      </c>
      <c r="D82" s="19">
        <f>'Greenfield Projects'!$AG82/10^6</f>
        <v>11.725448588458148</v>
      </c>
      <c r="E82" s="20">
        <f>'Greenfield Projects'!$Z82</f>
        <v>2006</v>
      </c>
      <c r="F82" s="18"/>
      <c r="G82" s="19"/>
      <c r="H82" s="20"/>
      <c r="I82" s="18">
        <f t="shared" si="4"/>
        <v>17</v>
      </c>
      <c r="J82" s="19">
        <f t="shared" si="5"/>
        <v>11.725448588458148</v>
      </c>
      <c r="K82" s="20"/>
      <c r="M82" s="21">
        <f t="shared" si="6"/>
        <v>2.8332133440562162</v>
      </c>
      <c r="N82" s="21">
        <f t="shared" si="7"/>
        <v>2.4617615727440327</v>
      </c>
    </row>
    <row r="83" spans="1:14" x14ac:dyDescent="0.2">
      <c r="A83" s="16">
        <f>'Greenfield Projects'!$A83</f>
        <v>333</v>
      </c>
      <c r="B83" s="17" t="s">
        <v>18</v>
      </c>
      <c r="C83" s="18">
        <f>'Greenfield Projects'!$Y83</f>
        <v>12</v>
      </c>
      <c r="D83" s="19">
        <f>'Greenfield Projects'!$AG83/10^6</f>
        <v>7.5607136656563343</v>
      </c>
      <c r="E83" s="20">
        <f>'Greenfield Projects'!$Z83</f>
        <v>2003</v>
      </c>
      <c r="F83" s="18"/>
      <c r="G83" s="19"/>
      <c r="H83" s="20"/>
      <c r="I83" s="18">
        <f t="shared" si="4"/>
        <v>12</v>
      </c>
      <c r="J83" s="19">
        <f t="shared" si="5"/>
        <v>7.5607136656563343</v>
      </c>
      <c r="K83" s="20"/>
      <c r="M83" s="21">
        <f t="shared" si="6"/>
        <v>2.4849066497880004</v>
      </c>
      <c r="N83" s="21">
        <f t="shared" si="7"/>
        <v>2.022965585955113</v>
      </c>
    </row>
    <row r="84" spans="1:14" x14ac:dyDescent="0.2">
      <c r="A84" s="16">
        <f>'Greenfield Projects'!$A84</f>
        <v>769</v>
      </c>
      <c r="B84" s="17" t="s">
        <v>18</v>
      </c>
      <c r="C84" s="18">
        <f>'Greenfield Projects'!$Y84</f>
        <v>40</v>
      </c>
      <c r="D84" s="19">
        <f>'Greenfield Projects'!$AG84/10^6</f>
        <v>26.381292343151443</v>
      </c>
      <c r="E84" s="20">
        <f>'Greenfield Projects'!$Z84</f>
        <v>2007</v>
      </c>
      <c r="F84" s="18"/>
      <c r="G84" s="19"/>
      <c r="H84" s="20"/>
      <c r="I84" s="18">
        <f t="shared" si="4"/>
        <v>40</v>
      </c>
      <c r="J84" s="19">
        <f t="shared" si="5"/>
        <v>26.381292343151443</v>
      </c>
      <c r="K84" s="20"/>
      <c r="M84" s="21">
        <f t="shared" si="6"/>
        <v>3.6888794541139363</v>
      </c>
      <c r="N84" s="21">
        <f t="shared" si="7"/>
        <v>3.2726551355945839</v>
      </c>
    </row>
    <row r="85" spans="1:14" x14ac:dyDescent="0.2">
      <c r="A85" s="16">
        <f>'Greenfield Projects'!$A85</f>
        <v>948</v>
      </c>
      <c r="B85" s="17" t="s">
        <v>18</v>
      </c>
      <c r="C85" s="18">
        <f>'Greenfield Projects'!$Y85</f>
        <v>57</v>
      </c>
      <c r="D85" s="19">
        <f>'Greenfield Projects'!$AG85/10^6</f>
        <v>12.653662771089085</v>
      </c>
      <c r="E85" s="20">
        <f>'Greenfield Projects'!$Z85</f>
        <v>2014</v>
      </c>
      <c r="F85" s="18"/>
      <c r="G85" s="19"/>
      <c r="H85" s="20"/>
      <c r="I85" s="18">
        <f t="shared" si="4"/>
        <v>57</v>
      </c>
      <c r="J85" s="19">
        <f t="shared" si="5"/>
        <v>12.653662771089085</v>
      </c>
      <c r="K85" s="20"/>
      <c r="M85" s="21">
        <f t="shared" si="6"/>
        <v>4.0430512678345503</v>
      </c>
      <c r="N85" s="21">
        <f t="shared" si="7"/>
        <v>2.5379467203845181</v>
      </c>
    </row>
    <row r="86" spans="1:14" x14ac:dyDescent="0.2">
      <c r="A86" s="16">
        <f>'Greenfield Projects'!$A86</f>
        <v>1128</v>
      </c>
      <c r="B86" s="17" t="s">
        <v>18</v>
      </c>
      <c r="C86" s="18">
        <f>'Greenfield Projects'!$Y86</f>
        <v>45</v>
      </c>
      <c r="D86" s="19">
        <f>'Greenfield Projects'!$AG86/10^6</f>
        <v>63.556235718349399</v>
      </c>
      <c r="E86" s="20">
        <f>'Greenfield Projects'!$Z86</f>
        <v>2013</v>
      </c>
      <c r="F86" s="18"/>
      <c r="G86" s="19"/>
      <c r="H86" s="20"/>
      <c r="I86" s="18">
        <f t="shared" si="4"/>
        <v>45</v>
      </c>
      <c r="J86" s="19">
        <f t="shared" si="5"/>
        <v>63.556235718349399</v>
      </c>
      <c r="K86" s="20"/>
      <c r="M86" s="21">
        <f t="shared" si="6"/>
        <v>3.8066624897703196</v>
      </c>
      <c r="N86" s="21">
        <f t="shared" si="7"/>
        <v>4.1519251158484547</v>
      </c>
    </row>
    <row r="87" spans="1:14" x14ac:dyDescent="0.2">
      <c r="A87" s="16">
        <f>'Greenfield Projects'!$A87</f>
        <v>1214</v>
      </c>
      <c r="B87" s="17" t="s">
        <v>18</v>
      </c>
      <c r="C87" s="18">
        <f>'Greenfield Projects'!$Y87</f>
        <v>52</v>
      </c>
      <c r="D87" s="19">
        <f>'Greenfield Projects'!$AG87/10^6</f>
        <v>22.631695273294461</v>
      </c>
      <c r="E87" s="20">
        <f>'Greenfield Projects'!$Z87</f>
        <v>2013</v>
      </c>
      <c r="F87" s="18"/>
      <c r="G87" s="19"/>
      <c r="H87" s="20"/>
      <c r="I87" s="18">
        <f t="shared" si="4"/>
        <v>52</v>
      </c>
      <c r="J87" s="19">
        <f t="shared" si="5"/>
        <v>22.631695273294461</v>
      </c>
      <c r="K87" s="20"/>
      <c r="M87" s="21">
        <f t="shared" si="6"/>
        <v>3.9512437185814275</v>
      </c>
      <c r="N87" s="21">
        <f t="shared" si="7"/>
        <v>3.1193513694907367</v>
      </c>
    </row>
    <row r="88" spans="1:14" x14ac:dyDescent="0.2">
      <c r="A88" s="16">
        <f>'Greenfield Projects'!$A88</f>
        <v>1225</v>
      </c>
      <c r="B88" s="17" t="s">
        <v>18</v>
      </c>
      <c r="C88" s="18">
        <f>'Greenfield Projects'!$Y88</f>
        <v>20</v>
      </c>
      <c r="D88" s="19">
        <f>'Greenfield Projects'!$AG88/10^6</f>
        <v>18.636695744675041</v>
      </c>
      <c r="E88" s="20">
        <f>'Greenfield Projects'!$Z88</f>
        <v>2013</v>
      </c>
      <c r="F88" s="18"/>
      <c r="G88" s="19"/>
      <c r="H88" s="20"/>
      <c r="I88" s="18">
        <f t="shared" si="4"/>
        <v>20</v>
      </c>
      <c r="J88" s="19">
        <f t="shared" si="5"/>
        <v>18.636695744675041</v>
      </c>
      <c r="K88" s="20"/>
      <c r="M88" s="21">
        <f t="shared" si="6"/>
        <v>2.9957322735539909</v>
      </c>
      <c r="N88" s="21">
        <f t="shared" si="7"/>
        <v>2.925132526627233</v>
      </c>
    </row>
    <row r="89" spans="1:14" x14ac:dyDescent="0.2">
      <c r="A89" s="16">
        <f>'Greenfield Projects'!$A89</f>
        <v>1263</v>
      </c>
      <c r="B89" s="17" t="s">
        <v>18</v>
      </c>
      <c r="C89" s="18">
        <f>'Greenfield Projects'!$Y89</f>
        <v>8</v>
      </c>
      <c r="D89" s="19">
        <f>'Greenfield Projects'!$AG89/10^6</f>
        <v>19.611656992669992</v>
      </c>
      <c r="E89" s="20">
        <f>'Greenfield Projects'!$Z89</f>
        <v>2013</v>
      </c>
      <c r="F89" s="18"/>
      <c r="G89" s="19"/>
      <c r="H89" s="20"/>
      <c r="I89" s="18">
        <f t="shared" si="4"/>
        <v>8</v>
      </c>
      <c r="J89" s="19">
        <f t="shared" si="5"/>
        <v>19.611656992669992</v>
      </c>
      <c r="K89" s="20"/>
      <c r="M89" s="21">
        <f t="shared" si="6"/>
        <v>2.0794415416798357</v>
      </c>
      <c r="N89" s="21">
        <f t="shared" si="7"/>
        <v>2.9761241339700195</v>
      </c>
    </row>
    <row r="90" spans="1:14" x14ac:dyDescent="0.2">
      <c r="A90" s="16">
        <f>'Greenfield Projects'!$A90</f>
        <v>1309</v>
      </c>
      <c r="B90" s="17" t="s">
        <v>18</v>
      </c>
      <c r="C90" s="18">
        <f>'Greenfield Projects'!$Y90</f>
        <v>15</v>
      </c>
      <c r="D90" s="19">
        <f>'Greenfield Projects'!$AG90/10^6</f>
        <v>16.109333942693336</v>
      </c>
      <c r="E90" s="20">
        <f>'Greenfield Projects'!$Z90</f>
        <v>2013</v>
      </c>
      <c r="F90" s="18"/>
      <c r="G90" s="19"/>
      <c r="H90" s="20"/>
      <c r="I90" s="18">
        <f t="shared" si="4"/>
        <v>15</v>
      </c>
      <c r="J90" s="19">
        <f t="shared" si="5"/>
        <v>16.109333942693336</v>
      </c>
      <c r="K90" s="20"/>
      <c r="M90" s="21">
        <f t="shared" si="6"/>
        <v>2.7080502011022101</v>
      </c>
      <c r="N90" s="21">
        <f t="shared" si="7"/>
        <v>2.7793988519948485</v>
      </c>
    </row>
    <row r="91" spans="1:14" x14ac:dyDescent="0.2">
      <c r="A91" s="16">
        <f>'Greenfield Projects'!$A91</f>
        <v>1349</v>
      </c>
      <c r="B91" s="17" t="s">
        <v>18</v>
      </c>
      <c r="C91" s="18">
        <f>'Greenfield Projects'!$Y91</f>
        <v>34</v>
      </c>
      <c r="D91" s="19">
        <f>'Greenfield Projects'!$AG91/10^6</f>
        <v>8.9679522578977586</v>
      </c>
      <c r="E91" s="20">
        <f>'Greenfield Projects'!$Z91</f>
        <v>2013</v>
      </c>
      <c r="F91" s="18"/>
      <c r="G91" s="19"/>
      <c r="H91" s="20"/>
      <c r="I91" s="18">
        <f t="shared" si="4"/>
        <v>34</v>
      </c>
      <c r="J91" s="19">
        <f t="shared" si="5"/>
        <v>8.9679522578977586</v>
      </c>
      <c r="K91" s="20"/>
      <c r="M91" s="21">
        <f t="shared" si="6"/>
        <v>3.5263605246161616</v>
      </c>
      <c r="N91" s="21">
        <f t="shared" si="7"/>
        <v>2.193657362149283</v>
      </c>
    </row>
    <row r="92" spans="1:14" x14ac:dyDescent="0.2">
      <c r="A92" s="16">
        <f>'Greenfield Projects'!$A92</f>
        <v>1358</v>
      </c>
      <c r="B92" s="17" t="s">
        <v>18</v>
      </c>
      <c r="C92" s="18">
        <f>'Greenfield Projects'!$Y92</f>
        <v>27</v>
      </c>
      <c r="D92" s="19">
        <f>'Greenfield Projects'!$AG92/10^6</f>
        <v>13.07265503282744</v>
      </c>
      <c r="E92" s="20">
        <f>'Greenfield Projects'!$Z92</f>
        <v>2013</v>
      </c>
      <c r="F92" s="18"/>
      <c r="G92" s="19"/>
      <c r="H92" s="20"/>
      <c r="I92" s="18">
        <f t="shared" si="4"/>
        <v>27</v>
      </c>
      <c r="J92" s="19">
        <f t="shared" si="5"/>
        <v>13.07265503282744</v>
      </c>
      <c r="K92" s="20"/>
      <c r="M92" s="21">
        <f t="shared" si="6"/>
        <v>3.2958368660043291</v>
      </c>
      <c r="N92" s="21">
        <f t="shared" si="7"/>
        <v>2.5705226464726247</v>
      </c>
    </row>
    <row r="93" spans="1:14" x14ac:dyDescent="0.2">
      <c r="A93" s="16">
        <f>'Greenfield Projects'!$A93</f>
        <v>1404</v>
      </c>
      <c r="B93" s="17" t="s">
        <v>18</v>
      </c>
      <c r="C93" s="18">
        <f>'Greenfield Projects'!$Y93</f>
        <v>35</v>
      </c>
      <c r="D93" s="19">
        <f>'Greenfield Projects'!$AG93/10^6</f>
        <v>35.276341164894447</v>
      </c>
      <c r="E93" s="20">
        <f>'Greenfield Projects'!$Z93</f>
        <v>2013</v>
      </c>
      <c r="F93" s="18"/>
      <c r="G93" s="19"/>
      <c r="H93" s="20"/>
      <c r="I93" s="18">
        <f t="shared" si="4"/>
        <v>35</v>
      </c>
      <c r="J93" s="19">
        <f t="shared" si="5"/>
        <v>35.276341164894447</v>
      </c>
      <c r="K93" s="20"/>
      <c r="M93" s="21">
        <f t="shared" si="6"/>
        <v>3.5553480614894135</v>
      </c>
      <c r="N93" s="21">
        <f t="shared" si="7"/>
        <v>3.5632125172824458</v>
      </c>
    </row>
    <row r="94" spans="1:14" x14ac:dyDescent="0.2">
      <c r="A94" s="16">
        <f>'Greenfield Projects'!$A94</f>
        <v>1482</v>
      </c>
      <c r="B94" s="17" t="s">
        <v>18</v>
      </c>
      <c r="C94" s="18">
        <f>'Greenfield Projects'!$Y94</f>
        <v>18.399999999999999</v>
      </c>
      <c r="D94" s="19">
        <f>'Greenfield Projects'!$AG94/10^6</f>
        <v>18.765793673519447</v>
      </c>
      <c r="E94" s="20">
        <f>'Greenfield Projects'!$Z94</f>
        <v>2013</v>
      </c>
      <c r="F94" s="18"/>
      <c r="G94" s="19"/>
      <c r="H94" s="20"/>
      <c r="I94" s="18">
        <f t="shared" si="4"/>
        <v>18.399999999999999</v>
      </c>
      <c r="J94" s="19">
        <f t="shared" si="5"/>
        <v>18.765793673519447</v>
      </c>
      <c r="K94" s="20"/>
      <c r="M94" s="21">
        <f t="shared" si="6"/>
        <v>2.91235066461494</v>
      </c>
      <c r="N94" s="21">
        <f t="shared" si="7"/>
        <v>2.9320357271105943</v>
      </c>
    </row>
    <row r="95" spans="1:14" x14ac:dyDescent="0.2">
      <c r="A95" s="16">
        <f>'Greenfield Projects'!$A95</f>
        <v>1515</v>
      </c>
      <c r="B95" s="17" t="s">
        <v>18</v>
      </c>
      <c r="C95" s="18">
        <f>'Greenfield Projects'!$Y95</f>
        <v>7.2</v>
      </c>
      <c r="D95" s="19">
        <f>'Greenfield Projects'!$AG95/10^6</f>
        <v>12.99271394051414</v>
      </c>
      <c r="E95" s="20">
        <f>'Greenfield Projects'!$Z95</f>
        <v>2013</v>
      </c>
      <c r="F95" s="18"/>
      <c r="G95" s="19"/>
      <c r="H95" s="20"/>
      <c r="I95" s="18">
        <f t="shared" si="4"/>
        <v>7.2</v>
      </c>
      <c r="J95" s="19">
        <f t="shared" si="5"/>
        <v>12.99271394051414</v>
      </c>
      <c r="K95" s="20"/>
      <c r="M95" s="21">
        <f t="shared" si="6"/>
        <v>1.9740810260220096</v>
      </c>
      <c r="N95" s="21">
        <f t="shared" si="7"/>
        <v>2.5643887342273977</v>
      </c>
    </row>
    <row r="96" spans="1:14" x14ac:dyDescent="0.2">
      <c r="A96" s="16">
        <f>'Greenfield Projects'!$A96</f>
        <v>1618</v>
      </c>
      <c r="B96" s="17" t="s">
        <v>18</v>
      </c>
      <c r="C96" s="18">
        <f>'Greenfield Projects'!$Y96</f>
        <v>21</v>
      </c>
      <c r="D96" s="19">
        <f>'Greenfield Projects'!$AG96/10^6</f>
        <v>15.965955598995766</v>
      </c>
      <c r="E96" s="20">
        <f>'Greenfield Projects'!$Z96</f>
        <v>2016</v>
      </c>
      <c r="F96" s="18"/>
      <c r="G96" s="19"/>
      <c r="H96" s="20"/>
      <c r="I96" s="18">
        <f t="shared" si="4"/>
        <v>21</v>
      </c>
      <c r="J96" s="19">
        <f t="shared" si="5"/>
        <v>15.965955598995766</v>
      </c>
      <c r="K96" s="20"/>
      <c r="M96" s="21">
        <f t="shared" si="6"/>
        <v>3.044522437723423</v>
      </c>
      <c r="N96" s="21">
        <f t="shared" si="7"/>
        <v>2.7704586802474096</v>
      </c>
    </row>
    <row r="97" spans="1:14" x14ac:dyDescent="0.2">
      <c r="A97" s="16">
        <f>'Greenfield Projects'!$A97</f>
        <v>1634</v>
      </c>
      <c r="B97" s="17" t="s">
        <v>18</v>
      </c>
      <c r="C97" s="18">
        <f>'Greenfield Projects'!$Y97</f>
        <v>17.899999999999999</v>
      </c>
      <c r="D97" s="19">
        <f>'Greenfield Projects'!$AG97/10^6</f>
        <v>17.172783979023848</v>
      </c>
      <c r="E97" s="20">
        <f>'Greenfield Projects'!$Z97</f>
        <v>2015</v>
      </c>
      <c r="F97" s="18"/>
      <c r="G97" s="19"/>
      <c r="H97" s="20"/>
      <c r="I97" s="18">
        <f t="shared" si="4"/>
        <v>17.899999999999999</v>
      </c>
      <c r="J97" s="19">
        <f t="shared" si="5"/>
        <v>17.172783979023848</v>
      </c>
      <c r="K97" s="20"/>
      <c r="M97" s="21">
        <f t="shared" si="6"/>
        <v>2.884800712846709</v>
      </c>
      <c r="N97" s="21">
        <f t="shared" si="7"/>
        <v>2.8433258038172586</v>
      </c>
    </row>
    <row r="98" spans="1:14" x14ac:dyDescent="0.2">
      <c r="A98" s="16">
        <f>'Greenfield Projects'!$A98</f>
        <v>1258</v>
      </c>
      <c r="B98" s="17" t="s">
        <v>18</v>
      </c>
      <c r="C98" s="18">
        <f>'Greenfield Projects'!$Y98</f>
        <v>46</v>
      </c>
      <c r="D98" s="19">
        <f>'Greenfield Projects'!$AG98/10^6</f>
        <v>53.518330212347877</v>
      </c>
      <c r="E98" s="20">
        <f>'Greenfield Projects'!$Z98</f>
        <v>2017</v>
      </c>
      <c r="F98" s="18"/>
      <c r="G98" s="19"/>
      <c r="H98" s="20"/>
      <c r="I98" s="18">
        <f t="shared" si="4"/>
        <v>46</v>
      </c>
      <c r="J98" s="19">
        <f t="shared" si="5"/>
        <v>53.518330212347877</v>
      </c>
      <c r="K98" s="20"/>
      <c r="M98" s="21">
        <f t="shared" si="6"/>
        <v>3.8286413964890951</v>
      </c>
      <c r="N98" s="21">
        <f t="shared" si="7"/>
        <v>3.98002421601241</v>
      </c>
    </row>
    <row r="99" spans="1:14" x14ac:dyDescent="0.2">
      <c r="A99" s="16">
        <f>'Greenfield Projects'!$A99</f>
        <v>1284</v>
      </c>
      <c r="B99" s="17" t="s">
        <v>18</v>
      </c>
      <c r="C99" s="18">
        <f>'Greenfield Projects'!$Y99</f>
        <v>24.1</v>
      </c>
      <c r="D99" s="19">
        <f>'Greenfield Projects'!$AG99/10^6</f>
        <v>7.0843108002972475</v>
      </c>
      <c r="E99" s="20">
        <f>'Greenfield Projects'!$Z99</f>
        <v>2013</v>
      </c>
      <c r="F99" s="18"/>
      <c r="G99" s="19"/>
      <c r="H99" s="20"/>
      <c r="I99" s="18">
        <f t="shared" si="4"/>
        <v>24.1</v>
      </c>
      <c r="J99" s="19">
        <f t="shared" si="5"/>
        <v>7.0843108002972475</v>
      </c>
      <c r="K99" s="20"/>
      <c r="M99" s="21">
        <f t="shared" si="6"/>
        <v>3.1822118404966093</v>
      </c>
      <c r="N99" s="21">
        <f t="shared" si="7"/>
        <v>1.9578825925179175</v>
      </c>
    </row>
    <row r="100" spans="1:14" x14ac:dyDescent="0.2">
      <c r="A100" s="16" t="str">
        <f>'Pre-AESO Projects'!$A8</f>
        <v>Pre-01</v>
      </c>
      <c r="B100" s="17" t="s">
        <v>18</v>
      </c>
      <c r="C100" s="18">
        <f>'Pre-AESO Projects'!$H8</f>
        <v>2.2000000000000002</v>
      </c>
      <c r="D100" s="19">
        <f>'Pre-AESO Projects'!$M8/10^6</f>
        <v>2.4933711786255444</v>
      </c>
      <c r="E100" s="20">
        <f>'Pre-AESO Projects'!$I8</f>
        <v>1990</v>
      </c>
      <c r="F100" s="18"/>
      <c r="G100" s="19"/>
      <c r="H100" s="20"/>
      <c r="I100" s="18">
        <f t="shared" si="4"/>
        <v>2.2000000000000002</v>
      </c>
      <c r="J100" s="19">
        <f t="shared" si="5"/>
        <v>2.4933711786255444</v>
      </c>
      <c r="K100" s="20"/>
      <c r="M100" s="21">
        <f t="shared" si="6"/>
        <v>0.78845736036427028</v>
      </c>
      <c r="N100" s="21">
        <f t="shared" si="7"/>
        <v>0.91363568179621524</v>
      </c>
    </row>
    <row r="101" spans="1:14" x14ac:dyDescent="0.2">
      <c r="A101" s="16" t="str">
        <f>'Pre-AESO Projects'!$A9</f>
        <v>Pre-02</v>
      </c>
      <c r="B101" s="17" t="s">
        <v>18</v>
      </c>
      <c r="C101" s="18">
        <f>'Pre-AESO Projects'!$H9</f>
        <v>1.464</v>
      </c>
      <c r="D101" s="19">
        <f>'Pre-AESO Projects'!$M9/10^6</f>
        <v>1.4940223849019025</v>
      </c>
      <c r="E101" s="20">
        <f>'Pre-AESO Projects'!$I9</f>
        <v>1987</v>
      </c>
      <c r="F101" s="18"/>
      <c r="G101" s="19"/>
      <c r="H101" s="20"/>
      <c r="I101" s="18">
        <f>C101+F101</f>
        <v>1.464</v>
      </c>
      <c r="J101" s="19">
        <f>D101+G101</f>
        <v>1.4940223849019025</v>
      </c>
      <c r="K101" s="20"/>
      <c r="M101" s="21">
        <f>LN(I101)</f>
        <v>0.38117241553911979</v>
      </c>
      <c r="N101" s="21">
        <f>LN(J101)</f>
        <v>0.40147206979911648</v>
      </c>
    </row>
    <row r="102" spans="1:14" x14ac:dyDescent="0.2">
      <c r="A102" s="16" t="str">
        <f>'Pre-AESO Projects'!$A10</f>
        <v>Pre-03</v>
      </c>
      <c r="B102" s="17" t="s">
        <v>18</v>
      </c>
      <c r="C102" s="18">
        <f>'Pre-AESO Projects'!$H10</f>
        <v>4.0750000000000002</v>
      </c>
      <c r="D102" s="19">
        <f>'Pre-AESO Projects'!$M10/10^6</f>
        <v>1.9369408873503524</v>
      </c>
      <c r="E102" s="20">
        <f>'Pre-AESO Projects'!$I10</f>
        <v>1990</v>
      </c>
      <c r="F102" s="18"/>
      <c r="G102" s="19"/>
      <c r="H102" s="20"/>
      <c r="I102" s="18">
        <f t="shared" ref="I102:I117" si="8">C102+F102</f>
        <v>4.0750000000000002</v>
      </c>
      <c r="J102" s="19">
        <f t="shared" ref="J102:J117" si="9">D102+G102</f>
        <v>1.9369408873503524</v>
      </c>
      <c r="K102" s="20"/>
      <c r="M102" s="21">
        <f t="shared" ref="M102:M117" si="10">LN(I102)</f>
        <v>1.4048707466928261</v>
      </c>
      <c r="N102" s="21">
        <f t="shared" ref="N102:N117" si="11">LN(J102)</f>
        <v>0.66110986632901214</v>
      </c>
    </row>
    <row r="103" spans="1:14" x14ac:dyDescent="0.2">
      <c r="A103" s="16" t="str">
        <f>'Pre-AESO Projects'!$A11</f>
        <v>Pre-04</v>
      </c>
      <c r="B103" s="17" t="s">
        <v>18</v>
      </c>
      <c r="C103" s="18">
        <f>'Pre-AESO Projects'!$H11</f>
        <v>10</v>
      </c>
      <c r="D103" s="19">
        <f>'Pre-AESO Projects'!$M11/10^6</f>
        <v>8.526519330793306</v>
      </c>
      <c r="E103" s="20">
        <f>'Pre-AESO Projects'!$I11</f>
        <v>1991</v>
      </c>
      <c r="F103" s="18"/>
      <c r="G103" s="19"/>
      <c r="H103" s="20"/>
      <c r="I103" s="18">
        <f t="shared" si="8"/>
        <v>10</v>
      </c>
      <c r="J103" s="19">
        <f t="shared" si="9"/>
        <v>8.526519330793306</v>
      </c>
      <c r="K103" s="20"/>
      <c r="M103" s="21">
        <f t="shared" si="10"/>
        <v>2.3025850929940459</v>
      </c>
      <c r="N103" s="21">
        <f t="shared" si="11"/>
        <v>2.143181227911088</v>
      </c>
    </row>
    <row r="104" spans="1:14" x14ac:dyDescent="0.2">
      <c r="A104" s="16" t="str">
        <f>'Pre-AESO Projects'!$A12</f>
        <v>Pre-05</v>
      </c>
      <c r="B104" s="17" t="s">
        <v>18</v>
      </c>
      <c r="C104" s="18">
        <f>'Pre-AESO Projects'!$H12</f>
        <v>4.8</v>
      </c>
      <c r="D104" s="19">
        <f>'Pre-AESO Projects'!$M12/10^6</f>
        <v>4.0521826998299986</v>
      </c>
      <c r="E104" s="20">
        <f>'Pre-AESO Projects'!$I12</f>
        <v>1988</v>
      </c>
      <c r="F104" s="18"/>
      <c r="G104" s="19"/>
      <c r="H104" s="20"/>
      <c r="I104" s="18">
        <f t="shared" si="8"/>
        <v>4.8</v>
      </c>
      <c r="J104" s="19">
        <f t="shared" si="9"/>
        <v>4.0521826998299986</v>
      </c>
      <c r="K104" s="20"/>
      <c r="M104" s="21">
        <f t="shared" si="10"/>
        <v>1.5686159179138452</v>
      </c>
      <c r="N104" s="21">
        <f t="shared" si="11"/>
        <v>1.3992556741730273</v>
      </c>
    </row>
    <row r="105" spans="1:14" x14ac:dyDescent="0.2">
      <c r="A105" s="16" t="str">
        <f>'Pre-AESO Projects'!$A13</f>
        <v>Pre-06</v>
      </c>
      <c r="B105" s="17" t="s">
        <v>18</v>
      </c>
      <c r="C105" s="18">
        <f>'Pre-AESO Projects'!$H13</f>
        <v>5.0999999999999996</v>
      </c>
      <c r="D105" s="19">
        <f>'Pre-AESO Projects'!$M13/10^6</f>
        <v>9.6482174286466869</v>
      </c>
      <c r="E105" s="20">
        <f>'Pre-AESO Projects'!$I13</f>
        <v>1989</v>
      </c>
      <c r="F105" s="18"/>
      <c r="G105" s="19"/>
      <c r="H105" s="20"/>
      <c r="I105" s="18">
        <f t="shared" si="8"/>
        <v>5.0999999999999996</v>
      </c>
      <c r="J105" s="19">
        <f t="shared" si="9"/>
        <v>9.6482174286466869</v>
      </c>
      <c r="K105" s="20"/>
      <c r="M105" s="21">
        <f t="shared" si="10"/>
        <v>1.62924053973028</v>
      </c>
      <c r="N105" s="21">
        <f t="shared" si="11"/>
        <v>2.2667731758675744</v>
      </c>
    </row>
    <row r="106" spans="1:14" x14ac:dyDescent="0.2">
      <c r="A106" s="16" t="str">
        <f>'Pre-AESO Projects'!$A14</f>
        <v>Pre-07</v>
      </c>
      <c r="B106" s="17" t="s">
        <v>18</v>
      </c>
      <c r="C106" s="18">
        <f>'Pre-AESO Projects'!$H14</f>
        <v>6.9</v>
      </c>
      <c r="D106" s="19">
        <f>'Pre-AESO Projects'!$M14/10^6</f>
        <v>5.029432718717521</v>
      </c>
      <c r="E106" s="20">
        <f>'Pre-AESO Projects'!$I14</f>
        <v>1997</v>
      </c>
      <c r="F106" s="18"/>
      <c r="G106" s="19"/>
      <c r="H106" s="20"/>
      <c r="I106" s="18">
        <f t="shared" si="8"/>
        <v>6.9</v>
      </c>
      <c r="J106" s="19">
        <f t="shared" si="9"/>
        <v>5.029432718717521</v>
      </c>
      <c r="K106" s="20"/>
      <c r="M106" s="21">
        <f t="shared" si="10"/>
        <v>1.9315214116032138</v>
      </c>
      <c r="N106" s="21">
        <f t="shared" si="11"/>
        <v>1.6153071981725313</v>
      </c>
    </row>
    <row r="107" spans="1:14" x14ac:dyDescent="0.2">
      <c r="A107" s="16" t="str">
        <f>'Pre-AESO Projects'!$A15</f>
        <v>Pre-08</v>
      </c>
      <c r="B107" s="17" t="s">
        <v>18</v>
      </c>
      <c r="C107" s="18">
        <f>'Pre-AESO Projects'!$H15</f>
        <v>11.8</v>
      </c>
      <c r="D107" s="19">
        <f>'Pre-AESO Projects'!$M15/10^6</f>
        <v>6.372939235597177</v>
      </c>
      <c r="E107" s="20">
        <f>'Pre-AESO Projects'!$I15</f>
        <v>1987</v>
      </c>
      <c r="F107" s="18"/>
      <c r="G107" s="19"/>
      <c r="H107" s="20"/>
      <c r="I107" s="18">
        <f t="shared" si="8"/>
        <v>11.8</v>
      </c>
      <c r="J107" s="19">
        <f t="shared" si="9"/>
        <v>6.372939235597177</v>
      </c>
      <c r="K107" s="20"/>
      <c r="M107" s="21">
        <f t="shared" si="10"/>
        <v>2.4680995314716192</v>
      </c>
      <c r="N107" s="21">
        <f t="shared" si="11"/>
        <v>1.8520607816244041</v>
      </c>
    </row>
    <row r="108" spans="1:14" x14ac:dyDescent="0.2">
      <c r="A108" s="16" t="str">
        <f>'Pre-AESO Projects'!$A16</f>
        <v>Pre-09</v>
      </c>
      <c r="B108" s="17" t="s">
        <v>18</v>
      </c>
      <c r="C108" s="18">
        <f>'Pre-AESO Projects'!$H16</f>
        <v>9.6999999999999993</v>
      </c>
      <c r="D108" s="19">
        <f>'Pre-AESO Projects'!$M16/10^6</f>
        <v>2.9443376052628771</v>
      </c>
      <c r="E108" s="20">
        <f>'Pre-AESO Projects'!$I16</f>
        <v>1997</v>
      </c>
      <c r="F108" s="18"/>
      <c r="G108" s="19"/>
      <c r="H108" s="20"/>
      <c r="I108" s="18">
        <f t="shared" si="8"/>
        <v>9.6999999999999993</v>
      </c>
      <c r="J108" s="19">
        <f t="shared" si="9"/>
        <v>2.9443376052628771</v>
      </c>
      <c r="K108" s="20"/>
      <c r="M108" s="21">
        <f t="shared" si="10"/>
        <v>2.2721258855093369</v>
      </c>
      <c r="N108" s="21">
        <f t="shared" si="11"/>
        <v>1.0798838699925799</v>
      </c>
    </row>
    <row r="109" spans="1:14" x14ac:dyDescent="0.2">
      <c r="A109" s="16" t="str">
        <f>'Pre-AESO Projects'!$A17</f>
        <v>Pre-10</v>
      </c>
      <c r="B109" s="17" t="s">
        <v>18</v>
      </c>
      <c r="C109" s="18">
        <f>'Pre-AESO Projects'!$H17</f>
        <v>6.12</v>
      </c>
      <c r="D109" s="19">
        <f>'Pre-AESO Projects'!$M17/10^6</f>
        <v>13.481108575958453</v>
      </c>
      <c r="E109" s="20">
        <f>'Pre-AESO Projects'!$I17</f>
        <v>1990</v>
      </c>
      <c r="F109" s="18"/>
      <c r="G109" s="19"/>
      <c r="H109" s="20"/>
      <c r="I109" s="18">
        <f t="shared" si="8"/>
        <v>6.12</v>
      </c>
      <c r="J109" s="19">
        <f t="shared" si="9"/>
        <v>13.481108575958453</v>
      </c>
      <c r="K109" s="20"/>
      <c r="M109" s="21">
        <f t="shared" si="10"/>
        <v>1.8115620965242347</v>
      </c>
      <c r="N109" s="21">
        <f t="shared" si="11"/>
        <v>2.6012893406753403</v>
      </c>
    </row>
    <row r="110" spans="1:14" x14ac:dyDescent="0.2">
      <c r="A110" s="16" t="str">
        <f>'Pre-AESO Projects'!$A18</f>
        <v>Pre-11</v>
      </c>
      <c r="B110" s="17" t="s">
        <v>18</v>
      </c>
      <c r="C110" s="18">
        <f>'Pre-AESO Projects'!$H18</f>
        <v>6.2671999999999999</v>
      </c>
      <c r="D110" s="19">
        <f>'Pre-AESO Projects'!$M18/10^6</f>
        <v>2.9102311039234974</v>
      </c>
      <c r="E110" s="20">
        <f>'Pre-AESO Projects'!$I18</f>
        <v>1987</v>
      </c>
      <c r="F110" s="18"/>
      <c r="G110" s="19"/>
      <c r="H110" s="20"/>
      <c r="I110" s="18">
        <f t="shared" si="8"/>
        <v>6.2671999999999999</v>
      </c>
      <c r="J110" s="19">
        <f t="shared" si="9"/>
        <v>2.9102311039234974</v>
      </c>
      <c r="K110" s="20"/>
      <c r="M110" s="21">
        <f t="shared" si="10"/>
        <v>1.8353296839294297</v>
      </c>
      <c r="N110" s="21">
        <f t="shared" si="11"/>
        <v>1.0682324951858668</v>
      </c>
    </row>
    <row r="111" spans="1:14" x14ac:dyDescent="0.2">
      <c r="A111" s="16" t="str">
        <f>'Pre-AESO Projects'!$A19</f>
        <v>Pre-12</v>
      </c>
      <c r="B111" s="17" t="s">
        <v>18</v>
      </c>
      <c r="C111" s="18">
        <f>'Pre-AESO Projects'!$H19</f>
        <v>6.3659999999999997</v>
      </c>
      <c r="D111" s="19">
        <f>'Pre-AESO Projects'!$M19/10^6</f>
        <v>9.8906921245327926</v>
      </c>
      <c r="E111" s="20">
        <f>'Pre-AESO Projects'!$I19</f>
        <v>1993</v>
      </c>
      <c r="F111" s="18"/>
      <c r="G111" s="19"/>
      <c r="H111" s="20"/>
      <c r="I111" s="18">
        <f t="shared" si="8"/>
        <v>6.3659999999999997</v>
      </c>
      <c r="J111" s="19">
        <f t="shared" si="9"/>
        <v>9.8906921245327926</v>
      </c>
      <c r="K111" s="20"/>
      <c r="M111" s="21">
        <f t="shared" si="10"/>
        <v>1.850971328859901</v>
      </c>
      <c r="N111" s="21">
        <f t="shared" si="11"/>
        <v>2.2915941254440955</v>
      </c>
    </row>
    <row r="112" spans="1:14" x14ac:dyDescent="0.2">
      <c r="A112" s="16" t="str">
        <f>'Pre-AESO Projects'!$A20</f>
        <v>Pre-13</v>
      </c>
      <c r="B112" s="17" t="s">
        <v>18</v>
      </c>
      <c r="C112" s="18">
        <f>'Pre-AESO Projects'!$H20</f>
        <v>8.5</v>
      </c>
      <c r="D112" s="19">
        <f>'Pre-AESO Projects'!$M20/10^6</f>
        <v>5.9446476688134462</v>
      </c>
      <c r="E112" s="20">
        <f>'Pre-AESO Projects'!$I20</f>
        <v>1990</v>
      </c>
      <c r="F112" s="18"/>
      <c r="G112" s="19"/>
      <c r="H112" s="20"/>
      <c r="I112" s="18">
        <f t="shared" si="8"/>
        <v>8.5</v>
      </c>
      <c r="J112" s="19">
        <f t="shared" si="9"/>
        <v>5.9446476688134462</v>
      </c>
      <c r="K112" s="20"/>
      <c r="M112" s="21">
        <f t="shared" si="10"/>
        <v>2.1400661634962708</v>
      </c>
      <c r="N112" s="21">
        <f t="shared" si="11"/>
        <v>1.7824912632583982</v>
      </c>
    </row>
    <row r="113" spans="1:14" x14ac:dyDescent="0.2">
      <c r="A113" s="16" t="str">
        <f>'Pre-AESO Projects'!$A21</f>
        <v>Pre-14</v>
      </c>
      <c r="B113" s="17" t="s">
        <v>18</v>
      </c>
      <c r="C113" s="18">
        <f>'Pre-AESO Projects'!$H21</f>
        <v>46.55</v>
      </c>
      <c r="D113" s="19">
        <f>'Pre-AESO Projects'!$M21/10^6</f>
        <v>7.1936227504100643</v>
      </c>
      <c r="E113" s="20">
        <f>'Pre-AESO Projects'!$I21</f>
        <v>1991</v>
      </c>
      <c r="F113" s="18"/>
      <c r="G113" s="19"/>
      <c r="H113" s="20"/>
      <c r="I113" s="18">
        <f t="shared" si="8"/>
        <v>46.55</v>
      </c>
      <c r="J113" s="19">
        <f t="shared" si="9"/>
        <v>7.1936227504100643</v>
      </c>
      <c r="K113" s="20"/>
      <c r="M113" s="21">
        <f t="shared" si="10"/>
        <v>3.8405270037230759</v>
      </c>
      <c r="N113" s="21">
        <f t="shared" si="11"/>
        <v>1.9731949044224915</v>
      </c>
    </row>
    <row r="114" spans="1:14" x14ac:dyDescent="0.2">
      <c r="A114" s="16" t="str">
        <f>'Pre-AESO Projects'!$A22</f>
        <v>Pre-15</v>
      </c>
      <c r="B114" s="17" t="s">
        <v>18</v>
      </c>
      <c r="C114" s="18">
        <f>'Pre-AESO Projects'!$H22</f>
        <v>56.8</v>
      </c>
      <c r="D114" s="19">
        <f>'Pre-AESO Projects'!$M22/10^6</f>
        <v>17.594466678549747</v>
      </c>
      <c r="E114" s="20">
        <f>'Pre-AESO Projects'!$I22</f>
        <v>1990</v>
      </c>
      <c r="F114" s="18"/>
      <c r="G114" s="19"/>
      <c r="H114" s="20"/>
      <c r="I114" s="18">
        <f t="shared" si="8"/>
        <v>56.8</v>
      </c>
      <c r="J114" s="19">
        <f t="shared" si="9"/>
        <v>17.594466678549747</v>
      </c>
      <c r="K114" s="20"/>
      <c r="M114" s="21">
        <f t="shared" si="10"/>
        <v>4.0395363257271057</v>
      </c>
      <c r="N114" s="21">
        <f t="shared" si="11"/>
        <v>2.867584459347964</v>
      </c>
    </row>
    <row r="115" spans="1:14" x14ac:dyDescent="0.2">
      <c r="A115" s="16" t="str">
        <f>'Pre-AESO Projects'!$A23</f>
        <v>Pre-16</v>
      </c>
      <c r="B115" s="17" t="s">
        <v>18</v>
      </c>
      <c r="C115" s="18">
        <f>'Pre-AESO Projects'!$H23</f>
        <v>81.575999999999993</v>
      </c>
      <c r="D115" s="19">
        <f>'Pre-AESO Projects'!$M23/10^6</f>
        <v>14.026199251012313</v>
      </c>
      <c r="E115" s="20">
        <f>'Pre-AESO Projects'!$I23</f>
        <v>1988</v>
      </c>
      <c r="F115" s="18"/>
      <c r="G115" s="19"/>
      <c r="H115" s="20"/>
      <c r="I115" s="18">
        <f t="shared" si="8"/>
        <v>81.575999999999993</v>
      </c>
      <c r="J115" s="19">
        <f t="shared" si="9"/>
        <v>14.026199251012313</v>
      </c>
      <c r="K115" s="20"/>
      <c r="M115" s="21">
        <f t="shared" si="10"/>
        <v>4.4015351010619241</v>
      </c>
      <c r="N115" s="21">
        <f t="shared" si="11"/>
        <v>2.6409269558467208</v>
      </c>
    </row>
    <row r="116" spans="1:14" x14ac:dyDescent="0.2">
      <c r="A116" s="16" t="str">
        <f>'Pre-AESO Projects'!$A24</f>
        <v>Pre-17</v>
      </c>
      <c r="B116" s="17" t="s">
        <v>18</v>
      </c>
      <c r="C116" s="18">
        <f>'Pre-AESO Projects'!$H24</f>
        <v>95.2</v>
      </c>
      <c r="D116" s="19">
        <f>'Pre-AESO Projects'!$M24/10^6</f>
        <v>14.219904176944949</v>
      </c>
      <c r="E116" s="20">
        <f>'Pre-AESO Projects'!$I24</f>
        <v>1999</v>
      </c>
      <c r="F116" s="18"/>
      <c r="G116" s="19"/>
      <c r="H116" s="20"/>
      <c r="I116" s="18">
        <f t="shared" si="8"/>
        <v>95.2</v>
      </c>
      <c r="J116" s="19">
        <f t="shared" si="9"/>
        <v>14.219904176944949</v>
      </c>
      <c r="K116" s="20"/>
      <c r="M116" s="21">
        <f t="shared" si="10"/>
        <v>4.5559799417973199</v>
      </c>
      <c r="N116" s="21">
        <f t="shared" si="11"/>
        <v>2.654642685740924</v>
      </c>
    </row>
    <row r="117" spans="1:14" x14ac:dyDescent="0.2">
      <c r="A117" s="16" t="str">
        <f>'Pre-AESO Projects'!$A25</f>
        <v>Pre-18</v>
      </c>
      <c r="B117" s="17" t="s">
        <v>18</v>
      </c>
      <c r="C117" s="18">
        <f>'Pre-AESO Projects'!$H25</f>
        <v>122.77200000000001</v>
      </c>
      <c r="D117" s="19">
        <f>'Pre-AESO Projects'!$M25/10^6</f>
        <v>23.447549869052086</v>
      </c>
      <c r="E117" s="20">
        <f>'Pre-AESO Projects'!$I25</f>
        <v>1990</v>
      </c>
      <c r="F117" s="18"/>
      <c r="G117" s="19"/>
      <c r="H117" s="20"/>
      <c r="I117" s="18">
        <f t="shared" si="8"/>
        <v>122.77200000000001</v>
      </c>
      <c r="J117" s="19">
        <f t="shared" si="9"/>
        <v>23.447549869052086</v>
      </c>
      <c r="K117" s="20"/>
      <c r="M117" s="21">
        <f t="shared" si="10"/>
        <v>4.8103289766848034</v>
      </c>
      <c r="N117" s="21">
        <f t="shared" si="11"/>
        <v>3.1547660062374661</v>
      </c>
    </row>
    <row r="119" spans="1:14" x14ac:dyDescent="0.2">
      <c r="A119" s="26" t="s">
        <v>29</v>
      </c>
    </row>
  </sheetData>
  <pageMargins left="0.5" right="0.5" top="1" bottom="0.75" header="0.5" footer="0.5"/>
  <pageSetup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7"/>
  <sheetViews>
    <sheetView showGridLines="0" zoomScaleNormal="100" workbookViewId="0">
      <pane ySplit="7" topLeftCell="A8" activePane="bottomLeft" state="frozen"/>
      <selection activeCell="F41" sqref="F41"/>
      <selection pane="bottomLeft" activeCell="A8" sqref="A8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54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G - Point of Delivery Cost Function Workbook</v>
      </c>
    </row>
    <row r="4" spans="1:20" s="1" customFormat="1" x14ac:dyDescent="0.2">
      <c r="A4" s="1" t="s">
        <v>969</v>
      </c>
      <c r="B4" s="42"/>
    </row>
    <row r="5" spans="1:20" s="1" customFormat="1" x14ac:dyDescent="0.2">
      <c r="A5" s="43" t="str">
        <f>TableDate</f>
        <v>August 17, 2018</v>
      </c>
      <c r="B5" s="44"/>
    </row>
    <row r="6" spans="1:20" x14ac:dyDescent="0.2">
      <c r="E6" s="28"/>
    </row>
    <row r="7" spans="1:20" ht="25.5" x14ac:dyDescent="0.2">
      <c r="A7" s="10" t="s">
        <v>0</v>
      </c>
      <c r="B7" s="11" t="s">
        <v>7</v>
      </c>
      <c r="C7" s="12" t="s">
        <v>8</v>
      </c>
      <c r="D7" s="13" t="s">
        <v>30</v>
      </c>
      <c r="E7" s="14" t="s">
        <v>10</v>
      </c>
      <c r="F7" s="12" t="s">
        <v>11</v>
      </c>
      <c r="G7" s="13" t="s">
        <v>12</v>
      </c>
      <c r="H7" s="14" t="s">
        <v>13</v>
      </c>
      <c r="I7" s="12" t="s">
        <v>2</v>
      </c>
      <c r="J7" s="13" t="s">
        <v>14</v>
      </c>
      <c r="K7" s="14" t="s">
        <v>15</v>
      </c>
      <c r="M7" s="11" t="s">
        <v>16</v>
      </c>
      <c r="N7" s="11" t="s">
        <v>17</v>
      </c>
      <c r="P7" s="41" t="s">
        <v>53</v>
      </c>
      <c r="Q7" s="15"/>
      <c r="T7" s="3"/>
    </row>
    <row r="8" spans="1:20" x14ac:dyDescent="0.2">
      <c r="A8" s="25">
        <f>Greenfield!A8</f>
        <v>476</v>
      </c>
      <c r="B8" s="17" t="str">
        <f>Greenfield!B8</f>
        <v>GF</v>
      </c>
      <c r="C8" s="18">
        <f>Greenfield!C8</f>
        <v>14</v>
      </c>
      <c r="D8" s="19">
        <f>Greenfield!D8</f>
        <v>16.861812370959647</v>
      </c>
      <c r="E8" s="30">
        <f>Greenfield!E8</f>
        <v>2003</v>
      </c>
      <c r="F8" s="18"/>
      <c r="G8" s="19"/>
      <c r="H8" s="20"/>
      <c r="I8" s="18">
        <f>C8+F8</f>
        <v>14</v>
      </c>
      <c r="J8" s="19">
        <f>D8+G8</f>
        <v>16.861812370959647</v>
      </c>
      <c r="K8" s="20">
        <f>MAX(E8,H8)</f>
        <v>2003</v>
      </c>
      <c r="M8" s="21">
        <f>LN(I8)</f>
        <v>2.6390573296152584</v>
      </c>
      <c r="N8" s="21">
        <f>LN(J8)</f>
        <v>2.8250514421084625</v>
      </c>
      <c r="O8" s="3" t="s">
        <v>19</v>
      </c>
      <c r="P8" s="22">
        <f t="array" ref="P8:Q12">LINEST(N8:N292,M8:M292,TRUE,TRUE)</f>
        <v>0.54804128129079399</v>
      </c>
      <c r="Q8" s="22">
        <v>0.98494941613473852</v>
      </c>
      <c r="R8" s="5" t="s">
        <v>20</v>
      </c>
    </row>
    <row r="9" spans="1:20" x14ac:dyDescent="0.2">
      <c r="A9" s="25">
        <f>Greenfield!A9</f>
        <v>478</v>
      </c>
      <c r="B9" s="17" t="str">
        <f>Greenfield!B9</f>
        <v>GF</v>
      </c>
      <c r="C9" s="18">
        <f>Greenfield!C9</f>
        <v>8.5</v>
      </c>
      <c r="D9" s="19">
        <f>Greenfield!D9</f>
        <v>6.0182252638842719</v>
      </c>
      <c r="E9" s="30">
        <f>Greenfield!E9</f>
        <v>2003</v>
      </c>
      <c r="F9" s="18"/>
      <c r="G9" s="19"/>
      <c r="H9" s="20"/>
      <c r="I9" s="18">
        <f t="shared" ref="I9:I71" si="0">C9+F9</f>
        <v>8.5</v>
      </c>
      <c r="J9" s="19">
        <f t="shared" ref="J9:J71" si="1">D9+G9</f>
        <v>6.0182252638842719</v>
      </c>
      <c r="K9" s="20">
        <f t="shared" ref="K9:K71" si="2">MAX(E9,H9)</f>
        <v>2003</v>
      </c>
      <c r="M9" s="21">
        <f t="shared" ref="M9:M71" si="3">LN(I9)</f>
        <v>2.1400661634962708</v>
      </c>
      <c r="N9" s="21">
        <f t="shared" ref="N9:N71" si="4">LN(J9)</f>
        <v>1.7947924091929603</v>
      </c>
      <c r="O9" s="3" t="s">
        <v>21</v>
      </c>
      <c r="P9" s="22">
        <v>3.1930659408267392E-2</v>
      </c>
      <c r="Q9" s="22">
        <v>0.10181790228140519</v>
      </c>
      <c r="R9" s="5" t="s">
        <v>22</v>
      </c>
    </row>
    <row r="10" spans="1:20" x14ac:dyDescent="0.2">
      <c r="A10" s="25">
        <f>Greenfield!A10</f>
        <v>473</v>
      </c>
      <c r="B10" s="17" t="str">
        <f>Greenfield!B10</f>
        <v>GF</v>
      </c>
      <c r="C10" s="18">
        <f>Greenfield!C10</f>
        <v>30</v>
      </c>
      <c r="D10" s="19">
        <f>Greenfield!D10</f>
        <v>14.998991377977235</v>
      </c>
      <c r="E10" s="30">
        <f>Greenfield!E10</f>
        <v>2003</v>
      </c>
      <c r="F10" s="18"/>
      <c r="G10" s="19"/>
      <c r="H10" s="20"/>
      <c r="I10" s="18">
        <f t="shared" si="0"/>
        <v>30</v>
      </c>
      <c r="J10" s="19">
        <f t="shared" si="1"/>
        <v>14.998991377977235</v>
      </c>
      <c r="K10" s="20">
        <f t="shared" si="2"/>
        <v>2003</v>
      </c>
      <c r="M10" s="21">
        <f t="shared" si="3"/>
        <v>3.4011973816621555</v>
      </c>
      <c r="N10" s="21">
        <f t="shared" si="4"/>
        <v>2.707982957373217</v>
      </c>
      <c r="O10" s="3" t="s">
        <v>1</v>
      </c>
      <c r="P10" s="22">
        <v>0.51002890870219275</v>
      </c>
      <c r="Q10" s="22">
        <v>0.39115612434310959</v>
      </c>
      <c r="R10" s="5" t="s">
        <v>23</v>
      </c>
    </row>
    <row r="11" spans="1:20" x14ac:dyDescent="0.2">
      <c r="A11" s="25">
        <f>Greenfield!A11</f>
        <v>1042</v>
      </c>
      <c r="B11" s="17" t="str">
        <f>Greenfield!B11</f>
        <v>GF</v>
      </c>
      <c r="C11" s="18">
        <f>Greenfield!C11</f>
        <v>13</v>
      </c>
      <c r="D11" s="19">
        <f>Greenfield!D11</f>
        <v>11.164764224012115</v>
      </c>
      <c r="E11" s="30">
        <f>Greenfield!E11</f>
        <v>2011</v>
      </c>
      <c r="F11" s="18"/>
      <c r="G11" s="19"/>
      <c r="H11" s="20"/>
      <c r="I11" s="18">
        <f t="shared" si="0"/>
        <v>13</v>
      </c>
      <c r="J11" s="19">
        <f t="shared" si="1"/>
        <v>11.164764224012115</v>
      </c>
      <c r="K11" s="20">
        <f t="shared" si="2"/>
        <v>2011</v>
      </c>
      <c r="M11" s="21">
        <f t="shared" si="3"/>
        <v>2.5649493574615367</v>
      </c>
      <c r="N11" s="21">
        <f t="shared" si="4"/>
        <v>2.4127627676497201</v>
      </c>
      <c r="O11" s="3" t="s">
        <v>24</v>
      </c>
      <c r="P11" s="22">
        <v>294.5850963990668</v>
      </c>
      <c r="Q11" s="22">
        <v>283</v>
      </c>
      <c r="R11" s="5" t="s">
        <v>25</v>
      </c>
    </row>
    <row r="12" spans="1:20" x14ac:dyDescent="0.2">
      <c r="A12" s="25">
        <f>Greenfield!A12</f>
        <v>443</v>
      </c>
      <c r="B12" s="17" t="str">
        <f>Greenfield!B12</f>
        <v>GF</v>
      </c>
      <c r="C12" s="18">
        <f>Greenfield!C12</f>
        <v>24.3</v>
      </c>
      <c r="D12" s="19">
        <f>Greenfield!D12</f>
        <v>11.705577131494863</v>
      </c>
      <c r="E12" s="30">
        <f>Greenfield!E12</f>
        <v>2006</v>
      </c>
      <c r="F12" s="18"/>
      <c r="G12" s="19"/>
      <c r="H12" s="20"/>
      <c r="I12" s="18">
        <f t="shared" si="0"/>
        <v>24.3</v>
      </c>
      <c r="J12" s="19">
        <f t="shared" si="1"/>
        <v>11.705577131494863</v>
      </c>
      <c r="K12" s="20">
        <f t="shared" si="2"/>
        <v>2006</v>
      </c>
      <c r="M12" s="21">
        <f t="shared" si="3"/>
        <v>3.1904763503465028</v>
      </c>
      <c r="N12" s="21">
        <f t="shared" si="4"/>
        <v>2.4600654061344325</v>
      </c>
      <c r="O12" s="3" t="s">
        <v>26</v>
      </c>
      <c r="P12" s="22">
        <v>45.072436972489811</v>
      </c>
      <c r="Q12" s="22">
        <v>43.299881151947588</v>
      </c>
      <c r="R12" s="5" t="s">
        <v>27</v>
      </c>
    </row>
    <row r="13" spans="1:20" x14ac:dyDescent="0.2">
      <c r="A13" s="25">
        <f>Greenfield!A13</f>
        <v>1195</v>
      </c>
      <c r="B13" s="17" t="str">
        <f>Greenfield!B13</f>
        <v>GF</v>
      </c>
      <c r="C13" s="18">
        <f>Greenfield!C13</f>
        <v>18</v>
      </c>
      <c r="D13" s="19">
        <f>Greenfield!D13</f>
        <v>31.659927445331629</v>
      </c>
      <c r="E13" s="30">
        <f>Greenfield!E13</f>
        <v>2011</v>
      </c>
      <c r="F13" s="18"/>
      <c r="G13" s="19"/>
      <c r="H13" s="20"/>
      <c r="I13" s="18">
        <f t="shared" si="0"/>
        <v>18</v>
      </c>
      <c r="J13" s="19">
        <f t="shared" si="1"/>
        <v>31.659927445331629</v>
      </c>
      <c r="K13" s="20">
        <f t="shared" si="2"/>
        <v>2011</v>
      </c>
      <c r="M13" s="21">
        <f t="shared" si="3"/>
        <v>2.8903717578961645</v>
      </c>
      <c r="N13" s="21">
        <f t="shared" si="4"/>
        <v>3.4550517627677269</v>
      </c>
    </row>
    <row r="14" spans="1:20" x14ac:dyDescent="0.2">
      <c r="A14" s="25">
        <f>Greenfield!A14</f>
        <v>420</v>
      </c>
      <c r="B14" s="17" t="str">
        <f>Greenfield!B14</f>
        <v>GF</v>
      </c>
      <c r="C14" s="18">
        <f>Greenfield!C14</f>
        <v>6</v>
      </c>
      <c r="D14" s="19">
        <f>Greenfield!D14</f>
        <v>9.6396451057157435</v>
      </c>
      <c r="E14" s="30">
        <f>Greenfield!E14</f>
        <v>2007</v>
      </c>
      <c r="F14" s="18"/>
      <c r="G14" s="19"/>
      <c r="H14" s="20"/>
      <c r="I14" s="18">
        <f t="shared" si="0"/>
        <v>6</v>
      </c>
      <c r="J14" s="19">
        <f t="shared" si="1"/>
        <v>9.6396451057157435</v>
      </c>
      <c r="K14" s="20">
        <f t="shared" si="2"/>
        <v>2007</v>
      </c>
      <c r="M14" s="21">
        <f t="shared" si="3"/>
        <v>1.791759469228055</v>
      </c>
      <c r="N14" s="21">
        <f t="shared" si="4"/>
        <v>2.2658842931849965</v>
      </c>
      <c r="P14" s="15" t="s">
        <v>6</v>
      </c>
      <c r="Q14" s="15"/>
    </row>
    <row r="15" spans="1:20" x14ac:dyDescent="0.2">
      <c r="A15" s="25">
        <f>Greenfield!A15</f>
        <v>440</v>
      </c>
      <c r="B15" s="17" t="str">
        <f>Greenfield!B15</f>
        <v>GF</v>
      </c>
      <c r="C15" s="18">
        <f>Greenfield!C15</f>
        <v>10</v>
      </c>
      <c r="D15" s="19">
        <f>Greenfield!D15</f>
        <v>16.009559216092757</v>
      </c>
      <c r="E15" s="30">
        <f>Greenfield!E15</f>
        <v>2006</v>
      </c>
      <c r="F15" s="18"/>
      <c r="G15" s="19"/>
      <c r="H15" s="20"/>
      <c r="I15" s="18">
        <f t="shared" si="0"/>
        <v>10</v>
      </c>
      <c r="J15" s="19">
        <f t="shared" si="1"/>
        <v>16.009559216092757</v>
      </c>
      <c r="K15" s="20">
        <f t="shared" si="2"/>
        <v>2006</v>
      </c>
      <c r="M15" s="21">
        <f t="shared" si="3"/>
        <v>2.3025850929940459</v>
      </c>
      <c r="N15" s="21">
        <f t="shared" si="4"/>
        <v>2.7731859948427808</v>
      </c>
      <c r="O15" s="3" t="s">
        <v>19</v>
      </c>
      <c r="P15" s="23">
        <f>P8</f>
        <v>0.54804128129079399</v>
      </c>
      <c r="Q15" s="31">
        <f>(P15-Greenfield!P15)/Greenfield!P15</f>
        <v>9.3847256443150007E-3</v>
      </c>
      <c r="R15" s="32" t="s">
        <v>31</v>
      </c>
    </row>
    <row r="16" spans="1:20" x14ac:dyDescent="0.2">
      <c r="A16" s="25">
        <f>Greenfield!A16</f>
        <v>1102</v>
      </c>
      <c r="B16" s="17" t="str">
        <f>Greenfield!B16</f>
        <v>GF</v>
      </c>
      <c r="C16" s="18">
        <f>Greenfield!C16</f>
        <v>20</v>
      </c>
      <c r="D16" s="19">
        <f>Greenfield!D16</f>
        <v>16.293644713264708</v>
      </c>
      <c r="E16" s="30">
        <f>Greenfield!E16</f>
        <v>2011</v>
      </c>
      <c r="F16" s="18"/>
      <c r="G16" s="19"/>
      <c r="H16" s="20"/>
      <c r="I16" s="18">
        <f t="shared" si="0"/>
        <v>20</v>
      </c>
      <c r="J16" s="19">
        <f t="shared" si="1"/>
        <v>16.293644713264708</v>
      </c>
      <c r="K16" s="20">
        <f t="shared" si="2"/>
        <v>2011</v>
      </c>
      <c r="M16" s="21">
        <f t="shared" si="3"/>
        <v>2.9957322735539909</v>
      </c>
      <c r="N16" s="21">
        <f t="shared" si="4"/>
        <v>2.7907751368922047</v>
      </c>
      <c r="O16" s="3" t="s">
        <v>28</v>
      </c>
      <c r="P16" s="23">
        <f>EXP(Q8)</f>
        <v>2.6776764337713304</v>
      </c>
      <c r="Q16" s="31">
        <f>(P16-Greenfield!P16)/Greenfield!P16</f>
        <v>1.9347188603785846E-2</v>
      </c>
      <c r="R16" s="32" t="s">
        <v>32</v>
      </c>
    </row>
    <row r="17" spans="1:18" x14ac:dyDescent="0.2">
      <c r="A17" s="25">
        <f>Greenfield!A17</f>
        <v>324</v>
      </c>
      <c r="B17" s="17" t="str">
        <f>Greenfield!B17</f>
        <v>GF</v>
      </c>
      <c r="C17" s="18">
        <f>Greenfield!C17</f>
        <v>17.2</v>
      </c>
      <c r="D17" s="19">
        <f>Greenfield!D17</f>
        <v>8.9094125785416409</v>
      </c>
      <c r="E17" s="30">
        <f>Greenfield!E17</f>
        <v>2003</v>
      </c>
      <c r="F17" s="18"/>
      <c r="G17" s="19"/>
      <c r="H17" s="20"/>
      <c r="I17" s="18">
        <f t="shared" si="0"/>
        <v>17.2</v>
      </c>
      <c r="J17" s="19">
        <f t="shared" si="1"/>
        <v>8.9094125785416409</v>
      </c>
      <c r="K17" s="20">
        <f t="shared" si="2"/>
        <v>2003</v>
      </c>
      <c r="M17" s="21">
        <f t="shared" si="3"/>
        <v>2.8449093838194073</v>
      </c>
      <c r="N17" s="21">
        <f t="shared" si="4"/>
        <v>2.1871083109750784</v>
      </c>
      <c r="O17" s="3"/>
      <c r="P17" s="24"/>
      <c r="R17" s="32" t="s">
        <v>33</v>
      </c>
    </row>
    <row r="18" spans="1:18" x14ac:dyDescent="0.2">
      <c r="A18" s="25">
        <f>Greenfield!A18</f>
        <v>1103</v>
      </c>
      <c r="B18" s="17" t="str">
        <f>Greenfield!B18</f>
        <v>GF</v>
      </c>
      <c r="C18" s="18">
        <f>Greenfield!C18</f>
        <v>20</v>
      </c>
      <c r="D18" s="19">
        <f>Greenfield!D18</f>
        <v>17.299482978955592</v>
      </c>
      <c r="E18" s="30">
        <f>Greenfield!E18</f>
        <v>2011</v>
      </c>
      <c r="F18" s="18"/>
      <c r="G18" s="19"/>
      <c r="H18" s="20"/>
      <c r="I18" s="18">
        <f t="shared" si="0"/>
        <v>20</v>
      </c>
      <c r="J18" s="19">
        <f t="shared" si="1"/>
        <v>17.299482978955592</v>
      </c>
      <c r="K18" s="20">
        <f t="shared" si="2"/>
        <v>2011</v>
      </c>
      <c r="M18" s="21">
        <f t="shared" si="3"/>
        <v>2.9957322735539909</v>
      </c>
      <c r="N18" s="21">
        <f t="shared" si="4"/>
        <v>2.8506766154476462</v>
      </c>
      <c r="P18"/>
      <c r="Q18"/>
      <c r="R18" s="32" t="s">
        <v>34</v>
      </c>
    </row>
    <row r="19" spans="1:18" x14ac:dyDescent="0.2">
      <c r="A19" s="25">
        <f>Greenfield!A19</f>
        <v>386</v>
      </c>
      <c r="B19" s="17" t="str">
        <f>Greenfield!B19</f>
        <v>GF</v>
      </c>
      <c r="C19" s="18">
        <f>Greenfield!C19</f>
        <v>9</v>
      </c>
      <c r="D19" s="19">
        <f>Greenfield!D19</f>
        <v>9.9511250787738224</v>
      </c>
      <c r="E19" s="30">
        <f>Greenfield!E19</f>
        <v>2003</v>
      </c>
      <c r="F19" s="18"/>
      <c r="G19" s="19"/>
      <c r="H19" s="20"/>
      <c r="I19" s="18">
        <f t="shared" si="0"/>
        <v>9</v>
      </c>
      <c r="J19" s="19">
        <f t="shared" si="1"/>
        <v>9.9511250787738224</v>
      </c>
      <c r="K19" s="20">
        <f t="shared" si="2"/>
        <v>2003</v>
      </c>
      <c r="M19" s="21">
        <f t="shared" si="3"/>
        <v>2.1972245773362196</v>
      </c>
      <c r="N19" s="21">
        <f t="shared" si="4"/>
        <v>2.2976856180218044</v>
      </c>
      <c r="P19"/>
      <c r="Q19"/>
    </row>
    <row r="20" spans="1:18" x14ac:dyDescent="0.2">
      <c r="A20" s="25">
        <f>Greenfield!A20</f>
        <v>80</v>
      </c>
      <c r="B20" s="17" t="str">
        <f>Greenfield!B20</f>
        <v>GF</v>
      </c>
      <c r="C20" s="18">
        <f>Greenfield!C20</f>
        <v>8</v>
      </c>
      <c r="D20" s="19">
        <f>Greenfield!D20</f>
        <v>6.0754029342110369</v>
      </c>
      <c r="E20" s="30">
        <f>Greenfield!E20</f>
        <v>2001</v>
      </c>
      <c r="F20" s="18"/>
      <c r="G20" s="19"/>
      <c r="H20" s="20"/>
      <c r="I20" s="18">
        <f t="shared" si="0"/>
        <v>8</v>
      </c>
      <c r="J20" s="19">
        <f t="shared" si="1"/>
        <v>6.0754029342110369</v>
      </c>
      <c r="K20" s="20">
        <f t="shared" si="2"/>
        <v>2001</v>
      </c>
      <c r="M20" s="21">
        <f t="shared" si="3"/>
        <v>2.0794415416798357</v>
      </c>
      <c r="N20" s="21">
        <f t="shared" si="4"/>
        <v>1.8042483136462</v>
      </c>
      <c r="P20"/>
      <c r="Q20"/>
    </row>
    <row r="21" spans="1:18" x14ac:dyDescent="0.2">
      <c r="A21" s="25">
        <f>Greenfield!A21</f>
        <v>1052</v>
      </c>
      <c r="B21" s="17" t="str">
        <f>Greenfield!B21</f>
        <v>GF</v>
      </c>
      <c r="C21" s="18">
        <f>Greenfield!C21</f>
        <v>13.6</v>
      </c>
      <c r="D21" s="19">
        <f>Greenfield!D21</f>
        <v>10.90270245998838</v>
      </c>
      <c r="E21" s="30">
        <f>Greenfield!E21</f>
        <v>2011</v>
      </c>
      <c r="F21" s="18"/>
      <c r="G21" s="19"/>
      <c r="H21" s="20"/>
      <c r="I21" s="18">
        <f t="shared" si="0"/>
        <v>13.6</v>
      </c>
      <c r="J21" s="19">
        <f t="shared" si="1"/>
        <v>10.90270245998838</v>
      </c>
      <c r="K21" s="20">
        <f t="shared" si="2"/>
        <v>2011</v>
      </c>
      <c r="M21" s="21">
        <f t="shared" si="3"/>
        <v>2.6100697927420065</v>
      </c>
      <c r="N21" s="21">
        <f t="shared" si="4"/>
        <v>2.3890106906140374</v>
      </c>
      <c r="P21"/>
      <c r="Q21"/>
    </row>
    <row r="22" spans="1:18" x14ac:dyDescent="0.2">
      <c r="A22" s="25">
        <f>Greenfield!A22</f>
        <v>347</v>
      </c>
      <c r="B22" s="17" t="str">
        <f>Greenfield!B22</f>
        <v>GF</v>
      </c>
      <c r="C22" s="18">
        <f>Greenfield!C22</f>
        <v>10.548</v>
      </c>
      <c r="D22" s="19">
        <f>Greenfield!D22</f>
        <v>9.3004925979781259</v>
      </c>
      <c r="E22" s="30">
        <f>Greenfield!E22</f>
        <v>2003</v>
      </c>
      <c r="F22" s="18"/>
      <c r="G22" s="19"/>
      <c r="H22" s="20"/>
      <c r="I22" s="18">
        <f t="shared" si="0"/>
        <v>10.548</v>
      </c>
      <c r="J22" s="19">
        <f t="shared" si="1"/>
        <v>9.3004925979781259</v>
      </c>
      <c r="K22" s="20">
        <f t="shared" si="2"/>
        <v>2003</v>
      </c>
      <c r="M22" s="21">
        <f t="shared" si="3"/>
        <v>2.3559362684910403</v>
      </c>
      <c r="N22" s="21">
        <f t="shared" si="4"/>
        <v>2.23006736628101</v>
      </c>
    </row>
    <row r="23" spans="1:18" x14ac:dyDescent="0.2">
      <c r="A23" s="25">
        <f>Greenfield!A23</f>
        <v>1358</v>
      </c>
      <c r="B23" s="17" t="str">
        <f>Greenfield!B23</f>
        <v>GF</v>
      </c>
      <c r="C23" s="18">
        <f>Greenfield!C23</f>
        <v>27</v>
      </c>
      <c r="D23" s="19">
        <f>Greenfield!D23</f>
        <v>13.07265503282744</v>
      </c>
      <c r="E23" s="30">
        <f>Greenfield!E23</f>
        <v>2011</v>
      </c>
      <c r="F23" s="18"/>
      <c r="G23" s="19"/>
      <c r="H23" s="20"/>
      <c r="I23" s="18">
        <f t="shared" si="0"/>
        <v>27</v>
      </c>
      <c r="J23" s="19">
        <f t="shared" si="1"/>
        <v>13.07265503282744</v>
      </c>
      <c r="K23" s="20">
        <f t="shared" si="2"/>
        <v>2011</v>
      </c>
      <c r="M23" s="21">
        <f t="shared" si="3"/>
        <v>3.2958368660043291</v>
      </c>
      <c r="N23" s="21">
        <f t="shared" si="4"/>
        <v>2.5705226464726247</v>
      </c>
    </row>
    <row r="24" spans="1:18" x14ac:dyDescent="0.2">
      <c r="A24" s="25">
        <f>Greenfield!A24</f>
        <v>584</v>
      </c>
      <c r="B24" s="17" t="str">
        <f>Greenfield!B24</f>
        <v>GF</v>
      </c>
      <c r="C24" s="18">
        <f>Greenfield!C24</f>
        <v>28</v>
      </c>
      <c r="D24" s="19">
        <f>Greenfield!D24</f>
        <v>34.903749706800433</v>
      </c>
      <c r="E24" s="30">
        <f>Greenfield!E24</f>
        <v>2011</v>
      </c>
      <c r="F24" s="18"/>
      <c r="G24" s="19"/>
      <c r="H24" s="20"/>
      <c r="I24" s="18">
        <f t="shared" si="0"/>
        <v>28</v>
      </c>
      <c r="J24" s="19">
        <f t="shared" si="1"/>
        <v>34.903749706800433</v>
      </c>
      <c r="K24" s="20">
        <f t="shared" si="2"/>
        <v>2011</v>
      </c>
      <c r="M24" s="21">
        <f t="shared" si="3"/>
        <v>3.3322045101752038</v>
      </c>
      <c r="N24" s="21">
        <f t="shared" si="4"/>
        <v>3.5525942648925612</v>
      </c>
    </row>
    <row r="25" spans="1:18" x14ac:dyDescent="0.2">
      <c r="A25" s="25">
        <f>Greenfield!A25</f>
        <v>422</v>
      </c>
      <c r="B25" s="17" t="str">
        <f>Greenfield!B25</f>
        <v>GF</v>
      </c>
      <c r="C25" s="18">
        <f>Greenfield!C25</f>
        <v>24</v>
      </c>
      <c r="D25" s="19">
        <f>Greenfield!D25</f>
        <v>13.650794587226329</v>
      </c>
      <c r="E25" s="30">
        <f>Greenfield!E25</f>
        <v>2003</v>
      </c>
      <c r="F25" s="18"/>
      <c r="G25" s="19"/>
      <c r="H25" s="20"/>
      <c r="I25" s="18">
        <f t="shared" si="0"/>
        <v>24</v>
      </c>
      <c r="J25" s="19">
        <f t="shared" si="1"/>
        <v>13.650794587226329</v>
      </c>
      <c r="K25" s="20">
        <f t="shared" si="2"/>
        <v>2003</v>
      </c>
      <c r="M25" s="21">
        <f t="shared" si="3"/>
        <v>3.1780538303479458</v>
      </c>
      <c r="N25" s="21">
        <f t="shared" si="4"/>
        <v>2.6137977314551564</v>
      </c>
    </row>
    <row r="26" spans="1:18" x14ac:dyDescent="0.2">
      <c r="A26" s="25">
        <f>Greenfield!A26</f>
        <v>944</v>
      </c>
      <c r="B26" s="17" t="str">
        <f>Greenfield!B26</f>
        <v>GF</v>
      </c>
      <c r="C26" s="18">
        <f>Greenfield!C26</f>
        <v>43</v>
      </c>
      <c r="D26" s="19">
        <f>Greenfield!D26</f>
        <v>26.816090615909914</v>
      </c>
      <c r="E26" s="30">
        <f>Greenfield!E26</f>
        <v>2010</v>
      </c>
      <c r="F26" s="18"/>
      <c r="G26" s="19"/>
      <c r="H26" s="20"/>
      <c r="I26" s="18">
        <f t="shared" si="0"/>
        <v>43</v>
      </c>
      <c r="J26" s="19">
        <f t="shared" si="1"/>
        <v>26.816090615909914</v>
      </c>
      <c r="K26" s="20">
        <f t="shared" si="2"/>
        <v>2010</v>
      </c>
      <c r="M26" s="21">
        <f t="shared" si="3"/>
        <v>3.7612001156935624</v>
      </c>
      <c r="N26" s="21">
        <f t="shared" si="4"/>
        <v>3.2890021034672148</v>
      </c>
    </row>
    <row r="27" spans="1:18" x14ac:dyDescent="0.2">
      <c r="A27" s="25">
        <f>Greenfield!A27</f>
        <v>387</v>
      </c>
      <c r="B27" s="17" t="str">
        <f>Greenfield!B27</f>
        <v>GF</v>
      </c>
      <c r="C27" s="18">
        <f>Greenfield!C27</f>
        <v>7.5</v>
      </c>
      <c r="D27" s="19">
        <f>Greenfield!D27</f>
        <v>9.5130592102135658</v>
      </c>
      <c r="E27" s="30">
        <f>Greenfield!E27</f>
        <v>2003</v>
      </c>
      <c r="F27" s="18"/>
      <c r="G27" s="19"/>
      <c r="H27" s="20"/>
      <c r="I27" s="18">
        <f t="shared" si="0"/>
        <v>7.5</v>
      </c>
      <c r="J27" s="19">
        <f t="shared" si="1"/>
        <v>9.5130592102135658</v>
      </c>
      <c r="K27" s="20">
        <f t="shared" si="2"/>
        <v>2003</v>
      </c>
      <c r="M27" s="21">
        <f t="shared" si="3"/>
        <v>2.0149030205422647</v>
      </c>
      <c r="N27" s="21">
        <f t="shared" si="4"/>
        <v>2.2526655083417699</v>
      </c>
    </row>
    <row r="28" spans="1:18" x14ac:dyDescent="0.2">
      <c r="A28" s="25">
        <f>Greenfield!A28</f>
        <v>587</v>
      </c>
      <c r="B28" s="17" t="str">
        <f>Greenfield!B28</f>
        <v>GF</v>
      </c>
      <c r="C28" s="18">
        <f>Greenfield!C28</f>
        <v>17.8</v>
      </c>
      <c r="D28" s="19">
        <f>Greenfield!D28</f>
        <v>13.152201549137706</v>
      </c>
      <c r="E28" s="30">
        <f>Greenfield!E28</f>
        <v>2006</v>
      </c>
      <c r="F28" s="18"/>
      <c r="G28" s="19"/>
      <c r="H28" s="20"/>
      <c r="I28" s="18">
        <f t="shared" si="0"/>
        <v>17.8</v>
      </c>
      <c r="J28" s="19">
        <f t="shared" si="1"/>
        <v>13.152201549137706</v>
      </c>
      <c r="K28" s="20">
        <f t="shared" si="2"/>
        <v>2006</v>
      </c>
      <c r="M28" s="21">
        <f t="shared" si="3"/>
        <v>2.8791984572980396</v>
      </c>
      <c r="N28" s="21">
        <f t="shared" si="4"/>
        <v>2.57658916279629</v>
      </c>
    </row>
    <row r="29" spans="1:18" x14ac:dyDescent="0.2">
      <c r="A29" s="25">
        <f>Greenfield!A29</f>
        <v>585</v>
      </c>
      <c r="B29" s="17" t="str">
        <f>Greenfield!B29</f>
        <v>GF</v>
      </c>
      <c r="C29" s="18">
        <f>Greenfield!C29</f>
        <v>20.6</v>
      </c>
      <c r="D29" s="19">
        <f>Greenfield!D29</f>
        <v>11.291169205189183</v>
      </c>
      <c r="E29" s="30">
        <f>Greenfield!E29</f>
        <v>2007</v>
      </c>
      <c r="F29" s="18"/>
      <c r="G29" s="19"/>
      <c r="H29" s="20"/>
      <c r="I29" s="18">
        <f t="shared" si="0"/>
        <v>20.6</v>
      </c>
      <c r="J29" s="19">
        <f t="shared" si="1"/>
        <v>11.291169205189183</v>
      </c>
      <c r="K29" s="20">
        <f t="shared" si="2"/>
        <v>2007</v>
      </c>
      <c r="M29" s="21">
        <f t="shared" si="3"/>
        <v>3.0252910757955354</v>
      </c>
      <c r="N29" s="21">
        <f t="shared" si="4"/>
        <v>2.4240209339322751</v>
      </c>
    </row>
    <row r="30" spans="1:18" x14ac:dyDescent="0.2">
      <c r="A30" s="25">
        <f>Greenfield!A30</f>
        <v>831</v>
      </c>
      <c r="B30" s="17" t="str">
        <f>Greenfield!B30</f>
        <v>GF</v>
      </c>
      <c r="C30" s="18">
        <f>Greenfield!C30</f>
        <v>19.600000000000001</v>
      </c>
      <c r="D30" s="19">
        <f>Greenfield!D30</f>
        <v>20.965601428070691</v>
      </c>
      <c r="E30" s="30">
        <f>Greenfield!E30</f>
        <v>2011</v>
      </c>
      <c r="F30" s="18"/>
      <c r="G30" s="19"/>
      <c r="H30" s="20"/>
      <c r="I30" s="18">
        <f t="shared" si="0"/>
        <v>19.600000000000001</v>
      </c>
      <c r="J30" s="19">
        <f t="shared" si="1"/>
        <v>20.965601428070691</v>
      </c>
      <c r="K30" s="20">
        <f t="shared" si="2"/>
        <v>2011</v>
      </c>
      <c r="M30" s="21">
        <f t="shared" si="3"/>
        <v>2.9755295662364718</v>
      </c>
      <c r="N30" s="21">
        <f t="shared" si="4"/>
        <v>3.042883067455266</v>
      </c>
    </row>
    <row r="31" spans="1:18" x14ac:dyDescent="0.2">
      <c r="A31" s="25">
        <f>Greenfield!A31</f>
        <v>340</v>
      </c>
      <c r="B31" s="17" t="str">
        <f>Greenfield!B31</f>
        <v>GF</v>
      </c>
      <c r="C31" s="18">
        <f>Greenfield!C31</f>
        <v>22</v>
      </c>
      <c r="D31" s="19">
        <f>Greenfield!D31</f>
        <v>13.309615571039751</v>
      </c>
      <c r="E31" s="30">
        <f>Greenfield!E31</f>
        <v>2003</v>
      </c>
      <c r="F31" s="18"/>
      <c r="G31" s="19"/>
      <c r="H31" s="20"/>
      <c r="I31" s="18">
        <f t="shared" si="0"/>
        <v>22</v>
      </c>
      <c r="J31" s="19">
        <f t="shared" si="1"/>
        <v>13.309615571039751</v>
      </c>
      <c r="K31" s="20">
        <f t="shared" si="2"/>
        <v>2003</v>
      </c>
      <c r="M31" s="21">
        <f t="shared" si="3"/>
        <v>3.0910424533583161</v>
      </c>
      <c r="N31" s="21">
        <f t="shared" si="4"/>
        <v>2.5884867492731334</v>
      </c>
    </row>
    <row r="32" spans="1:18" x14ac:dyDescent="0.2">
      <c r="A32" s="25">
        <f>Greenfield!A32</f>
        <v>334</v>
      </c>
      <c r="B32" s="17" t="str">
        <f>Greenfield!B32</f>
        <v>GF</v>
      </c>
      <c r="C32" s="18">
        <f>Greenfield!C32</f>
        <v>18.8</v>
      </c>
      <c r="D32" s="19">
        <f>Greenfield!D32</f>
        <v>7.9463711126733889</v>
      </c>
      <c r="E32" s="30">
        <f>Greenfield!E32</f>
        <v>2003</v>
      </c>
      <c r="F32" s="18"/>
      <c r="G32" s="19"/>
      <c r="H32" s="20"/>
      <c r="I32" s="18">
        <f t="shared" si="0"/>
        <v>18.8</v>
      </c>
      <c r="J32" s="19">
        <f t="shared" si="1"/>
        <v>7.9463711126733889</v>
      </c>
      <c r="K32" s="20">
        <f t="shared" si="2"/>
        <v>2003</v>
      </c>
      <c r="M32" s="21">
        <f t="shared" si="3"/>
        <v>2.9338568698359038</v>
      </c>
      <c r="N32" s="21">
        <f t="shared" si="4"/>
        <v>2.072715360640252</v>
      </c>
    </row>
    <row r="33" spans="1:14" x14ac:dyDescent="0.2">
      <c r="A33" s="25">
        <f>Greenfield!A33</f>
        <v>343</v>
      </c>
      <c r="B33" s="17" t="str">
        <f>Greenfield!B33</f>
        <v>GF</v>
      </c>
      <c r="C33" s="18">
        <f>Greenfield!C33</f>
        <v>15.6</v>
      </c>
      <c r="D33" s="19">
        <f>Greenfield!D33</f>
        <v>13.99971574022935</v>
      </c>
      <c r="E33" s="30">
        <f>Greenfield!E33</f>
        <v>2003</v>
      </c>
      <c r="F33" s="18"/>
      <c r="G33" s="19"/>
      <c r="H33" s="20"/>
      <c r="I33" s="18">
        <f t="shared" si="0"/>
        <v>15.6</v>
      </c>
      <c r="J33" s="19">
        <f t="shared" si="1"/>
        <v>13.99971574022935</v>
      </c>
      <c r="K33" s="20">
        <f t="shared" si="2"/>
        <v>2003</v>
      </c>
      <c r="M33" s="21">
        <f t="shared" si="3"/>
        <v>2.7472709142554912</v>
      </c>
      <c r="N33" s="21">
        <f t="shared" si="4"/>
        <v>2.6390370251397921</v>
      </c>
    </row>
    <row r="34" spans="1:14" x14ac:dyDescent="0.2">
      <c r="A34" s="25">
        <f>Greenfield!A34</f>
        <v>358</v>
      </c>
      <c r="B34" s="17" t="str">
        <f>Greenfield!B34</f>
        <v>GF</v>
      </c>
      <c r="C34" s="18">
        <f>Greenfield!C34</f>
        <v>19.8</v>
      </c>
      <c r="D34" s="19">
        <f>Greenfield!D34</f>
        <v>7.2248521864398549</v>
      </c>
      <c r="E34" s="30">
        <f>Greenfield!E34</f>
        <v>2003</v>
      </c>
      <c r="F34" s="18"/>
      <c r="G34" s="19"/>
      <c r="H34" s="20"/>
      <c r="I34" s="18">
        <f t="shared" si="0"/>
        <v>19.8</v>
      </c>
      <c r="J34" s="19">
        <f t="shared" si="1"/>
        <v>7.2248521864398549</v>
      </c>
      <c r="K34" s="20">
        <f t="shared" si="2"/>
        <v>2003</v>
      </c>
      <c r="M34" s="21">
        <f t="shared" si="3"/>
        <v>2.9856819377004897</v>
      </c>
      <c r="N34" s="21">
        <f t="shared" si="4"/>
        <v>1.9775267751649739</v>
      </c>
    </row>
    <row r="35" spans="1:14" x14ac:dyDescent="0.2">
      <c r="A35" s="25">
        <f>Greenfield!A35</f>
        <v>702</v>
      </c>
      <c r="B35" s="17" t="str">
        <f>Greenfield!B35</f>
        <v>GF</v>
      </c>
      <c r="C35" s="18">
        <f>Greenfield!C35</f>
        <v>28.4</v>
      </c>
      <c r="D35" s="19">
        <f>Greenfield!D35</f>
        <v>5.2101531080390755</v>
      </c>
      <c r="E35" s="30">
        <f>Greenfield!E35</f>
        <v>2007</v>
      </c>
      <c r="F35" s="18"/>
      <c r="G35" s="19"/>
      <c r="H35" s="20"/>
      <c r="I35" s="18">
        <f t="shared" si="0"/>
        <v>28.4</v>
      </c>
      <c r="J35" s="19">
        <f t="shared" si="1"/>
        <v>5.2101531080390755</v>
      </c>
      <c r="K35" s="20">
        <f t="shared" si="2"/>
        <v>2007</v>
      </c>
      <c r="M35" s="21">
        <f t="shared" si="3"/>
        <v>3.3463891451671604</v>
      </c>
      <c r="N35" s="21">
        <f t="shared" si="4"/>
        <v>1.6506092426730299</v>
      </c>
    </row>
    <row r="36" spans="1:14" x14ac:dyDescent="0.2">
      <c r="A36" s="25">
        <f>Greenfield!A36</f>
        <v>526</v>
      </c>
      <c r="B36" s="17" t="str">
        <f>Greenfield!B36</f>
        <v>GF</v>
      </c>
      <c r="C36" s="18">
        <f>Greenfield!C36</f>
        <v>19</v>
      </c>
      <c r="D36" s="19">
        <f>Greenfield!D36</f>
        <v>13.758834109767626</v>
      </c>
      <c r="E36" s="30">
        <f>Greenfield!E36</f>
        <v>2007</v>
      </c>
      <c r="F36" s="18"/>
      <c r="G36" s="19"/>
      <c r="H36" s="20"/>
      <c r="I36" s="18">
        <f t="shared" si="0"/>
        <v>19</v>
      </c>
      <c r="J36" s="19">
        <f t="shared" si="1"/>
        <v>13.758834109767626</v>
      </c>
      <c r="K36" s="20">
        <f t="shared" si="2"/>
        <v>2007</v>
      </c>
      <c r="M36" s="21">
        <f t="shared" si="3"/>
        <v>2.9444389791664403</v>
      </c>
      <c r="N36" s="21">
        <f t="shared" si="4"/>
        <v>2.6216810985205803</v>
      </c>
    </row>
    <row r="37" spans="1:14" x14ac:dyDescent="0.2">
      <c r="A37" s="25">
        <f>Greenfield!A37</f>
        <v>288</v>
      </c>
      <c r="B37" s="17" t="str">
        <f>Greenfield!B37</f>
        <v>GF</v>
      </c>
      <c r="C37" s="18">
        <f>Greenfield!C37</f>
        <v>12</v>
      </c>
      <c r="D37" s="19">
        <f>Greenfield!D37</f>
        <v>4.4533584840568787</v>
      </c>
      <c r="E37" s="30">
        <f>Greenfield!E37</f>
        <v>2001</v>
      </c>
      <c r="F37" s="18"/>
      <c r="G37" s="19"/>
      <c r="H37" s="20"/>
      <c r="I37" s="18">
        <f t="shared" si="0"/>
        <v>12</v>
      </c>
      <c r="J37" s="19">
        <f t="shared" si="1"/>
        <v>4.4533584840568787</v>
      </c>
      <c r="K37" s="20">
        <f t="shared" si="2"/>
        <v>2001</v>
      </c>
      <c r="M37" s="21">
        <f t="shared" si="3"/>
        <v>2.4849066497880004</v>
      </c>
      <c r="N37" s="21">
        <f t="shared" si="4"/>
        <v>1.4936585270420049</v>
      </c>
    </row>
    <row r="38" spans="1:14" x14ac:dyDescent="0.2">
      <c r="A38" s="25">
        <f>Greenfield!A38</f>
        <v>851</v>
      </c>
      <c r="B38" s="17" t="str">
        <f>Greenfield!B38</f>
        <v>GF</v>
      </c>
      <c r="C38" s="18">
        <f>Greenfield!C38</f>
        <v>25</v>
      </c>
      <c r="D38" s="19">
        <f>Greenfield!D38</f>
        <v>12.931754132918639</v>
      </c>
      <c r="E38" s="30">
        <f>Greenfield!E38</f>
        <v>2007</v>
      </c>
      <c r="F38" s="18"/>
      <c r="G38" s="19"/>
      <c r="H38" s="20"/>
      <c r="I38" s="18">
        <f t="shared" si="0"/>
        <v>25</v>
      </c>
      <c r="J38" s="19">
        <f t="shared" si="1"/>
        <v>12.931754132918639</v>
      </c>
      <c r="K38" s="20">
        <f t="shared" si="2"/>
        <v>2007</v>
      </c>
      <c r="M38" s="21">
        <f t="shared" si="3"/>
        <v>3.2188758248682006</v>
      </c>
      <c r="N38" s="21">
        <f t="shared" si="4"/>
        <v>2.5596858473810773</v>
      </c>
    </row>
    <row r="39" spans="1:14" x14ac:dyDescent="0.2">
      <c r="A39" s="25">
        <f>Greenfield!A39</f>
        <v>648</v>
      </c>
      <c r="B39" s="17" t="str">
        <f>Greenfield!B39</f>
        <v>GF</v>
      </c>
      <c r="C39" s="18">
        <f>Greenfield!C39</f>
        <v>15</v>
      </c>
      <c r="D39" s="19">
        <f>Greenfield!D39</f>
        <v>14.973718181093032</v>
      </c>
      <c r="E39" s="30">
        <f>Greenfield!E39</f>
        <v>2007</v>
      </c>
      <c r="F39" s="18"/>
      <c r="G39" s="19"/>
      <c r="H39" s="20"/>
      <c r="I39" s="18">
        <f t="shared" si="0"/>
        <v>15</v>
      </c>
      <c r="J39" s="19">
        <f t="shared" si="1"/>
        <v>14.973718181093032</v>
      </c>
      <c r="K39" s="20">
        <f t="shared" si="2"/>
        <v>2007</v>
      </c>
      <c r="M39" s="21">
        <f t="shared" si="3"/>
        <v>2.7080502011022101</v>
      </c>
      <c r="N39" s="21">
        <f t="shared" si="4"/>
        <v>2.7062965430819679</v>
      </c>
    </row>
    <row r="40" spans="1:14" x14ac:dyDescent="0.2">
      <c r="A40" s="25">
        <f>Greenfield!A40</f>
        <v>855</v>
      </c>
      <c r="B40" s="17" t="str">
        <f>Greenfield!B40</f>
        <v>GF</v>
      </c>
      <c r="C40" s="18">
        <f>Greenfield!C40</f>
        <v>23</v>
      </c>
      <c r="D40" s="19">
        <f>Greenfield!D40</f>
        <v>28.66706963950903</v>
      </c>
      <c r="E40" s="30">
        <f>Greenfield!E40</f>
        <v>2011</v>
      </c>
      <c r="F40" s="18"/>
      <c r="G40" s="19"/>
      <c r="H40" s="20"/>
      <c r="I40" s="18">
        <f t="shared" si="0"/>
        <v>23</v>
      </c>
      <c r="J40" s="19">
        <f t="shared" si="1"/>
        <v>28.66706963950903</v>
      </c>
      <c r="K40" s="20">
        <f t="shared" si="2"/>
        <v>2011</v>
      </c>
      <c r="M40" s="21">
        <f t="shared" si="3"/>
        <v>3.1354942159291497</v>
      </c>
      <c r="N40" s="21">
        <f t="shared" si="4"/>
        <v>3.355749064678772</v>
      </c>
    </row>
    <row r="41" spans="1:14" x14ac:dyDescent="0.2">
      <c r="A41" s="25">
        <f>Greenfield!A41</f>
        <v>700</v>
      </c>
      <c r="B41" s="17" t="str">
        <f>Greenfield!B41</f>
        <v>GF</v>
      </c>
      <c r="C41" s="18">
        <f>Greenfield!C41</f>
        <v>9.8000000000000007</v>
      </c>
      <c r="D41" s="19">
        <f>Greenfield!D41</f>
        <v>7.0657947644327148</v>
      </c>
      <c r="E41" s="30">
        <f>Greenfield!E41</f>
        <v>2007</v>
      </c>
      <c r="F41" s="18"/>
      <c r="G41" s="19"/>
      <c r="H41" s="20"/>
      <c r="I41" s="18">
        <f t="shared" si="0"/>
        <v>9.8000000000000007</v>
      </c>
      <c r="J41" s="19">
        <f t="shared" si="1"/>
        <v>7.0657947644327148</v>
      </c>
      <c r="K41" s="20">
        <f t="shared" si="2"/>
        <v>2007</v>
      </c>
      <c r="M41" s="21">
        <f t="shared" si="3"/>
        <v>2.2823823856765264</v>
      </c>
      <c r="N41" s="21">
        <f t="shared" si="4"/>
        <v>1.9552655030060266</v>
      </c>
    </row>
    <row r="42" spans="1:14" x14ac:dyDescent="0.2">
      <c r="A42" s="25">
        <f>Greenfield!A42</f>
        <v>683</v>
      </c>
      <c r="B42" s="17" t="str">
        <f>Greenfield!B42</f>
        <v>GF</v>
      </c>
      <c r="C42" s="18">
        <f>Greenfield!C42</f>
        <v>30</v>
      </c>
      <c r="D42" s="19">
        <f>Greenfield!D42</f>
        <v>16.03232257186292</v>
      </c>
      <c r="E42" s="30">
        <f>Greenfield!E42</f>
        <v>2011</v>
      </c>
      <c r="F42" s="18"/>
      <c r="G42" s="19"/>
      <c r="H42" s="20"/>
      <c r="I42" s="18">
        <f t="shared" si="0"/>
        <v>30</v>
      </c>
      <c r="J42" s="19">
        <f t="shared" si="1"/>
        <v>16.03232257186292</v>
      </c>
      <c r="K42" s="20">
        <f t="shared" si="2"/>
        <v>2011</v>
      </c>
      <c r="M42" s="21">
        <f t="shared" si="3"/>
        <v>3.4011973816621555</v>
      </c>
      <c r="N42" s="21">
        <f t="shared" si="4"/>
        <v>2.7746068452004713</v>
      </c>
    </row>
    <row r="43" spans="1:14" x14ac:dyDescent="0.2">
      <c r="A43" s="25">
        <f>Greenfield!A43</f>
        <v>559</v>
      </c>
      <c r="B43" s="17" t="str">
        <f>Greenfield!B43</f>
        <v>GF</v>
      </c>
      <c r="C43" s="18">
        <f>Greenfield!C43</f>
        <v>115</v>
      </c>
      <c r="D43" s="19">
        <f>Greenfield!D43</f>
        <v>56.859498956472109</v>
      </c>
      <c r="E43" s="30">
        <f>Greenfield!E43</f>
        <v>2011</v>
      </c>
      <c r="F43" s="18"/>
      <c r="G43" s="19"/>
      <c r="H43" s="20"/>
      <c r="I43" s="18">
        <f t="shared" si="0"/>
        <v>115</v>
      </c>
      <c r="J43" s="19">
        <f t="shared" si="1"/>
        <v>56.859498956472109</v>
      </c>
      <c r="K43" s="20">
        <f t="shared" si="2"/>
        <v>2011</v>
      </c>
      <c r="M43" s="21">
        <f t="shared" si="3"/>
        <v>4.7449321283632502</v>
      </c>
      <c r="N43" s="21">
        <f t="shared" si="4"/>
        <v>4.0405832943034818</v>
      </c>
    </row>
    <row r="44" spans="1:14" x14ac:dyDescent="0.2">
      <c r="A44" s="25">
        <f>Greenfield!A44</f>
        <v>1074</v>
      </c>
      <c r="B44" s="17" t="str">
        <f>Greenfield!B44</f>
        <v>GF</v>
      </c>
      <c r="C44" s="18">
        <f>Greenfield!C44</f>
        <v>67</v>
      </c>
      <c r="D44" s="19">
        <f>Greenfield!D44</f>
        <v>43.13883453102715</v>
      </c>
      <c r="E44" s="30">
        <f>Greenfield!E44</f>
        <v>2011</v>
      </c>
      <c r="F44" s="18"/>
      <c r="G44" s="19"/>
      <c r="H44" s="20"/>
      <c r="I44" s="18">
        <f t="shared" si="0"/>
        <v>67</v>
      </c>
      <c r="J44" s="19">
        <f t="shared" si="1"/>
        <v>43.13883453102715</v>
      </c>
      <c r="K44" s="20">
        <f t="shared" si="2"/>
        <v>2011</v>
      </c>
      <c r="M44" s="21">
        <f t="shared" si="3"/>
        <v>4.2046926193909657</v>
      </c>
      <c r="N44" s="21">
        <f t="shared" si="4"/>
        <v>3.7644236246254454</v>
      </c>
    </row>
    <row r="45" spans="1:14" x14ac:dyDescent="0.2">
      <c r="A45" s="25">
        <f>Greenfield!A45</f>
        <v>34</v>
      </c>
      <c r="B45" s="17" t="str">
        <f>Greenfield!B45</f>
        <v>GF</v>
      </c>
      <c r="C45" s="18">
        <f>Greenfield!C45</f>
        <v>16</v>
      </c>
      <c r="D45" s="19">
        <f>Greenfield!D45</f>
        <v>7.5134124542159286</v>
      </c>
      <c r="E45" s="30">
        <f>Greenfield!E45</f>
        <v>2000</v>
      </c>
      <c r="F45" s="18"/>
      <c r="G45" s="19"/>
      <c r="H45" s="20"/>
      <c r="I45" s="18">
        <f t="shared" si="0"/>
        <v>16</v>
      </c>
      <c r="J45" s="19">
        <f t="shared" si="1"/>
        <v>7.5134124542159286</v>
      </c>
      <c r="K45" s="20">
        <f t="shared" si="2"/>
        <v>2000</v>
      </c>
      <c r="M45" s="21">
        <f t="shared" si="3"/>
        <v>2.7725887222397811</v>
      </c>
      <c r="N45" s="21">
        <f t="shared" si="4"/>
        <v>2.0166897506177883</v>
      </c>
    </row>
    <row r="46" spans="1:14" x14ac:dyDescent="0.2">
      <c r="A46" s="25">
        <f>Greenfield!A46</f>
        <v>433</v>
      </c>
      <c r="B46" s="17" t="str">
        <f>Greenfield!B46</f>
        <v>GF</v>
      </c>
      <c r="C46" s="18">
        <f>Greenfield!C46</f>
        <v>25</v>
      </c>
      <c r="D46" s="19">
        <f>Greenfield!D46</f>
        <v>22.308265318441425</v>
      </c>
      <c r="E46" s="30">
        <f>Greenfield!E46</f>
        <v>2003</v>
      </c>
      <c r="F46" s="18"/>
      <c r="G46" s="19"/>
      <c r="H46" s="20"/>
      <c r="I46" s="18">
        <f t="shared" si="0"/>
        <v>25</v>
      </c>
      <c r="J46" s="19">
        <f t="shared" si="1"/>
        <v>22.308265318441425</v>
      </c>
      <c r="K46" s="20">
        <f t="shared" si="2"/>
        <v>2003</v>
      </c>
      <c r="M46" s="21">
        <f t="shared" si="3"/>
        <v>3.2188758248682006</v>
      </c>
      <c r="N46" s="21">
        <f t="shared" si="4"/>
        <v>3.1049572518778392</v>
      </c>
    </row>
    <row r="47" spans="1:14" x14ac:dyDescent="0.2">
      <c r="A47" s="25" t="str">
        <f>Greenfield!A47</f>
        <v>79A</v>
      </c>
      <c r="B47" s="17" t="str">
        <f>Greenfield!B47</f>
        <v>GF</v>
      </c>
      <c r="C47" s="18">
        <f>Greenfield!C47</f>
        <v>8</v>
      </c>
      <c r="D47" s="19">
        <f>Greenfield!D47</f>
        <v>5.0823375539699818</v>
      </c>
      <c r="E47" s="30">
        <f>Greenfield!E47</f>
        <v>2000</v>
      </c>
      <c r="F47" s="18"/>
      <c r="G47" s="19"/>
      <c r="H47" s="20"/>
      <c r="I47" s="18">
        <f t="shared" si="0"/>
        <v>8</v>
      </c>
      <c r="J47" s="19">
        <f t="shared" si="1"/>
        <v>5.0823375539699818</v>
      </c>
      <c r="K47" s="20">
        <f t="shared" si="2"/>
        <v>2000</v>
      </c>
      <c r="M47" s="21">
        <f t="shared" si="3"/>
        <v>2.0794415416798357</v>
      </c>
      <c r="N47" s="21">
        <f t="shared" si="4"/>
        <v>1.62577130417386</v>
      </c>
    </row>
    <row r="48" spans="1:14" x14ac:dyDescent="0.2">
      <c r="A48" s="25" t="str">
        <f>Greenfield!A48</f>
        <v>10A</v>
      </c>
      <c r="B48" s="17" t="str">
        <f>Greenfield!B48</f>
        <v>GF</v>
      </c>
      <c r="C48" s="18">
        <f>Greenfield!C48</f>
        <v>6.2</v>
      </c>
      <c r="D48" s="19">
        <f>Greenfield!D48</f>
        <v>8.9160103759227685</v>
      </c>
      <c r="E48" s="30">
        <f>Greenfield!E48</f>
        <v>2001</v>
      </c>
      <c r="F48" s="18"/>
      <c r="G48" s="19"/>
      <c r="H48" s="20"/>
      <c r="I48" s="18">
        <f t="shared" si="0"/>
        <v>6.2</v>
      </c>
      <c r="J48" s="19">
        <f t="shared" si="1"/>
        <v>8.9160103759227685</v>
      </c>
      <c r="K48" s="20">
        <f t="shared" si="2"/>
        <v>2001</v>
      </c>
      <c r="M48" s="21">
        <f t="shared" si="3"/>
        <v>1.824549292051046</v>
      </c>
      <c r="N48" s="21">
        <f t="shared" si="4"/>
        <v>2.1878485792648439</v>
      </c>
    </row>
    <row r="49" spans="1:14" x14ac:dyDescent="0.2">
      <c r="A49" s="25">
        <f>Greenfield!A49</f>
        <v>345</v>
      </c>
      <c r="B49" s="17" t="str">
        <f>Greenfield!B49</f>
        <v>GF</v>
      </c>
      <c r="C49" s="18">
        <f>Greenfield!C49</f>
        <v>35</v>
      </c>
      <c r="D49" s="19">
        <f>Greenfield!D49</f>
        <v>8.3689831482940882</v>
      </c>
      <c r="E49" s="30">
        <f>Greenfield!E49</f>
        <v>2003</v>
      </c>
      <c r="F49" s="18"/>
      <c r="G49" s="19"/>
      <c r="H49" s="20"/>
      <c r="I49" s="18">
        <f t="shared" si="0"/>
        <v>35</v>
      </c>
      <c r="J49" s="19">
        <f t="shared" si="1"/>
        <v>8.3689831482940882</v>
      </c>
      <c r="K49" s="20">
        <f t="shared" si="2"/>
        <v>2003</v>
      </c>
      <c r="M49" s="21">
        <f t="shared" si="3"/>
        <v>3.5553480614894135</v>
      </c>
      <c r="N49" s="21">
        <f t="shared" si="4"/>
        <v>2.1245323894621508</v>
      </c>
    </row>
    <row r="50" spans="1:14" x14ac:dyDescent="0.2">
      <c r="A50" s="25">
        <f>Greenfield!A50</f>
        <v>1049</v>
      </c>
      <c r="B50" s="17" t="str">
        <f>Greenfield!B50</f>
        <v>GF</v>
      </c>
      <c r="C50" s="18">
        <f>Greenfield!C50</f>
        <v>15.2</v>
      </c>
      <c r="D50" s="19">
        <f>Greenfield!D50</f>
        <v>54.551770509232071</v>
      </c>
      <c r="E50" s="30">
        <f>Greenfield!E50</f>
        <v>2011</v>
      </c>
      <c r="F50" s="18"/>
      <c r="G50" s="19"/>
      <c r="H50" s="20"/>
      <c r="I50" s="18">
        <f t="shared" si="0"/>
        <v>15.2</v>
      </c>
      <c r="J50" s="19">
        <f t="shared" si="1"/>
        <v>54.551770509232071</v>
      </c>
      <c r="K50" s="20">
        <f t="shared" si="2"/>
        <v>2011</v>
      </c>
      <c r="M50" s="21">
        <f t="shared" si="3"/>
        <v>2.7212954278522306</v>
      </c>
      <c r="N50" s="21">
        <f t="shared" si="4"/>
        <v>3.9991501683835766</v>
      </c>
    </row>
    <row r="51" spans="1:14" x14ac:dyDescent="0.2">
      <c r="A51" s="25">
        <f>Greenfield!A51</f>
        <v>230</v>
      </c>
      <c r="B51" s="17" t="str">
        <f>Greenfield!B51</f>
        <v>GF</v>
      </c>
      <c r="C51" s="18">
        <f>Greenfield!C51</f>
        <v>17</v>
      </c>
      <c r="D51" s="19">
        <f>Greenfield!D51</f>
        <v>10.739901169983137</v>
      </c>
      <c r="E51" s="30">
        <f>Greenfield!E51</f>
        <v>2003</v>
      </c>
      <c r="F51" s="18"/>
      <c r="G51" s="19"/>
      <c r="H51" s="20"/>
      <c r="I51" s="18">
        <f t="shared" si="0"/>
        <v>17</v>
      </c>
      <c r="J51" s="19">
        <f t="shared" si="1"/>
        <v>10.739901169983137</v>
      </c>
      <c r="K51" s="20">
        <f t="shared" si="2"/>
        <v>2003</v>
      </c>
      <c r="M51" s="21">
        <f t="shared" si="3"/>
        <v>2.8332133440562162</v>
      </c>
      <c r="N51" s="21">
        <f t="shared" si="4"/>
        <v>2.3739658869883922</v>
      </c>
    </row>
    <row r="52" spans="1:14" x14ac:dyDescent="0.2">
      <c r="A52" s="25" t="str">
        <f>Greenfield!A52</f>
        <v>79B</v>
      </c>
      <c r="B52" s="17" t="str">
        <f>Greenfield!B52</f>
        <v>GF</v>
      </c>
      <c r="C52" s="18">
        <f>Greenfield!C52</f>
        <v>8</v>
      </c>
      <c r="D52" s="19">
        <f>Greenfield!D52</f>
        <v>3.3788339951362953</v>
      </c>
      <c r="E52" s="30">
        <f>Greenfield!E52</f>
        <v>2000</v>
      </c>
      <c r="F52" s="18"/>
      <c r="G52" s="19"/>
      <c r="H52" s="20"/>
      <c r="I52" s="18">
        <f t="shared" si="0"/>
        <v>8</v>
      </c>
      <c r="J52" s="19">
        <f t="shared" si="1"/>
        <v>3.3788339951362953</v>
      </c>
      <c r="K52" s="20">
        <f t="shared" si="2"/>
        <v>2000</v>
      </c>
      <c r="M52" s="21">
        <f t="shared" si="3"/>
        <v>2.0794415416798357</v>
      </c>
      <c r="N52" s="21">
        <f t="shared" si="4"/>
        <v>1.2175306781252826</v>
      </c>
    </row>
    <row r="53" spans="1:14" x14ac:dyDescent="0.2">
      <c r="A53" s="25" t="str">
        <f>Greenfield!A53</f>
        <v>10B</v>
      </c>
      <c r="B53" s="17" t="str">
        <f>Greenfield!B53</f>
        <v>GF</v>
      </c>
      <c r="C53" s="18">
        <f>Greenfield!C53</f>
        <v>9.4060000000000006</v>
      </c>
      <c r="D53" s="19">
        <f>Greenfield!D53</f>
        <v>9.7991326901064184</v>
      </c>
      <c r="E53" s="30">
        <f>Greenfield!E53</f>
        <v>2001</v>
      </c>
      <c r="F53" s="18"/>
      <c r="G53" s="19"/>
      <c r="H53" s="20"/>
      <c r="I53" s="18">
        <f t="shared" si="0"/>
        <v>9.4060000000000006</v>
      </c>
      <c r="J53" s="19">
        <f t="shared" si="1"/>
        <v>9.7991326901064184</v>
      </c>
      <c r="K53" s="20">
        <f t="shared" si="2"/>
        <v>2001</v>
      </c>
      <c r="M53" s="21">
        <f t="shared" si="3"/>
        <v>2.2413477835228561</v>
      </c>
      <c r="N53" s="21">
        <f t="shared" si="4"/>
        <v>2.2822938807505317</v>
      </c>
    </row>
    <row r="54" spans="1:14" x14ac:dyDescent="0.2">
      <c r="A54" s="25">
        <f>Greenfield!A54</f>
        <v>8</v>
      </c>
      <c r="B54" s="17" t="str">
        <f>Greenfield!B54</f>
        <v>GF</v>
      </c>
      <c r="C54" s="18">
        <f>Greenfield!C54</f>
        <v>18</v>
      </c>
      <c r="D54" s="19">
        <f>Greenfield!D54</f>
        <v>11.984110505191126</v>
      </c>
      <c r="E54" s="30">
        <f>Greenfield!E54</f>
        <v>2000</v>
      </c>
      <c r="F54" s="18"/>
      <c r="G54" s="19"/>
      <c r="H54" s="20"/>
      <c r="I54" s="18">
        <f t="shared" si="0"/>
        <v>18</v>
      </c>
      <c r="J54" s="19">
        <f t="shared" si="1"/>
        <v>11.984110505191126</v>
      </c>
      <c r="K54" s="20">
        <f t="shared" si="2"/>
        <v>2000</v>
      </c>
      <c r="M54" s="21">
        <f t="shared" si="3"/>
        <v>2.8903717578961645</v>
      </c>
      <c r="N54" s="21">
        <f t="shared" si="4"/>
        <v>2.4835816477930246</v>
      </c>
    </row>
    <row r="55" spans="1:14" x14ac:dyDescent="0.2">
      <c r="A55" s="25">
        <f>Greenfield!A55</f>
        <v>487</v>
      </c>
      <c r="B55" s="17" t="str">
        <f>Greenfield!B55</f>
        <v>GF</v>
      </c>
      <c r="C55" s="18">
        <f>Greenfield!C55</f>
        <v>22</v>
      </c>
      <c r="D55" s="19">
        <f>Greenfield!D55</f>
        <v>16.606728766354362</v>
      </c>
      <c r="E55" s="30">
        <f>Greenfield!E55</f>
        <v>2007</v>
      </c>
      <c r="F55" s="18"/>
      <c r="G55" s="19"/>
      <c r="H55" s="20"/>
      <c r="I55" s="18">
        <f t="shared" si="0"/>
        <v>22</v>
      </c>
      <c r="J55" s="19">
        <f t="shared" si="1"/>
        <v>16.606728766354362</v>
      </c>
      <c r="K55" s="20">
        <f t="shared" si="2"/>
        <v>2007</v>
      </c>
      <c r="M55" s="21">
        <f t="shared" si="3"/>
        <v>3.0910424533583161</v>
      </c>
      <c r="N55" s="21">
        <f t="shared" si="4"/>
        <v>2.8098079606021904</v>
      </c>
    </row>
    <row r="56" spans="1:14" x14ac:dyDescent="0.2">
      <c r="A56" s="25">
        <f>Greenfield!A56</f>
        <v>385</v>
      </c>
      <c r="B56" s="17" t="str">
        <f>Greenfield!B56</f>
        <v>GF</v>
      </c>
      <c r="C56" s="18">
        <f>Greenfield!C56</f>
        <v>7.5</v>
      </c>
      <c r="D56" s="19">
        <f>Greenfield!D56</f>
        <v>8.5880709825089685</v>
      </c>
      <c r="E56" s="30">
        <f>Greenfield!E56</f>
        <v>2003</v>
      </c>
      <c r="F56" s="18"/>
      <c r="G56" s="19"/>
      <c r="H56" s="20"/>
      <c r="I56" s="18">
        <f t="shared" si="0"/>
        <v>7.5</v>
      </c>
      <c r="J56" s="19">
        <f t="shared" si="1"/>
        <v>8.5880709825089685</v>
      </c>
      <c r="K56" s="20">
        <f t="shared" si="2"/>
        <v>2003</v>
      </c>
      <c r="M56" s="21">
        <f t="shared" si="3"/>
        <v>2.0149030205422647</v>
      </c>
      <c r="N56" s="21">
        <f t="shared" si="4"/>
        <v>2.1503741452954848</v>
      </c>
    </row>
    <row r="57" spans="1:14" x14ac:dyDescent="0.2">
      <c r="A57" s="25">
        <f>Greenfield!A57</f>
        <v>865</v>
      </c>
      <c r="B57" s="17" t="str">
        <f>Greenfield!B57</f>
        <v>GF</v>
      </c>
      <c r="C57" s="18">
        <f>Greenfield!C57</f>
        <v>25</v>
      </c>
      <c r="D57" s="19">
        <f>Greenfield!D57</f>
        <v>8.6091983279462436</v>
      </c>
      <c r="E57" s="30">
        <f>Greenfield!E57</f>
        <v>2007</v>
      </c>
      <c r="F57" s="18"/>
      <c r="G57" s="19"/>
      <c r="H57" s="20"/>
      <c r="I57" s="18">
        <f t="shared" si="0"/>
        <v>25</v>
      </c>
      <c r="J57" s="19">
        <f t="shared" si="1"/>
        <v>8.6091983279462436</v>
      </c>
      <c r="K57" s="20">
        <f t="shared" si="2"/>
        <v>2007</v>
      </c>
      <c r="M57" s="21">
        <f t="shared" si="3"/>
        <v>3.2188758248682006</v>
      </c>
      <c r="N57" s="21">
        <f t="shared" si="4"/>
        <v>2.1528312046907798</v>
      </c>
    </row>
    <row r="58" spans="1:14" x14ac:dyDescent="0.2">
      <c r="A58" s="25">
        <f>Greenfield!A58</f>
        <v>863</v>
      </c>
      <c r="B58" s="17" t="str">
        <f>Greenfield!B58</f>
        <v>GF</v>
      </c>
      <c r="C58" s="18">
        <f>Greenfield!C58</f>
        <v>25</v>
      </c>
      <c r="D58" s="19">
        <f>Greenfield!D58</f>
        <v>8.2434360504581008</v>
      </c>
      <c r="E58" s="30">
        <f>Greenfield!E58</f>
        <v>2007</v>
      </c>
      <c r="F58" s="18"/>
      <c r="G58" s="19"/>
      <c r="H58" s="20"/>
      <c r="I58" s="18">
        <f t="shared" si="0"/>
        <v>25</v>
      </c>
      <c r="J58" s="19">
        <f t="shared" si="1"/>
        <v>8.2434360504581008</v>
      </c>
      <c r="K58" s="20">
        <f t="shared" si="2"/>
        <v>2007</v>
      </c>
      <c r="M58" s="21">
        <f t="shared" si="3"/>
        <v>3.2188758248682006</v>
      </c>
      <c r="N58" s="21">
        <f t="shared" si="4"/>
        <v>2.1094172534173556</v>
      </c>
    </row>
    <row r="59" spans="1:14" x14ac:dyDescent="0.2">
      <c r="A59" s="25">
        <f>Greenfield!A59</f>
        <v>527</v>
      </c>
      <c r="B59" s="17" t="str">
        <f>Greenfield!B59</f>
        <v>GF</v>
      </c>
      <c r="C59" s="18">
        <f>Greenfield!C59</f>
        <v>17</v>
      </c>
      <c r="D59" s="19">
        <f>Greenfield!D59</f>
        <v>6.9318595783251213</v>
      </c>
      <c r="E59" s="30">
        <f>Greenfield!E59</f>
        <v>2007</v>
      </c>
      <c r="F59" s="18"/>
      <c r="G59" s="19"/>
      <c r="H59" s="20"/>
      <c r="I59" s="18">
        <f t="shared" si="0"/>
        <v>17</v>
      </c>
      <c r="J59" s="19">
        <f t="shared" si="1"/>
        <v>6.9318595783251213</v>
      </c>
      <c r="K59" s="20">
        <f t="shared" si="2"/>
        <v>2007</v>
      </c>
      <c r="M59" s="21">
        <f t="shared" si="3"/>
        <v>2.8332133440562162</v>
      </c>
      <c r="N59" s="21">
        <f t="shared" si="4"/>
        <v>1.936128114626418</v>
      </c>
    </row>
    <row r="60" spans="1:14" x14ac:dyDescent="0.2">
      <c r="A60" s="25">
        <f>Greenfield!A60</f>
        <v>595</v>
      </c>
      <c r="B60" s="17" t="str">
        <f>Greenfield!B60</f>
        <v>GF</v>
      </c>
      <c r="C60" s="18">
        <f>Greenfield!C60</f>
        <v>11</v>
      </c>
      <c r="D60" s="19">
        <f>Greenfield!D60</f>
        <v>19.087371326529755</v>
      </c>
      <c r="E60" s="30">
        <f>Greenfield!E60</f>
        <v>2007</v>
      </c>
      <c r="F60" s="18"/>
      <c r="G60" s="19"/>
      <c r="H60" s="20"/>
      <c r="I60" s="18">
        <f t="shared" si="0"/>
        <v>11</v>
      </c>
      <c r="J60" s="19">
        <f t="shared" si="1"/>
        <v>19.087371326529755</v>
      </c>
      <c r="K60" s="20">
        <f t="shared" si="2"/>
        <v>2007</v>
      </c>
      <c r="M60" s="21">
        <f t="shared" si="3"/>
        <v>2.3978952727983707</v>
      </c>
      <c r="N60" s="21">
        <f t="shared" si="4"/>
        <v>2.9490269292793174</v>
      </c>
    </row>
    <row r="61" spans="1:14" x14ac:dyDescent="0.2">
      <c r="A61" s="25">
        <f>Greenfield!A61</f>
        <v>528</v>
      </c>
      <c r="B61" s="17" t="str">
        <f>Greenfield!B61</f>
        <v>GF</v>
      </c>
      <c r="C61" s="18">
        <f>Greenfield!C61</f>
        <v>17</v>
      </c>
      <c r="D61" s="19">
        <f>Greenfield!D61</f>
        <v>5.2657663175025586</v>
      </c>
      <c r="E61" s="30">
        <f>Greenfield!E61</f>
        <v>2007</v>
      </c>
      <c r="F61" s="18"/>
      <c r="G61" s="19"/>
      <c r="H61" s="20"/>
      <c r="I61" s="18">
        <f t="shared" si="0"/>
        <v>17</v>
      </c>
      <c r="J61" s="19">
        <f t="shared" si="1"/>
        <v>5.2657663175025586</v>
      </c>
      <c r="K61" s="20">
        <f t="shared" si="2"/>
        <v>2007</v>
      </c>
      <c r="M61" s="21">
        <f t="shared" si="3"/>
        <v>2.8332133440562162</v>
      </c>
      <c r="N61" s="21">
        <f t="shared" si="4"/>
        <v>1.6612266843778571</v>
      </c>
    </row>
    <row r="62" spans="1:14" x14ac:dyDescent="0.2">
      <c r="A62" s="25">
        <f>Greenfield!A62</f>
        <v>529</v>
      </c>
      <c r="B62" s="17" t="str">
        <f>Greenfield!B62</f>
        <v>GF</v>
      </c>
      <c r="C62" s="18">
        <f>Greenfield!C62</f>
        <v>17</v>
      </c>
      <c r="D62" s="19">
        <f>Greenfield!D62</f>
        <v>7.7921694439597555</v>
      </c>
      <c r="E62" s="30">
        <f>Greenfield!E62</f>
        <v>2007</v>
      </c>
      <c r="F62" s="18"/>
      <c r="G62" s="19"/>
      <c r="H62" s="20"/>
      <c r="I62" s="18">
        <f t="shared" si="0"/>
        <v>17</v>
      </c>
      <c r="J62" s="19">
        <f t="shared" si="1"/>
        <v>7.7921694439597555</v>
      </c>
      <c r="K62" s="20">
        <f t="shared" si="2"/>
        <v>2007</v>
      </c>
      <c r="M62" s="21">
        <f t="shared" si="3"/>
        <v>2.8332133440562162</v>
      </c>
      <c r="N62" s="21">
        <f t="shared" si="4"/>
        <v>2.0531193119918547</v>
      </c>
    </row>
    <row r="63" spans="1:14" x14ac:dyDescent="0.2">
      <c r="A63" s="25">
        <f>Greenfield!A63</f>
        <v>1095</v>
      </c>
      <c r="B63" s="17" t="str">
        <f>Greenfield!B63</f>
        <v>GF</v>
      </c>
      <c r="C63" s="18">
        <f>Greenfield!C63</f>
        <v>18</v>
      </c>
      <c r="D63" s="19">
        <f>Greenfield!D63</f>
        <v>11.923356574074873</v>
      </c>
      <c r="E63" s="30">
        <f>Greenfield!E63</f>
        <v>2011</v>
      </c>
      <c r="F63" s="18"/>
      <c r="G63" s="19"/>
      <c r="H63" s="20"/>
      <c r="I63" s="18">
        <f t="shared" si="0"/>
        <v>18</v>
      </c>
      <c r="J63" s="19">
        <f t="shared" si="1"/>
        <v>11.923356574074873</v>
      </c>
      <c r="K63" s="20">
        <f t="shared" si="2"/>
        <v>2011</v>
      </c>
      <c r="M63" s="21">
        <f t="shared" si="3"/>
        <v>2.8903717578961645</v>
      </c>
      <c r="N63" s="21">
        <f t="shared" si="4"/>
        <v>2.4784992137824831</v>
      </c>
    </row>
    <row r="64" spans="1:14" x14ac:dyDescent="0.2">
      <c r="A64" s="25">
        <f>Greenfield!A64</f>
        <v>561</v>
      </c>
      <c r="B64" s="17" t="str">
        <f>Greenfield!B64</f>
        <v>GF</v>
      </c>
      <c r="C64" s="18">
        <f>Greenfield!C64</f>
        <v>46</v>
      </c>
      <c r="D64" s="19">
        <f>Greenfield!D64</f>
        <v>58.100097147658744</v>
      </c>
      <c r="E64" s="30">
        <f>Greenfield!E64</f>
        <v>2011</v>
      </c>
      <c r="F64" s="18"/>
      <c r="G64" s="19"/>
      <c r="H64" s="20"/>
      <c r="I64" s="18">
        <f t="shared" si="0"/>
        <v>46</v>
      </c>
      <c r="J64" s="19">
        <f t="shared" si="1"/>
        <v>58.100097147658744</v>
      </c>
      <c r="K64" s="20">
        <f t="shared" si="2"/>
        <v>2011</v>
      </c>
      <c r="M64" s="21">
        <f t="shared" si="3"/>
        <v>3.8286413964890951</v>
      </c>
      <c r="N64" s="21">
        <f t="shared" si="4"/>
        <v>4.0621673359332098</v>
      </c>
    </row>
    <row r="65" spans="1:14" x14ac:dyDescent="0.2">
      <c r="A65" s="25">
        <f>Greenfield!A65</f>
        <v>1018</v>
      </c>
      <c r="B65" s="17" t="str">
        <f>Greenfield!B65</f>
        <v>GF</v>
      </c>
      <c r="C65" s="18">
        <f>Greenfield!C65</f>
        <v>3</v>
      </c>
      <c r="D65" s="19">
        <f>Greenfield!D65</f>
        <v>10.634643135603309</v>
      </c>
      <c r="E65" s="30">
        <f>Greenfield!E65</f>
        <v>2011</v>
      </c>
      <c r="F65" s="18"/>
      <c r="G65" s="19"/>
      <c r="H65" s="20"/>
      <c r="I65" s="18">
        <f t="shared" si="0"/>
        <v>3</v>
      </c>
      <c r="J65" s="19">
        <f t="shared" si="1"/>
        <v>10.634643135603309</v>
      </c>
      <c r="K65" s="20">
        <f t="shared" si="2"/>
        <v>2011</v>
      </c>
      <c r="M65" s="21">
        <f t="shared" si="3"/>
        <v>1.0986122886681098</v>
      </c>
      <c r="N65" s="21">
        <f t="shared" si="4"/>
        <v>2.3641168924336546</v>
      </c>
    </row>
    <row r="66" spans="1:14" x14ac:dyDescent="0.2">
      <c r="A66" s="25">
        <f>Greenfield!A66</f>
        <v>360</v>
      </c>
      <c r="B66" s="17" t="str">
        <f>Greenfield!B66</f>
        <v>GF</v>
      </c>
      <c r="C66" s="18">
        <f>Greenfield!C66</f>
        <v>22</v>
      </c>
      <c r="D66" s="19">
        <f>Greenfield!D66</f>
        <v>7.1174715515965792</v>
      </c>
      <c r="E66" s="30">
        <f>Greenfield!E66</f>
        <v>2003</v>
      </c>
      <c r="F66" s="18"/>
      <c r="G66" s="19"/>
      <c r="H66" s="20"/>
      <c r="I66" s="18">
        <f t="shared" si="0"/>
        <v>22</v>
      </c>
      <c r="J66" s="19">
        <f t="shared" si="1"/>
        <v>7.1174715515965792</v>
      </c>
      <c r="K66" s="20">
        <f t="shared" si="2"/>
        <v>2003</v>
      </c>
      <c r="M66" s="21">
        <f t="shared" si="3"/>
        <v>3.0910424533583161</v>
      </c>
      <c r="N66" s="21">
        <f t="shared" si="4"/>
        <v>1.9625525431963604</v>
      </c>
    </row>
    <row r="67" spans="1:14" x14ac:dyDescent="0.2">
      <c r="A67" s="25">
        <f>Greenfield!A67</f>
        <v>1106</v>
      </c>
      <c r="B67" s="17" t="str">
        <f>Greenfield!B67</f>
        <v>GF</v>
      </c>
      <c r="C67" s="18">
        <f>Greenfield!C67</f>
        <v>12</v>
      </c>
      <c r="D67" s="19">
        <f>Greenfield!D67</f>
        <v>20.217898457447252</v>
      </c>
      <c r="E67" s="30">
        <f>Greenfield!E67</f>
        <v>2011</v>
      </c>
      <c r="F67" s="18"/>
      <c r="G67" s="19"/>
      <c r="H67" s="20"/>
      <c r="I67" s="18">
        <f t="shared" si="0"/>
        <v>12</v>
      </c>
      <c r="J67" s="19">
        <f t="shared" si="1"/>
        <v>20.217898457447252</v>
      </c>
      <c r="K67" s="20">
        <f t="shared" si="2"/>
        <v>2011</v>
      </c>
      <c r="M67" s="21">
        <f t="shared" si="3"/>
        <v>2.4849066497880004</v>
      </c>
      <c r="N67" s="21">
        <f t="shared" si="4"/>
        <v>3.0065682743355979</v>
      </c>
    </row>
    <row r="68" spans="1:14" x14ac:dyDescent="0.2">
      <c r="A68" s="25">
        <f>Greenfield!A68</f>
        <v>899</v>
      </c>
      <c r="B68" s="17" t="str">
        <f>Greenfield!B68</f>
        <v>GF</v>
      </c>
      <c r="C68" s="18">
        <f>Greenfield!C68</f>
        <v>25</v>
      </c>
      <c r="D68" s="19">
        <f>Greenfield!D68</f>
        <v>15.17251837286627</v>
      </c>
      <c r="E68" s="30">
        <f>Greenfield!E68</f>
        <v>2010</v>
      </c>
      <c r="F68" s="18"/>
      <c r="G68" s="19"/>
      <c r="H68" s="20"/>
      <c r="I68" s="18">
        <f t="shared" si="0"/>
        <v>25</v>
      </c>
      <c r="J68" s="19">
        <f t="shared" si="1"/>
        <v>15.17251837286627</v>
      </c>
      <c r="K68" s="20">
        <f t="shared" si="2"/>
        <v>2010</v>
      </c>
      <c r="M68" s="21">
        <f t="shared" si="3"/>
        <v>3.2188758248682006</v>
      </c>
      <c r="N68" s="21">
        <f t="shared" si="4"/>
        <v>2.7194857896591729</v>
      </c>
    </row>
    <row r="69" spans="1:14" x14ac:dyDescent="0.2">
      <c r="A69" s="25">
        <f>Greenfield!A69</f>
        <v>1191</v>
      </c>
      <c r="B69" s="17" t="str">
        <f>Greenfield!B69</f>
        <v>GF</v>
      </c>
      <c r="C69" s="18">
        <f>Greenfield!C69</f>
        <v>11</v>
      </c>
      <c r="D69" s="19">
        <f>Greenfield!D69</f>
        <v>12.628076471206382</v>
      </c>
      <c r="E69" s="30">
        <f>Greenfield!E69</f>
        <v>2011</v>
      </c>
      <c r="F69" s="18"/>
      <c r="G69" s="19"/>
      <c r="H69" s="20"/>
      <c r="I69" s="18">
        <f t="shared" si="0"/>
        <v>11</v>
      </c>
      <c r="J69" s="19">
        <f t="shared" si="1"/>
        <v>12.628076471206382</v>
      </c>
      <c r="K69" s="20">
        <f t="shared" si="2"/>
        <v>2011</v>
      </c>
      <c r="M69" s="21">
        <f t="shared" si="3"/>
        <v>2.3978952727983707</v>
      </c>
      <c r="N69" s="21">
        <f t="shared" si="4"/>
        <v>2.5359226263636927</v>
      </c>
    </row>
    <row r="70" spans="1:14" x14ac:dyDescent="0.2">
      <c r="A70" s="25">
        <f>Greenfield!A70</f>
        <v>1115</v>
      </c>
      <c r="B70" s="17" t="str">
        <f>Greenfield!B70</f>
        <v>GF</v>
      </c>
      <c r="C70" s="18">
        <f>Greenfield!C70</f>
        <v>10</v>
      </c>
      <c r="D70" s="19">
        <f>Greenfield!D70</f>
        <v>24.362790290493837</v>
      </c>
      <c r="E70" s="30">
        <f>Greenfield!E70</f>
        <v>2011</v>
      </c>
      <c r="F70" s="18"/>
      <c r="G70" s="19"/>
      <c r="H70" s="20"/>
      <c r="I70" s="18">
        <f t="shared" si="0"/>
        <v>10</v>
      </c>
      <c r="J70" s="19">
        <f t="shared" si="1"/>
        <v>24.362790290493837</v>
      </c>
      <c r="K70" s="20">
        <f t="shared" si="2"/>
        <v>2011</v>
      </c>
      <c r="M70" s="21">
        <f t="shared" si="3"/>
        <v>2.3025850929940459</v>
      </c>
      <c r="N70" s="21">
        <f t="shared" si="4"/>
        <v>3.1930569802267783</v>
      </c>
    </row>
    <row r="71" spans="1:14" x14ac:dyDescent="0.2">
      <c r="A71" s="25">
        <f>Greenfield!A71</f>
        <v>1053</v>
      </c>
      <c r="B71" s="17" t="str">
        <f>Greenfield!B71</f>
        <v>GF</v>
      </c>
      <c r="C71" s="18">
        <f>Greenfield!C71</f>
        <v>9</v>
      </c>
      <c r="D71" s="19">
        <f>Greenfield!D71</f>
        <v>14.71443826778331</v>
      </c>
      <c r="E71" s="30">
        <f>Greenfield!E71</f>
        <v>2011</v>
      </c>
      <c r="F71" s="18"/>
      <c r="G71" s="19"/>
      <c r="H71" s="20"/>
      <c r="I71" s="18">
        <f t="shared" si="0"/>
        <v>9</v>
      </c>
      <c r="J71" s="19">
        <f t="shared" si="1"/>
        <v>14.71443826778331</v>
      </c>
      <c r="K71" s="20">
        <f t="shared" si="2"/>
        <v>2011</v>
      </c>
      <c r="M71" s="21">
        <f t="shared" si="3"/>
        <v>2.1972245773362196</v>
      </c>
      <c r="N71" s="21">
        <f t="shared" si="4"/>
        <v>2.6888292068340069</v>
      </c>
    </row>
    <row r="72" spans="1:14" x14ac:dyDescent="0.2">
      <c r="A72" s="25">
        <f>Greenfield!A72</f>
        <v>864</v>
      </c>
      <c r="B72" s="17" t="str">
        <f>Greenfield!B72</f>
        <v>GF</v>
      </c>
      <c r="C72" s="18">
        <f>Greenfield!C72</f>
        <v>25</v>
      </c>
      <c r="D72" s="19">
        <f>Greenfield!D72</f>
        <v>9.825778201045452</v>
      </c>
      <c r="E72" s="30">
        <f>Greenfield!E72</f>
        <v>2007</v>
      </c>
      <c r="F72" s="18"/>
      <c r="G72" s="19"/>
      <c r="H72" s="20"/>
      <c r="I72" s="18">
        <f t="shared" ref="I72:I117" si="5">C72+F72</f>
        <v>25</v>
      </c>
      <c r="J72" s="19">
        <f t="shared" ref="J72:J117" si="6">D72+G72</f>
        <v>9.825778201045452</v>
      </c>
      <c r="K72" s="20">
        <f t="shared" ref="K72:K117" si="7">MAX(E72,H72)</f>
        <v>2007</v>
      </c>
      <c r="M72" s="21">
        <f t="shared" ref="M72:M117" si="8">LN(I72)</f>
        <v>3.2188758248682006</v>
      </c>
      <c r="N72" s="21">
        <f t="shared" ref="N72:N117" si="9">LN(J72)</f>
        <v>2.2850093608319559</v>
      </c>
    </row>
    <row r="73" spans="1:14" x14ac:dyDescent="0.2">
      <c r="A73" s="25">
        <f>Greenfield!A73</f>
        <v>834</v>
      </c>
      <c r="B73" s="17" t="str">
        <f>Greenfield!B73</f>
        <v>GF</v>
      </c>
      <c r="C73" s="18">
        <f>Greenfield!C73</f>
        <v>45</v>
      </c>
      <c r="D73" s="19">
        <f>Greenfield!D73</f>
        <v>25.798393978216257</v>
      </c>
      <c r="E73" s="30">
        <f>Greenfield!E73</f>
        <v>2010</v>
      </c>
      <c r="F73" s="18"/>
      <c r="G73" s="19"/>
      <c r="H73" s="20"/>
      <c r="I73" s="18">
        <f t="shared" si="5"/>
        <v>45</v>
      </c>
      <c r="J73" s="19">
        <f t="shared" si="6"/>
        <v>25.798393978216257</v>
      </c>
      <c r="K73" s="20">
        <f t="shared" si="7"/>
        <v>2010</v>
      </c>
      <c r="M73" s="21">
        <f t="shared" si="8"/>
        <v>3.8066624897703196</v>
      </c>
      <c r="N73" s="21">
        <f t="shared" si="9"/>
        <v>3.2503122410836816</v>
      </c>
    </row>
    <row r="74" spans="1:14" x14ac:dyDescent="0.2">
      <c r="A74" s="25">
        <f>Greenfield!A74</f>
        <v>722</v>
      </c>
      <c r="B74" s="17" t="str">
        <f>Greenfield!B74</f>
        <v>GF</v>
      </c>
      <c r="C74" s="18">
        <f>Greenfield!C74</f>
        <v>10.5</v>
      </c>
      <c r="D74" s="19">
        <f>Greenfield!D74</f>
        <v>13.501544643115857</v>
      </c>
      <c r="E74" s="30">
        <f>Greenfield!E74</f>
        <v>2010</v>
      </c>
      <c r="F74" s="18"/>
      <c r="G74" s="19"/>
      <c r="H74" s="20"/>
      <c r="I74" s="18">
        <f t="shared" si="5"/>
        <v>10.5</v>
      </c>
      <c r="J74" s="19">
        <f t="shared" si="6"/>
        <v>13.501544643115857</v>
      </c>
      <c r="K74" s="20">
        <f t="shared" si="7"/>
        <v>2010</v>
      </c>
      <c r="M74" s="21">
        <f t="shared" si="8"/>
        <v>2.3513752571634776</v>
      </c>
      <c r="N74" s="21">
        <f t="shared" si="9"/>
        <v>2.6028040969077249</v>
      </c>
    </row>
    <row r="75" spans="1:14" x14ac:dyDescent="0.2">
      <c r="A75" s="25">
        <f>Greenfield!A75</f>
        <v>927</v>
      </c>
      <c r="B75" s="17" t="str">
        <f>Greenfield!B75</f>
        <v>GF</v>
      </c>
      <c r="C75" s="18">
        <f>Greenfield!C75</f>
        <v>60</v>
      </c>
      <c r="D75" s="19">
        <f>Greenfield!D75</f>
        <v>25.887106037100622</v>
      </c>
      <c r="E75" s="30">
        <f>Greenfield!E75</f>
        <v>2011</v>
      </c>
      <c r="F75" s="18"/>
      <c r="G75" s="19"/>
      <c r="H75" s="20"/>
      <c r="I75" s="18">
        <f t="shared" si="5"/>
        <v>60</v>
      </c>
      <c r="J75" s="19">
        <f t="shared" si="6"/>
        <v>25.887106037100622</v>
      </c>
      <c r="K75" s="20">
        <f t="shared" si="7"/>
        <v>2011</v>
      </c>
      <c r="M75" s="21">
        <f t="shared" si="8"/>
        <v>4.0943445622221004</v>
      </c>
      <c r="N75" s="21">
        <f t="shared" si="9"/>
        <v>3.2537450083384241</v>
      </c>
    </row>
    <row r="76" spans="1:14" x14ac:dyDescent="0.2">
      <c r="A76" s="25">
        <f>Greenfield!A76</f>
        <v>1068</v>
      </c>
      <c r="B76" s="17" t="str">
        <f>Greenfield!B76</f>
        <v>GF</v>
      </c>
      <c r="C76" s="18">
        <f>Greenfield!C76</f>
        <v>11.2</v>
      </c>
      <c r="D76" s="19">
        <f>Greenfield!D76</f>
        <v>26.918199168374588</v>
      </c>
      <c r="E76" s="30">
        <f>Greenfield!E76</f>
        <v>2011</v>
      </c>
      <c r="F76" s="18"/>
      <c r="G76" s="19"/>
      <c r="H76" s="20"/>
      <c r="I76" s="18">
        <f t="shared" si="5"/>
        <v>11.2</v>
      </c>
      <c r="J76" s="19">
        <f t="shared" si="6"/>
        <v>26.918199168374588</v>
      </c>
      <c r="K76" s="20">
        <f t="shared" si="7"/>
        <v>2011</v>
      </c>
      <c r="M76" s="21">
        <f t="shared" si="8"/>
        <v>2.4159137783010487</v>
      </c>
      <c r="N76" s="21">
        <f t="shared" si="9"/>
        <v>3.2928026068618901</v>
      </c>
    </row>
    <row r="77" spans="1:14" x14ac:dyDescent="0.2">
      <c r="A77" s="25">
        <f>Greenfield!A77</f>
        <v>506</v>
      </c>
      <c r="B77" s="17" t="str">
        <f>Greenfield!B77</f>
        <v>GF</v>
      </c>
      <c r="C77" s="18">
        <f>Greenfield!C77</f>
        <v>20</v>
      </c>
      <c r="D77" s="19">
        <f>Greenfield!D77</f>
        <v>13.969254162639503</v>
      </c>
      <c r="E77" s="30">
        <f>Greenfield!E77</f>
        <v>2003</v>
      </c>
      <c r="F77" s="18"/>
      <c r="G77" s="19"/>
      <c r="H77" s="20"/>
      <c r="I77" s="18">
        <f t="shared" si="5"/>
        <v>20</v>
      </c>
      <c r="J77" s="19">
        <f t="shared" si="6"/>
        <v>13.969254162639503</v>
      </c>
      <c r="K77" s="20">
        <f t="shared" si="7"/>
        <v>2003</v>
      </c>
      <c r="M77" s="21">
        <f t="shared" si="8"/>
        <v>2.9957322735539909</v>
      </c>
      <c r="N77" s="21">
        <f t="shared" si="9"/>
        <v>2.6368587833425443</v>
      </c>
    </row>
    <row r="78" spans="1:14" x14ac:dyDescent="0.2">
      <c r="A78" s="25">
        <f>Greenfield!A78</f>
        <v>456</v>
      </c>
      <c r="B78" s="17" t="str">
        <f>Greenfield!B78</f>
        <v>GF</v>
      </c>
      <c r="C78" s="18">
        <f>Greenfield!C78</f>
        <v>16</v>
      </c>
      <c r="D78" s="19">
        <f>Greenfield!D78</f>
        <v>17.647037003819346</v>
      </c>
      <c r="E78" s="30">
        <f>Greenfield!E78</f>
        <v>2007</v>
      </c>
      <c r="F78" s="18"/>
      <c r="G78" s="19"/>
      <c r="H78" s="20"/>
      <c r="I78" s="18">
        <f t="shared" si="5"/>
        <v>16</v>
      </c>
      <c r="J78" s="19">
        <f t="shared" si="6"/>
        <v>17.647037003819346</v>
      </c>
      <c r="K78" s="20">
        <f t="shared" si="7"/>
        <v>2007</v>
      </c>
      <c r="M78" s="21">
        <f t="shared" si="8"/>
        <v>2.7725887222397811</v>
      </c>
      <c r="N78" s="21">
        <f t="shared" si="9"/>
        <v>2.8705678941489836</v>
      </c>
    </row>
    <row r="79" spans="1:14" x14ac:dyDescent="0.2">
      <c r="A79" s="25">
        <f>Greenfield!A79</f>
        <v>130</v>
      </c>
      <c r="B79" s="17" t="str">
        <f>Greenfield!B79</f>
        <v>GF</v>
      </c>
      <c r="C79" s="18">
        <f>Greenfield!C79</f>
        <v>18</v>
      </c>
      <c r="D79" s="19">
        <f>Greenfield!D79</f>
        <v>8.4369732753123952</v>
      </c>
      <c r="E79" s="30">
        <f>Greenfield!E79</f>
        <v>2001</v>
      </c>
      <c r="F79" s="18"/>
      <c r="G79" s="19"/>
      <c r="H79" s="20"/>
      <c r="I79" s="18">
        <f t="shared" si="5"/>
        <v>18</v>
      </c>
      <c r="J79" s="19">
        <f t="shared" si="6"/>
        <v>8.4369732753123952</v>
      </c>
      <c r="K79" s="20">
        <f t="shared" si="7"/>
        <v>2001</v>
      </c>
      <c r="M79" s="21">
        <f t="shared" si="8"/>
        <v>2.8903717578961645</v>
      </c>
      <c r="N79" s="21">
        <f t="shared" si="9"/>
        <v>2.1326236276203829</v>
      </c>
    </row>
    <row r="80" spans="1:14" x14ac:dyDescent="0.2">
      <c r="A80" s="25">
        <f>Greenfield!A80</f>
        <v>308</v>
      </c>
      <c r="B80" s="17" t="str">
        <f>Greenfield!B80</f>
        <v>GF</v>
      </c>
      <c r="C80" s="18">
        <f>Greenfield!C80</f>
        <v>10</v>
      </c>
      <c r="D80" s="19">
        <f>Greenfield!D80</f>
        <v>8.8753762889293544</v>
      </c>
      <c r="E80" s="30">
        <f>Greenfield!E80</f>
        <v>2003</v>
      </c>
      <c r="F80" s="18"/>
      <c r="G80" s="19"/>
      <c r="H80" s="20"/>
      <c r="I80" s="18">
        <f t="shared" si="5"/>
        <v>10</v>
      </c>
      <c r="J80" s="19">
        <f t="shared" si="6"/>
        <v>8.8753762889293544</v>
      </c>
      <c r="K80" s="20">
        <f t="shared" si="7"/>
        <v>2003</v>
      </c>
      <c r="M80" s="21">
        <f t="shared" si="8"/>
        <v>2.3025850929940459</v>
      </c>
      <c r="N80" s="21">
        <f t="shared" si="9"/>
        <v>2.1832807332152813</v>
      </c>
    </row>
    <row r="81" spans="1:14" x14ac:dyDescent="0.2">
      <c r="A81" s="25">
        <f>Greenfield!A81</f>
        <v>829</v>
      </c>
      <c r="B81" s="17" t="str">
        <f>Greenfield!B81</f>
        <v>GF</v>
      </c>
      <c r="C81" s="18">
        <f>Greenfield!C81</f>
        <v>20</v>
      </c>
      <c r="D81" s="19">
        <f>Greenfield!D81</f>
        <v>27.761077137379147</v>
      </c>
      <c r="E81" s="30">
        <f>Greenfield!E81</f>
        <v>2011</v>
      </c>
      <c r="F81" s="18"/>
      <c r="G81" s="19"/>
      <c r="H81" s="20"/>
      <c r="I81" s="18">
        <f t="shared" si="5"/>
        <v>20</v>
      </c>
      <c r="J81" s="19">
        <f t="shared" si="6"/>
        <v>27.761077137379147</v>
      </c>
      <c r="K81" s="20">
        <f t="shared" si="7"/>
        <v>2011</v>
      </c>
      <c r="M81" s="21">
        <f t="shared" si="8"/>
        <v>2.9957322735539909</v>
      </c>
      <c r="N81" s="21">
        <f t="shared" si="9"/>
        <v>3.3236349366646221</v>
      </c>
    </row>
    <row r="82" spans="1:14" x14ac:dyDescent="0.2">
      <c r="A82" s="25">
        <f>Greenfield!A82</f>
        <v>425</v>
      </c>
      <c r="B82" s="17" t="str">
        <f>Greenfield!B82</f>
        <v>GF</v>
      </c>
      <c r="C82" s="18">
        <f>Greenfield!C82</f>
        <v>17</v>
      </c>
      <c r="D82" s="19">
        <f>Greenfield!D82</f>
        <v>11.725448588458148</v>
      </c>
      <c r="E82" s="30">
        <f>Greenfield!E82</f>
        <v>2006</v>
      </c>
      <c r="F82" s="18"/>
      <c r="G82" s="19"/>
      <c r="H82" s="20"/>
      <c r="I82" s="18">
        <f t="shared" si="5"/>
        <v>17</v>
      </c>
      <c r="J82" s="19">
        <f t="shared" si="6"/>
        <v>11.725448588458148</v>
      </c>
      <c r="K82" s="20">
        <f t="shared" si="7"/>
        <v>2006</v>
      </c>
      <c r="M82" s="21">
        <f t="shared" si="8"/>
        <v>2.8332133440562162</v>
      </c>
      <c r="N82" s="21">
        <f t="shared" si="9"/>
        <v>2.4617615727440327</v>
      </c>
    </row>
    <row r="83" spans="1:14" x14ac:dyDescent="0.2">
      <c r="A83" s="25">
        <f>Greenfield!A83</f>
        <v>333</v>
      </c>
      <c r="B83" s="17" t="str">
        <f>Greenfield!B83</f>
        <v>GF</v>
      </c>
      <c r="C83" s="18">
        <f>Greenfield!C83</f>
        <v>12</v>
      </c>
      <c r="D83" s="19">
        <f>Greenfield!D83</f>
        <v>7.5607136656563343</v>
      </c>
      <c r="E83" s="30">
        <f>Greenfield!E83</f>
        <v>2003</v>
      </c>
      <c r="F83" s="18"/>
      <c r="G83" s="19"/>
      <c r="H83" s="20"/>
      <c r="I83" s="18">
        <f t="shared" si="5"/>
        <v>12</v>
      </c>
      <c r="J83" s="19">
        <f t="shared" si="6"/>
        <v>7.5607136656563343</v>
      </c>
      <c r="K83" s="20">
        <f t="shared" si="7"/>
        <v>2003</v>
      </c>
      <c r="M83" s="21">
        <f t="shared" si="8"/>
        <v>2.4849066497880004</v>
      </c>
      <c r="N83" s="21">
        <f t="shared" si="9"/>
        <v>2.022965585955113</v>
      </c>
    </row>
    <row r="84" spans="1:14" x14ac:dyDescent="0.2">
      <c r="A84" s="25">
        <f>Greenfield!A84</f>
        <v>769</v>
      </c>
      <c r="B84" s="17" t="str">
        <f>Greenfield!B84</f>
        <v>GF</v>
      </c>
      <c r="C84" s="18">
        <f>Greenfield!C84</f>
        <v>40</v>
      </c>
      <c r="D84" s="19">
        <f>Greenfield!D84</f>
        <v>26.381292343151443</v>
      </c>
      <c r="E84" s="30">
        <f>Greenfield!E84</f>
        <v>2007</v>
      </c>
      <c r="F84" s="18"/>
      <c r="G84" s="19"/>
      <c r="H84" s="20"/>
      <c r="I84" s="18">
        <f t="shared" si="5"/>
        <v>40</v>
      </c>
      <c r="J84" s="19">
        <f t="shared" si="6"/>
        <v>26.381292343151443</v>
      </c>
      <c r="K84" s="20">
        <f t="shared" si="7"/>
        <v>2007</v>
      </c>
      <c r="M84" s="21">
        <f t="shared" si="8"/>
        <v>3.6888794541139363</v>
      </c>
      <c r="N84" s="21">
        <f t="shared" si="9"/>
        <v>3.2726551355945839</v>
      </c>
    </row>
    <row r="85" spans="1:14" x14ac:dyDescent="0.2">
      <c r="A85" s="25">
        <f>Greenfield!A85</f>
        <v>948</v>
      </c>
      <c r="B85" s="17" t="str">
        <f>Greenfield!B85</f>
        <v>GF</v>
      </c>
      <c r="C85" s="18">
        <f>Greenfield!C85</f>
        <v>57</v>
      </c>
      <c r="D85" s="19">
        <f>Greenfield!D85</f>
        <v>12.653662771089085</v>
      </c>
      <c r="E85" s="30">
        <f>Greenfield!E85</f>
        <v>2014</v>
      </c>
      <c r="F85" s="18"/>
      <c r="G85" s="19"/>
      <c r="H85" s="20"/>
      <c r="I85" s="18">
        <f t="shared" si="5"/>
        <v>57</v>
      </c>
      <c r="J85" s="19">
        <f t="shared" si="6"/>
        <v>12.653662771089085</v>
      </c>
      <c r="K85" s="20">
        <f t="shared" si="7"/>
        <v>2014</v>
      </c>
      <c r="M85" s="21">
        <f t="shared" si="8"/>
        <v>4.0430512678345503</v>
      </c>
      <c r="N85" s="21">
        <f t="shared" si="9"/>
        <v>2.5379467203845181</v>
      </c>
    </row>
    <row r="86" spans="1:14" x14ac:dyDescent="0.2">
      <c r="A86" s="25">
        <f>Greenfield!A86</f>
        <v>1128</v>
      </c>
      <c r="B86" s="17" t="str">
        <f>Greenfield!B86</f>
        <v>GF</v>
      </c>
      <c r="C86" s="18">
        <f>Greenfield!C86</f>
        <v>45</v>
      </c>
      <c r="D86" s="19">
        <f>Greenfield!D86</f>
        <v>63.556235718349399</v>
      </c>
      <c r="E86" s="30">
        <f>Greenfield!E86</f>
        <v>2013</v>
      </c>
      <c r="F86" s="18"/>
      <c r="G86" s="19"/>
      <c r="H86" s="20"/>
      <c r="I86" s="18">
        <f t="shared" si="5"/>
        <v>45</v>
      </c>
      <c r="J86" s="19">
        <f t="shared" si="6"/>
        <v>63.556235718349399</v>
      </c>
      <c r="K86" s="20">
        <f t="shared" si="7"/>
        <v>2013</v>
      </c>
      <c r="M86" s="21">
        <f t="shared" si="8"/>
        <v>3.8066624897703196</v>
      </c>
      <c r="N86" s="21">
        <f t="shared" si="9"/>
        <v>4.1519251158484547</v>
      </c>
    </row>
    <row r="87" spans="1:14" x14ac:dyDescent="0.2">
      <c r="A87" s="25">
        <f>Greenfield!A87</f>
        <v>1214</v>
      </c>
      <c r="B87" s="17" t="str">
        <f>Greenfield!B87</f>
        <v>GF</v>
      </c>
      <c r="C87" s="18">
        <f>Greenfield!C87</f>
        <v>52</v>
      </c>
      <c r="D87" s="19">
        <f>Greenfield!D87</f>
        <v>22.631695273294461</v>
      </c>
      <c r="E87" s="30">
        <f>Greenfield!E87</f>
        <v>2013</v>
      </c>
      <c r="F87" s="18"/>
      <c r="G87" s="19"/>
      <c r="H87" s="20"/>
      <c r="I87" s="18">
        <f t="shared" si="5"/>
        <v>52</v>
      </c>
      <c r="J87" s="19">
        <f t="shared" si="6"/>
        <v>22.631695273294461</v>
      </c>
      <c r="K87" s="20">
        <f t="shared" si="7"/>
        <v>2013</v>
      </c>
      <c r="M87" s="21">
        <f t="shared" si="8"/>
        <v>3.9512437185814275</v>
      </c>
      <c r="N87" s="21">
        <f t="shared" si="9"/>
        <v>3.1193513694907367</v>
      </c>
    </row>
    <row r="88" spans="1:14" x14ac:dyDescent="0.2">
      <c r="A88" s="25">
        <f>Greenfield!A88</f>
        <v>1225</v>
      </c>
      <c r="B88" s="17" t="str">
        <f>Greenfield!B88</f>
        <v>GF</v>
      </c>
      <c r="C88" s="18">
        <f>Greenfield!C88</f>
        <v>20</v>
      </c>
      <c r="D88" s="19">
        <f>Greenfield!D88</f>
        <v>18.636695744675041</v>
      </c>
      <c r="E88" s="30">
        <f>Greenfield!E88</f>
        <v>2013</v>
      </c>
      <c r="F88" s="18"/>
      <c r="G88" s="19"/>
      <c r="H88" s="20"/>
      <c r="I88" s="18">
        <f t="shared" si="5"/>
        <v>20</v>
      </c>
      <c r="J88" s="19">
        <f t="shared" si="6"/>
        <v>18.636695744675041</v>
      </c>
      <c r="K88" s="20">
        <f t="shared" si="7"/>
        <v>2013</v>
      </c>
      <c r="M88" s="21">
        <f t="shared" si="8"/>
        <v>2.9957322735539909</v>
      </c>
      <c r="N88" s="21">
        <f t="shared" si="9"/>
        <v>2.925132526627233</v>
      </c>
    </row>
    <row r="89" spans="1:14" x14ac:dyDescent="0.2">
      <c r="A89" s="25">
        <f>Greenfield!A89</f>
        <v>1263</v>
      </c>
      <c r="B89" s="17" t="str">
        <f>Greenfield!B89</f>
        <v>GF</v>
      </c>
      <c r="C89" s="18">
        <f>Greenfield!C89</f>
        <v>8</v>
      </c>
      <c r="D89" s="19">
        <f>Greenfield!D89</f>
        <v>19.611656992669992</v>
      </c>
      <c r="E89" s="30">
        <f>Greenfield!E89</f>
        <v>2013</v>
      </c>
      <c r="F89" s="18"/>
      <c r="G89" s="19"/>
      <c r="H89" s="20"/>
      <c r="I89" s="18">
        <f t="shared" si="5"/>
        <v>8</v>
      </c>
      <c r="J89" s="19">
        <f t="shared" si="6"/>
        <v>19.611656992669992</v>
      </c>
      <c r="K89" s="20">
        <f t="shared" si="7"/>
        <v>2013</v>
      </c>
      <c r="M89" s="21">
        <f t="shared" si="8"/>
        <v>2.0794415416798357</v>
      </c>
      <c r="N89" s="21">
        <f t="shared" si="9"/>
        <v>2.9761241339700195</v>
      </c>
    </row>
    <row r="90" spans="1:14" x14ac:dyDescent="0.2">
      <c r="A90" s="25">
        <f>Greenfield!A90</f>
        <v>1309</v>
      </c>
      <c r="B90" s="17" t="str">
        <f>Greenfield!B90</f>
        <v>GF</v>
      </c>
      <c r="C90" s="18">
        <f>Greenfield!C90</f>
        <v>15</v>
      </c>
      <c r="D90" s="19">
        <f>Greenfield!D90</f>
        <v>16.109333942693336</v>
      </c>
      <c r="E90" s="30">
        <f>Greenfield!E90</f>
        <v>2013</v>
      </c>
      <c r="F90" s="18"/>
      <c r="G90" s="19"/>
      <c r="H90" s="20"/>
      <c r="I90" s="18">
        <f t="shared" si="5"/>
        <v>15</v>
      </c>
      <c r="J90" s="19">
        <f t="shared" si="6"/>
        <v>16.109333942693336</v>
      </c>
      <c r="K90" s="20">
        <f t="shared" si="7"/>
        <v>2013</v>
      </c>
      <c r="M90" s="21">
        <f t="shared" si="8"/>
        <v>2.7080502011022101</v>
      </c>
      <c r="N90" s="21">
        <f t="shared" si="9"/>
        <v>2.7793988519948485</v>
      </c>
    </row>
    <row r="91" spans="1:14" x14ac:dyDescent="0.2">
      <c r="A91" s="25">
        <f>Greenfield!A91</f>
        <v>1349</v>
      </c>
      <c r="B91" s="17" t="str">
        <f>Greenfield!B91</f>
        <v>GF</v>
      </c>
      <c r="C91" s="18">
        <f>Greenfield!C91</f>
        <v>34</v>
      </c>
      <c r="D91" s="19">
        <f>Greenfield!D91</f>
        <v>8.9679522578977586</v>
      </c>
      <c r="E91" s="30">
        <f>Greenfield!E91</f>
        <v>2013</v>
      </c>
      <c r="F91" s="18"/>
      <c r="G91" s="19"/>
      <c r="H91" s="20"/>
      <c r="I91" s="18">
        <f t="shared" si="5"/>
        <v>34</v>
      </c>
      <c r="J91" s="19">
        <f t="shared" si="6"/>
        <v>8.9679522578977586</v>
      </c>
      <c r="K91" s="20">
        <f t="shared" si="7"/>
        <v>2013</v>
      </c>
      <c r="M91" s="21">
        <f t="shared" si="8"/>
        <v>3.5263605246161616</v>
      </c>
      <c r="N91" s="21">
        <f t="shared" si="9"/>
        <v>2.193657362149283</v>
      </c>
    </row>
    <row r="92" spans="1:14" x14ac:dyDescent="0.2">
      <c r="A92" s="25">
        <f>Greenfield!A92</f>
        <v>1358</v>
      </c>
      <c r="B92" s="17" t="str">
        <f>Greenfield!B92</f>
        <v>GF</v>
      </c>
      <c r="C92" s="18">
        <f>Greenfield!C92</f>
        <v>27</v>
      </c>
      <c r="D92" s="19">
        <f>Greenfield!D92</f>
        <v>13.07265503282744</v>
      </c>
      <c r="E92" s="30">
        <f>Greenfield!E92</f>
        <v>2013</v>
      </c>
      <c r="F92" s="18"/>
      <c r="G92" s="19"/>
      <c r="H92" s="20"/>
      <c r="I92" s="18">
        <f t="shared" si="5"/>
        <v>27</v>
      </c>
      <c r="J92" s="19">
        <f t="shared" si="6"/>
        <v>13.07265503282744</v>
      </c>
      <c r="K92" s="20">
        <f t="shared" si="7"/>
        <v>2013</v>
      </c>
      <c r="M92" s="21">
        <f t="shared" si="8"/>
        <v>3.2958368660043291</v>
      </c>
      <c r="N92" s="21">
        <f t="shared" si="9"/>
        <v>2.5705226464726247</v>
      </c>
    </row>
    <row r="93" spans="1:14" x14ac:dyDescent="0.2">
      <c r="A93" s="25">
        <f>Greenfield!A93</f>
        <v>1404</v>
      </c>
      <c r="B93" s="17" t="str">
        <f>Greenfield!B93</f>
        <v>GF</v>
      </c>
      <c r="C93" s="18">
        <f>Greenfield!C93</f>
        <v>35</v>
      </c>
      <c r="D93" s="19">
        <f>Greenfield!D93</f>
        <v>35.276341164894447</v>
      </c>
      <c r="E93" s="30">
        <f>Greenfield!E93</f>
        <v>2013</v>
      </c>
      <c r="F93" s="18"/>
      <c r="G93" s="19"/>
      <c r="H93" s="20"/>
      <c r="I93" s="18">
        <f t="shared" si="5"/>
        <v>35</v>
      </c>
      <c r="J93" s="19">
        <f t="shared" si="6"/>
        <v>35.276341164894447</v>
      </c>
      <c r="K93" s="20">
        <f t="shared" si="7"/>
        <v>2013</v>
      </c>
      <c r="M93" s="21">
        <f t="shared" si="8"/>
        <v>3.5553480614894135</v>
      </c>
      <c r="N93" s="21">
        <f t="shared" si="9"/>
        <v>3.5632125172824458</v>
      </c>
    </row>
    <row r="94" spans="1:14" x14ac:dyDescent="0.2">
      <c r="A94" s="25">
        <f>Greenfield!A94</f>
        <v>1482</v>
      </c>
      <c r="B94" s="17" t="str">
        <f>Greenfield!B94</f>
        <v>GF</v>
      </c>
      <c r="C94" s="18">
        <f>Greenfield!C94</f>
        <v>18.399999999999999</v>
      </c>
      <c r="D94" s="19">
        <f>Greenfield!D94</f>
        <v>18.765793673519447</v>
      </c>
      <c r="E94" s="30">
        <f>Greenfield!E94</f>
        <v>2013</v>
      </c>
      <c r="F94" s="18"/>
      <c r="G94" s="19"/>
      <c r="H94" s="20"/>
      <c r="I94" s="18">
        <f t="shared" si="5"/>
        <v>18.399999999999999</v>
      </c>
      <c r="J94" s="19">
        <f t="shared" si="6"/>
        <v>18.765793673519447</v>
      </c>
      <c r="K94" s="20">
        <f t="shared" si="7"/>
        <v>2013</v>
      </c>
      <c r="M94" s="21">
        <f t="shared" si="8"/>
        <v>2.91235066461494</v>
      </c>
      <c r="N94" s="21">
        <f t="shared" si="9"/>
        <v>2.9320357271105943</v>
      </c>
    </row>
    <row r="95" spans="1:14" x14ac:dyDescent="0.2">
      <c r="A95" s="25">
        <f>Greenfield!A95</f>
        <v>1515</v>
      </c>
      <c r="B95" s="17" t="str">
        <f>Greenfield!B95</f>
        <v>GF</v>
      </c>
      <c r="C95" s="18">
        <f>Greenfield!C95</f>
        <v>7.2</v>
      </c>
      <c r="D95" s="19">
        <f>Greenfield!D95</f>
        <v>12.99271394051414</v>
      </c>
      <c r="E95" s="30">
        <f>Greenfield!E95</f>
        <v>2013</v>
      </c>
      <c r="F95" s="18"/>
      <c r="G95" s="19"/>
      <c r="H95" s="20"/>
      <c r="I95" s="18">
        <f t="shared" si="5"/>
        <v>7.2</v>
      </c>
      <c r="J95" s="19">
        <f t="shared" si="6"/>
        <v>12.99271394051414</v>
      </c>
      <c r="K95" s="20">
        <f t="shared" si="7"/>
        <v>2013</v>
      </c>
      <c r="M95" s="21">
        <f t="shared" si="8"/>
        <v>1.9740810260220096</v>
      </c>
      <c r="N95" s="21">
        <f t="shared" si="9"/>
        <v>2.5643887342273977</v>
      </c>
    </row>
    <row r="96" spans="1:14" x14ac:dyDescent="0.2">
      <c r="A96" s="25">
        <f>Greenfield!A96</f>
        <v>1618</v>
      </c>
      <c r="B96" s="17" t="str">
        <f>Greenfield!B96</f>
        <v>GF</v>
      </c>
      <c r="C96" s="18">
        <f>Greenfield!C96</f>
        <v>21</v>
      </c>
      <c r="D96" s="19">
        <f>Greenfield!D96</f>
        <v>15.965955598995766</v>
      </c>
      <c r="E96" s="30">
        <f>Greenfield!E96</f>
        <v>2016</v>
      </c>
      <c r="F96" s="18"/>
      <c r="G96" s="19"/>
      <c r="H96" s="20"/>
      <c r="I96" s="18">
        <f t="shared" si="5"/>
        <v>21</v>
      </c>
      <c r="J96" s="19">
        <f t="shared" si="6"/>
        <v>15.965955598995766</v>
      </c>
      <c r="K96" s="20">
        <f t="shared" si="7"/>
        <v>2016</v>
      </c>
      <c r="M96" s="21">
        <f t="shared" si="8"/>
        <v>3.044522437723423</v>
      </c>
      <c r="N96" s="21">
        <f t="shared" si="9"/>
        <v>2.7704586802474096</v>
      </c>
    </row>
    <row r="97" spans="1:14" x14ac:dyDescent="0.2">
      <c r="A97" s="25">
        <f>Greenfield!A97</f>
        <v>1634</v>
      </c>
      <c r="B97" s="17" t="str">
        <f>Greenfield!B97</f>
        <v>GF</v>
      </c>
      <c r="C97" s="18">
        <f>Greenfield!C97</f>
        <v>17.899999999999999</v>
      </c>
      <c r="D97" s="19">
        <f>Greenfield!D97</f>
        <v>17.172783979023848</v>
      </c>
      <c r="E97" s="30">
        <f>Greenfield!E97</f>
        <v>2015</v>
      </c>
      <c r="F97" s="18"/>
      <c r="G97" s="19"/>
      <c r="H97" s="20"/>
      <c r="I97" s="18">
        <f t="shared" si="5"/>
        <v>17.899999999999999</v>
      </c>
      <c r="J97" s="19">
        <f t="shared" si="6"/>
        <v>17.172783979023848</v>
      </c>
      <c r="K97" s="20">
        <f t="shared" si="7"/>
        <v>2015</v>
      </c>
      <c r="M97" s="21">
        <f t="shared" si="8"/>
        <v>2.884800712846709</v>
      </c>
      <c r="N97" s="21">
        <f t="shared" si="9"/>
        <v>2.8433258038172586</v>
      </c>
    </row>
    <row r="98" spans="1:14" x14ac:dyDescent="0.2">
      <c r="A98" s="25">
        <f>Greenfield!A98</f>
        <v>1258</v>
      </c>
      <c r="B98" s="17" t="str">
        <f>Greenfield!B98</f>
        <v>GF</v>
      </c>
      <c r="C98" s="18">
        <f>Greenfield!C98</f>
        <v>46</v>
      </c>
      <c r="D98" s="19">
        <f>Greenfield!D98</f>
        <v>53.518330212347877</v>
      </c>
      <c r="E98" s="30">
        <f>Greenfield!E98</f>
        <v>2017</v>
      </c>
      <c r="F98" s="18"/>
      <c r="G98" s="19"/>
      <c r="H98" s="20"/>
      <c r="I98" s="18">
        <f t="shared" si="5"/>
        <v>46</v>
      </c>
      <c r="J98" s="19">
        <f t="shared" si="6"/>
        <v>53.518330212347877</v>
      </c>
      <c r="K98" s="20">
        <f t="shared" si="7"/>
        <v>2017</v>
      </c>
      <c r="M98" s="21">
        <f t="shared" si="8"/>
        <v>3.8286413964890951</v>
      </c>
      <c r="N98" s="21">
        <f t="shared" si="9"/>
        <v>3.98002421601241</v>
      </c>
    </row>
    <row r="99" spans="1:14" x14ac:dyDescent="0.2">
      <c r="A99" s="25">
        <f>Greenfield!A99</f>
        <v>1284</v>
      </c>
      <c r="B99" s="17" t="str">
        <f>Greenfield!B99</f>
        <v>GF</v>
      </c>
      <c r="C99" s="18">
        <f>Greenfield!C99</f>
        <v>24.1</v>
      </c>
      <c r="D99" s="19">
        <f>Greenfield!D99</f>
        <v>7.0843108002972475</v>
      </c>
      <c r="E99" s="30">
        <f>Greenfield!E99</f>
        <v>2013</v>
      </c>
      <c r="F99" s="18"/>
      <c r="G99" s="19"/>
      <c r="H99" s="20"/>
      <c r="I99" s="18">
        <f t="shared" si="5"/>
        <v>24.1</v>
      </c>
      <c r="J99" s="19">
        <f t="shared" si="6"/>
        <v>7.0843108002972475</v>
      </c>
      <c r="K99" s="20">
        <f t="shared" si="7"/>
        <v>2013</v>
      </c>
      <c r="M99" s="21">
        <f t="shared" si="8"/>
        <v>3.1822118404966093</v>
      </c>
      <c r="N99" s="21">
        <f t="shared" si="9"/>
        <v>1.9578825925179175</v>
      </c>
    </row>
    <row r="100" spans="1:14" x14ac:dyDescent="0.2">
      <c r="A100" s="25" t="str">
        <f>Greenfield!A100</f>
        <v>Pre-01</v>
      </c>
      <c r="B100" s="17" t="str">
        <f>Greenfield!B100</f>
        <v>GF</v>
      </c>
      <c r="C100" s="18">
        <f>Greenfield!C100</f>
        <v>2.2000000000000002</v>
      </c>
      <c r="D100" s="19">
        <f>Greenfield!D100</f>
        <v>2.4933711786255444</v>
      </c>
      <c r="E100" s="30">
        <f>Greenfield!E100</f>
        <v>1990</v>
      </c>
      <c r="F100" s="18"/>
      <c r="G100" s="19"/>
      <c r="H100" s="20"/>
      <c r="I100" s="18">
        <f t="shared" si="5"/>
        <v>2.2000000000000002</v>
      </c>
      <c r="J100" s="19">
        <f t="shared" si="6"/>
        <v>2.4933711786255444</v>
      </c>
      <c r="K100" s="20">
        <f t="shared" si="7"/>
        <v>1990</v>
      </c>
      <c r="M100" s="21">
        <f t="shared" si="8"/>
        <v>0.78845736036427028</v>
      </c>
      <c r="N100" s="21">
        <f t="shared" si="9"/>
        <v>0.91363568179621524</v>
      </c>
    </row>
    <row r="101" spans="1:14" x14ac:dyDescent="0.2">
      <c r="A101" s="25" t="str">
        <f>Greenfield!A101</f>
        <v>Pre-02</v>
      </c>
      <c r="B101" s="17" t="str">
        <f>Greenfield!B101</f>
        <v>GF</v>
      </c>
      <c r="C101" s="18">
        <f>Greenfield!C101</f>
        <v>1.464</v>
      </c>
      <c r="D101" s="19">
        <f>Greenfield!D101</f>
        <v>1.4940223849019025</v>
      </c>
      <c r="E101" s="30">
        <f>Greenfield!E101</f>
        <v>1987</v>
      </c>
      <c r="F101" s="18"/>
      <c r="G101" s="19"/>
      <c r="H101" s="20"/>
      <c r="I101" s="18">
        <f t="shared" si="5"/>
        <v>1.464</v>
      </c>
      <c r="J101" s="19">
        <f t="shared" si="6"/>
        <v>1.4940223849019025</v>
      </c>
      <c r="K101" s="20">
        <f t="shared" si="7"/>
        <v>1987</v>
      </c>
      <c r="M101" s="21">
        <f t="shared" si="8"/>
        <v>0.38117241553911979</v>
      </c>
      <c r="N101" s="21">
        <f t="shared" si="9"/>
        <v>0.40147206979911648</v>
      </c>
    </row>
    <row r="102" spans="1:14" x14ac:dyDescent="0.2">
      <c r="A102" s="25" t="str">
        <f>Greenfield!A102</f>
        <v>Pre-03</v>
      </c>
      <c r="B102" s="17" t="str">
        <f>Greenfield!B102</f>
        <v>GF</v>
      </c>
      <c r="C102" s="18">
        <f>Greenfield!C102</f>
        <v>4.0750000000000002</v>
      </c>
      <c r="D102" s="19">
        <f>Greenfield!D102</f>
        <v>1.9369408873503524</v>
      </c>
      <c r="E102" s="30">
        <f>Greenfield!E102</f>
        <v>1990</v>
      </c>
      <c r="F102" s="18"/>
      <c r="G102" s="19"/>
      <c r="H102" s="20"/>
      <c r="I102" s="18">
        <f t="shared" si="5"/>
        <v>4.0750000000000002</v>
      </c>
      <c r="J102" s="19">
        <f t="shared" si="6"/>
        <v>1.9369408873503524</v>
      </c>
      <c r="K102" s="20">
        <f t="shared" si="7"/>
        <v>1990</v>
      </c>
      <c r="M102" s="21">
        <f t="shared" si="8"/>
        <v>1.4048707466928261</v>
      </c>
      <c r="N102" s="21">
        <f t="shared" si="9"/>
        <v>0.66110986632901214</v>
      </c>
    </row>
    <row r="103" spans="1:14" x14ac:dyDescent="0.2">
      <c r="A103" s="25" t="str">
        <f>Greenfield!A103</f>
        <v>Pre-04</v>
      </c>
      <c r="B103" s="17" t="str">
        <f>Greenfield!B103</f>
        <v>GF</v>
      </c>
      <c r="C103" s="18">
        <f>Greenfield!C103</f>
        <v>10</v>
      </c>
      <c r="D103" s="19">
        <f>Greenfield!D103</f>
        <v>8.526519330793306</v>
      </c>
      <c r="E103" s="30">
        <f>Greenfield!E103</f>
        <v>1991</v>
      </c>
      <c r="F103" s="18"/>
      <c r="G103" s="19"/>
      <c r="H103" s="20"/>
      <c r="I103" s="18">
        <f t="shared" si="5"/>
        <v>10</v>
      </c>
      <c r="J103" s="19">
        <f t="shared" si="6"/>
        <v>8.526519330793306</v>
      </c>
      <c r="K103" s="20">
        <f t="shared" si="7"/>
        <v>1991</v>
      </c>
      <c r="M103" s="21">
        <f t="shared" si="8"/>
        <v>2.3025850929940459</v>
      </c>
      <c r="N103" s="21">
        <f t="shared" si="9"/>
        <v>2.143181227911088</v>
      </c>
    </row>
    <row r="104" spans="1:14" x14ac:dyDescent="0.2">
      <c r="A104" s="25" t="str">
        <f>Greenfield!A104</f>
        <v>Pre-05</v>
      </c>
      <c r="B104" s="17" t="str">
        <f>Greenfield!B104</f>
        <v>GF</v>
      </c>
      <c r="C104" s="18">
        <f>Greenfield!C104</f>
        <v>4.8</v>
      </c>
      <c r="D104" s="19">
        <f>Greenfield!D104</f>
        <v>4.0521826998299986</v>
      </c>
      <c r="E104" s="30">
        <f>Greenfield!E104</f>
        <v>1988</v>
      </c>
      <c r="F104" s="18"/>
      <c r="G104" s="19"/>
      <c r="H104" s="20"/>
      <c r="I104" s="18">
        <f t="shared" si="5"/>
        <v>4.8</v>
      </c>
      <c r="J104" s="19">
        <f t="shared" si="6"/>
        <v>4.0521826998299986</v>
      </c>
      <c r="K104" s="20">
        <f t="shared" si="7"/>
        <v>1988</v>
      </c>
      <c r="M104" s="21">
        <f t="shared" si="8"/>
        <v>1.5686159179138452</v>
      </c>
      <c r="N104" s="21">
        <f t="shared" si="9"/>
        <v>1.3992556741730273</v>
      </c>
    </row>
    <row r="105" spans="1:14" x14ac:dyDescent="0.2">
      <c r="A105" s="25" t="str">
        <f>Greenfield!A105</f>
        <v>Pre-06</v>
      </c>
      <c r="B105" s="17" t="str">
        <f>Greenfield!B105</f>
        <v>GF</v>
      </c>
      <c r="C105" s="18">
        <f>Greenfield!C105</f>
        <v>5.0999999999999996</v>
      </c>
      <c r="D105" s="19">
        <f>Greenfield!D105</f>
        <v>9.6482174286466869</v>
      </c>
      <c r="E105" s="30">
        <f>Greenfield!E105</f>
        <v>1989</v>
      </c>
      <c r="F105" s="18"/>
      <c r="G105" s="19"/>
      <c r="H105" s="20"/>
      <c r="I105" s="18">
        <f t="shared" si="5"/>
        <v>5.0999999999999996</v>
      </c>
      <c r="J105" s="19">
        <f t="shared" si="6"/>
        <v>9.6482174286466869</v>
      </c>
      <c r="K105" s="20">
        <f t="shared" si="7"/>
        <v>1989</v>
      </c>
      <c r="M105" s="21">
        <f t="shared" si="8"/>
        <v>1.62924053973028</v>
      </c>
      <c r="N105" s="21">
        <f t="shared" si="9"/>
        <v>2.2667731758675744</v>
      </c>
    </row>
    <row r="106" spans="1:14" x14ac:dyDescent="0.2">
      <c r="A106" s="25" t="str">
        <f>Greenfield!A106</f>
        <v>Pre-07</v>
      </c>
      <c r="B106" s="17" t="str">
        <f>Greenfield!B106</f>
        <v>GF</v>
      </c>
      <c r="C106" s="18">
        <f>Greenfield!C106</f>
        <v>6.9</v>
      </c>
      <c r="D106" s="19">
        <f>Greenfield!D106</f>
        <v>5.029432718717521</v>
      </c>
      <c r="E106" s="30">
        <f>Greenfield!E106</f>
        <v>1997</v>
      </c>
      <c r="F106" s="18"/>
      <c r="G106" s="19"/>
      <c r="H106" s="20"/>
      <c r="I106" s="18">
        <f t="shared" si="5"/>
        <v>6.9</v>
      </c>
      <c r="J106" s="19">
        <f t="shared" si="6"/>
        <v>5.029432718717521</v>
      </c>
      <c r="K106" s="20">
        <f t="shared" si="7"/>
        <v>1997</v>
      </c>
      <c r="M106" s="21">
        <f t="shared" si="8"/>
        <v>1.9315214116032138</v>
      </c>
      <c r="N106" s="21">
        <f t="shared" si="9"/>
        <v>1.6153071981725313</v>
      </c>
    </row>
    <row r="107" spans="1:14" x14ac:dyDescent="0.2">
      <c r="A107" s="25" t="str">
        <f>Greenfield!A107</f>
        <v>Pre-08</v>
      </c>
      <c r="B107" s="17" t="str">
        <f>Greenfield!B107</f>
        <v>GF</v>
      </c>
      <c r="C107" s="18">
        <f>Greenfield!C107</f>
        <v>11.8</v>
      </c>
      <c r="D107" s="19">
        <f>Greenfield!D107</f>
        <v>6.372939235597177</v>
      </c>
      <c r="E107" s="30">
        <f>Greenfield!E107</f>
        <v>1987</v>
      </c>
      <c r="F107" s="18"/>
      <c r="G107" s="19"/>
      <c r="H107" s="20"/>
      <c r="I107" s="18">
        <f t="shared" si="5"/>
        <v>11.8</v>
      </c>
      <c r="J107" s="19">
        <f t="shared" si="6"/>
        <v>6.372939235597177</v>
      </c>
      <c r="K107" s="20">
        <f t="shared" si="7"/>
        <v>1987</v>
      </c>
      <c r="M107" s="21">
        <f t="shared" si="8"/>
        <v>2.4680995314716192</v>
      </c>
      <c r="N107" s="21">
        <f t="shared" si="9"/>
        <v>1.8520607816244041</v>
      </c>
    </row>
    <row r="108" spans="1:14" x14ac:dyDescent="0.2">
      <c r="A108" s="25" t="str">
        <f>Greenfield!A108</f>
        <v>Pre-09</v>
      </c>
      <c r="B108" s="17" t="str">
        <f>Greenfield!B108</f>
        <v>GF</v>
      </c>
      <c r="C108" s="18">
        <f>Greenfield!C108</f>
        <v>9.6999999999999993</v>
      </c>
      <c r="D108" s="19">
        <f>Greenfield!D108</f>
        <v>2.9443376052628771</v>
      </c>
      <c r="E108" s="30">
        <f>Greenfield!E108</f>
        <v>1997</v>
      </c>
      <c r="F108" s="18"/>
      <c r="G108" s="19"/>
      <c r="H108" s="20"/>
      <c r="I108" s="18">
        <f t="shared" si="5"/>
        <v>9.6999999999999993</v>
      </c>
      <c r="J108" s="19">
        <f t="shared" si="6"/>
        <v>2.9443376052628771</v>
      </c>
      <c r="K108" s="20">
        <f t="shared" si="7"/>
        <v>1997</v>
      </c>
      <c r="M108" s="21">
        <f t="shared" si="8"/>
        <v>2.2721258855093369</v>
      </c>
      <c r="N108" s="21">
        <f t="shared" si="9"/>
        <v>1.0798838699925799</v>
      </c>
    </row>
    <row r="109" spans="1:14" x14ac:dyDescent="0.2">
      <c r="A109" s="25" t="str">
        <f>Greenfield!A109</f>
        <v>Pre-10</v>
      </c>
      <c r="B109" s="17" t="str">
        <f>Greenfield!B109</f>
        <v>GF</v>
      </c>
      <c r="C109" s="18">
        <f>Greenfield!C109</f>
        <v>6.12</v>
      </c>
      <c r="D109" s="19">
        <f>Greenfield!D109</f>
        <v>13.481108575958453</v>
      </c>
      <c r="E109" s="30">
        <f>Greenfield!E109</f>
        <v>1990</v>
      </c>
      <c r="F109" s="18"/>
      <c r="G109" s="19"/>
      <c r="H109" s="20"/>
      <c r="I109" s="18">
        <f t="shared" si="5"/>
        <v>6.12</v>
      </c>
      <c r="J109" s="19">
        <f t="shared" si="6"/>
        <v>13.481108575958453</v>
      </c>
      <c r="K109" s="20">
        <f t="shared" si="7"/>
        <v>1990</v>
      </c>
      <c r="M109" s="21">
        <f t="shared" si="8"/>
        <v>1.8115620965242347</v>
      </c>
      <c r="N109" s="21">
        <f t="shared" si="9"/>
        <v>2.6012893406753403</v>
      </c>
    </row>
    <row r="110" spans="1:14" x14ac:dyDescent="0.2">
      <c r="A110" s="25" t="str">
        <f>Greenfield!A110</f>
        <v>Pre-11</v>
      </c>
      <c r="B110" s="17" t="str">
        <f>Greenfield!B110</f>
        <v>GF</v>
      </c>
      <c r="C110" s="18">
        <f>Greenfield!C110</f>
        <v>6.2671999999999999</v>
      </c>
      <c r="D110" s="19">
        <f>Greenfield!D110</f>
        <v>2.9102311039234974</v>
      </c>
      <c r="E110" s="30">
        <f>Greenfield!E110</f>
        <v>1987</v>
      </c>
      <c r="F110" s="18"/>
      <c r="G110" s="19"/>
      <c r="H110" s="20"/>
      <c r="I110" s="18">
        <f t="shared" si="5"/>
        <v>6.2671999999999999</v>
      </c>
      <c r="J110" s="19">
        <f t="shared" si="6"/>
        <v>2.9102311039234974</v>
      </c>
      <c r="K110" s="20">
        <f t="shared" si="7"/>
        <v>1987</v>
      </c>
      <c r="M110" s="21">
        <f t="shared" si="8"/>
        <v>1.8353296839294297</v>
      </c>
      <c r="N110" s="21">
        <f t="shared" si="9"/>
        <v>1.0682324951858668</v>
      </c>
    </row>
    <row r="111" spans="1:14" x14ac:dyDescent="0.2">
      <c r="A111" s="25" t="str">
        <f>Greenfield!A111</f>
        <v>Pre-12</v>
      </c>
      <c r="B111" s="17" t="str">
        <f>Greenfield!B111</f>
        <v>GF</v>
      </c>
      <c r="C111" s="18">
        <f>Greenfield!C111</f>
        <v>6.3659999999999997</v>
      </c>
      <c r="D111" s="19">
        <f>Greenfield!D111</f>
        <v>9.8906921245327926</v>
      </c>
      <c r="E111" s="30">
        <f>Greenfield!E111</f>
        <v>1993</v>
      </c>
      <c r="F111" s="18"/>
      <c r="G111" s="19"/>
      <c r="H111" s="20"/>
      <c r="I111" s="18">
        <f t="shared" si="5"/>
        <v>6.3659999999999997</v>
      </c>
      <c r="J111" s="19">
        <f t="shared" si="6"/>
        <v>9.8906921245327926</v>
      </c>
      <c r="K111" s="20">
        <f t="shared" si="7"/>
        <v>1993</v>
      </c>
      <c r="M111" s="21">
        <f t="shared" si="8"/>
        <v>1.850971328859901</v>
      </c>
      <c r="N111" s="21">
        <f t="shared" si="9"/>
        <v>2.2915941254440955</v>
      </c>
    </row>
    <row r="112" spans="1:14" x14ac:dyDescent="0.2">
      <c r="A112" s="25" t="str">
        <f>Greenfield!A112</f>
        <v>Pre-13</v>
      </c>
      <c r="B112" s="17" t="str">
        <f>Greenfield!B112</f>
        <v>GF</v>
      </c>
      <c r="C112" s="18">
        <f>Greenfield!C112</f>
        <v>8.5</v>
      </c>
      <c r="D112" s="19">
        <f>Greenfield!D112</f>
        <v>5.9446476688134462</v>
      </c>
      <c r="E112" s="30">
        <f>Greenfield!E112</f>
        <v>1990</v>
      </c>
      <c r="F112" s="18"/>
      <c r="G112" s="19"/>
      <c r="H112" s="20"/>
      <c r="I112" s="18">
        <f t="shared" si="5"/>
        <v>8.5</v>
      </c>
      <c r="J112" s="19">
        <f t="shared" si="6"/>
        <v>5.9446476688134462</v>
      </c>
      <c r="K112" s="20">
        <f t="shared" si="7"/>
        <v>1990</v>
      </c>
      <c r="M112" s="21">
        <f t="shared" si="8"/>
        <v>2.1400661634962708</v>
      </c>
      <c r="N112" s="21">
        <f t="shared" si="9"/>
        <v>1.7824912632583982</v>
      </c>
    </row>
    <row r="113" spans="1:14" x14ac:dyDescent="0.2">
      <c r="A113" s="25" t="str">
        <f>Greenfield!A113</f>
        <v>Pre-14</v>
      </c>
      <c r="B113" s="17" t="str">
        <f>Greenfield!B113</f>
        <v>GF</v>
      </c>
      <c r="C113" s="18">
        <f>Greenfield!C113</f>
        <v>46.55</v>
      </c>
      <c r="D113" s="19">
        <f>Greenfield!D113</f>
        <v>7.1936227504100643</v>
      </c>
      <c r="E113" s="30">
        <f>Greenfield!E113</f>
        <v>1991</v>
      </c>
      <c r="F113" s="18"/>
      <c r="G113" s="19"/>
      <c r="H113" s="20"/>
      <c r="I113" s="18">
        <f t="shared" si="5"/>
        <v>46.55</v>
      </c>
      <c r="J113" s="19">
        <f t="shared" si="6"/>
        <v>7.1936227504100643</v>
      </c>
      <c r="K113" s="20">
        <f t="shared" si="7"/>
        <v>1991</v>
      </c>
      <c r="M113" s="21">
        <f t="shared" si="8"/>
        <v>3.8405270037230759</v>
      </c>
      <c r="N113" s="21">
        <f t="shared" si="9"/>
        <v>1.9731949044224915</v>
      </c>
    </row>
    <row r="114" spans="1:14" x14ac:dyDescent="0.2">
      <c r="A114" s="25" t="str">
        <f>Greenfield!A114</f>
        <v>Pre-15</v>
      </c>
      <c r="B114" s="17" t="str">
        <f>Greenfield!B114</f>
        <v>GF</v>
      </c>
      <c r="C114" s="18">
        <f>Greenfield!C114</f>
        <v>56.8</v>
      </c>
      <c r="D114" s="19">
        <f>Greenfield!D114</f>
        <v>17.594466678549747</v>
      </c>
      <c r="E114" s="30">
        <f>Greenfield!E114</f>
        <v>1990</v>
      </c>
      <c r="F114" s="18"/>
      <c r="G114" s="19"/>
      <c r="H114" s="20"/>
      <c r="I114" s="18">
        <f t="shared" si="5"/>
        <v>56.8</v>
      </c>
      <c r="J114" s="19">
        <f t="shared" si="6"/>
        <v>17.594466678549747</v>
      </c>
      <c r="K114" s="20">
        <f t="shared" si="7"/>
        <v>1990</v>
      </c>
      <c r="M114" s="21">
        <f t="shared" si="8"/>
        <v>4.0395363257271057</v>
      </c>
      <c r="N114" s="21">
        <f t="shared" si="9"/>
        <v>2.867584459347964</v>
      </c>
    </row>
    <row r="115" spans="1:14" x14ac:dyDescent="0.2">
      <c r="A115" s="25" t="str">
        <f>Greenfield!A115</f>
        <v>Pre-16</v>
      </c>
      <c r="B115" s="17" t="str">
        <f>Greenfield!B115</f>
        <v>GF</v>
      </c>
      <c r="C115" s="18">
        <f>Greenfield!C115</f>
        <v>81.575999999999993</v>
      </c>
      <c r="D115" s="19">
        <f>Greenfield!D115</f>
        <v>14.026199251012313</v>
      </c>
      <c r="E115" s="30">
        <f>Greenfield!E115</f>
        <v>1988</v>
      </c>
      <c r="F115" s="18"/>
      <c r="G115" s="19"/>
      <c r="H115" s="20"/>
      <c r="I115" s="18">
        <f t="shared" si="5"/>
        <v>81.575999999999993</v>
      </c>
      <c r="J115" s="19">
        <f t="shared" si="6"/>
        <v>14.026199251012313</v>
      </c>
      <c r="K115" s="20">
        <f t="shared" si="7"/>
        <v>1988</v>
      </c>
      <c r="M115" s="21">
        <f t="shared" si="8"/>
        <v>4.4015351010619241</v>
      </c>
      <c r="N115" s="21">
        <f t="shared" si="9"/>
        <v>2.6409269558467208</v>
      </c>
    </row>
    <row r="116" spans="1:14" x14ac:dyDescent="0.2">
      <c r="A116" s="25" t="str">
        <f>Greenfield!A116</f>
        <v>Pre-17</v>
      </c>
      <c r="B116" s="17" t="str">
        <f>Greenfield!B116</f>
        <v>GF</v>
      </c>
      <c r="C116" s="18">
        <f>Greenfield!C116</f>
        <v>95.2</v>
      </c>
      <c r="D116" s="19">
        <f>Greenfield!D116</f>
        <v>14.219904176944949</v>
      </c>
      <c r="E116" s="30">
        <f>Greenfield!E116</f>
        <v>1999</v>
      </c>
      <c r="F116" s="18"/>
      <c r="G116" s="19"/>
      <c r="H116" s="20"/>
      <c r="I116" s="18">
        <f t="shared" si="5"/>
        <v>95.2</v>
      </c>
      <c r="J116" s="19">
        <f t="shared" si="6"/>
        <v>14.219904176944949</v>
      </c>
      <c r="K116" s="20">
        <f t="shared" si="7"/>
        <v>1999</v>
      </c>
      <c r="M116" s="21">
        <f t="shared" si="8"/>
        <v>4.5559799417973199</v>
      </c>
      <c r="N116" s="21">
        <f t="shared" si="9"/>
        <v>2.654642685740924</v>
      </c>
    </row>
    <row r="117" spans="1:14" x14ac:dyDescent="0.2">
      <c r="A117" s="25" t="str">
        <f>Greenfield!A117</f>
        <v>Pre-18</v>
      </c>
      <c r="B117" s="17" t="str">
        <f>Greenfield!B117</f>
        <v>GF</v>
      </c>
      <c r="C117" s="18">
        <f>Greenfield!C117</f>
        <v>122.77200000000001</v>
      </c>
      <c r="D117" s="19">
        <f>Greenfield!D117</f>
        <v>23.447549869052086</v>
      </c>
      <c r="E117" s="30">
        <f>Greenfield!E117</f>
        <v>1990</v>
      </c>
      <c r="F117" s="18"/>
      <c r="G117" s="19"/>
      <c r="H117" s="20"/>
      <c r="I117" s="18">
        <f t="shared" si="5"/>
        <v>122.77200000000001</v>
      </c>
      <c r="J117" s="19">
        <f t="shared" si="6"/>
        <v>23.447549869052086</v>
      </c>
      <c r="K117" s="20">
        <f t="shared" si="7"/>
        <v>1990</v>
      </c>
      <c r="M117" s="21">
        <f t="shared" si="8"/>
        <v>4.8103289766848034</v>
      </c>
      <c r="N117" s="21">
        <f t="shared" si="9"/>
        <v>3.1547660062374661</v>
      </c>
    </row>
    <row r="118" spans="1:14" x14ac:dyDescent="0.2">
      <c r="A118" s="33">
        <f>'Upgrade Projects'!$A8</f>
        <v>1184</v>
      </c>
      <c r="B118" s="34" t="s">
        <v>35</v>
      </c>
      <c r="C118" s="35">
        <f>'Upgrade Projects'!$R8</f>
        <v>30</v>
      </c>
      <c r="D118" s="36">
        <f>Greenfield!P$16*(C118^Greenfield!P$15)</f>
        <v>16.650714376783295</v>
      </c>
      <c r="E118" s="37">
        <f>'Upgrade Projects'!$O8</f>
        <v>2013</v>
      </c>
      <c r="F118" s="35">
        <f>'Upgrade Projects'!$S8</f>
        <v>18.200000000000003</v>
      </c>
      <c r="G118" s="36">
        <f>'Upgrade Projects'!$AJ8/10^6</f>
        <v>18.869341885211266</v>
      </c>
      <c r="H118" s="38">
        <f>'Upgrade Projects'!$W8</f>
        <v>2012</v>
      </c>
      <c r="I118" s="35">
        <f>C118+F118</f>
        <v>48.2</v>
      </c>
      <c r="J118" s="36">
        <f>D118+G118</f>
        <v>35.520056261994561</v>
      </c>
      <c r="K118" s="38">
        <f>MAX(E118,H118)</f>
        <v>2013</v>
      </c>
      <c r="M118" s="21">
        <f>LN(I118)</f>
        <v>3.8753590210565547</v>
      </c>
      <c r="N118" s="21">
        <f>LN(J118)</f>
        <v>3.5700975020752646</v>
      </c>
    </row>
    <row r="119" spans="1:14" x14ac:dyDescent="0.2">
      <c r="A119" s="33">
        <f>'Upgrade Projects'!$A9</f>
        <v>1481</v>
      </c>
      <c r="B119" s="34" t="s">
        <v>35</v>
      </c>
      <c r="C119" s="35">
        <f>'Upgrade Projects'!$R9</f>
        <v>48.2</v>
      </c>
      <c r="D119" s="36">
        <f>Greenfield!P$16*(C119^Greenfield!P$15)</f>
        <v>21.539688950459237</v>
      </c>
      <c r="E119" s="37">
        <f>'Upgrade Projects'!$O9</f>
        <v>2013</v>
      </c>
      <c r="F119" s="35">
        <f>'Upgrade Projects'!$S9</f>
        <v>0</v>
      </c>
      <c r="G119" s="36">
        <f>'Upgrade Projects'!$AJ9/10^6</f>
        <v>1.1114331301697908</v>
      </c>
      <c r="H119" s="38">
        <f>'Upgrade Projects'!$W9</f>
        <v>2014</v>
      </c>
      <c r="I119" s="35">
        <f t="shared" ref="I119:I182" si="10">C119+F119</f>
        <v>48.2</v>
      </c>
      <c r="J119" s="36">
        <f t="shared" ref="J119:J182" si="11">D119+G119</f>
        <v>22.651122080629026</v>
      </c>
      <c r="K119" s="38">
        <f t="shared" ref="K119:K182" si="12">MAX(E119,H119)</f>
        <v>2014</v>
      </c>
      <c r="M119" s="21">
        <f t="shared" ref="M119:M183" si="13">LN(I119)</f>
        <v>3.8753590210565547</v>
      </c>
      <c r="N119" s="21">
        <f t="shared" ref="N119:N183" si="14">LN(J119)</f>
        <v>3.1202093906855999</v>
      </c>
    </row>
    <row r="120" spans="1:14" x14ac:dyDescent="0.2">
      <c r="A120" s="33">
        <f>'Upgrade Projects'!$A10</f>
        <v>457</v>
      </c>
      <c r="B120" s="34" t="s">
        <v>35</v>
      </c>
      <c r="C120" s="35">
        <f>'Upgrade Projects'!$R10</f>
        <v>10.77</v>
      </c>
      <c r="D120" s="36">
        <f>Greenfield!P$16*(C120^Greenfield!P$15)</f>
        <v>9.5471387337924103</v>
      </c>
      <c r="E120" s="37">
        <f>'Upgrade Projects'!$O10</f>
        <v>1990</v>
      </c>
      <c r="F120" s="35">
        <f>'Upgrade Projects'!$S10</f>
        <v>10</v>
      </c>
      <c r="G120" s="36">
        <f>'Upgrade Projects'!$AJ10/10^6</f>
        <v>3.289132084924363</v>
      </c>
      <c r="H120" s="38">
        <f>'Upgrade Projects'!$W10</f>
        <v>2006</v>
      </c>
      <c r="I120" s="35">
        <f t="shared" si="10"/>
        <v>20.77</v>
      </c>
      <c r="J120" s="36">
        <f t="shared" si="11"/>
        <v>12.836270818716773</v>
      </c>
      <c r="K120" s="38">
        <f t="shared" si="12"/>
        <v>2006</v>
      </c>
      <c r="M120" s="21">
        <f t="shared" si="13"/>
        <v>3.0335096378880211</v>
      </c>
      <c r="N120" s="21">
        <f t="shared" si="14"/>
        <v>2.5522748213981163</v>
      </c>
    </row>
    <row r="121" spans="1:14" x14ac:dyDescent="0.2">
      <c r="A121" s="33">
        <f>'Upgrade Projects'!$A11</f>
        <v>407</v>
      </c>
      <c r="B121" s="34" t="s">
        <v>35</v>
      </c>
      <c r="C121" s="35">
        <f>'Upgrade Projects'!$R11</f>
        <v>25.4</v>
      </c>
      <c r="D121" s="36">
        <f>Greenfield!P$16*(C121^Greenfield!P$15)</f>
        <v>15.211941614326257</v>
      </c>
      <c r="E121" s="37">
        <f>'Upgrade Projects'!$O11</f>
        <v>1982</v>
      </c>
      <c r="F121" s="35">
        <f>'Upgrade Projects'!$S11</f>
        <v>2</v>
      </c>
      <c r="G121" s="36">
        <f>'Upgrade Projects'!$AJ11/10^6</f>
        <v>0.60106525862386018</v>
      </c>
      <c r="H121" s="38">
        <f>'Upgrade Projects'!$W11</f>
        <v>2004</v>
      </c>
      <c r="I121" s="35">
        <f t="shared" si="10"/>
        <v>27.4</v>
      </c>
      <c r="J121" s="36">
        <f t="shared" si="11"/>
        <v>15.813006872950117</v>
      </c>
      <c r="K121" s="38">
        <f t="shared" si="12"/>
        <v>2004</v>
      </c>
      <c r="M121" s="21">
        <f t="shared" si="13"/>
        <v>3.3105430133940246</v>
      </c>
      <c r="N121" s="21">
        <f t="shared" si="14"/>
        <v>2.7608328211803133</v>
      </c>
    </row>
    <row r="122" spans="1:14" x14ac:dyDescent="0.2">
      <c r="A122" s="33">
        <f>'Upgrade Projects'!$A12</f>
        <v>706</v>
      </c>
      <c r="B122" s="34" t="s">
        <v>35</v>
      </c>
      <c r="C122" s="35">
        <f>'Upgrade Projects'!$R12</f>
        <v>14.85</v>
      </c>
      <c r="D122" s="36">
        <f>Greenfield!P$16*(C122^Greenfield!P$15)</f>
        <v>11.3663237261823</v>
      </c>
      <c r="E122" s="37">
        <f>'Upgrade Projects'!$O12</f>
        <v>1984</v>
      </c>
      <c r="F122" s="35">
        <f>'Upgrade Projects'!$S12</f>
        <v>14.250000000000002</v>
      </c>
      <c r="G122" s="36">
        <f>'Upgrade Projects'!$AJ12/10^6</f>
        <v>5.8346214151737739</v>
      </c>
      <c r="H122" s="38">
        <f>'Upgrade Projects'!$W12</f>
        <v>2008</v>
      </c>
      <c r="I122" s="35">
        <f t="shared" si="10"/>
        <v>29.1</v>
      </c>
      <c r="J122" s="36">
        <f t="shared" si="11"/>
        <v>17.200945141356073</v>
      </c>
      <c r="K122" s="38">
        <f t="shared" si="12"/>
        <v>2008</v>
      </c>
      <c r="M122" s="21">
        <f t="shared" si="13"/>
        <v>3.3707381741774469</v>
      </c>
      <c r="N122" s="21">
        <f t="shared" si="14"/>
        <v>2.8449643323885483</v>
      </c>
    </row>
    <row r="123" spans="1:14" x14ac:dyDescent="0.2">
      <c r="A123" s="33">
        <f>'Upgrade Projects'!$A13</f>
        <v>1070</v>
      </c>
      <c r="B123" s="34" t="s">
        <v>35</v>
      </c>
      <c r="C123" s="35">
        <f>'Upgrade Projects'!$R13</f>
        <v>34</v>
      </c>
      <c r="D123" s="36">
        <f>Greenfield!P$16*(C123^Greenfield!P$15)</f>
        <v>17.821577356557565</v>
      </c>
      <c r="E123" s="37">
        <f>'Upgrade Projects'!$O13</f>
        <v>1984</v>
      </c>
      <c r="F123" s="35">
        <f>'Upgrade Projects'!$S13</f>
        <v>4.8999999999999986</v>
      </c>
      <c r="G123" s="36">
        <f>'Upgrade Projects'!$AJ13/10^6</f>
        <v>0.83607952853202894</v>
      </c>
      <c r="H123" s="38">
        <f>'Upgrade Projects'!$W13</f>
        <v>2011</v>
      </c>
      <c r="I123" s="35">
        <f t="shared" si="10"/>
        <v>38.9</v>
      </c>
      <c r="J123" s="36">
        <f t="shared" si="11"/>
        <v>18.657656885089594</v>
      </c>
      <c r="K123" s="38">
        <f t="shared" si="12"/>
        <v>2011</v>
      </c>
      <c r="M123" s="21">
        <f t="shared" si="13"/>
        <v>3.6609942506244004</v>
      </c>
      <c r="N123" s="21">
        <f t="shared" si="14"/>
        <v>2.9262566186756898</v>
      </c>
    </row>
    <row r="124" spans="1:14" x14ac:dyDescent="0.2">
      <c r="A124" s="33">
        <f>'Upgrade Projects'!$A14</f>
        <v>1264</v>
      </c>
      <c r="B124" s="34" t="s">
        <v>35</v>
      </c>
      <c r="C124" s="35">
        <f>'Upgrade Projects'!$R14</f>
        <v>38.9</v>
      </c>
      <c r="D124" s="36">
        <f>Greenfield!P$16*(C124^Greenfield!P$15)</f>
        <v>19.173109710855098</v>
      </c>
      <c r="E124" s="37">
        <f>'Upgrade Projects'!$O14</f>
        <v>1984</v>
      </c>
      <c r="F124" s="35">
        <f>'Upgrade Projects'!$S14</f>
        <v>7.2000000000000028</v>
      </c>
      <c r="G124" s="36">
        <f>'Upgrade Projects'!$AJ14/10^6</f>
        <v>8.0578720930203094</v>
      </c>
      <c r="H124" s="38">
        <f>'Upgrade Projects'!$W14</f>
        <v>2013</v>
      </c>
      <c r="I124" s="35">
        <f t="shared" si="10"/>
        <v>46.1</v>
      </c>
      <c r="J124" s="36">
        <f t="shared" si="11"/>
        <v>27.230981803875409</v>
      </c>
      <c r="K124" s="38">
        <f t="shared" si="12"/>
        <v>2013</v>
      </c>
      <c r="M124" s="21">
        <f t="shared" si="13"/>
        <v>3.8308129500026027</v>
      </c>
      <c r="N124" s="21">
        <f t="shared" si="14"/>
        <v>3.3043553619987747</v>
      </c>
    </row>
    <row r="125" spans="1:14" x14ac:dyDescent="0.2">
      <c r="A125" s="33">
        <f>'Upgrade Projects'!$A15</f>
        <v>1208</v>
      </c>
      <c r="B125" s="34" t="s">
        <v>35</v>
      </c>
      <c r="C125" s="35">
        <f>'Upgrade Projects'!$R15</f>
        <v>14.1</v>
      </c>
      <c r="D125" s="36">
        <f>Greenfield!P$16*(C125^Greenfield!P$15)</f>
        <v>11.050953537295987</v>
      </c>
      <c r="E125" s="37">
        <f>'Upgrade Projects'!$O15</f>
        <v>1961</v>
      </c>
      <c r="F125" s="35">
        <f>'Upgrade Projects'!$S15</f>
        <v>11.500000000000002</v>
      </c>
      <c r="G125" s="36">
        <f>'Upgrade Projects'!$AJ15/10^6</f>
        <v>2.7992110812000917</v>
      </c>
      <c r="H125" s="38">
        <f>'Upgrade Projects'!$W15</f>
        <v>2012</v>
      </c>
      <c r="I125" s="35">
        <f t="shared" si="10"/>
        <v>25.6</v>
      </c>
      <c r="J125" s="36">
        <f t="shared" si="11"/>
        <v>13.850164618496079</v>
      </c>
      <c r="K125" s="38">
        <f t="shared" si="12"/>
        <v>2012</v>
      </c>
      <c r="M125" s="21">
        <f t="shared" si="13"/>
        <v>3.2425923514855168</v>
      </c>
      <c r="N125" s="21">
        <f t="shared" si="14"/>
        <v>2.6282971183747033</v>
      </c>
    </row>
    <row r="126" spans="1:14" x14ac:dyDescent="0.2">
      <c r="A126" s="33">
        <f>'Upgrade Projects'!$A16</f>
        <v>655</v>
      </c>
      <c r="B126" s="34" t="s">
        <v>35</v>
      </c>
      <c r="C126" s="35">
        <f>'Upgrade Projects'!$R16</f>
        <v>12.052999999999999</v>
      </c>
      <c r="D126" s="36">
        <f>Greenfield!P$16*(C126^Greenfield!P$15)</f>
        <v>10.148740116269378</v>
      </c>
      <c r="E126" s="37">
        <f>'Upgrade Projects'!$O16</f>
        <v>1974</v>
      </c>
      <c r="F126" s="35">
        <f>'Upgrade Projects'!$S16</f>
        <v>2.3390000000000004</v>
      </c>
      <c r="G126" s="36">
        <f>'Upgrade Projects'!$AJ16/10^6</f>
        <v>0.59464786373478107</v>
      </c>
      <c r="H126" s="38">
        <f>'Upgrade Projects'!$W16</f>
        <v>2007</v>
      </c>
      <c r="I126" s="35">
        <f t="shared" si="10"/>
        <v>14.391999999999999</v>
      </c>
      <c r="J126" s="36">
        <f t="shared" si="11"/>
        <v>10.74338798000416</v>
      </c>
      <c r="K126" s="38">
        <f t="shared" si="12"/>
        <v>2007</v>
      </c>
      <c r="M126" s="21">
        <f t="shared" si="13"/>
        <v>2.666672496648232</v>
      </c>
      <c r="N126" s="21">
        <f t="shared" si="14"/>
        <v>2.3742904937119991</v>
      </c>
    </row>
    <row r="127" spans="1:14" x14ac:dyDescent="0.2">
      <c r="A127" s="33">
        <f>'Upgrade Projects'!$A17</f>
        <v>733</v>
      </c>
      <c r="B127" s="34" t="s">
        <v>35</v>
      </c>
      <c r="C127" s="35">
        <f>'Upgrade Projects'!$R17</f>
        <v>24.3</v>
      </c>
      <c r="D127" s="36">
        <f>Greenfield!P$16*(C127^Greenfield!P$15)</f>
        <v>14.850640632815869</v>
      </c>
      <c r="E127" s="37">
        <f>'Upgrade Projects'!$O17</f>
        <v>2007</v>
      </c>
      <c r="F127" s="35">
        <f>'Upgrade Projects'!$S17</f>
        <v>17.099999999999998</v>
      </c>
      <c r="G127" s="36">
        <f>'Upgrade Projects'!$AJ17/10^6</f>
        <v>6.7726080218724345</v>
      </c>
      <c r="H127" s="38">
        <f>'Upgrade Projects'!$W17</f>
        <v>2009</v>
      </c>
      <c r="I127" s="35">
        <f t="shared" si="10"/>
        <v>41.4</v>
      </c>
      <c r="J127" s="36">
        <f t="shared" si="11"/>
        <v>21.623248654688304</v>
      </c>
      <c r="K127" s="38">
        <f t="shared" si="12"/>
        <v>2009</v>
      </c>
      <c r="M127" s="21">
        <f t="shared" si="13"/>
        <v>3.7232808808312687</v>
      </c>
      <c r="N127" s="21">
        <f t="shared" si="14"/>
        <v>3.0737690624718765</v>
      </c>
    </row>
    <row r="128" spans="1:14" x14ac:dyDescent="0.2">
      <c r="A128" s="33">
        <f>'Upgrade Projects'!$A18</f>
        <v>1700</v>
      </c>
      <c r="B128" s="34" t="s">
        <v>35</v>
      </c>
      <c r="C128" s="35">
        <f>'Upgrade Projects'!$R18</f>
        <v>13.4</v>
      </c>
      <c r="D128" s="36">
        <f>Greenfield!P$16*(C128^Greenfield!P$15)</f>
        <v>10.749614180485576</v>
      </c>
      <c r="E128" s="37">
        <f>'Upgrade Projects'!$O18</f>
        <v>0</v>
      </c>
      <c r="F128" s="35">
        <f>'Upgrade Projects'!$S18</f>
        <v>0</v>
      </c>
      <c r="G128" s="36">
        <f>'Upgrade Projects'!$AJ18/10^6</f>
        <v>4.0238803148956235</v>
      </c>
      <c r="H128" s="38">
        <f>'Upgrade Projects'!$W18</f>
        <v>2016</v>
      </c>
      <c r="I128" s="35">
        <f t="shared" si="10"/>
        <v>13.4</v>
      </c>
      <c r="J128" s="36">
        <f t="shared" si="11"/>
        <v>14.7734944953812</v>
      </c>
      <c r="K128" s="38">
        <f t="shared" si="12"/>
        <v>2016</v>
      </c>
      <c r="M128" s="21">
        <f t="shared" ref="M128" si="15">LN(I128)</f>
        <v>2.5952547069568657</v>
      </c>
      <c r="N128" s="21">
        <f t="shared" ref="N128" si="16">LN(J128)</f>
        <v>2.6928346626948008</v>
      </c>
    </row>
    <row r="129" spans="1:14" x14ac:dyDescent="0.2">
      <c r="A129" s="33">
        <f>'Upgrade Projects'!$A19</f>
        <v>1569</v>
      </c>
      <c r="B129" s="34" t="s">
        <v>35</v>
      </c>
      <c r="C129" s="35">
        <f>'Upgrade Projects'!$R19</f>
        <v>17.7</v>
      </c>
      <c r="D129" s="36">
        <f>Greenfield!P$16*(C129^Greenfield!P$15)</f>
        <v>12.503106030682417</v>
      </c>
      <c r="E129" s="37">
        <f>'Upgrade Projects'!$O19</f>
        <v>1997</v>
      </c>
      <c r="F129" s="35">
        <f>'Upgrade Projects'!$S19</f>
        <v>0</v>
      </c>
      <c r="G129" s="36">
        <f>'Upgrade Projects'!$AJ19/10^6</f>
        <v>3.7372730134616279</v>
      </c>
      <c r="H129" s="38">
        <f>'Upgrade Projects'!$W19</f>
        <v>2015</v>
      </c>
      <c r="I129" s="35">
        <f t="shared" si="10"/>
        <v>17.7</v>
      </c>
      <c r="J129" s="36">
        <f t="shared" si="11"/>
        <v>16.240379044144046</v>
      </c>
      <c r="K129" s="38">
        <f t="shared" si="12"/>
        <v>2015</v>
      </c>
      <c r="M129" s="21">
        <f t="shared" si="13"/>
        <v>2.8735646395797834</v>
      </c>
      <c r="N129" s="21">
        <f t="shared" si="14"/>
        <v>2.7875006746178079</v>
      </c>
    </row>
    <row r="130" spans="1:14" x14ac:dyDescent="0.2">
      <c r="A130" s="33">
        <f>'Upgrade Projects'!$A20</f>
        <v>401</v>
      </c>
      <c r="B130" s="34" t="s">
        <v>35</v>
      </c>
      <c r="C130" s="35">
        <f>'Upgrade Projects'!$R20</f>
        <v>2</v>
      </c>
      <c r="D130" s="36">
        <f>Greenfield!P$16*(C130^Greenfield!P$15)</f>
        <v>3.8271806637538481</v>
      </c>
      <c r="E130" s="37">
        <f>'Upgrade Projects'!$O20</f>
        <v>1986</v>
      </c>
      <c r="F130" s="35">
        <f>'Upgrade Projects'!$S20</f>
        <v>1.5</v>
      </c>
      <c r="G130" s="36">
        <f>'Upgrade Projects'!$AJ20/10^6</f>
        <v>0.36204281296556784</v>
      </c>
      <c r="H130" s="38">
        <f>'Upgrade Projects'!$W20</f>
        <v>2004</v>
      </c>
      <c r="I130" s="35">
        <f t="shared" si="10"/>
        <v>3.5</v>
      </c>
      <c r="J130" s="36">
        <f t="shared" si="11"/>
        <v>4.1892234767194161</v>
      </c>
      <c r="K130" s="38">
        <f t="shared" si="12"/>
        <v>2004</v>
      </c>
      <c r="M130" s="21">
        <f t="shared" si="13"/>
        <v>1.2527629684953681</v>
      </c>
      <c r="N130" s="21">
        <f t="shared" si="14"/>
        <v>1.4325153890068072</v>
      </c>
    </row>
    <row r="131" spans="1:14" x14ac:dyDescent="0.2">
      <c r="A131" s="33">
        <f>'Upgrade Projects'!$A21</f>
        <v>1412</v>
      </c>
      <c r="B131" s="34" t="s">
        <v>35</v>
      </c>
      <c r="C131" s="35">
        <f>'Upgrade Projects'!$R21</f>
        <v>3.5</v>
      </c>
      <c r="D131" s="36">
        <f>Greenfield!P$16*(C131^Greenfield!P$15)</f>
        <v>5.1860353379471462</v>
      </c>
      <c r="E131" s="37">
        <f>'Upgrade Projects'!$O21</f>
        <v>1986</v>
      </c>
      <c r="F131" s="35">
        <f>'Upgrade Projects'!$S21</f>
        <v>11</v>
      </c>
      <c r="G131" s="36">
        <f>'Upgrade Projects'!$AJ21/10^6</f>
        <v>4.3574845496482366</v>
      </c>
      <c r="H131" s="38">
        <f>'Upgrade Projects'!$W21</f>
        <v>2015</v>
      </c>
      <c r="I131" s="35">
        <f t="shared" si="10"/>
        <v>14.5</v>
      </c>
      <c r="J131" s="36">
        <f t="shared" si="11"/>
        <v>9.5435198875953837</v>
      </c>
      <c r="K131" s="38">
        <f t="shared" si="12"/>
        <v>2015</v>
      </c>
      <c r="M131" s="21">
        <f t="shared" si="13"/>
        <v>2.6741486494265287</v>
      </c>
      <c r="N131" s="21">
        <f t="shared" si="14"/>
        <v>2.2558623783747134</v>
      </c>
    </row>
    <row r="132" spans="1:14" x14ac:dyDescent="0.2">
      <c r="A132" s="33">
        <f>'Upgrade Projects'!$A22</f>
        <v>1318</v>
      </c>
      <c r="B132" s="34" t="s">
        <v>35</v>
      </c>
      <c r="C132" s="35">
        <f>'Upgrade Projects'!$R22</f>
        <v>22.3</v>
      </c>
      <c r="D132" s="36">
        <f>Greenfield!P$16*(C132^Greenfield!P$15)</f>
        <v>14.174003691413995</v>
      </c>
      <c r="E132" s="37">
        <f>'Upgrade Projects'!$O22</f>
        <v>1997</v>
      </c>
      <c r="F132" s="35">
        <f>'Upgrade Projects'!$S22</f>
        <v>28.900000000000002</v>
      </c>
      <c r="G132" s="36">
        <f>'Upgrade Projects'!$AJ22/10^6</f>
        <v>1.6878206182928517</v>
      </c>
      <c r="H132" s="38">
        <f>'Upgrade Projects'!$W22</f>
        <v>2013</v>
      </c>
      <c r="I132" s="35">
        <f t="shared" si="10"/>
        <v>51.2</v>
      </c>
      <c r="J132" s="36">
        <f t="shared" si="11"/>
        <v>15.861824309706847</v>
      </c>
      <c r="K132" s="38">
        <f t="shared" si="12"/>
        <v>2013</v>
      </c>
      <c r="M132" s="21">
        <f t="shared" si="13"/>
        <v>3.9357395320454622</v>
      </c>
      <c r="N132" s="21">
        <f t="shared" si="14"/>
        <v>2.7639152354244523</v>
      </c>
    </row>
    <row r="133" spans="1:14" x14ac:dyDescent="0.2">
      <c r="A133" s="33">
        <f>'Upgrade Projects'!$A23</f>
        <v>1194</v>
      </c>
      <c r="B133" s="34" t="s">
        <v>35</v>
      </c>
      <c r="C133" s="35">
        <f>'Upgrade Projects'!$R23</f>
        <v>5.8</v>
      </c>
      <c r="D133" s="36">
        <f>Greenfield!P$16*(C133^Greenfield!P$15)</f>
        <v>6.8223823182241281</v>
      </c>
      <c r="E133" s="37">
        <f>'Upgrade Projects'!$O23</f>
        <v>1980</v>
      </c>
      <c r="F133" s="35">
        <f>'Upgrade Projects'!$S23</f>
        <v>9.6000000000000014</v>
      </c>
      <c r="G133" s="36">
        <f>'Upgrade Projects'!$AJ23/10^6</f>
        <v>1.6086060831571487</v>
      </c>
      <c r="H133" s="38">
        <f>'Upgrade Projects'!$W23</f>
        <v>2011</v>
      </c>
      <c r="I133" s="35">
        <f t="shared" si="10"/>
        <v>15.400000000000002</v>
      </c>
      <c r="J133" s="36">
        <f t="shared" si="11"/>
        <v>8.4309884013812777</v>
      </c>
      <c r="K133" s="38">
        <f t="shared" si="12"/>
        <v>2011</v>
      </c>
      <c r="M133" s="21">
        <f t="shared" si="13"/>
        <v>2.7343675094195836</v>
      </c>
      <c r="N133" s="21">
        <f t="shared" si="14"/>
        <v>2.1319140132286774</v>
      </c>
    </row>
    <row r="134" spans="1:14" x14ac:dyDescent="0.2">
      <c r="A134" s="33">
        <f>'Upgrade Projects'!$A24</f>
        <v>801</v>
      </c>
      <c r="B134" s="34" t="s">
        <v>35</v>
      </c>
      <c r="C134" s="35">
        <f>'Upgrade Projects'!$R24</f>
        <v>10</v>
      </c>
      <c r="D134" s="36">
        <f>Greenfield!P$16*(C134^Greenfield!P$15)</f>
        <v>9.1702642415128466</v>
      </c>
      <c r="E134" s="37">
        <f>'Upgrade Projects'!$O24</f>
        <v>2008</v>
      </c>
      <c r="F134" s="35">
        <f>'Upgrade Projects'!$S24</f>
        <v>0</v>
      </c>
      <c r="G134" s="36">
        <f>'Upgrade Projects'!$AJ24/10^6</f>
        <v>6.3106495854024782</v>
      </c>
      <c r="H134" s="38">
        <f>'Upgrade Projects'!$W24</f>
        <v>2009</v>
      </c>
      <c r="I134" s="35">
        <f t="shared" si="10"/>
        <v>10</v>
      </c>
      <c r="J134" s="36">
        <f t="shared" si="11"/>
        <v>15.480913826915325</v>
      </c>
      <c r="K134" s="38">
        <f t="shared" si="12"/>
        <v>2009</v>
      </c>
      <c r="M134" s="21">
        <f t="shared" si="13"/>
        <v>2.3025850929940459</v>
      </c>
      <c r="N134" s="21">
        <f t="shared" si="14"/>
        <v>2.7396078991656849</v>
      </c>
    </row>
    <row r="135" spans="1:14" x14ac:dyDescent="0.2">
      <c r="A135" s="33">
        <f>'Upgrade Projects'!$A25</f>
        <v>804</v>
      </c>
      <c r="B135" s="34" t="s">
        <v>35</v>
      </c>
      <c r="C135" s="35">
        <f>'Upgrade Projects'!$R25</f>
        <v>14.429</v>
      </c>
      <c r="D135" s="36">
        <f>Greenfield!P$16*(C135^Greenfield!P$15)</f>
        <v>11.190216974706347</v>
      </c>
      <c r="E135" s="37">
        <f>'Upgrade Projects'!$O25</f>
        <v>1982</v>
      </c>
      <c r="F135" s="35">
        <f>'Upgrade Projects'!$S25</f>
        <v>9.8710000000000004</v>
      </c>
      <c r="G135" s="36">
        <f>'Upgrade Projects'!$AJ25/10^6</f>
        <v>9.1566982400815444</v>
      </c>
      <c r="H135" s="38">
        <f>'Upgrade Projects'!$W25</f>
        <v>2009</v>
      </c>
      <c r="I135" s="35">
        <f t="shared" si="10"/>
        <v>24.3</v>
      </c>
      <c r="J135" s="36">
        <f t="shared" si="11"/>
        <v>20.346915214787892</v>
      </c>
      <c r="K135" s="38">
        <f t="shared" si="12"/>
        <v>2009</v>
      </c>
      <c r="M135" s="21">
        <f t="shared" si="13"/>
        <v>3.1904763503465028</v>
      </c>
      <c r="N135" s="21">
        <f t="shared" si="14"/>
        <v>3.0129293139013003</v>
      </c>
    </row>
    <row r="136" spans="1:14" x14ac:dyDescent="0.2">
      <c r="A136" s="33">
        <f>'Upgrade Projects'!$A26</f>
        <v>365</v>
      </c>
      <c r="B136" s="34" t="s">
        <v>35</v>
      </c>
      <c r="C136" s="35">
        <f>'Upgrade Projects'!$R26</f>
        <v>15.9</v>
      </c>
      <c r="D136" s="36">
        <f>Greenfield!P$16*(C136^Greenfield!P$15)</f>
        <v>11.795859460376622</v>
      </c>
      <c r="E136" s="37">
        <f>'Upgrade Projects'!$O26</f>
        <v>1982</v>
      </c>
      <c r="F136" s="35">
        <f>'Upgrade Projects'!$S26</f>
        <v>0.26900000000000013</v>
      </c>
      <c r="G136" s="36">
        <f>'Upgrade Projects'!$AJ26/10^6</f>
        <v>0.59607313292480213</v>
      </c>
      <c r="H136" s="38">
        <f>'Upgrade Projects'!$W26</f>
        <v>2003</v>
      </c>
      <c r="I136" s="35">
        <f t="shared" si="10"/>
        <v>16.169</v>
      </c>
      <c r="J136" s="36">
        <f t="shared" si="11"/>
        <v>12.391932593301425</v>
      </c>
      <c r="K136" s="38">
        <f t="shared" si="12"/>
        <v>2003</v>
      </c>
      <c r="M136" s="21">
        <f t="shared" si="13"/>
        <v>2.7830958287576775</v>
      </c>
      <c r="N136" s="21">
        <f t="shared" si="14"/>
        <v>2.5170456635663183</v>
      </c>
    </row>
    <row r="137" spans="1:14" x14ac:dyDescent="0.2">
      <c r="A137" s="33">
        <f>'Upgrade Projects'!$A27</f>
        <v>708</v>
      </c>
      <c r="B137" s="34" t="s">
        <v>35</v>
      </c>
      <c r="C137" s="35">
        <f>'Upgrade Projects'!$R27</f>
        <v>16.2</v>
      </c>
      <c r="D137" s="36">
        <f>Greenfield!P$16*(C137^Greenfield!P$15)</f>
        <v>11.916183013538712</v>
      </c>
      <c r="E137" s="37">
        <f>'Upgrade Projects'!$O27</f>
        <v>1982</v>
      </c>
      <c r="F137" s="35">
        <f>'Upgrade Projects'!$S27</f>
        <v>11.5</v>
      </c>
      <c r="G137" s="36">
        <f>'Upgrade Projects'!$AJ27/10^6</f>
        <v>6.8374623210633541</v>
      </c>
      <c r="H137" s="38">
        <f>'Upgrade Projects'!$W27</f>
        <v>2007</v>
      </c>
      <c r="I137" s="35">
        <f t="shared" si="10"/>
        <v>27.7</v>
      </c>
      <c r="J137" s="36">
        <f t="shared" si="11"/>
        <v>18.753645334602066</v>
      </c>
      <c r="K137" s="38">
        <f t="shared" si="12"/>
        <v>2007</v>
      </c>
      <c r="M137" s="21">
        <f t="shared" si="13"/>
        <v>3.3214324131932926</v>
      </c>
      <c r="N137" s="21">
        <f t="shared" si="14"/>
        <v>2.9313881513651632</v>
      </c>
    </row>
    <row r="138" spans="1:14" x14ac:dyDescent="0.2">
      <c r="A138" s="33">
        <f>'Upgrade Projects'!$A28</f>
        <v>1568</v>
      </c>
      <c r="B138" s="34" t="s">
        <v>35</v>
      </c>
      <c r="C138" s="35">
        <f>'Upgrade Projects'!$R28</f>
        <v>27.7</v>
      </c>
      <c r="D138" s="36">
        <f>Greenfield!P$16*(C138^Greenfield!P$15)</f>
        <v>15.944996162162351</v>
      </c>
      <c r="E138" s="37">
        <f>'Upgrade Projects'!$O28</f>
        <v>1997</v>
      </c>
      <c r="F138" s="35">
        <f>'Upgrade Projects'!$S28</f>
        <v>8.0999999999999979</v>
      </c>
      <c r="G138" s="36">
        <f>'Upgrade Projects'!$AJ28/10^6</f>
        <v>3.5848996641236104</v>
      </c>
      <c r="H138" s="38">
        <f>'Upgrade Projects'!$W28</f>
        <v>2015</v>
      </c>
      <c r="I138" s="35">
        <f t="shared" si="10"/>
        <v>35.799999999999997</v>
      </c>
      <c r="J138" s="36">
        <f t="shared" si="11"/>
        <v>19.529895826285962</v>
      </c>
      <c r="K138" s="38">
        <f t="shared" si="12"/>
        <v>2015</v>
      </c>
      <c r="M138" s="21">
        <f t="shared" si="13"/>
        <v>3.5779478934066544</v>
      </c>
      <c r="N138" s="21">
        <f t="shared" si="14"/>
        <v>2.9719464108388247</v>
      </c>
    </row>
    <row r="139" spans="1:14" x14ac:dyDescent="0.2">
      <c r="A139" s="33">
        <f>'Upgrade Projects'!$A29</f>
        <v>398</v>
      </c>
      <c r="B139" s="34" t="s">
        <v>35</v>
      </c>
      <c r="C139" s="35">
        <f>'Upgrade Projects'!$R29</f>
        <v>27.329000000000001</v>
      </c>
      <c r="D139" s="36">
        <f>Greenfield!P$16*(C139^Greenfield!P$15)</f>
        <v>15.828687771962027</v>
      </c>
      <c r="E139" s="37">
        <f>'Upgrade Projects'!$O29</f>
        <v>1981</v>
      </c>
      <c r="F139" s="35">
        <f>'Upgrade Projects'!$S29</f>
        <v>2</v>
      </c>
      <c r="G139" s="36">
        <f>'Upgrade Projects'!$AJ29/10^6</f>
        <v>1.454685054931611</v>
      </c>
      <c r="H139" s="38">
        <f>'Upgrade Projects'!$W29</f>
        <v>2004</v>
      </c>
      <c r="I139" s="35">
        <f t="shared" si="10"/>
        <v>29.329000000000001</v>
      </c>
      <c r="J139" s="36">
        <f t="shared" si="11"/>
        <v>17.28337282689364</v>
      </c>
      <c r="K139" s="38">
        <f t="shared" si="12"/>
        <v>2004</v>
      </c>
      <c r="M139" s="21">
        <f t="shared" si="13"/>
        <v>3.3785767876246213</v>
      </c>
      <c r="N139" s="21">
        <f t="shared" si="14"/>
        <v>2.8497449310709859</v>
      </c>
    </row>
    <row r="140" spans="1:14" x14ac:dyDescent="0.2">
      <c r="A140" s="33">
        <f>'Upgrade Projects'!$A30</f>
        <v>1642</v>
      </c>
      <c r="B140" s="34" t="s">
        <v>35</v>
      </c>
      <c r="C140" s="35">
        <f>'Upgrade Projects'!$R30</f>
        <v>16.12</v>
      </c>
      <c r="D140" s="36">
        <f>Greenfield!P$16*(C140^Greenfield!P$15)</f>
        <v>11.884197030930961</v>
      </c>
      <c r="E140" s="37" t="str">
        <f>'Upgrade Projects'!$O30</f>
        <v>unknown</v>
      </c>
      <c r="F140" s="35">
        <f>'Upgrade Projects'!$S30</f>
        <v>2.7799999999999976</v>
      </c>
      <c r="G140" s="36">
        <f>'Upgrade Projects'!$AJ30/10^6</f>
        <v>10.134123990225088</v>
      </c>
      <c r="H140" s="38">
        <f>'Upgrade Projects'!$W30</f>
        <v>2015</v>
      </c>
      <c r="I140" s="35">
        <f t="shared" si="10"/>
        <v>18.899999999999999</v>
      </c>
      <c r="J140" s="36">
        <f t="shared" si="11"/>
        <v>22.018321021156048</v>
      </c>
      <c r="K140" s="38">
        <f t="shared" si="12"/>
        <v>2015</v>
      </c>
      <c r="M140" s="21">
        <f t="shared" si="13"/>
        <v>2.9391619220655967</v>
      </c>
      <c r="N140" s="21">
        <f t="shared" si="14"/>
        <v>3.0918748804836111</v>
      </c>
    </row>
    <row r="141" spans="1:14" x14ac:dyDescent="0.2">
      <c r="A141" s="33">
        <f>'Upgrade Projects'!$A31</f>
        <v>522</v>
      </c>
      <c r="B141" s="34" t="s">
        <v>35</v>
      </c>
      <c r="C141" s="35">
        <f>'Upgrade Projects'!$R31</f>
        <v>38.700000000000003</v>
      </c>
      <c r="D141" s="36">
        <f>Greenfield!P$16*(C141^Greenfield!P$15)</f>
        <v>19.119525017955965</v>
      </c>
      <c r="E141" s="37">
        <f>'Upgrade Projects'!$O31</f>
        <v>1981</v>
      </c>
      <c r="F141" s="35">
        <f>'Upgrade Projects'!$S31</f>
        <v>2.2999999999999972</v>
      </c>
      <c r="G141" s="36">
        <f>'Upgrade Projects'!$AJ31/10^6</f>
        <v>0.49326793696611254</v>
      </c>
      <c r="H141" s="38">
        <f>'Upgrade Projects'!$W31</f>
        <v>2006</v>
      </c>
      <c r="I141" s="35">
        <f t="shared" si="10"/>
        <v>41</v>
      </c>
      <c r="J141" s="36">
        <f t="shared" si="11"/>
        <v>19.612792954922078</v>
      </c>
      <c r="K141" s="38">
        <f t="shared" si="12"/>
        <v>2006</v>
      </c>
      <c r="M141" s="21">
        <f t="shared" si="13"/>
        <v>3.713572066704308</v>
      </c>
      <c r="N141" s="21">
        <f t="shared" si="14"/>
        <v>2.9761820551010447</v>
      </c>
    </row>
    <row r="142" spans="1:14" x14ac:dyDescent="0.2">
      <c r="A142" s="33">
        <f>'Upgrade Projects'!$A32</f>
        <v>170</v>
      </c>
      <c r="B142" s="34" t="s">
        <v>35</v>
      </c>
      <c r="C142" s="35">
        <f>'Upgrade Projects'!$R32</f>
        <v>20.399999999999999</v>
      </c>
      <c r="D142" s="36">
        <f>Greenfield!P$16*(C142^Greenfield!P$15)</f>
        <v>13.504990243132301</v>
      </c>
      <c r="E142" s="37" t="str">
        <f>'Upgrade Projects'!$O32</f>
        <v>unknown</v>
      </c>
      <c r="F142" s="35">
        <f>'Upgrade Projects'!$S32</f>
        <v>5.6000000000000014</v>
      </c>
      <c r="G142" s="36">
        <f>'Upgrade Projects'!$AJ32/10^6</f>
        <v>4.433742547698083</v>
      </c>
      <c r="H142" s="38">
        <f>'Upgrade Projects'!$W32</f>
        <v>2001</v>
      </c>
      <c r="I142" s="35">
        <f t="shared" si="10"/>
        <v>26</v>
      </c>
      <c r="J142" s="36">
        <f t="shared" si="11"/>
        <v>17.938732790830386</v>
      </c>
      <c r="K142" s="38">
        <f t="shared" si="12"/>
        <v>2001</v>
      </c>
      <c r="M142" s="21">
        <f t="shared" si="13"/>
        <v>3.2580965380214821</v>
      </c>
      <c r="N142" s="21">
        <f t="shared" si="14"/>
        <v>2.8869622181731813</v>
      </c>
    </row>
    <row r="143" spans="1:14" x14ac:dyDescent="0.2">
      <c r="A143" s="33">
        <f>'Upgrade Projects'!$A33</f>
        <v>1312</v>
      </c>
      <c r="B143" s="34" t="s">
        <v>35</v>
      </c>
      <c r="C143" s="35">
        <f>'Upgrade Projects'!$R33</f>
        <v>23.63</v>
      </c>
      <c r="D143" s="36">
        <f>Greenfield!P$16*(C143^Greenfield!P$15)</f>
        <v>14.626904983614766</v>
      </c>
      <c r="E143" s="37" t="str">
        <f>'Upgrade Projects'!$O33</f>
        <v>unknown</v>
      </c>
      <c r="F143" s="35">
        <f>'Upgrade Projects'!$S33</f>
        <v>0</v>
      </c>
      <c r="G143" s="36">
        <f>'Upgrade Projects'!$AJ33/10^6</f>
        <v>6.0245111186360631</v>
      </c>
      <c r="H143" s="38">
        <f>'Upgrade Projects'!$W33</f>
        <v>2013</v>
      </c>
      <c r="I143" s="35">
        <f t="shared" si="10"/>
        <v>23.63</v>
      </c>
      <c r="J143" s="36">
        <f t="shared" si="11"/>
        <v>20.651416102250828</v>
      </c>
      <c r="K143" s="38">
        <f t="shared" si="12"/>
        <v>2013</v>
      </c>
      <c r="M143" s="21">
        <f t="shared" si="13"/>
        <v>3.1625170911988163</v>
      </c>
      <c r="N143" s="21">
        <f t="shared" si="14"/>
        <v>3.0277838934359749</v>
      </c>
    </row>
    <row r="144" spans="1:14" x14ac:dyDescent="0.2">
      <c r="A144" s="33">
        <f>'Upgrade Projects'!$A34</f>
        <v>170</v>
      </c>
      <c r="B144" s="34" t="s">
        <v>35</v>
      </c>
      <c r="C144" s="35">
        <f>'Upgrade Projects'!$R34</f>
        <v>21.6</v>
      </c>
      <c r="D144" s="36">
        <f>Greenfield!P$16*(C144^Greenfield!P$15)</f>
        <v>13.930674262729566</v>
      </c>
      <c r="E144" s="37" t="str">
        <f>'Upgrade Projects'!$O34</f>
        <v>unknown</v>
      </c>
      <c r="F144" s="35">
        <f>'Upgrade Projects'!$S34</f>
        <v>1</v>
      </c>
      <c r="G144" s="36">
        <f>'Upgrade Projects'!$AJ34/10^6</f>
        <v>4.8829870198591019</v>
      </c>
      <c r="H144" s="38">
        <f>'Upgrade Projects'!$W34</f>
        <v>2001</v>
      </c>
      <c r="I144" s="35">
        <f t="shared" si="10"/>
        <v>22.6</v>
      </c>
      <c r="J144" s="36">
        <f t="shared" si="11"/>
        <v>18.813661282588669</v>
      </c>
      <c r="K144" s="38">
        <f t="shared" si="12"/>
        <v>2001</v>
      </c>
      <c r="M144" s="21">
        <f t="shared" si="13"/>
        <v>3.1179499062782403</v>
      </c>
      <c r="N144" s="21">
        <f t="shared" si="14"/>
        <v>2.934583269910958</v>
      </c>
    </row>
    <row r="145" spans="1:14" x14ac:dyDescent="0.2">
      <c r="A145" s="33">
        <f>'Upgrade Projects'!$A35</f>
        <v>1366</v>
      </c>
      <c r="B145" s="34" t="s">
        <v>35</v>
      </c>
      <c r="C145" s="35">
        <f>'Upgrade Projects'!$R35</f>
        <v>25.5</v>
      </c>
      <c r="D145" s="36">
        <f>Greenfield!P$16*(C145^Greenfield!P$15)</f>
        <v>15.244429190254193</v>
      </c>
      <c r="E145" s="37">
        <f>'Upgrade Projects'!$O35</f>
        <v>0</v>
      </c>
      <c r="F145" s="35">
        <f>'Upgrade Projects'!$S35</f>
        <v>14</v>
      </c>
      <c r="G145" s="36">
        <f>'Upgrade Projects'!$AJ35/10^6</f>
        <v>5.5737060104438019</v>
      </c>
      <c r="H145" s="38">
        <f>'Upgrade Projects'!$W35</f>
        <v>2013</v>
      </c>
      <c r="I145" s="35">
        <f t="shared" si="10"/>
        <v>39.5</v>
      </c>
      <c r="J145" s="36">
        <f t="shared" si="11"/>
        <v>20.818135200697995</v>
      </c>
      <c r="K145" s="38">
        <f t="shared" si="12"/>
        <v>2013</v>
      </c>
      <c r="M145" s="21">
        <f t="shared" si="13"/>
        <v>3.6763006719070761</v>
      </c>
      <c r="N145" s="21">
        <f t="shared" si="14"/>
        <v>3.0358244914855801</v>
      </c>
    </row>
    <row r="146" spans="1:14" x14ac:dyDescent="0.2">
      <c r="A146" s="33">
        <f>'Upgrade Projects'!$A36</f>
        <v>170</v>
      </c>
      <c r="B146" s="34" t="s">
        <v>35</v>
      </c>
      <c r="C146" s="35">
        <f>'Upgrade Projects'!$R36</f>
        <v>5.4</v>
      </c>
      <c r="D146" s="36">
        <f>Greenfield!P$16*(C146^Greenfield!P$15)</f>
        <v>6.5627542765818152</v>
      </c>
      <c r="E146" s="37" t="str">
        <f>'Upgrade Projects'!$O36</f>
        <v>unknown</v>
      </c>
      <c r="F146" s="35">
        <f>'Upgrade Projects'!$S36</f>
        <v>10.6</v>
      </c>
      <c r="G146" s="36">
        <f>'Upgrade Projects'!$AJ36/10^6</f>
        <v>5.2097107088088661</v>
      </c>
      <c r="H146" s="38">
        <f>'Upgrade Projects'!$W36</f>
        <v>2001</v>
      </c>
      <c r="I146" s="35">
        <f t="shared" si="10"/>
        <v>16</v>
      </c>
      <c r="J146" s="36">
        <f t="shared" si="11"/>
        <v>11.77246498539068</v>
      </c>
      <c r="K146" s="38">
        <f t="shared" si="12"/>
        <v>2001</v>
      </c>
      <c r="M146" s="21">
        <f t="shared" si="13"/>
        <v>2.7725887222397811</v>
      </c>
      <c r="N146" s="21">
        <f t="shared" si="14"/>
        <v>2.4657633288598122</v>
      </c>
    </row>
    <row r="147" spans="1:14" x14ac:dyDescent="0.2">
      <c r="A147" s="33">
        <f>'Upgrade Projects'!$A37</f>
        <v>1350</v>
      </c>
      <c r="B147" s="34" t="s">
        <v>35</v>
      </c>
      <c r="C147" s="35">
        <f>'Upgrade Projects'!$R37</f>
        <v>16</v>
      </c>
      <c r="D147" s="36">
        <f>Greenfield!P$16*(C147^Greenfield!P$15)</f>
        <v>11.836081701141181</v>
      </c>
      <c r="E147" s="37">
        <f>'Upgrade Projects'!$O37</f>
        <v>0</v>
      </c>
      <c r="F147" s="35">
        <f>'Upgrade Projects'!$S37</f>
        <v>20</v>
      </c>
      <c r="G147" s="36">
        <f>'Upgrade Projects'!$AJ37/10^6</f>
        <v>6.5300342953877131</v>
      </c>
      <c r="H147" s="38">
        <f>'Upgrade Projects'!$W37</f>
        <v>2013</v>
      </c>
      <c r="I147" s="35">
        <f t="shared" si="10"/>
        <v>36</v>
      </c>
      <c r="J147" s="36">
        <f t="shared" si="11"/>
        <v>18.366115996528894</v>
      </c>
      <c r="K147" s="38">
        <f t="shared" si="12"/>
        <v>2013</v>
      </c>
      <c r="M147" s="21">
        <f t="shared" si="13"/>
        <v>3.5835189384561099</v>
      </c>
      <c r="N147" s="21">
        <f t="shared" si="14"/>
        <v>2.9105074450011195</v>
      </c>
    </row>
    <row r="148" spans="1:14" x14ac:dyDescent="0.2">
      <c r="A148" s="33">
        <f>'Upgrade Projects'!$A38</f>
        <v>658</v>
      </c>
      <c r="B148" s="34" t="s">
        <v>35</v>
      </c>
      <c r="C148" s="35">
        <f>'Upgrade Projects'!$R38</f>
        <v>1.6</v>
      </c>
      <c r="D148" s="36">
        <f>Greenfield!P$16*(C148^Greenfield!P$15)</f>
        <v>3.3904869036187564</v>
      </c>
      <c r="E148" s="37">
        <f>'Upgrade Projects'!$O38</f>
        <v>1996</v>
      </c>
      <c r="F148" s="35">
        <f>'Upgrade Projects'!$S38</f>
        <v>13.200000000000001</v>
      </c>
      <c r="G148" s="36">
        <f>'Upgrade Projects'!$AJ38/10^6</f>
        <v>7.1146692323992218</v>
      </c>
      <c r="H148" s="38">
        <f>'Upgrade Projects'!$W38</f>
        <v>2008</v>
      </c>
      <c r="I148" s="35">
        <f t="shared" si="10"/>
        <v>14.8</v>
      </c>
      <c r="J148" s="36">
        <f t="shared" si="11"/>
        <v>10.505156136017979</v>
      </c>
      <c r="K148" s="38">
        <f t="shared" si="12"/>
        <v>2008</v>
      </c>
      <c r="M148" s="21">
        <f t="shared" si="13"/>
        <v>2.6946271807700692</v>
      </c>
      <c r="N148" s="21">
        <f t="shared" si="14"/>
        <v>2.3518661972058323</v>
      </c>
    </row>
    <row r="149" spans="1:14" x14ac:dyDescent="0.2">
      <c r="A149" s="33">
        <f>'Upgrade Projects'!$A39</f>
        <v>897</v>
      </c>
      <c r="B149" s="34" t="s">
        <v>35</v>
      </c>
      <c r="C149" s="35">
        <f>'Upgrade Projects'!$R39</f>
        <v>14.8</v>
      </c>
      <c r="D149" s="36">
        <f>Greenfield!P$16*(C149^Greenfield!P$15)</f>
        <v>11.345528928306386</v>
      </c>
      <c r="E149" s="37">
        <f>'Upgrade Projects'!$O39</f>
        <v>1996</v>
      </c>
      <c r="F149" s="35">
        <f>'Upgrade Projects'!$S39</f>
        <v>3</v>
      </c>
      <c r="G149" s="36">
        <f>'Upgrade Projects'!$AJ39/10^6</f>
        <v>6.2372112776035529</v>
      </c>
      <c r="H149" s="38">
        <f>'Upgrade Projects'!$W39</f>
        <v>2010</v>
      </c>
      <c r="I149" s="35">
        <f t="shared" si="10"/>
        <v>17.8</v>
      </c>
      <c r="J149" s="36">
        <f t="shared" si="11"/>
        <v>17.582740205909939</v>
      </c>
      <c r="K149" s="38">
        <f t="shared" si="12"/>
        <v>2010</v>
      </c>
      <c r="M149" s="21">
        <f t="shared" si="13"/>
        <v>2.8791984572980396</v>
      </c>
      <c r="N149" s="21">
        <f t="shared" si="14"/>
        <v>2.8669177507538057</v>
      </c>
    </row>
    <row r="150" spans="1:14" x14ac:dyDescent="0.2">
      <c r="A150" s="33">
        <f>'Upgrade Projects'!$A40</f>
        <v>483</v>
      </c>
      <c r="B150" s="34" t="s">
        <v>35</v>
      </c>
      <c r="C150" s="35">
        <f>'Upgrade Projects'!$R40</f>
        <v>20.7</v>
      </c>
      <c r="D150" s="36">
        <f>Greenfield!P$16*(C150^Greenfield!P$15)</f>
        <v>13.612460994340285</v>
      </c>
      <c r="E150" s="37">
        <f>'Upgrade Projects'!$O40</f>
        <v>1986</v>
      </c>
      <c r="F150" s="35">
        <f>'Upgrade Projects'!$S40</f>
        <v>18.099999999999998</v>
      </c>
      <c r="G150" s="36">
        <f>'Upgrade Projects'!$AJ40/10^6</f>
        <v>3.6200694377675466</v>
      </c>
      <c r="H150" s="38">
        <f>'Upgrade Projects'!$W40</f>
        <v>2005</v>
      </c>
      <c r="I150" s="35">
        <f t="shared" si="10"/>
        <v>38.799999999999997</v>
      </c>
      <c r="J150" s="36">
        <f t="shared" si="11"/>
        <v>17.232530432107833</v>
      </c>
      <c r="K150" s="38">
        <f t="shared" si="12"/>
        <v>2005</v>
      </c>
      <c r="M150" s="21">
        <f t="shared" si="13"/>
        <v>3.6584202466292277</v>
      </c>
      <c r="N150" s="21">
        <f t="shared" si="14"/>
        <v>2.8467989017478401</v>
      </c>
    </row>
    <row r="151" spans="1:14" x14ac:dyDescent="0.2">
      <c r="A151" s="33">
        <f>'Upgrade Projects'!$A41</f>
        <v>1494</v>
      </c>
      <c r="B151" s="34" t="s">
        <v>35</v>
      </c>
      <c r="C151" s="35">
        <f>'Upgrade Projects'!$R41</f>
        <v>13.3</v>
      </c>
      <c r="D151" s="36">
        <f>Greenfield!P$16*(C151^Greenfield!P$15)</f>
        <v>10.705983966639414</v>
      </c>
      <c r="E151" s="37">
        <f>'Upgrade Projects'!$O41</f>
        <v>0</v>
      </c>
      <c r="F151" s="35">
        <f>'Upgrade Projects'!$S41</f>
        <v>6</v>
      </c>
      <c r="G151" s="36">
        <f>'Upgrade Projects'!$AJ41/10^6</f>
        <v>6.4297485673579153</v>
      </c>
      <c r="H151" s="38">
        <f>'Upgrade Projects'!$W41</f>
        <v>2014</v>
      </c>
      <c r="I151" s="35">
        <f t="shared" si="10"/>
        <v>19.3</v>
      </c>
      <c r="J151" s="36">
        <f t="shared" si="11"/>
        <v>17.135732533997327</v>
      </c>
      <c r="K151" s="38">
        <f t="shared" si="12"/>
        <v>2014</v>
      </c>
      <c r="M151" s="21">
        <f t="shared" si="13"/>
        <v>2.9601050959108397</v>
      </c>
      <c r="N151" s="21">
        <f t="shared" si="14"/>
        <v>2.8411659051567204</v>
      </c>
    </row>
    <row r="152" spans="1:14" x14ac:dyDescent="0.2">
      <c r="A152" s="33">
        <f>'Upgrade Projects'!$A42</f>
        <v>488</v>
      </c>
      <c r="B152" s="34" t="s">
        <v>35</v>
      </c>
      <c r="C152" s="35">
        <f>'Upgrade Projects'!$R42</f>
        <v>41.3</v>
      </c>
      <c r="D152" s="36">
        <f>Greenfield!P$16*(C152^Greenfield!P$15)</f>
        <v>19.806575548654788</v>
      </c>
      <c r="E152" s="37">
        <f>'Upgrade Projects'!$O42</f>
        <v>1982</v>
      </c>
      <c r="F152" s="35">
        <f>'Upgrade Projects'!$S42</f>
        <v>24.200000000000003</v>
      </c>
      <c r="G152" s="36">
        <f>'Upgrade Projects'!$AJ42/10^6</f>
        <v>0.40462675342078769</v>
      </c>
      <c r="H152" s="38">
        <f>'Upgrade Projects'!$W42</f>
        <v>2006</v>
      </c>
      <c r="I152" s="35">
        <f t="shared" si="10"/>
        <v>65.5</v>
      </c>
      <c r="J152" s="36">
        <f t="shared" si="11"/>
        <v>20.211202302075577</v>
      </c>
      <c r="K152" s="38">
        <f t="shared" si="12"/>
        <v>2006</v>
      </c>
      <c r="M152" s="21">
        <f t="shared" si="13"/>
        <v>4.1820501426412067</v>
      </c>
      <c r="N152" s="21">
        <f t="shared" si="14"/>
        <v>3.0062370201000546</v>
      </c>
    </row>
    <row r="153" spans="1:14" x14ac:dyDescent="0.2">
      <c r="A153" s="33">
        <f>'Upgrade Projects'!$A43</f>
        <v>1692</v>
      </c>
      <c r="B153" s="34" t="s">
        <v>35</v>
      </c>
      <c r="C153" s="35">
        <f>'Upgrade Projects'!$R43</f>
        <v>65.5</v>
      </c>
      <c r="D153" s="36">
        <f>Greenfield!P$16*(C153^Greenfield!P$15)</f>
        <v>25.442319583928231</v>
      </c>
      <c r="E153" s="37">
        <f>'Upgrade Projects'!$O43</f>
        <v>0</v>
      </c>
      <c r="F153" s="35">
        <f>'Upgrade Projects'!$S43</f>
        <v>0</v>
      </c>
      <c r="G153" s="36">
        <f>'Upgrade Projects'!$AJ43/10^6</f>
        <v>2.2188176481219593</v>
      </c>
      <c r="H153" s="38">
        <f>'Upgrade Projects'!$W43</f>
        <v>2016</v>
      </c>
      <c r="I153" s="35">
        <f t="shared" si="10"/>
        <v>65.5</v>
      </c>
      <c r="J153" s="36">
        <f t="shared" si="11"/>
        <v>27.661137232050191</v>
      </c>
      <c r="K153" s="38">
        <f t="shared" si="12"/>
        <v>2016</v>
      </c>
      <c r="M153" s="21">
        <f t="shared" si="13"/>
        <v>4.1820501426412067</v>
      </c>
      <c r="N153" s="21">
        <f t="shared" si="14"/>
        <v>3.3200284400714772</v>
      </c>
    </row>
    <row r="154" spans="1:14" x14ac:dyDescent="0.2">
      <c r="A154" s="33">
        <f>'Upgrade Projects'!$A44</f>
        <v>318</v>
      </c>
      <c r="B154" s="34" t="s">
        <v>35</v>
      </c>
      <c r="C154" s="35">
        <f>'Upgrade Projects'!$R44</f>
        <v>22.87</v>
      </c>
      <c r="D154" s="36">
        <f>Greenfield!P$16*(C154^Greenfield!P$15)</f>
        <v>14.369575384486863</v>
      </c>
      <c r="E154" s="37">
        <f>'Upgrade Projects'!$O44</f>
        <v>1996</v>
      </c>
      <c r="F154" s="35">
        <f>'Upgrade Projects'!$S44</f>
        <v>1</v>
      </c>
      <c r="G154" s="36">
        <f>'Upgrade Projects'!$AJ44/10^6</f>
        <v>0.76702040063252341</v>
      </c>
      <c r="H154" s="38">
        <f>'Upgrade Projects'!$W44</f>
        <v>2001</v>
      </c>
      <c r="I154" s="35">
        <f t="shared" si="10"/>
        <v>23.87</v>
      </c>
      <c r="J154" s="36">
        <f t="shared" si="11"/>
        <v>15.136595785119386</v>
      </c>
      <c r="K154" s="38">
        <f t="shared" si="12"/>
        <v>2001</v>
      </c>
      <c r="M154" s="21">
        <f t="shared" si="13"/>
        <v>3.1726224403507386</v>
      </c>
      <c r="N154" s="21">
        <f t="shared" si="14"/>
        <v>2.7171153736595497</v>
      </c>
    </row>
    <row r="155" spans="1:14" x14ac:dyDescent="0.2">
      <c r="A155" s="33">
        <f>'Upgrade Projects'!$A45</f>
        <v>806</v>
      </c>
      <c r="B155" s="34" t="s">
        <v>35</v>
      </c>
      <c r="C155" s="35">
        <f>'Upgrade Projects'!$R45</f>
        <v>23.867000000000001</v>
      </c>
      <c r="D155" s="36">
        <f>Greenfield!P$16*(C155^Greenfield!P$15)</f>
        <v>14.706374739028803</v>
      </c>
      <c r="E155" s="37">
        <f>'Upgrade Projects'!$O45</f>
        <v>1996</v>
      </c>
      <c r="F155" s="35">
        <f>'Upgrade Projects'!$S45</f>
        <v>5.4329999999999998</v>
      </c>
      <c r="G155" s="36">
        <f>'Upgrade Projects'!$AJ45/10^6</f>
        <v>0.68947713107767894</v>
      </c>
      <c r="H155" s="38">
        <f>'Upgrade Projects'!$W45</f>
        <v>2008</v>
      </c>
      <c r="I155" s="35">
        <f t="shared" si="10"/>
        <v>29.3</v>
      </c>
      <c r="J155" s="36">
        <f t="shared" si="11"/>
        <v>15.395851870106481</v>
      </c>
      <c r="K155" s="38">
        <f t="shared" si="12"/>
        <v>2008</v>
      </c>
      <c r="M155" s="21">
        <f t="shared" si="13"/>
        <v>3.3775875160230218</v>
      </c>
      <c r="N155" s="21">
        <f t="shared" si="14"/>
        <v>2.7340981140519149</v>
      </c>
    </row>
    <row r="156" spans="1:14" x14ac:dyDescent="0.2">
      <c r="A156" s="33">
        <f>'Upgrade Projects'!$A46</f>
        <v>1495</v>
      </c>
      <c r="B156" s="34" t="s">
        <v>35</v>
      </c>
      <c r="C156" s="35">
        <f>'Upgrade Projects'!$R46</f>
        <v>29.3</v>
      </c>
      <c r="D156" s="36">
        <f>Greenfield!P$16*(C156^Greenfield!P$15)</f>
        <v>16.438633104370755</v>
      </c>
      <c r="E156" s="37">
        <f>'Upgrade Projects'!$O46</f>
        <v>1996</v>
      </c>
      <c r="F156" s="35">
        <f>'Upgrade Projects'!$S46</f>
        <v>0</v>
      </c>
      <c r="G156" s="36">
        <f>'Upgrade Projects'!$AJ46/10^6</f>
        <v>5.142810508174632</v>
      </c>
      <c r="H156" s="38">
        <f>'Upgrade Projects'!$W46</f>
        <v>2014</v>
      </c>
      <c r="I156" s="35">
        <f t="shared" si="10"/>
        <v>29.3</v>
      </c>
      <c r="J156" s="36">
        <f t="shared" si="11"/>
        <v>21.581443612545385</v>
      </c>
      <c r="K156" s="38">
        <f t="shared" si="12"/>
        <v>2014</v>
      </c>
      <c r="M156" s="21">
        <f t="shared" si="13"/>
        <v>3.3775875160230218</v>
      </c>
      <c r="N156" s="21">
        <f t="shared" si="14"/>
        <v>3.0718338534473051</v>
      </c>
    </row>
    <row r="157" spans="1:14" x14ac:dyDescent="0.2">
      <c r="A157" s="33">
        <f>'Upgrade Projects'!$A47</f>
        <v>1386</v>
      </c>
      <c r="B157" s="34" t="s">
        <v>35</v>
      </c>
      <c r="C157" s="35">
        <f>'Upgrade Projects'!$R47</f>
        <v>32.700000000000003</v>
      </c>
      <c r="D157" s="36">
        <f>Greenfield!P$16*(C157^Greenfield!P$15)</f>
        <v>17.448312627543181</v>
      </c>
      <c r="E157" s="37">
        <f>'Upgrade Projects'!$O47</f>
        <v>0</v>
      </c>
      <c r="F157" s="35">
        <f>'Upgrade Projects'!$S47</f>
        <v>13.5</v>
      </c>
      <c r="G157" s="36">
        <f>'Upgrade Projects'!$AJ47/10^6</f>
        <v>0.85934464632152285</v>
      </c>
      <c r="H157" s="38">
        <f>'Upgrade Projects'!$W47</f>
        <v>2013</v>
      </c>
      <c r="I157" s="35">
        <f t="shared" si="10"/>
        <v>46.2</v>
      </c>
      <c r="J157" s="36">
        <f t="shared" si="11"/>
        <v>18.307657273864706</v>
      </c>
      <c r="K157" s="38">
        <f t="shared" si="12"/>
        <v>2013</v>
      </c>
      <c r="M157" s="21">
        <f t="shared" si="13"/>
        <v>3.8329797980876932</v>
      </c>
      <c r="N157" s="21">
        <f t="shared" si="14"/>
        <v>2.9073194025956748</v>
      </c>
    </row>
    <row r="158" spans="1:14" x14ac:dyDescent="0.2">
      <c r="A158" s="33">
        <f>'Upgrade Projects'!$A48</f>
        <v>928</v>
      </c>
      <c r="B158" s="34" t="s">
        <v>35</v>
      </c>
      <c r="C158" s="35">
        <f>'Upgrade Projects'!$R48</f>
        <v>18.02</v>
      </c>
      <c r="D158" s="36">
        <f>Greenfield!P$16*(C158^Greenfield!P$15)</f>
        <v>12.62533349039378</v>
      </c>
      <c r="E158" s="37">
        <f>'Upgrade Projects'!$O48</f>
        <v>1992</v>
      </c>
      <c r="F158" s="35">
        <f>'Upgrade Projects'!$S48</f>
        <v>3.4800000000000004</v>
      </c>
      <c r="G158" s="36">
        <f>'Upgrade Projects'!$AJ48/10^6</f>
        <v>10.364367944955573</v>
      </c>
      <c r="H158" s="38">
        <f>'Upgrade Projects'!$W48</f>
        <v>2010</v>
      </c>
      <c r="I158" s="35">
        <f t="shared" si="10"/>
        <v>21.5</v>
      </c>
      <c r="J158" s="36">
        <f t="shared" si="11"/>
        <v>22.989701435349353</v>
      </c>
      <c r="K158" s="38">
        <f t="shared" si="12"/>
        <v>2010</v>
      </c>
      <c r="M158" s="21">
        <f t="shared" si="13"/>
        <v>3.068052935133617</v>
      </c>
      <c r="N158" s="21">
        <f t="shared" si="14"/>
        <v>3.1350463519725955</v>
      </c>
    </row>
    <row r="159" spans="1:14" x14ac:dyDescent="0.2">
      <c r="A159" s="33">
        <f>'Upgrade Projects'!$A49</f>
        <v>1450</v>
      </c>
      <c r="B159" s="34" t="s">
        <v>35</v>
      </c>
      <c r="C159" s="35">
        <f>'Upgrade Projects'!$R49</f>
        <v>21.5</v>
      </c>
      <c r="D159" s="36">
        <f>Greenfield!P$16*(C159^Greenfield!P$15)</f>
        <v>13.895620454659115</v>
      </c>
      <c r="E159" s="37">
        <f>'Upgrade Projects'!$O49</f>
        <v>1992</v>
      </c>
      <c r="F159" s="35">
        <f>'Upgrade Projects'!$S49</f>
        <v>16.299999999999997</v>
      </c>
      <c r="G159" s="36">
        <f>'Upgrade Projects'!$AJ49/10^6</f>
        <v>5.1529943993409928</v>
      </c>
      <c r="H159" s="38">
        <f>'Upgrade Projects'!$W49</f>
        <v>2014</v>
      </c>
      <c r="I159" s="35">
        <f t="shared" si="10"/>
        <v>37.799999999999997</v>
      </c>
      <c r="J159" s="36">
        <f t="shared" si="11"/>
        <v>19.048614854000107</v>
      </c>
      <c r="K159" s="38">
        <f t="shared" si="12"/>
        <v>2014</v>
      </c>
      <c r="M159" s="21">
        <f t="shared" si="13"/>
        <v>3.6323091026255421</v>
      </c>
      <c r="N159" s="21">
        <f t="shared" si="14"/>
        <v>2.9469943878530218</v>
      </c>
    </row>
    <row r="160" spans="1:14" x14ac:dyDescent="0.2">
      <c r="A160" s="33">
        <f>'Upgrade Projects'!$A50</f>
        <v>170</v>
      </c>
      <c r="B160" s="34" t="s">
        <v>35</v>
      </c>
      <c r="C160" s="35">
        <f>'Upgrade Projects'!$R50</f>
        <v>17.7</v>
      </c>
      <c r="D160" s="36">
        <f>Greenfield!P$16*(C160^Greenfield!P$15)</f>
        <v>12.503106030682417</v>
      </c>
      <c r="E160" s="37" t="str">
        <f>'Upgrade Projects'!$O50</f>
        <v>unknown</v>
      </c>
      <c r="F160" s="35">
        <f>'Upgrade Projects'!$S50</f>
        <v>8.8000000000000007</v>
      </c>
      <c r="G160" s="36">
        <f>'Upgrade Projects'!$AJ50/10^6</f>
        <v>1.1342290648673055</v>
      </c>
      <c r="H160" s="38">
        <f>'Upgrade Projects'!$W50</f>
        <v>2001</v>
      </c>
      <c r="I160" s="35">
        <f t="shared" si="10"/>
        <v>26.5</v>
      </c>
      <c r="J160" s="36">
        <f t="shared" si="11"/>
        <v>13.637335095549723</v>
      </c>
      <c r="K160" s="38">
        <f t="shared" si="12"/>
        <v>2001</v>
      </c>
      <c r="M160" s="21">
        <f t="shared" si="13"/>
        <v>3.2771447329921766</v>
      </c>
      <c r="N160" s="21">
        <f t="shared" si="14"/>
        <v>2.6128112591007255</v>
      </c>
    </row>
    <row r="161" spans="1:14" x14ac:dyDescent="0.2">
      <c r="A161" s="33">
        <f>'Upgrade Projects'!$A51</f>
        <v>649</v>
      </c>
      <c r="B161" s="34" t="s">
        <v>35</v>
      </c>
      <c r="C161" s="35">
        <f>'Upgrade Projects'!$R51</f>
        <v>26.5</v>
      </c>
      <c r="D161" s="36">
        <f>Greenfield!P$16*(C161^Greenfield!P$15)</f>
        <v>15.566158736551994</v>
      </c>
      <c r="E161" s="37">
        <f>'Upgrade Projects'!$O51</f>
        <v>1997</v>
      </c>
      <c r="F161" s="35">
        <f>'Upgrade Projects'!$S51</f>
        <v>33.799999999999997</v>
      </c>
      <c r="G161" s="36">
        <f>'Upgrade Projects'!$AJ51/10^6</f>
        <v>5.0180795362586865</v>
      </c>
      <c r="H161" s="38">
        <f>'Upgrade Projects'!$W51</f>
        <v>2007</v>
      </c>
      <c r="I161" s="35">
        <f t="shared" si="10"/>
        <v>60.3</v>
      </c>
      <c r="J161" s="36">
        <f t="shared" si="11"/>
        <v>20.58423827281068</v>
      </c>
      <c r="K161" s="38">
        <f t="shared" si="12"/>
        <v>2007</v>
      </c>
      <c r="M161" s="21">
        <f t="shared" si="13"/>
        <v>4.0993321037331398</v>
      </c>
      <c r="N161" s="21">
        <f t="shared" si="14"/>
        <v>3.0245256505445233</v>
      </c>
    </row>
    <row r="162" spans="1:14" x14ac:dyDescent="0.2">
      <c r="A162" s="33">
        <f>'Upgrade Projects'!$A52</f>
        <v>1203</v>
      </c>
      <c r="B162" s="34" t="s">
        <v>35</v>
      </c>
      <c r="C162" s="35">
        <f>'Upgrade Projects'!$R52</f>
        <v>20.5</v>
      </c>
      <c r="D162" s="36">
        <f>Greenfield!P$16*(C162^Greenfield!P$15)</f>
        <v>13.540893597465583</v>
      </c>
      <c r="E162" s="37">
        <f>'Upgrade Projects'!$O52</f>
        <v>1977</v>
      </c>
      <c r="F162" s="35">
        <f>'Upgrade Projects'!$S52</f>
        <v>4.1000000000000014</v>
      </c>
      <c r="G162" s="36">
        <f>'Upgrade Projects'!$AJ52/10^6</f>
        <v>12.443615523285567</v>
      </c>
      <c r="H162" s="38">
        <f>'Upgrade Projects'!$W52</f>
        <v>2012</v>
      </c>
      <c r="I162" s="35">
        <f t="shared" si="10"/>
        <v>24.6</v>
      </c>
      <c r="J162" s="36">
        <f t="shared" si="11"/>
        <v>25.984509120751149</v>
      </c>
      <c r="K162" s="38">
        <f t="shared" si="12"/>
        <v>2012</v>
      </c>
      <c r="M162" s="21">
        <f t="shared" si="13"/>
        <v>3.202746442938317</v>
      </c>
      <c r="N162" s="21">
        <f t="shared" si="14"/>
        <v>3.2575005574122819</v>
      </c>
    </row>
    <row r="163" spans="1:14" x14ac:dyDescent="0.2">
      <c r="A163" s="33">
        <f>'Upgrade Projects'!$A53</f>
        <v>170</v>
      </c>
      <c r="B163" s="34" t="s">
        <v>35</v>
      </c>
      <c r="C163" s="35">
        <f>'Upgrade Projects'!$R53</f>
        <v>7.9</v>
      </c>
      <c r="D163" s="36">
        <f>Greenfield!P$16*(C163^Greenfield!P$15)</f>
        <v>8.068613280706769</v>
      </c>
      <c r="E163" s="37">
        <f>'Upgrade Projects'!$O53</f>
        <v>1972</v>
      </c>
      <c r="F163" s="35">
        <f>'Upgrade Projects'!$S53</f>
        <v>6.1</v>
      </c>
      <c r="G163" s="36">
        <f>'Upgrade Projects'!$AJ53/10^6</f>
        <v>2.9004939377112939</v>
      </c>
      <c r="H163" s="38">
        <f>'Upgrade Projects'!$W53</f>
        <v>2001</v>
      </c>
      <c r="I163" s="35">
        <f t="shared" si="10"/>
        <v>14</v>
      </c>
      <c r="J163" s="36">
        <f t="shared" si="11"/>
        <v>10.969107218418063</v>
      </c>
      <c r="K163" s="38">
        <f t="shared" si="12"/>
        <v>2001</v>
      </c>
      <c r="M163" s="21">
        <f t="shared" si="13"/>
        <v>2.6390573296152584</v>
      </c>
      <c r="N163" s="21">
        <f t="shared" si="14"/>
        <v>2.3950828870571534</v>
      </c>
    </row>
    <row r="164" spans="1:14" x14ac:dyDescent="0.2">
      <c r="A164" s="33">
        <f>'Upgrade Projects'!$A54</f>
        <v>363</v>
      </c>
      <c r="B164" s="34" t="s">
        <v>35</v>
      </c>
      <c r="C164" s="35">
        <f>'Upgrade Projects'!$R54</f>
        <v>21.225999999999999</v>
      </c>
      <c r="D164" s="36">
        <f>Greenfield!P$16*(C164^Greenfield!P$15)</f>
        <v>13.799189280329706</v>
      </c>
      <c r="E164" s="37">
        <f>'Upgrade Projects'!$O54</f>
        <v>1975</v>
      </c>
      <c r="F164" s="35">
        <f>'Upgrade Projects'!$S54</f>
        <v>4.1999999999999993</v>
      </c>
      <c r="G164" s="36">
        <f>'Upgrade Projects'!$AJ54/10^6</f>
        <v>0.82194253395528394</v>
      </c>
      <c r="H164" s="38">
        <f>'Upgrade Projects'!$W54</f>
        <v>2004</v>
      </c>
      <c r="I164" s="35">
        <f t="shared" si="10"/>
        <v>25.425999999999998</v>
      </c>
      <c r="J164" s="36">
        <f t="shared" si="11"/>
        <v>14.62113181428499</v>
      </c>
      <c r="K164" s="38">
        <f t="shared" si="12"/>
        <v>2004</v>
      </c>
      <c r="M164" s="21">
        <f t="shared" si="13"/>
        <v>3.2357722725279308</v>
      </c>
      <c r="N164" s="21">
        <f t="shared" si="14"/>
        <v>2.6824678668029787</v>
      </c>
    </row>
    <row r="165" spans="1:14" x14ac:dyDescent="0.2">
      <c r="A165" s="33">
        <f>'Upgrade Projects'!$A55</f>
        <v>493</v>
      </c>
      <c r="B165" s="34" t="s">
        <v>35</v>
      </c>
      <c r="C165" s="35">
        <f>'Upgrade Projects'!$R55</f>
        <v>25.4</v>
      </c>
      <c r="D165" s="36">
        <f>Greenfield!P$16*(C165^Greenfield!P$15)</f>
        <v>15.211941614326257</v>
      </c>
      <c r="E165" s="37">
        <f>'Upgrade Projects'!$O55</f>
        <v>1975</v>
      </c>
      <c r="F165" s="35">
        <f>'Upgrade Projects'!$S55</f>
        <v>3.3000000000000007</v>
      </c>
      <c r="G165" s="36">
        <f>'Upgrade Projects'!$AJ55/10^6</f>
        <v>3.4002692913337142</v>
      </c>
      <c r="H165" s="38">
        <f>'Upgrade Projects'!$W55</f>
        <v>2006</v>
      </c>
      <c r="I165" s="35">
        <f t="shared" si="10"/>
        <v>28.7</v>
      </c>
      <c r="J165" s="36">
        <f t="shared" si="11"/>
        <v>18.612210905659971</v>
      </c>
      <c r="K165" s="38">
        <f t="shared" si="12"/>
        <v>2006</v>
      </c>
      <c r="M165" s="21">
        <f t="shared" si="13"/>
        <v>3.3568971227655755</v>
      </c>
      <c r="N165" s="21">
        <f t="shared" si="14"/>
        <v>2.9238178656213996</v>
      </c>
    </row>
    <row r="166" spans="1:14" x14ac:dyDescent="0.2">
      <c r="A166" s="33">
        <f>'Upgrade Projects'!$A56</f>
        <v>685</v>
      </c>
      <c r="B166" s="34" t="s">
        <v>35</v>
      </c>
      <c r="C166" s="35">
        <f>'Upgrade Projects'!$R56</f>
        <v>28.7</v>
      </c>
      <c r="D166" s="36">
        <f>Greenfield!P$16*(C166^Greenfield!P$15)</f>
        <v>16.254998765804071</v>
      </c>
      <c r="E166" s="37">
        <f>'Upgrade Projects'!$O56</f>
        <v>1975</v>
      </c>
      <c r="F166" s="35">
        <f>'Upgrade Projects'!$S56</f>
        <v>4.1999999999999993</v>
      </c>
      <c r="G166" s="36">
        <f>'Upgrade Projects'!$AJ56/10^6</f>
        <v>0.94606982488538283</v>
      </c>
      <c r="H166" s="38">
        <f>'Upgrade Projects'!$W56</f>
        <v>2007</v>
      </c>
      <c r="I166" s="35">
        <f t="shared" si="10"/>
        <v>32.9</v>
      </c>
      <c r="J166" s="36">
        <f t="shared" si="11"/>
        <v>17.201068590689456</v>
      </c>
      <c r="K166" s="38">
        <f t="shared" si="12"/>
        <v>2007</v>
      </c>
      <c r="M166" s="21">
        <f t="shared" si="13"/>
        <v>3.493472657771326</v>
      </c>
      <c r="N166" s="21">
        <f t="shared" si="14"/>
        <v>2.8449715092552483</v>
      </c>
    </row>
    <row r="167" spans="1:14" x14ac:dyDescent="0.2">
      <c r="A167" s="33">
        <f>'Upgrade Projects'!$A57</f>
        <v>1574</v>
      </c>
      <c r="B167" s="34" t="s">
        <v>35</v>
      </c>
      <c r="C167" s="35">
        <f>'Upgrade Projects'!$R57</f>
        <v>28</v>
      </c>
      <c r="D167" s="36">
        <f>Greenfield!P$16*(C167^Greenfield!P$15)</f>
        <v>16.038526361267078</v>
      </c>
      <c r="E167" s="37">
        <f>'Upgrade Projects'!$O57</f>
        <v>2013</v>
      </c>
      <c r="F167" s="35">
        <f>'Upgrade Projects'!$S57</f>
        <v>0</v>
      </c>
      <c r="G167" s="36">
        <f>'Upgrade Projects'!$AJ57/10^6</f>
        <v>6.2662260340537754</v>
      </c>
      <c r="H167" s="38">
        <f>'Upgrade Projects'!$W57</f>
        <v>2015</v>
      </c>
      <c r="I167" s="35">
        <f t="shared" si="10"/>
        <v>28</v>
      </c>
      <c r="J167" s="36">
        <f t="shared" si="11"/>
        <v>22.304752395320854</v>
      </c>
      <c r="K167" s="38">
        <f t="shared" si="12"/>
        <v>2015</v>
      </c>
      <c r="M167" s="21">
        <f t="shared" si="13"/>
        <v>3.3322045101752038</v>
      </c>
      <c r="N167" s="21">
        <f t="shared" si="14"/>
        <v>3.1047997676587547</v>
      </c>
    </row>
    <row r="168" spans="1:14" x14ac:dyDescent="0.2">
      <c r="A168" s="33">
        <f>'Upgrade Projects'!$A58</f>
        <v>435</v>
      </c>
      <c r="B168" s="34" t="s">
        <v>35</v>
      </c>
      <c r="C168" s="35">
        <f>'Upgrade Projects'!$R58</f>
        <v>10.6</v>
      </c>
      <c r="D168" s="36">
        <f>Greenfield!P$16*(C168^Greenfield!P$15)</f>
        <v>9.465020641683763</v>
      </c>
      <c r="E168" s="37">
        <f>'Upgrade Projects'!$O58</f>
        <v>1990</v>
      </c>
      <c r="F168" s="35">
        <f>'Upgrade Projects'!$S58</f>
        <v>8.4</v>
      </c>
      <c r="G168" s="36">
        <f>'Upgrade Projects'!$AJ58/10^6</f>
        <v>3.0773639102073269</v>
      </c>
      <c r="H168" s="38">
        <f>'Upgrade Projects'!$W58</f>
        <v>2004</v>
      </c>
      <c r="I168" s="35">
        <f t="shared" si="10"/>
        <v>19</v>
      </c>
      <c r="J168" s="36">
        <f t="shared" si="11"/>
        <v>12.542384551891089</v>
      </c>
      <c r="K168" s="38">
        <f t="shared" si="12"/>
        <v>2004</v>
      </c>
      <c r="M168" s="21">
        <f t="shared" si="13"/>
        <v>2.9444389791664403</v>
      </c>
      <c r="N168" s="21">
        <f t="shared" si="14"/>
        <v>2.5291136727806771</v>
      </c>
    </row>
    <row r="169" spans="1:14" x14ac:dyDescent="0.2">
      <c r="A169" s="33">
        <f>'Upgrade Projects'!$A59</f>
        <v>652</v>
      </c>
      <c r="B169" s="34" t="s">
        <v>35</v>
      </c>
      <c r="C169" s="35">
        <f>'Upgrade Projects'!$R59</f>
        <v>10.195</v>
      </c>
      <c r="D169" s="36">
        <f>Greenfield!P$16*(C169^Greenfield!P$15)</f>
        <v>9.2669252979568419</v>
      </c>
      <c r="E169" s="37">
        <f>'Upgrade Projects'!$O59</f>
        <v>1986</v>
      </c>
      <c r="F169" s="35">
        <f>'Upgrade Projects'!$S59</f>
        <v>3.4049999999999994</v>
      </c>
      <c r="G169" s="36">
        <f>'Upgrade Projects'!$AJ59/10^6</f>
        <v>4.380227937072533</v>
      </c>
      <c r="H169" s="38">
        <f>'Upgrade Projects'!$W59</f>
        <v>2007</v>
      </c>
      <c r="I169" s="35">
        <f t="shared" si="10"/>
        <v>13.6</v>
      </c>
      <c r="J169" s="36">
        <f t="shared" si="11"/>
        <v>13.647153235029375</v>
      </c>
      <c r="K169" s="38">
        <f t="shared" si="12"/>
        <v>2007</v>
      </c>
      <c r="M169" s="21">
        <f t="shared" si="13"/>
        <v>2.6100697927420065</v>
      </c>
      <c r="N169" s="21">
        <f t="shared" si="14"/>
        <v>2.6135309456702132</v>
      </c>
    </row>
    <row r="170" spans="1:14" x14ac:dyDescent="0.2">
      <c r="A170" s="33">
        <f>'Upgrade Projects'!$A60</f>
        <v>366</v>
      </c>
      <c r="B170" s="34" t="s">
        <v>35</v>
      </c>
      <c r="C170" s="35">
        <f>'Upgrade Projects'!$R60</f>
        <v>11.1</v>
      </c>
      <c r="D170" s="36">
        <f>Greenfield!P$16*(C170^Greenfield!P$15)</f>
        <v>9.7048711745993099</v>
      </c>
      <c r="E170" s="37">
        <f>'Upgrade Projects'!$O60</f>
        <v>1981</v>
      </c>
      <c r="F170" s="35">
        <f>'Upgrade Projects'!$S60</f>
        <v>4.8000000000000007</v>
      </c>
      <c r="G170" s="36">
        <f>'Upgrade Projects'!$AJ60/10^6</f>
        <v>0.60207988766843201</v>
      </c>
      <c r="H170" s="38">
        <f>'Upgrade Projects'!$W60</f>
        <v>2003</v>
      </c>
      <c r="I170" s="35">
        <f t="shared" si="10"/>
        <v>15.9</v>
      </c>
      <c r="J170" s="36">
        <f t="shared" si="11"/>
        <v>10.306951062267743</v>
      </c>
      <c r="K170" s="38">
        <f t="shared" si="12"/>
        <v>2003</v>
      </c>
      <c r="M170" s="21">
        <f t="shared" si="13"/>
        <v>2.7663191092261861</v>
      </c>
      <c r="N170" s="21">
        <f t="shared" si="14"/>
        <v>2.332818528034045</v>
      </c>
    </row>
    <row r="171" spans="1:14" x14ac:dyDescent="0.2">
      <c r="A171" s="33">
        <f>'Upgrade Projects'!$A61</f>
        <v>1640</v>
      </c>
      <c r="B171" s="34" t="s">
        <v>35</v>
      </c>
      <c r="C171" s="35">
        <f>'Upgrade Projects'!$R61</f>
        <v>15.9</v>
      </c>
      <c r="D171" s="36">
        <f>Greenfield!P$16*(C171^Greenfield!P$15)</f>
        <v>11.795859460376622</v>
      </c>
      <c r="E171" s="37">
        <f>'Upgrade Projects'!$O61</f>
        <v>1981</v>
      </c>
      <c r="F171" s="35">
        <f>'Upgrade Projects'!$S61</f>
        <v>2.4999999999999982</v>
      </c>
      <c r="G171" s="36">
        <f>'Upgrade Projects'!$AJ61/10^6</f>
        <v>8.3244002844443177</v>
      </c>
      <c r="H171" s="38">
        <f>'Upgrade Projects'!$W61</f>
        <v>2015</v>
      </c>
      <c r="I171" s="35">
        <f t="shared" si="10"/>
        <v>18.399999999999999</v>
      </c>
      <c r="J171" s="36">
        <f t="shared" si="11"/>
        <v>20.120259744820942</v>
      </c>
      <c r="K171" s="38">
        <f t="shared" si="12"/>
        <v>2015</v>
      </c>
      <c r="M171" s="21">
        <f t="shared" si="13"/>
        <v>2.91235066461494</v>
      </c>
      <c r="N171" s="21">
        <f t="shared" si="14"/>
        <v>3.0017272549305609</v>
      </c>
    </row>
    <row r="172" spans="1:14" x14ac:dyDescent="0.2">
      <c r="A172" s="33">
        <f>'Upgrade Projects'!$A62</f>
        <v>367</v>
      </c>
      <c r="B172" s="34" t="s">
        <v>35</v>
      </c>
      <c r="C172" s="35">
        <f>'Upgrade Projects'!$R62</f>
        <v>11.211</v>
      </c>
      <c r="D172" s="36">
        <f>Greenfield!P$16*(C172^Greenfield!P$15)</f>
        <v>9.7574435384483067</v>
      </c>
      <c r="E172" s="37">
        <f>'Upgrade Projects'!$O62</f>
        <v>1988</v>
      </c>
      <c r="F172" s="35">
        <f>'Upgrade Projects'!$S62</f>
        <v>1</v>
      </c>
      <c r="G172" s="36">
        <f>'Upgrade Projects'!$AJ62/10^6</f>
        <v>0.55588557988620213</v>
      </c>
      <c r="H172" s="38">
        <f>'Upgrade Projects'!$W62</f>
        <v>2004</v>
      </c>
      <c r="I172" s="35">
        <f t="shared" si="10"/>
        <v>12.211</v>
      </c>
      <c r="J172" s="36">
        <f t="shared" si="11"/>
        <v>10.313329118334508</v>
      </c>
      <c r="K172" s="38">
        <f t="shared" si="12"/>
        <v>2004</v>
      </c>
      <c r="M172" s="21">
        <f t="shared" si="13"/>
        <v>2.5023371848508846</v>
      </c>
      <c r="N172" s="21">
        <f t="shared" si="14"/>
        <v>2.3334371477825937</v>
      </c>
    </row>
    <row r="173" spans="1:14" x14ac:dyDescent="0.2">
      <c r="A173" s="33">
        <f>'Upgrade Projects'!$A63</f>
        <v>650</v>
      </c>
      <c r="B173" s="34" t="s">
        <v>35</v>
      </c>
      <c r="C173" s="35">
        <f>'Upgrade Projects'!$R63</f>
        <v>23</v>
      </c>
      <c r="D173" s="36">
        <f>Greenfield!P$16*(C173^Greenfield!P$15)</f>
        <v>14.413866304209847</v>
      </c>
      <c r="E173" s="37">
        <f>'Upgrade Projects'!$O63</f>
        <v>1981</v>
      </c>
      <c r="F173" s="35">
        <f>'Upgrade Projects'!$S63</f>
        <v>0</v>
      </c>
      <c r="G173" s="36">
        <f>'Upgrade Projects'!$AJ63/10^6</f>
        <v>5.9476879309059552</v>
      </c>
      <c r="H173" s="38">
        <f>'Upgrade Projects'!$W63</f>
        <v>2007</v>
      </c>
      <c r="I173" s="35">
        <f t="shared" si="10"/>
        <v>23</v>
      </c>
      <c r="J173" s="36">
        <f t="shared" si="11"/>
        <v>20.361554235115804</v>
      </c>
      <c r="K173" s="38">
        <f t="shared" si="12"/>
        <v>2007</v>
      </c>
      <c r="M173" s="21">
        <f t="shared" si="13"/>
        <v>3.1354942159291497</v>
      </c>
      <c r="N173" s="21">
        <f t="shared" si="14"/>
        <v>3.0136485264463433</v>
      </c>
    </row>
    <row r="174" spans="1:14" x14ac:dyDescent="0.2">
      <c r="A174" s="33">
        <f>'Upgrade Projects'!$A64</f>
        <v>902</v>
      </c>
      <c r="B174" s="34" t="s">
        <v>35</v>
      </c>
      <c r="C174" s="35">
        <f>'Upgrade Projects'!$R64</f>
        <v>19.2</v>
      </c>
      <c r="D174" s="36">
        <f>Greenfield!P$16*(C174^Greenfield!P$15)</f>
        <v>13.067697900213687</v>
      </c>
      <c r="E174" s="37">
        <f>'Upgrade Projects'!$O64</f>
        <v>2002</v>
      </c>
      <c r="F174" s="35">
        <f>'Upgrade Projects'!$S64</f>
        <v>13.500000000000004</v>
      </c>
      <c r="G174" s="36">
        <f>'Upgrade Projects'!$AJ64/10^6</f>
        <v>0.54699963688402187</v>
      </c>
      <c r="H174" s="38">
        <f>'Upgrade Projects'!$W64</f>
        <v>2009</v>
      </c>
      <c r="I174" s="35">
        <f t="shared" si="10"/>
        <v>32.700000000000003</v>
      </c>
      <c r="J174" s="36">
        <f t="shared" si="11"/>
        <v>13.61469753709771</v>
      </c>
      <c r="K174" s="38">
        <f t="shared" si="12"/>
        <v>2009</v>
      </c>
      <c r="M174" s="21">
        <f t="shared" si="13"/>
        <v>3.487375077903208</v>
      </c>
      <c r="N174" s="21">
        <f t="shared" si="14"/>
        <v>2.6111499104619691</v>
      </c>
    </row>
    <row r="175" spans="1:14" x14ac:dyDescent="0.2">
      <c r="A175" s="33">
        <f>'Upgrade Projects'!$A65</f>
        <v>1202</v>
      </c>
      <c r="B175" s="34" t="s">
        <v>35</v>
      </c>
      <c r="C175" s="35">
        <f>'Upgrade Projects'!$R65</f>
        <v>19.399999999999999</v>
      </c>
      <c r="D175" s="36">
        <f>Greenfield!P$16*(C175^Greenfield!P$15)</f>
        <v>13.141429649997781</v>
      </c>
      <c r="E175" s="37">
        <f>'Upgrade Projects'!$O65</f>
        <v>1989</v>
      </c>
      <c r="F175" s="35">
        <f>'Upgrade Projects'!$S65</f>
        <v>1.6000000000000014</v>
      </c>
      <c r="G175" s="36">
        <f>'Upgrade Projects'!$AJ65/10^6</f>
        <v>10.745042225505973</v>
      </c>
      <c r="H175" s="38">
        <f>'Upgrade Projects'!$W65</f>
        <v>2012</v>
      </c>
      <c r="I175" s="35">
        <f t="shared" si="10"/>
        <v>21</v>
      </c>
      <c r="J175" s="36">
        <f t="shared" si="11"/>
        <v>23.886471875503752</v>
      </c>
      <c r="K175" s="38">
        <f t="shared" si="12"/>
        <v>2012</v>
      </c>
      <c r="M175" s="21">
        <f t="shared" si="13"/>
        <v>3.044522437723423</v>
      </c>
      <c r="N175" s="21">
        <f t="shared" si="14"/>
        <v>3.1733122683681807</v>
      </c>
    </row>
    <row r="176" spans="1:14" x14ac:dyDescent="0.2">
      <c r="A176" s="33">
        <f>'Upgrade Projects'!$A66</f>
        <v>1338</v>
      </c>
      <c r="B176" s="34" t="s">
        <v>35</v>
      </c>
      <c r="C176" s="35">
        <f>'Upgrade Projects'!$R66</f>
        <v>7.5</v>
      </c>
      <c r="D176" s="36">
        <f>Greenfield!P$16*(C176^Greenfield!P$15)</f>
        <v>7.8441678359196425</v>
      </c>
      <c r="E176" s="37" t="str">
        <f>'Upgrade Projects'!$O66</f>
        <v>unknown</v>
      </c>
      <c r="F176" s="35">
        <f>'Upgrade Projects'!$S66</f>
        <v>2</v>
      </c>
      <c r="G176" s="36">
        <f>'Upgrade Projects'!$AJ66/10^6</f>
        <v>6.6635813355623759</v>
      </c>
      <c r="H176" s="38">
        <f>'Upgrade Projects'!$W66</f>
        <v>2013</v>
      </c>
      <c r="I176" s="35">
        <f t="shared" si="10"/>
        <v>9.5</v>
      </c>
      <c r="J176" s="36">
        <f t="shared" si="11"/>
        <v>14.507749171482018</v>
      </c>
      <c r="K176" s="38">
        <f t="shared" si="12"/>
        <v>2013</v>
      </c>
      <c r="M176" s="21">
        <f t="shared" si="13"/>
        <v>2.2512917986064953</v>
      </c>
      <c r="N176" s="21">
        <f t="shared" si="14"/>
        <v>2.6746829322914656</v>
      </c>
    </row>
    <row r="177" spans="1:14" x14ac:dyDescent="0.2">
      <c r="A177" s="33">
        <f>'Upgrade Projects'!$A67</f>
        <v>212</v>
      </c>
      <c r="B177" s="34" t="s">
        <v>35</v>
      </c>
      <c r="C177" s="35">
        <f>'Upgrade Projects'!$R67</f>
        <v>36.549999999999997</v>
      </c>
      <c r="D177" s="36">
        <f>Greenfield!P$16*(C177^Greenfield!P$15)</f>
        <v>18.535283644642909</v>
      </c>
      <c r="E177" s="37">
        <f>'Upgrade Projects'!$O67</f>
        <v>1978</v>
      </c>
      <c r="F177" s="35">
        <f>'Upgrade Projects'!$S67</f>
        <v>28</v>
      </c>
      <c r="G177" s="36">
        <f>'Upgrade Projects'!$AJ67/10^6</f>
        <v>4.6264535731184777</v>
      </c>
      <c r="H177" s="38">
        <f>'Upgrade Projects'!$W67</f>
        <v>2003</v>
      </c>
      <c r="I177" s="35">
        <f t="shared" si="10"/>
        <v>64.55</v>
      </c>
      <c r="J177" s="36">
        <f t="shared" si="11"/>
        <v>23.161737217761388</v>
      </c>
      <c r="K177" s="38">
        <f t="shared" si="12"/>
        <v>2003</v>
      </c>
      <c r="M177" s="21">
        <f t="shared" si="13"/>
        <v>4.1674401172926512</v>
      </c>
      <c r="N177" s="21">
        <f t="shared" si="14"/>
        <v>3.1425016592942079</v>
      </c>
    </row>
    <row r="178" spans="1:14" x14ac:dyDescent="0.2">
      <c r="A178" s="33">
        <f>'Upgrade Projects'!$A68</f>
        <v>653</v>
      </c>
      <c r="B178" s="34" t="s">
        <v>35</v>
      </c>
      <c r="C178" s="35">
        <f>'Upgrade Projects'!$R68</f>
        <v>64.55</v>
      </c>
      <c r="D178" s="36">
        <f>Greenfield!P$16*(C178^Greenfield!P$15)</f>
        <v>25.241297928194172</v>
      </c>
      <c r="E178" s="37">
        <f>'Upgrade Projects'!$O68</f>
        <v>1977</v>
      </c>
      <c r="F178" s="35">
        <f>'Upgrade Projects'!$S68</f>
        <v>1.3200000000000074</v>
      </c>
      <c r="G178" s="36">
        <f>'Upgrade Projects'!$AJ68/10^6</f>
        <v>0.56894692945086811</v>
      </c>
      <c r="H178" s="38">
        <f>'Upgrade Projects'!$W68</f>
        <v>2007</v>
      </c>
      <c r="I178" s="35">
        <f t="shared" si="10"/>
        <v>65.87</v>
      </c>
      <c r="J178" s="36">
        <f t="shared" si="11"/>
        <v>25.810244857645039</v>
      </c>
      <c r="K178" s="38">
        <f t="shared" si="12"/>
        <v>2007</v>
      </c>
      <c r="M178" s="21">
        <f t="shared" si="13"/>
        <v>4.1876831026526018</v>
      </c>
      <c r="N178" s="21">
        <f t="shared" si="14"/>
        <v>3.2507715006148143</v>
      </c>
    </row>
    <row r="179" spans="1:14" x14ac:dyDescent="0.2">
      <c r="A179" s="33">
        <f>'Upgrade Projects'!$A69</f>
        <v>1679</v>
      </c>
      <c r="B179" s="34" t="s">
        <v>35</v>
      </c>
      <c r="C179" s="35">
        <f>'Upgrade Projects'!$R69</f>
        <v>65.87</v>
      </c>
      <c r="D179" s="36">
        <f>Greenfield!P$16*(C179^Greenfield!P$15)</f>
        <v>25.520251294135782</v>
      </c>
      <c r="E179" s="37">
        <f>'Upgrade Projects'!$O69</f>
        <v>1977</v>
      </c>
      <c r="F179" s="35">
        <f>'Upgrade Projects'!$S69</f>
        <v>0</v>
      </c>
      <c r="G179" s="36">
        <f>'Upgrade Projects'!$AJ69/10^6</f>
        <v>3.0359489017822221</v>
      </c>
      <c r="H179" s="38">
        <f>'Upgrade Projects'!$W69</f>
        <v>2016</v>
      </c>
      <c r="I179" s="35">
        <f t="shared" si="10"/>
        <v>65.87</v>
      </c>
      <c r="J179" s="36">
        <f t="shared" si="11"/>
        <v>28.556200195918006</v>
      </c>
      <c r="K179" s="38">
        <f t="shared" si="12"/>
        <v>2016</v>
      </c>
      <c r="M179" s="21">
        <f t="shared" si="13"/>
        <v>4.1876831026526018</v>
      </c>
      <c r="N179" s="21">
        <f t="shared" si="14"/>
        <v>3.3518740822585169</v>
      </c>
    </row>
    <row r="180" spans="1:14" x14ac:dyDescent="0.2">
      <c r="A180" s="33">
        <f>'Upgrade Projects'!$A70</f>
        <v>1382</v>
      </c>
      <c r="B180" s="34" t="s">
        <v>35</v>
      </c>
      <c r="C180" s="35">
        <f>'Upgrade Projects'!$R70</f>
        <v>24.2</v>
      </c>
      <c r="D180" s="36">
        <f>Greenfield!P$16*(C180^Greenfield!P$15)</f>
        <v>14.817427907512382</v>
      </c>
      <c r="E180" s="37" t="str">
        <f>'Upgrade Projects'!$O70</f>
        <v>unknown</v>
      </c>
      <c r="F180" s="35">
        <f>'Upgrade Projects'!$S70</f>
        <v>11.900000000000002</v>
      </c>
      <c r="G180" s="36">
        <f>'Upgrade Projects'!$AJ70/10^6</f>
        <v>2.4484361075925429</v>
      </c>
      <c r="H180" s="38">
        <f>'Upgrade Projects'!$W70</f>
        <v>2013</v>
      </c>
      <c r="I180" s="35">
        <f t="shared" si="10"/>
        <v>36.1</v>
      </c>
      <c r="J180" s="36">
        <f t="shared" si="11"/>
        <v>17.265864015104924</v>
      </c>
      <c r="K180" s="38">
        <f t="shared" si="12"/>
        <v>2013</v>
      </c>
      <c r="M180" s="21">
        <f t="shared" si="13"/>
        <v>3.5862928653388351</v>
      </c>
      <c r="N180" s="21">
        <f t="shared" si="14"/>
        <v>2.8487313739051543</v>
      </c>
    </row>
    <row r="181" spans="1:14" x14ac:dyDescent="0.2">
      <c r="A181" s="33">
        <f>'Upgrade Projects'!$A71</f>
        <v>1638</v>
      </c>
      <c r="B181" s="34" t="s">
        <v>35</v>
      </c>
      <c r="C181" s="35">
        <f>'Upgrade Projects'!$R71</f>
        <v>36.1</v>
      </c>
      <c r="D181" s="36">
        <f>Greenfield!P$16*(C181^Greenfield!P$15)</f>
        <v>18.411030190256209</v>
      </c>
      <c r="E181" s="37" t="str">
        <f>'Upgrade Projects'!$O71</f>
        <v>unknown</v>
      </c>
      <c r="F181" s="35">
        <f>'Upgrade Projects'!$S71</f>
        <v>0</v>
      </c>
      <c r="G181" s="36">
        <f>'Upgrade Projects'!$AJ71/10^6</f>
        <v>1.4307693737810239</v>
      </c>
      <c r="H181" s="38">
        <f>'Upgrade Projects'!$W71</f>
        <v>2015</v>
      </c>
      <c r="I181" s="35">
        <f t="shared" si="10"/>
        <v>36.1</v>
      </c>
      <c r="J181" s="36">
        <f t="shared" si="11"/>
        <v>19.841799564037235</v>
      </c>
      <c r="K181" s="38">
        <f t="shared" si="12"/>
        <v>2015</v>
      </c>
      <c r="M181" s="21">
        <f t="shared" si="13"/>
        <v>3.5862928653388351</v>
      </c>
      <c r="N181" s="21">
        <f t="shared" si="14"/>
        <v>2.9877908015759047</v>
      </c>
    </row>
    <row r="182" spans="1:14" x14ac:dyDescent="0.2">
      <c r="A182" s="33">
        <f>'Upgrade Projects'!$A72</f>
        <v>874</v>
      </c>
      <c r="B182" s="34" t="s">
        <v>35</v>
      </c>
      <c r="C182" s="35">
        <f>'Upgrade Projects'!$R72</f>
        <v>6.4</v>
      </c>
      <c r="D182" s="36">
        <f>Greenfield!P$16*(C182^Greenfield!P$15)</f>
        <v>7.196943029682342</v>
      </c>
      <c r="E182" s="37">
        <f>'Upgrade Projects'!$O72</f>
        <v>1997</v>
      </c>
      <c r="F182" s="35">
        <f>'Upgrade Projects'!$S72</f>
        <v>0.5</v>
      </c>
      <c r="G182" s="36">
        <f>'Upgrade Projects'!$AJ72/10^6</f>
        <v>3.6333602061432981</v>
      </c>
      <c r="H182" s="38">
        <f>'Upgrade Projects'!$W72</f>
        <v>2009</v>
      </c>
      <c r="I182" s="35">
        <f t="shared" si="10"/>
        <v>6.9</v>
      </c>
      <c r="J182" s="36">
        <f t="shared" si="11"/>
        <v>10.830303235825641</v>
      </c>
      <c r="K182" s="38">
        <f t="shared" si="12"/>
        <v>2009</v>
      </c>
      <c r="M182" s="21">
        <f t="shared" si="13"/>
        <v>1.9315214116032138</v>
      </c>
      <c r="N182" s="21">
        <f t="shared" si="14"/>
        <v>2.3823480602354734</v>
      </c>
    </row>
    <row r="183" spans="1:14" x14ac:dyDescent="0.2">
      <c r="A183" s="33">
        <f>'Upgrade Projects'!$A73</f>
        <v>491</v>
      </c>
      <c r="B183" s="34" t="s">
        <v>35</v>
      </c>
      <c r="C183" s="35">
        <f>'Upgrade Projects'!$R73</f>
        <v>27.9</v>
      </c>
      <c r="D183" s="36">
        <f>Greenfield!P$16*(C183^Greenfield!P$15)</f>
        <v>16.007400748950911</v>
      </c>
      <c r="E183" s="37">
        <f>'Upgrade Projects'!$O73</f>
        <v>1984</v>
      </c>
      <c r="F183" s="35">
        <f>'Upgrade Projects'!$S73</f>
        <v>1</v>
      </c>
      <c r="G183" s="36">
        <f>'Upgrade Projects'!$AJ73/10^6</f>
        <v>0.19252271805052243</v>
      </c>
      <c r="H183" s="38">
        <f>'Upgrade Projects'!$W73</f>
        <v>2006</v>
      </c>
      <c r="I183" s="35">
        <f t="shared" ref="I183:I246" si="17">C183+F183</f>
        <v>28.9</v>
      </c>
      <c r="J183" s="36">
        <f t="shared" ref="J183:J246" si="18">D183+G183</f>
        <v>16.199923467001433</v>
      </c>
      <c r="K183" s="38">
        <f t="shared" ref="K183:K246" si="19">MAX(E183,H183)</f>
        <v>2006</v>
      </c>
      <c r="M183" s="21">
        <f t="shared" si="13"/>
        <v>3.3638415951183864</v>
      </c>
      <c r="N183" s="21">
        <f t="shared" si="14"/>
        <v>2.7850065179680081</v>
      </c>
    </row>
    <row r="184" spans="1:14" x14ac:dyDescent="0.2">
      <c r="A184" s="33">
        <f>'Upgrade Projects'!$A74</f>
        <v>1396</v>
      </c>
      <c r="B184" s="34" t="s">
        <v>35</v>
      </c>
      <c r="C184" s="35">
        <f>'Upgrade Projects'!$R74</f>
        <v>20.6</v>
      </c>
      <c r="D184" s="36">
        <f>Greenfield!P$16*(C184^Greenfield!P$15)</f>
        <v>13.576716992890539</v>
      </c>
      <c r="E184" s="37">
        <f>'Upgrade Projects'!$O74</f>
        <v>2009</v>
      </c>
      <c r="F184" s="35">
        <f>'Upgrade Projects'!$S74</f>
        <v>5.3999999999999986</v>
      </c>
      <c r="G184" s="36">
        <f>'Upgrade Projects'!$AJ74/10^6</f>
        <v>0.37351117224616898</v>
      </c>
      <c r="H184" s="38">
        <f>'Upgrade Projects'!$W74</f>
        <v>2013</v>
      </c>
      <c r="I184" s="35">
        <f t="shared" si="17"/>
        <v>26</v>
      </c>
      <c r="J184" s="36">
        <f t="shared" si="18"/>
        <v>13.950228165136707</v>
      </c>
      <c r="K184" s="38">
        <f t="shared" si="19"/>
        <v>2013</v>
      </c>
      <c r="M184" s="21">
        <f t="shared" ref="M184:M246" si="20">LN(I184)</f>
        <v>3.2580965380214821</v>
      </c>
      <c r="N184" s="21">
        <f t="shared" ref="N184:N246" si="21">LN(J184)</f>
        <v>2.6354958640573964</v>
      </c>
    </row>
    <row r="185" spans="1:14" x14ac:dyDescent="0.2">
      <c r="A185" s="33">
        <f>'Upgrade Projects'!$A75</f>
        <v>1597</v>
      </c>
      <c r="B185" s="34" t="s">
        <v>35</v>
      </c>
      <c r="C185" s="35">
        <f>'Upgrade Projects'!$R75</f>
        <v>26</v>
      </c>
      <c r="D185" s="36">
        <f>Greenfield!P$16*(C185^Greenfield!P$15)</f>
        <v>15.40600097303558</v>
      </c>
      <c r="E185" s="37">
        <f>'Upgrade Projects'!$O75</f>
        <v>2009</v>
      </c>
      <c r="F185" s="35">
        <f>'Upgrade Projects'!$S75</f>
        <v>27.299999999999997</v>
      </c>
      <c r="G185" s="36">
        <f>'Upgrade Projects'!$AJ75/10^6</f>
        <v>4.2355817632178319</v>
      </c>
      <c r="H185" s="38">
        <f>'Upgrade Projects'!$W75</f>
        <v>2015</v>
      </c>
      <c r="I185" s="35">
        <f t="shared" si="17"/>
        <v>53.3</v>
      </c>
      <c r="J185" s="36">
        <f t="shared" si="18"/>
        <v>19.641582736253412</v>
      </c>
      <c r="K185" s="38">
        <f t="shared" si="19"/>
        <v>2015</v>
      </c>
      <c r="M185" s="21">
        <f t="shared" si="20"/>
        <v>3.9759363311717988</v>
      </c>
      <c r="N185" s="21">
        <f t="shared" si="21"/>
        <v>2.9776488870649427</v>
      </c>
    </row>
    <row r="186" spans="1:14" x14ac:dyDescent="0.2">
      <c r="A186" s="33">
        <f>'Upgrade Projects'!$A76</f>
        <v>1292</v>
      </c>
      <c r="B186" s="34" t="s">
        <v>35</v>
      </c>
      <c r="C186" s="35">
        <f>'Upgrade Projects'!$R76</f>
        <v>30.3</v>
      </c>
      <c r="D186" s="36">
        <f>Greenfield!P$16*(C186^Greenfield!P$15)</f>
        <v>16.740913143857401</v>
      </c>
      <c r="E186" s="37" t="str">
        <f>'Upgrade Projects'!$O76</f>
        <v>unknown</v>
      </c>
      <c r="F186" s="35">
        <f>'Upgrade Projects'!$S76</f>
        <v>2.4999999999999964</v>
      </c>
      <c r="G186" s="36">
        <f>'Upgrade Projects'!$AJ76/10^6</f>
        <v>4.47116983018676</v>
      </c>
      <c r="H186" s="38">
        <f>'Upgrade Projects'!$W76</f>
        <v>2013</v>
      </c>
      <c r="I186" s="35">
        <f t="shared" si="17"/>
        <v>32.799999999999997</v>
      </c>
      <c r="J186" s="36">
        <f t="shared" si="18"/>
        <v>21.212082974044161</v>
      </c>
      <c r="K186" s="38">
        <f t="shared" si="19"/>
        <v>2013</v>
      </c>
      <c r="M186" s="21">
        <f t="shared" si="20"/>
        <v>3.4904285153900978</v>
      </c>
      <c r="N186" s="21">
        <f t="shared" si="21"/>
        <v>3.0545709709230957</v>
      </c>
    </row>
    <row r="187" spans="1:14" x14ac:dyDescent="0.2">
      <c r="A187" s="33">
        <f>'Upgrade Projects'!$A77</f>
        <v>364</v>
      </c>
      <c r="B187" s="34" t="s">
        <v>35</v>
      </c>
      <c r="C187" s="35">
        <f>'Upgrade Projects'!$R77</f>
        <v>44.904000000000003</v>
      </c>
      <c r="D187" s="36">
        <f>Greenfield!P$16*(C187^Greenfield!P$15)</f>
        <v>20.727041707594395</v>
      </c>
      <c r="E187" s="37">
        <f>'Upgrade Projects'!$O77</f>
        <v>1975</v>
      </c>
      <c r="F187" s="35">
        <f>'Upgrade Projects'!$S77</f>
        <v>2</v>
      </c>
      <c r="G187" s="36">
        <f>'Upgrade Projects'!$AJ77/10^6</f>
        <v>1.3174901179839253</v>
      </c>
      <c r="H187" s="38">
        <f>'Upgrade Projects'!$W77</f>
        <v>2004</v>
      </c>
      <c r="I187" s="35">
        <f t="shared" si="17"/>
        <v>46.904000000000003</v>
      </c>
      <c r="J187" s="36">
        <f t="shared" si="18"/>
        <v>22.044531825578321</v>
      </c>
      <c r="K187" s="38">
        <f t="shared" si="19"/>
        <v>2004</v>
      </c>
      <c r="M187" s="21">
        <f t="shared" si="20"/>
        <v>3.8481029596619138</v>
      </c>
      <c r="N187" s="21">
        <f t="shared" si="21"/>
        <v>3.0930645813686168</v>
      </c>
    </row>
    <row r="188" spans="1:14" x14ac:dyDescent="0.2">
      <c r="A188" s="33">
        <f>'Upgrade Projects'!$A78</f>
        <v>1306</v>
      </c>
      <c r="B188" s="34" t="s">
        <v>35</v>
      </c>
      <c r="C188" s="35">
        <f>'Upgrade Projects'!$R78</f>
        <v>23.1</v>
      </c>
      <c r="D188" s="36">
        <f>Greenfield!P$16*(C188^Greenfield!P$15)</f>
        <v>14.447858434275073</v>
      </c>
      <c r="E188" s="37">
        <f>'Upgrade Projects'!$O78</f>
        <v>1985</v>
      </c>
      <c r="F188" s="35">
        <f>'Upgrade Projects'!$S78</f>
        <v>2.0999999999999979</v>
      </c>
      <c r="G188" s="36">
        <f>'Upgrade Projects'!$AJ78/10^6</f>
        <v>5.9848606370399509</v>
      </c>
      <c r="H188" s="38">
        <f>'Upgrade Projects'!$W78</f>
        <v>2013</v>
      </c>
      <c r="I188" s="35">
        <f t="shared" si="17"/>
        <v>25.2</v>
      </c>
      <c r="J188" s="36">
        <f t="shared" si="18"/>
        <v>20.432719071315024</v>
      </c>
      <c r="K188" s="38">
        <f t="shared" si="19"/>
        <v>2013</v>
      </c>
      <c r="M188" s="21">
        <f t="shared" si="20"/>
        <v>3.2268439945173775</v>
      </c>
      <c r="N188" s="21">
        <f t="shared" si="21"/>
        <v>3.0171374920594691</v>
      </c>
    </row>
    <row r="189" spans="1:14" x14ac:dyDescent="0.2">
      <c r="A189" s="33">
        <f>'Upgrade Projects'!$A79</f>
        <v>858</v>
      </c>
      <c r="B189" s="34" t="s">
        <v>35</v>
      </c>
      <c r="C189" s="35">
        <f>'Upgrade Projects'!$R79</f>
        <v>28.4</v>
      </c>
      <c r="D189" s="36">
        <f>Greenfield!P$16*(C189^Greenfield!P$15)</f>
        <v>16.162523767839538</v>
      </c>
      <c r="E189" s="37">
        <f>'Upgrade Projects'!$O79</f>
        <v>2009</v>
      </c>
      <c r="F189" s="35">
        <f>'Upgrade Projects'!$S79</f>
        <v>13.300000000000004</v>
      </c>
      <c r="G189" s="36">
        <f>'Upgrade Projects'!$AJ79/10^6</f>
        <v>5.4358775042665943</v>
      </c>
      <c r="H189" s="38">
        <f>'Upgrade Projects'!$W79</f>
        <v>2010</v>
      </c>
      <c r="I189" s="35">
        <f t="shared" si="17"/>
        <v>41.7</v>
      </c>
      <c r="J189" s="36">
        <f t="shared" si="18"/>
        <v>21.59840127210613</v>
      </c>
      <c r="K189" s="38">
        <f t="shared" si="19"/>
        <v>2010</v>
      </c>
      <c r="M189" s="21">
        <f t="shared" si="20"/>
        <v>3.730501128804756</v>
      </c>
      <c r="N189" s="21">
        <f t="shared" si="21"/>
        <v>3.072619296770589</v>
      </c>
    </row>
    <row r="190" spans="1:14" x14ac:dyDescent="0.2">
      <c r="A190" s="33">
        <f>'Upgrade Projects'!$A80</f>
        <v>1454</v>
      </c>
      <c r="B190" s="34" t="s">
        <v>35</v>
      </c>
      <c r="C190" s="35">
        <f>'Upgrade Projects'!$R80</f>
        <v>41.7</v>
      </c>
      <c r="D190" s="36">
        <f>Greenfield!P$16*(C190^Greenfield!P$15)</f>
        <v>19.910500080879803</v>
      </c>
      <c r="E190" s="37">
        <f>'Upgrade Projects'!$O80</f>
        <v>2009</v>
      </c>
      <c r="F190" s="35">
        <f>'Upgrade Projects'!$S80</f>
        <v>5.6999999999999957</v>
      </c>
      <c r="G190" s="36">
        <f>'Upgrade Projects'!$AJ80/10^6</f>
        <v>0.45762240995573644</v>
      </c>
      <c r="H190" s="38">
        <f>'Upgrade Projects'!$W80</f>
        <v>2013</v>
      </c>
      <c r="I190" s="35">
        <f t="shared" si="17"/>
        <v>47.4</v>
      </c>
      <c r="J190" s="36">
        <f t="shared" si="18"/>
        <v>20.368122490835539</v>
      </c>
      <c r="K190" s="38">
        <f t="shared" si="19"/>
        <v>2013</v>
      </c>
      <c r="M190" s="21">
        <f t="shared" si="20"/>
        <v>3.858622228701031</v>
      </c>
      <c r="N190" s="21">
        <f t="shared" si="21"/>
        <v>3.0139710556832369</v>
      </c>
    </row>
    <row r="191" spans="1:14" x14ac:dyDescent="0.2">
      <c r="A191" s="33">
        <f>'Upgrade Projects'!$A81</f>
        <v>637</v>
      </c>
      <c r="B191" s="34" t="s">
        <v>35</v>
      </c>
      <c r="C191" s="35">
        <f>'Upgrade Projects'!$R81</f>
        <v>15.499999999999998</v>
      </c>
      <c r="D191" s="36">
        <f>Greenfield!P$16*(C191^Greenfield!P$15)</f>
        <v>11.63380183682135</v>
      </c>
      <c r="E191" s="37">
        <f>'Upgrade Projects'!$O81</f>
        <v>1989</v>
      </c>
      <c r="F191" s="35">
        <f>'Upgrade Projects'!$S81</f>
        <v>8.4</v>
      </c>
      <c r="G191" s="36">
        <f>'Upgrade Projects'!$AJ81/10^6</f>
        <v>5.068859840469166</v>
      </c>
      <c r="H191" s="38">
        <f>'Upgrade Projects'!$W81</f>
        <v>2007</v>
      </c>
      <c r="I191" s="35">
        <f t="shared" si="17"/>
        <v>23.9</v>
      </c>
      <c r="J191" s="36">
        <f t="shared" si="18"/>
        <v>16.702661677290514</v>
      </c>
      <c r="K191" s="38">
        <f t="shared" si="19"/>
        <v>2007</v>
      </c>
      <c r="M191" s="21">
        <f t="shared" si="20"/>
        <v>3.1738784589374651</v>
      </c>
      <c r="N191" s="21">
        <f t="shared" si="21"/>
        <v>2.8155680885964514</v>
      </c>
    </row>
    <row r="192" spans="1:14" x14ac:dyDescent="0.2">
      <c r="A192" s="33">
        <f>'Upgrade Projects'!$A82</f>
        <v>1254</v>
      </c>
      <c r="B192" s="34" t="s">
        <v>35</v>
      </c>
      <c r="C192" s="35">
        <f>'Upgrade Projects'!$R82</f>
        <v>23.9</v>
      </c>
      <c r="D192" s="36">
        <f>Greenfield!P$16*(C192^Greenfield!P$15)</f>
        <v>14.717411486948343</v>
      </c>
      <c r="E192" s="37">
        <f>'Upgrade Projects'!$O82</f>
        <v>1989</v>
      </c>
      <c r="F192" s="35">
        <f>'Upgrade Projects'!$S82</f>
        <v>15.399999999999999</v>
      </c>
      <c r="G192" s="36">
        <f>'Upgrade Projects'!$AJ82/10^6</f>
        <v>6.528436764593768</v>
      </c>
      <c r="H192" s="38">
        <f>'Upgrade Projects'!$W82</f>
        <v>2012</v>
      </c>
      <c r="I192" s="35">
        <f t="shared" si="17"/>
        <v>39.299999999999997</v>
      </c>
      <c r="J192" s="36">
        <f t="shared" si="18"/>
        <v>21.24584825154211</v>
      </c>
      <c r="K192" s="38">
        <f t="shared" si="19"/>
        <v>2012</v>
      </c>
      <c r="M192" s="21">
        <f t="shared" si="20"/>
        <v>3.6712245188752153</v>
      </c>
      <c r="N192" s="21">
        <f t="shared" si="21"/>
        <v>3.0561614998839528</v>
      </c>
    </row>
    <row r="193" spans="1:14" x14ac:dyDescent="0.2">
      <c r="A193" s="33">
        <f>'Upgrade Projects'!$A83</f>
        <v>734</v>
      </c>
      <c r="B193" s="34" t="s">
        <v>35</v>
      </c>
      <c r="C193" s="35">
        <f>'Upgrade Projects'!$R83</f>
        <v>20</v>
      </c>
      <c r="D193" s="36">
        <f>Greenfield!P$16*(C193^Greenfield!P$15)</f>
        <v>13.360565697177488</v>
      </c>
      <c r="E193" s="37">
        <f>'Upgrade Projects'!$O83</f>
        <v>1974</v>
      </c>
      <c r="F193" s="35">
        <f>'Upgrade Projects'!$S83</f>
        <v>4.3999999999999986</v>
      </c>
      <c r="G193" s="36">
        <f>'Upgrade Projects'!$AJ83/10^6</f>
        <v>11.261124599264825</v>
      </c>
      <c r="H193" s="38">
        <f>'Upgrade Projects'!$W83</f>
        <v>2011</v>
      </c>
      <c r="I193" s="35">
        <f t="shared" si="17"/>
        <v>24.4</v>
      </c>
      <c r="J193" s="36">
        <f t="shared" si="18"/>
        <v>24.621690296442313</v>
      </c>
      <c r="K193" s="38">
        <f t="shared" si="19"/>
        <v>2011</v>
      </c>
      <c r="M193" s="21">
        <f t="shared" ref="M193" si="22">LN(I193)</f>
        <v>3.1945831322991562</v>
      </c>
      <c r="N193" s="21">
        <f t="shared" ref="N193" si="23">LN(J193)</f>
        <v>3.2036277738197096</v>
      </c>
    </row>
    <row r="194" spans="1:14" x14ac:dyDescent="0.2">
      <c r="A194" s="33">
        <f>'Upgrade Projects'!$A84</f>
        <v>1594</v>
      </c>
      <c r="B194" s="34" t="s">
        <v>35</v>
      </c>
      <c r="C194" s="35">
        <f>'Upgrade Projects'!$R84</f>
        <v>24.4</v>
      </c>
      <c r="D194" s="36">
        <f>Greenfield!P$16*(C194^Greenfield!P$15)</f>
        <v>14.883790947426281</v>
      </c>
      <c r="E194" s="37">
        <f>'Upgrade Projects'!$O84</f>
        <v>1974</v>
      </c>
      <c r="F194" s="35">
        <f>'Upgrade Projects'!$S84</f>
        <v>0</v>
      </c>
      <c r="G194" s="36">
        <f>'Upgrade Projects'!$AJ84/10^6</f>
        <v>17.2334453477478</v>
      </c>
      <c r="H194" s="38">
        <f>'Upgrade Projects'!$W84</f>
        <v>2017</v>
      </c>
      <c r="I194" s="35">
        <f t="shared" si="17"/>
        <v>24.4</v>
      </c>
      <c r="J194" s="36">
        <f t="shared" si="18"/>
        <v>32.117236295174081</v>
      </c>
      <c r="K194" s="38">
        <f t="shared" si="19"/>
        <v>2017</v>
      </c>
      <c r="M194" s="21">
        <f t="shared" si="20"/>
        <v>3.1945831322991562</v>
      </c>
      <c r="N194" s="21">
        <f t="shared" si="21"/>
        <v>3.4693928422625078</v>
      </c>
    </row>
    <row r="195" spans="1:14" x14ac:dyDescent="0.2">
      <c r="A195" s="33">
        <f>'Upgrade Projects'!$A85</f>
        <v>1674</v>
      </c>
      <c r="B195" s="34" t="s">
        <v>35</v>
      </c>
      <c r="C195" s="35">
        <f>'Upgrade Projects'!$R85</f>
        <v>17.399999999999999</v>
      </c>
      <c r="D195" s="36">
        <f>Greenfield!P$16*(C195^Greenfield!P$15)</f>
        <v>12.387597168217049</v>
      </c>
      <c r="E195" s="37">
        <f>'Upgrade Projects'!$O85</f>
        <v>0</v>
      </c>
      <c r="F195" s="35">
        <f>'Upgrade Projects'!$S85</f>
        <v>3.7000000000000028</v>
      </c>
      <c r="G195" s="36">
        <f>'Upgrade Projects'!$AJ85/10^6</f>
        <v>10.327278566796926</v>
      </c>
      <c r="H195" s="38">
        <f>'Upgrade Projects'!$W85</f>
        <v>2016</v>
      </c>
      <c r="I195" s="35">
        <f t="shared" si="17"/>
        <v>21.1</v>
      </c>
      <c r="J195" s="36">
        <f t="shared" si="18"/>
        <v>22.714875735013976</v>
      </c>
      <c r="K195" s="38">
        <f t="shared" si="19"/>
        <v>2016</v>
      </c>
      <c r="M195" s="21">
        <f t="shared" si="20"/>
        <v>3.0492730404820207</v>
      </c>
      <c r="N195" s="21">
        <f t="shared" si="21"/>
        <v>3.1230200285828866</v>
      </c>
    </row>
    <row r="196" spans="1:14" x14ac:dyDescent="0.2">
      <c r="A196" s="33">
        <f>'Upgrade Projects'!$A86</f>
        <v>711</v>
      </c>
      <c r="B196" s="34" t="s">
        <v>35</v>
      </c>
      <c r="C196" s="35">
        <f>'Upgrade Projects'!$R86</f>
        <v>11.5</v>
      </c>
      <c r="D196" s="36">
        <f>Greenfield!P$16*(C196^Greenfield!P$15)</f>
        <v>9.8932160319653342</v>
      </c>
      <c r="E196" s="37">
        <f>'Upgrade Projects'!$O86</f>
        <v>1976</v>
      </c>
      <c r="F196" s="35">
        <f>'Upgrade Projects'!$S86</f>
        <v>13.7</v>
      </c>
      <c r="G196" s="36">
        <f>'Upgrade Projects'!$AJ86/10^6</f>
        <v>9.2617881543087019</v>
      </c>
      <c r="H196" s="38">
        <f>'Upgrade Projects'!$W86</f>
        <v>2009</v>
      </c>
      <c r="I196" s="35">
        <f t="shared" si="17"/>
        <v>25.2</v>
      </c>
      <c r="J196" s="36">
        <f t="shared" si="18"/>
        <v>19.155004186274034</v>
      </c>
      <c r="K196" s="38">
        <f t="shared" si="19"/>
        <v>2009</v>
      </c>
      <c r="M196" s="21">
        <f t="shared" si="20"/>
        <v>3.2268439945173775</v>
      </c>
      <c r="N196" s="21">
        <f t="shared" si="21"/>
        <v>2.9525639966999147</v>
      </c>
    </row>
    <row r="197" spans="1:14" x14ac:dyDescent="0.2">
      <c r="A197" s="33">
        <f>'Upgrade Projects'!$A87</f>
        <v>408</v>
      </c>
      <c r="B197" s="34" t="s">
        <v>35</v>
      </c>
      <c r="C197" s="35">
        <f>'Upgrade Projects'!$R87</f>
        <v>37.700000000000003</v>
      </c>
      <c r="D197" s="36">
        <f>Greenfield!P$16*(C197^Greenfield!P$15)</f>
        <v>18.849681371441687</v>
      </c>
      <c r="E197" s="37">
        <f>'Upgrade Projects'!$O87</f>
        <v>1976</v>
      </c>
      <c r="F197" s="35">
        <f>'Upgrade Projects'!$S87</f>
        <v>2.0419999999999945</v>
      </c>
      <c r="G197" s="36">
        <f>'Upgrade Projects'!$AJ87/10^6</f>
        <v>0.58015876995711901</v>
      </c>
      <c r="H197" s="38">
        <f>'Upgrade Projects'!$W87</f>
        <v>2004</v>
      </c>
      <c r="I197" s="35">
        <f t="shared" si="17"/>
        <v>39.741999999999997</v>
      </c>
      <c r="J197" s="36">
        <f t="shared" si="18"/>
        <v>19.429840141398806</v>
      </c>
      <c r="K197" s="38">
        <f t="shared" si="19"/>
        <v>2004</v>
      </c>
      <c r="M197" s="21">
        <f t="shared" si="20"/>
        <v>3.6824085629836243</v>
      </c>
      <c r="N197" s="21">
        <f t="shared" si="21"/>
        <v>2.966810035944222</v>
      </c>
    </row>
    <row r="198" spans="1:14" x14ac:dyDescent="0.2">
      <c r="A198" s="33">
        <f>'Upgrade Projects'!$A88</f>
        <v>698</v>
      </c>
      <c r="B198" s="34" t="s">
        <v>35</v>
      </c>
      <c r="C198" s="35">
        <f>'Upgrade Projects'!$R88</f>
        <v>39.700000000000003</v>
      </c>
      <c r="D198" s="36">
        <f>Greenfield!P$16*(C198^Greenfield!P$15)</f>
        <v>19.38620007575858</v>
      </c>
      <c r="E198" s="37">
        <f>'Upgrade Projects'!$O88</f>
        <v>1976</v>
      </c>
      <c r="F198" s="35">
        <f>'Upgrade Projects'!$S88</f>
        <v>20.9</v>
      </c>
      <c r="G198" s="36">
        <f>'Upgrade Projects'!$AJ88/10^6</f>
        <v>1.4406821685518079</v>
      </c>
      <c r="H198" s="38">
        <f>'Upgrade Projects'!$W88</f>
        <v>2007</v>
      </c>
      <c r="I198" s="35">
        <f t="shared" si="17"/>
        <v>60.6</v>
      </c>
      <c r="J198" s="36">
        <f t="shared" si="18"/>
        <v>20.82688224431039</v>
      </c>
      <c r="K198" s="38">
        <f t="shared" si="19"/>
        <v>2007</v>
      </c>
      <c r="M198" s="21">
        <f t="shared" si="20"/>
        <v>4.1042948930752692</v>
      </c>
      <c r="N198" s="21">
        <f t="shared" si="21"/>
        <v>3.0362445678489807</v>
      </c>
    </row>
    <row r="199" spans="1:14" x14ac:dyDescent="0.2">
      <c r="A199" s="33">
        <f>'Upgrade Projects'!$A89</f>
        <v>696</v>
      </c>
      <c r="B199" s="34" t="s">
        <v>35</v>
      </c>
      <c r="C199" s="35">
        <f>'Upgrade Projects'!$R89</f>
        <v>9.1370000000000005</v>
      </c>
      <c r="D199" s="36">
        <f>Greenfield!P$16*(C199^Greenfield!P$15)</f>
        <v>8.731730833504173</v>
      </c>
      <c r="E199" s="37">
        <f>'Upgrade Projects'!$O89</f>
        <v>1981</v>
      </c>
      <c r="F199" s="35">
        <f>'Upgrade Projects'!$S89</f>
        <v>8.0629999999999988</v>
      </c>
      <c r="G199" s="36">
        <f>'Upgrade Projects'!$AJ89/10^6</f>
        <v>0.26810351472539734</v>
      </c>
      <c r="H199" s="38">
        <f>'Upgrade Projects'!$W89</f>
        <v>2007</v>
      </c>
      <c r="I199" s="35">
        <f t="shared" si="17"/>
        <v>17.2</v>
      </c>
      <c r="J199" s="36">
        <f t="shared" si="18"/>
        <v>8.9998343482295695</v>
      </c>
      <c r="K199" s="38">
        <f t="shared" si="19"/>
        <v>2007</v>
      </c>
      <c r="M199" s="21">
        <f t="shared" si="20"/>
        <v>2.8449093838194073</v>
      </c>
      <c r="N199" s="21">
        <f t="shared" si="21"/>
        <v>2.1972061714145612</v>
      </c>
    </row>
    <row r="200" spans="1:14" x14ac:dyDescent="0.2">
      <c r="A200" s="33">
        <f>'Upgrade Projects'!$A90</f>
        <v>1636</v>
      </c>
      <c r="B200" s="34" t="s">
        <v>35</v>
      </c>
      <c r="C200" s="35">
        <f>'Upgrade Projects'!$R90</f>
        <v>17.2</v>
      </c>
      <c r="D200" s="36">
        <f>Greenfield!P$16*(C200^Greenfield!P$15)</f>
        <v>12.310084970738863</v>
      </c>
      <c r="E200" s="37">
        <f>'Upgrade Projects'!$O90</f>
        <v>1981</v>
      </c>
      <c r="F200" s="35">
        <f>'Upgrade Projects'!$S90</f>
        <v>0</v>
      </c>
      <c r="G200" s="36">
        <f>'Upgrade Projects'!$AJ90/10^6</f>
        <v>6.6058972937468434</v>
      </c>
      <c r="H200" s="38">
        <f>'Upgrade Projects'!$W90</f>
        <v>2015</v>
      </c>
      <c r="I200" s="35">
        <f t="shared" si="17"/>
        <v>17.2</v>
      </c>
      <c r="J200" s="36">
        <f t="shared" si="18"/>
        <v>18.915982264485706</v>
      </c>
      <c r="K200" s="38">
        <f t="shared" si="19"/>
        <v>2015</v>
      </c>
      <c r="M200" s="21">
        <f t="shared" si="20"/>
        <v>2.8449093838194073</v>
      </c>
      <c r="N200" s="21">
        <f t="shared" si="21"/>
        <v>2.9400071871879199</v>
      </c>
    </row>
    <row r="201" spans="1:14" x14ac:dyDescent="0.2">
      <c r="A201" s="33">
        <f>'Upgrade Projects'!$A91</f>
        <v>1185</v>
      </c>
      <c r="B201" s="34" t="s">
        <v>35</v>
      </c>
      <c r="C201" s="35">
        <f>'Upgrade Projects'!$R91</f>
        <v>32.4</v>
      </c>
      <c r="D201" s="36">
        <f>Greenfield!P$16*(C201^Greenfield!P$15)</f>
        <v>17.361216843813608</v>
      </c>
      <c r="E201" s="37">
        <f>'Upgrade Projects'!$O91</f>
        <v>1988</v>
      </c>
      <c r="F201" s="35">
        <f>'Upgrade Projects'!$S91</f>
        <v>2.5</v>
      </c>
      <c r="G201" s="36">
        <f>'Upgrade Projects'!$AJ91/10^6</f>
        <v>2.8087836612562955</v>
      </c>
      <c r="H201" s="38">
        <f>'Upgrade Projects'!$W91</f>
        <v>2011</v>
      </c>
      <c r="I201" s="35">
        <f t="shared" si="17"/>
        <v>34.9</v>
      </c>
      <c r="J201" s="36">
        <f t="shared" si="18"/>
        <v>20.170000505069904</v>
      </c>
      <c r="K201" s="38">
        <f t="shared" si="19"/>
        <v>2011</v>
      </c>
      <c r="M201" s="21">
        <f t="shared" si="20"/>
        <v>3.5524868292083815</v>
      </c>
      <c r="N201" s="21">
        <f t="shared" si="21"/>
        <v>3.0041963770067697</v>
      </c>
    </row>
    <row r="202" spans="1:14" x14ac:dyDescent="0.2">
      <c r="A202" s="33">
        <f>'Upgrade Projects'!$A92</f>
        <v>568</v>
      </c>
      <c r="B202" s="34" t="s">
        <v>35</v>
      </c>
      <c r="C202" s="35">
        <f>'Upgrade Projects'!$R92</f>
        <v>38.04</v>
      </c>
      <c r="D202" s="36">
        <f>Greenfield!P$16*(C202^Greenfield!P$15)</f>
        <v>18.941791212514801</v>
      </c>
      <c r="E202" s="37">
        <f>'Upgrade Projects'!$O92</f>
        <v>1978</v>
      </c>
      <c r="F202" s="35">
        <f>'Upgrade Projects'!$S92</f>
        <v>1</v>
      </c>
      <c r="G202" s="36">
        <f>'Upgrade Projects'!$AJ92/10^6</f>
        <v>2.8818936071529556E-2</v>
      </c>
      <c r="H202" s="38">
        <f>'Upgrade Projects'!$W92</f>
        <v>2006</v>
      </c>
      <c r="I202" s="35">
        <f t="shared" si="17"/>
        <v>39.04</v>
      </c>
      <c r="J202" s="36">
        <f t="shared" si="18"/>
        <v>18.970610148586331</v>
      </c>
      <c r="K202" s="38">
        <f t="shared" si="19"/>
        <v>2006</v>
      </c>
      <c r="M202" s="21">
        <f t="shared" si="20"/>
        <v>3.6645867615448919</v>
      </c>
      <c r="N202" s="21">
        <f t="shared" si="21"/>
        <v>2.9428909472982236</v>
      </c>
    </row>
    <row r="203" spans="1:14" x14ac:dyDescent="0.2">
      <c r="A203" s="33">
        <f>'Upgrade Projects'!$A93</f>
        <v>853</v>
      </c>
      <c r="B203" s="34" t="s">
        <v>35</v>
      </c>
      <c r="C203" s="35">
        <f>'Upgrade Projects'!$R93</f>
        <v>20</v>
      </c>
      <c r="D203" s="36">
        <f>Greenfield!P$16*(C203^Greenfield!P$15)</f>
        <v>13.360565697177488</v>
      </c>
      <c r="E203" s="37">
        <f>'Upgrade Projects'!$O93</f>
        <v>1991</v>
      </c>
      <c r="F203" s="35">
        <f>'Upgrade Projects'!$S93</f>
        <v>21.700000000000003</v>
      </c>
      <c r="G203" s="36">
        <f>'Upgrade Projects'!$AJ93/10^6</f>
        <v>4.2556245512411124</v>
      </c>
      <c r="H203" s="38">
        <f>'Upgrade Projects'!$W93</f>
        <v>2009</v>
      </c>
      <c r="I203" s="35">
        <f t="shared" si="17"/>
        <v>41.7</v>
      </c>
      <c r="J203" s="36">
        <f t="shared" si="18"/>
        <v>17.616190248418601</v>
      </c>
      <c r="K203" s="38">
        <f t="shared" si="19"/>
        <v>2009</v>
      </c>
      <c r="M203" s="21">
        <f t="shared" si="20"/>
        <v>3.730501128804756</v>
      </c>
      <c r="N203" s="21">
        <f t="shared" si="21"/>
        <v>2.8688183796732902</v>
      </c>
    </row>
    <row r="204" spans="1:14" x14ac:dyDescent="0.2">
      <c r="A204" s="33">
        <f>'Upgrade Projects'!$A94</f>
        <v>1201</v>
      </c>
      <c r="B204" s="34" t="s">
        <v>35</v>
      </c>
      <c r="C204" s="35">
        <f>'Upgrade Projects'!$R94</f>
        <v>13.3</v>
      </c>
      <c r="D204" s="36">
        <f>Greenfield!P$16*(C204^Greenfield!P$15)</f>
        <v>10.705983966639414</v>
      </c>
      <c r="E204" s="37" t="str">
        <f>'Upgrade Projects'!$O94</f>
        <v>unknown</v>
      </c>
      <c r="F204" s="35">
        <f>'Upgrade Projects'!$S94</f>
        <v>10.599999999999998</v>
      </c>
      <c r="G204" s="36">
        <f>'Upgrade Projects'!$AJ94/10^6</f>
        <v>7.6364894321569698</v>
      </c>
      <c r="H204" s="38">
        <f>'Upgrade Projects'!$W94</f>
        <v>2012</v>
      </c>
      <c r="I204" s="35">
        <f t="shared" si="17"/>
        <v>23.9</v>
      </c>
      <c r="J204" s="36">
        <f t="shared" si="18"/>
        <v>18.342473398796383</v>
      </c>
      <c r="K204" s="38">
        <f t="shared" si="19"/>
        <v>2012</v>
      </c>
      <c r="M204" s="21">
        <f t="shared" si="20"/>
        <v>3.1738784589374651</v>
      </c>
      <c r="N204" s="21">
        <f t="shared" si="21"/>
        <v>2.9092193213553426</v>
      </c>
    </row>
    <row r="205" spans="1:14" x14ac:dyDescent="0.2">
      <c r="A205" s="33">
        <f>'Upgrade Projects'!$A95</f>
        <v>654</v>
      </c>
      <c r="B205" s="34" t="s">
        <v>35</v>
      </c>
      <c r="C205" s="35">
        <f>'Upgrade Projects'!$R95</f>
        <v>7.29</v>
      </c>
      <c r="D205" s="36">
        <f>Greenfield!P$16*(C205^Greenfield!P$15)</f>
        <v>7.7241433780050741</v>
      </c>
      <c r="E205" s="37">
        <f>'Upgrade Projects'!$O95</f>
        <v>1976</v>
      </c>
      <c r="F205" s="35">
        <f>'Upgrade Projects'!$S95</f>
        <v>4.4099999999999993</v>
      </c>
      <c r="G205" s="36">
        <f>'Upgrade Projects'!$AJ95/10^6</f>
        <v>0.73672544554632269</v>
      </c>
      <c r="H205" s="38">
        <f>'Upgrade Projects'!$W95</f>
        <v>2007</v>
      </c>
      <c r="I205" s="35">
        <f t="shared" si="17"/>
        <v>11.7</v>
      </c>
      <c r="J205" s="36">
        <f t="shared" si="18"/>
        <v>8.4608688235513974</v>
      </c>
      <c r="K205" s="38">
        <f t="shared" si="19"/>
        <v>2007</v>
      </c>
      <c r="M205" s="21">
        <f t="shared" si="20"/>
        <v>2.4595888418037104</v>
      </c>
      <c r="N205" s="21">
        <f t="shared" si="21"/>
        <v>2.1354518661643862</v>
      </c>
    </row>
    <row r="206" spans="1:14" x14ac:dyDescent="0.2">
      <c r="A206" s="33">
        <f>'Upgrade Projects'!$A96</f>
        <v>1394</v>
      </c>
      <c r="B206" s="34" t="s">
        <v>35</v>
      </c>
      <c r="C206" s="35">
        <f>'Upgrade Projects'!$R96</f>
        <v>11.7</v>
      </c>
      <c r="D206" s="36">
        <f>Greenfield!P$16*(C206^Greenfield!P$15)</f>
        <v>9.9862649190778043</v>
      </c>
      <c r="E206" s="37">
        <f>'Upgrade Projects'!$O96</f>
        <v>1976</v>
      </c>
      <c r="F206" s="35">
        <f>'Upgrade Projects'!$S96</f>
        <v>10</v>
      </c>
      <c r="G206" s="36">
        <f>'Upgrade Projects'!$AJ96/10^6</f>
        <v>5.0057806862702598</v>
      </c>
      <c r="H206" s="38">
        <f>'Upgrade Projects'!$W96</f>
        <v>2014</v>
      </c>
      <c r="I206" s="35">
        <f t="shared" si="17"/>
        <v>21.7</v>
      </c>
      <c r="J206" s="36">
        <f t="shared" si="18"/>
        <v>14.992045605348064</v>
      </c>
      <c r="K206" s="38">
        <f t="shared" si="19"/>
        <v>2014</v>
      </c>
      <c r="M206" s="21">
        <f t="shared" si="20"/>
        <v>3.0773122605464138</v>
      </c>
      <c r="N206" s="21">
        <f t="shared" si="21"/>
        <v>2.7075197674703659</v>
      </c>
    </row>
    <row r="207" spans="1:14" x14ac:dyDescent="0.2">
      <c r="A207" s="33">
        <f>'Upgrade Projects'!$A97</f>
        <v>1294</v>
      </c>
      <c r="B207" s="34" t="s">
        <v>35</v>
      </c>
      <c r="C207" s="35">
        <f>'Upgrade Projects'!$R97</f>
        <v>8.5</v>
      </c>
      <c r="D207" s="36">
        <f>Greenfield!P$16*(C207^Greenfield!P$15)</f>
        <v>8.3957625314013331</v>
      </c>
      <c r="E207" s="37">
        <f>'Upgrade Projects'!$O97</f>
        <v>0</v>
      </c>
      <c r="F207" s="35">
        <f>'Upgrade Projects'!$S97</f>
        <v>1.5999999999999996</v>
      </c>
      <c r="G207" s="36">
        <f>'Upgrade Projects'!$AJ97/10^6</f>
        <v>4.5619922667121129</v>
      </c>
      <c r="H207" s="38">
        <f>'Upgrade Projects'!$W97</f>
        <v>2014</v>
      </c>
      <c r="I207" s="35">
        <f t="shared" si="17"/>
        <v>10.1</v>
      </c>
      <c r="J207" s="36">
        <f t="shared" si="18"/>
        <v>12.957754798113445</v>
      </c>
      <c r="K207" s="38">
        <f t="shared" si="19"/>
        <v>2014</v>
      </c>
      <c r="M207" s="21">
        <f t="shared" si="20"/>
        <v>2.3125354238472138</v>
      </c>
      <c r="N207" s="21">
        <f t="shared" si="21"/>
        <v>2.5616944350298847</v>
      </c>
    </row>
    <row r="208" spans="1:14" x14ac:dyDescent="0.2">
      <c r="A208" s="33">
        <f>'Upgrade Projects'!$A98</f>
        <v>1670</v>
      </c>
      <c r="B208" s="34" t="s">
        <v>35</v>
      </c>
      <c r="C208" s="35">
        <f>'Upgrade Projects'!$R98</f>
        <v>31.45</v>
      </c>
      <c r="D208" s="36">
        <f>Greenfield!P$16*(C208^Greenfield!P$15)</f>
        <v>17.082952496634018</v>
      </c>
      <c r="E208" s="37">
        <f>'Upgrade Projects'!$O98</f>
        <v>0</v>
      </c>
      <c r="F208" s="35">
        <f>'Upgrade Projects'!$S98</f>
        <v>24.250000000000004</v>
      </c>
      <c r="G208" s="36">
        <f>'Upgrade Projects'!$AJ98/10^6</f>
        <v>2.7943521582603679</v>
      </c>
      <c r="H208" s="38">
        <f>'Upgrade Projects'!$W98</f>
        <v>2016</v>
      </c>
      <c r="I208" s="35">
        <f t="shared" si="17"/>
        <v>55.7</v>
      </c>
      <c r="J208" s="36">
        <f t="shared" si="18"/>
        <v>19.877304654894385</v>
      </c>
      <c r="K208" s="38">
        <f t="shared" si="19"/>
        <v>2016</v>
      </c>
      <c r="M208" s="21">
        <f t="shared" si="20"/>
        <v>4.0199801469332384</v>
      </c>
      <c r="N208" s="21">
        <f t="shared" si="21"/>
        <v>2.9895786112968095</v>
      </c>
    </row>
    <row r="209" spans="1:14" x14ac:dyDescent="0.2">
      <c r="A209" s="33">
        <f>'Upgrade Projects'!$A99</f>
        <v>579</v>
      </c>
      <c r="B209" s="34" t="s">
        <v>35</v>
      </c>
      <c r="C209" s="35">
        <f>'Upgrade Projects'!$R99</f>
        <v>17.100000000000001</v>
      </c>
      <c r="D209" s="36">
        <f>Greenfield!P$16*(C209^Greenfield!P$15)</f>
        <v>12.271174416064721</v>
      </c>
      <c r="E209" s="37" t="str">
        <f>'Upgrade Projects'!$O99</f>
        <v>unknown</v>
      </c>
      <c r="F209" s="35">
        <f>'Upgrade Projects'!$S99</f>
        <v>11</v>
      </c>
      <c r="G209" s="36">
        <f>'Upgrade Projects'!$AJ99/10^6</f>
        <v>3.6516230200538073</v>
      </c>
      <c r="H209" s="38">
        <f>'Upgrade Projects'!$W99</f>
        <v>2008</v>
      </c>
      <c r="I209" s="35">
        <f t="shared" si="17"/>
        <v>28.1</v>
      </c>
      <c r="J209" s="36">
        <f t="shared" si="18"/>
        <v>15.922797436118529</v>
      </c>
      <c r="K209" s="38">
        <f t="shared" si="19"/>
        <v>2008</v>
      </c>
      <c r="M209" s="21">
        <f t="shared" si="20"/>
        <v>3.3357695763396999</v>
      </c>
      <c r="N209" s="21">
        <f t="shared" si="21"/>
        <v>2.7677518833287298</v>
      </c>
    </row>
    <row r="210" spans="1:14" x14ac:dyDescent="0.2">
      <c r="A210" s="33">
        <f>'Upgrade Projects'!$A100</f>
        <v>1670</v>
      </c>
      <c r="B210" s="34" t="s">
        <v>35</v>
      </c>
      <c r="C210" s="35">
        <f>'Upgrade Projects'!$R100</f>
        <v>18.79</v>
      </c>
      <c r="D210" s="36">
        <f>Greenfield!P$16*(C210^Greenfield!P$15)</f>
        <v>12.915441826006631</v>
      </c>
      <c r="E210" s="37">
        <f>'Upgrade Projects'!$O100</f>
        <v>0</v>
      </c>
      <c r="F210" s="35">
        <f>'Upgrade Projects'!$S100</f>
        <v>30.509999999999998</v>
      </c>
      <c r="G210" s="36">
        <f>'Upgrade Projects'!$AJ100/10^6</f>
        <v>18.363697996227653</v>
      </c>
      <c r="H210" s="38">
        <f>'Upgrade Projects'!$W100</f>
        <v>2016</v>
      </c>
      <c r="I210" s="35">
        <f t="shared" si="17"/>
        <v>49.3</v>
      </c>
      <c r="J210" s="36">
        <f t="shared" si="18"/>
        <v>31.279139822234285</v>
      </c>
      <c r="K210" s="38">
        <f t="shared" si="19"/>
        <v>2016</v>
      </c>
      <c r="M210" s="21">
        <f t="shared" si="20"/>
        <v>3.8979240810486444</v>
      </c>
      <c r="N210" s="21">
        <f t="shared" si="21"/>
        <v>3.4429514160098127</v>
      </c>
    </row>
    <row r="211" spans="1:14" x14ac:dyDescent="0.2">
      <c r="A211" s="33">
        <f>'Upgrade Projects'!$A101</f>
        <v>1083</v>
      </c>
      <c r="B211" s="34" t="s">
        <v>35</v>
      </c>
      <c r="C211" s="35">
        <f>'Upgrade Projects'!$R101</f>
        <v>7.53</v>
      </c>
      <c r="D211" s="36">
        <f>Greenfield!P$16*(C211^Greenfield!P$15)</f>
        <v>7.8611881280350051</v>
      </c>
      <c r="E211" s="37">
        <f>'Upgrade Projects'!$O101</f>
        <v>1981</v>
      </c>
      <c r="F211" s="35">
        <f>'Upgrade Projects'!$S101</f>
        <v>5.87</v>
      </c>
      <c r="G211" s="36">
        <f>'Upgrade Projects'!$AJ101/10^6</f>
        <v>7.4125108979310461</v>
      </c>
      <c r="H211" s="38">
        <f>'Upgrade Projects'!$W101</f>
        <v>2011</v>
      </c>
      <c r="I211" s="35">
        <f t="shared" si="17"/>
        <v>13.4</v>
      </c>
      <c r="J211" s="36">
        <f t="shared" si="18"/>
        <v>15.273699025966051</v>
      </c>
      <c r="K211" s="38">
        <f t="shared" si="19"/>
        <v>2011</v>
      </c>
      <c r="M211" s="21">
        <f t="shared" si="20"/>
        <v>2.5952547069568657</v>
      </c>
      <c r="N211" s="21">
        <f t="shared" si="21"/>
        <v>2.726132331280954</v>
      </c>
    </row>
    <row r="212" spans="1:14" x14ac:dyDescent="0.2">
      <c r="A212" s="33">
        <f>'Upgrade Projects'!$A102</f>
        <v>552</v>
      </c>
      <c r="B212" s="34" t="s">
        <v>35</v>
      </c>
      <c r="C212" s="35">
        <f>'Upgrade Projects'!$R102</f>
        <v>20.229999999999997</v>
      </c>
      <c r="D212" s="36">
        <f>Greenfield!P$16*(C212^Greenfield!P$15)</f>
        <v>13.443769413318384</v>
      </c>
      <c r="E212" s="37">
        <f>'Upgrade Projects'!$O102</f>
        <v>1991</v>
      </c>
      <c r="F212" s="35">
        <f>'Upgrade Projects'!$S102</f>
        <v>10.470000000000002</v>
      </c>
      <c r="G212" s="36">
        <f>'Upgrade Projects'!$AJ102/10^6</f>
        <v>1.1457716756011658</v>
      </c>
      <c r="H212" s="38">
        <f>'Upgrade Projects'!$W102</f>
        <v>2006</v>
      </c>
      <c r="I212" s="35">
        <f t="shared" si="17"/>
        <v>30.7</v>
      </c>
      <c r="J212" s="36">
        <f t="shared" si="18"/>
        <v>14.58954108891955</v>
      </c>
      <c r="K212" s="38">
        <f t="shared" si="19"/>
        <v>2006</v>
      </c>
      <c r="M212" s="21">
        <f t="shared" si="20"/>
        <v>3.4242626545931514</v>
      </c>
      <c r="N212" s="21">
        <f t="shared" si="21"/>
        <v>2.6803049082305233</v>
      </c>
    </row>
    <row r="213" spans="1:14" x14ac:dyDescent="0.2">
      <c r="A213" s="33">
        <f>'Upgrade Projects'!$A103</f>
        <v>1311</v>
      </c>
      <c r="B213" s="34" t="s">
        <v>35</v>
      </c>
      <c r="C213" s="35">
        <f>'Upgrade Projects'!$R103</f>
        <v>30.7</v>
      </c>
      <c r="D213" s="36">
        <f>Greenfield!P$16*(C213^Greenfield!P$15)</f>
        <v>16.860545656194883</v>
      </c>
      <c r="E213" s="37">
        <f>'Upgrade Projects'!$O103</f>
        <v>1991</v>
      </c>
      <c r="F213" s="35">
        <f>'Upgrade Projects'!$S103</f>
        <v>19.3</v>
      </c>
      <c r="G213" s="36">
        <f>'Upgrade Projects'!$AJ103/10^6</f>
        <v>5.9841430822776953</v>
      </c>
      <c r="H213" s="38">
        <f>'Upgrade Projects'!$W103</f>
        <v>2013</v>
      </c>
      <c r="I213" s="35">
        <f t="shared" si="17"/>
        <v>50</v>
      </c>
      <c r="J213" s="36">
        <f t="shared" si="18"/>
        <v>22.844688738472577</v>
      </c>
      <c r="K213" s="38">
        <f t="shared" si="19"/>
        <v>2013</v>
      </c>
      <c r="M213" s="21">
        <f t="shared" si="20"/>
        <v>3.912023005428146</v>
      </c>
      <c r="N213" s="21">
        <f t="shared" si="21"/>
        <v>3.1287186499923458</v>
      </c>
    </row>
    <row r="214" spans="1:14" x14ac:dyDescent="0.2">
      <c r="A214" s="33">
        <f>'Upgrade Projects'!$A104</f>
        <v>1078</v>
      </c>
      <c r="B214" s="34" t="s">
        <v>35</v>
      </c>
      <c r="C214" s="35">
        <f>'Upgrade Projects'!$R104</f>
        <v>17.66</v>
      </c>
      <c r="D214" s="36">
        <f>Greenfield!P$16*(C214^Greenfield!P$15)</f>
        <v>12.487756833635077</v>
      </c>
      <c r="E214" s="37">
        <f>'Upgrade Projects'!$O104</f>
        <v>1957</v>
      </c>
      <c r="F214" s="35">
        <f>'Upgrade Projects'!$S104</f>
        <v>7.34</v>
      </c>
      <c r="G214" s="36">
        <f>'Upgrade Projects'!$AJ104/10^6</f>
        <v>1.0936387702296273</v>
      </c>
      <c r="H214" s="38">
        <f>'Upgrade Projects'!$W104</f>
        <v>2011</v>
      </c>
      <c r="I214" s="35">
        <f t="shared" si="17"/>
        <v>25</v>
      </c>
      <c r="J214" s="36">
        <f t="shared" si="18"/>
        <v>13.581395603864705</v>
      </c>
      <c r="K214" s="38">
        <f t="shared" si="19"/>
        <v>2011</v>
      </c>
      <c r="M214" s="21">
        <f t="shared" si="20"/>
        <v>3.2188758248682006</v>
      </c>
      <c r="N214" s="21">
        <f t="shared" si="21"/>
        <v>2.6087008859123739</v>
      </c>
    </row>
    <row r="215" spans="1:14" x14ac:dyDescent="0.2">
      <c r="A215" s="33">
        <f>'Upgrade Projects'!$A105</f>
        <v>495</v>
      </c>
      <c r="B215" s="34" t="s">
        <v>35</v>
      </c>
      <c r="C215" s="35">
        <f>'Upgrade Projects'!$R105</f>
        <v>12.974</v>
      </c>
      <c r="D215" s="36">
        <f>Greenfield!P$16*(C215^Greenfield!P$15)</f>
        <v>10.562697807958253</v>
      </c>
      <c r="E215" s="37">
        <f>'Upgrade Projects'!$O105</f>
        <v>1982</v>
      </c>
      <c r="F215" s="35">
        <f>'Upgrade Projects'!$S105</f>
        <v>0</v>
      </c>
      <c r="G215" s="36">
        <f>'Upgrade Projects'!$AJ105/10^6</f>
        <v>3.5907902166068872</v>
      </c>
      <c r="H215" s="38">
        <f>'Upgrade Projects'!$W105</f>
        <v>2006</v>
      </c>
      <c r="I215" s="35">
        <f t="shared" si="17"/>
        <v>12.974</v>
      </c>
      <c r="J215" s="36">
        <f t="shared" si="18"/>
        <v>14.15348802456514</v>
      </c>
      <c r="K215" s="38">
        <f t="shared" si="19"/>
        <v>2006</v>
      </c>
      <c r="M215" s="21">
        <f t="shared" si="20"/>
        <v>2.5629473547908637</v>
      </c>
      <c r="N215" s="21">
        <f t="shared" si="21"/>
        <v>2.6499610972150869</v>
      </c>
    </row>
    <row r="216" spans="1:14" x14ac:dyDescent="0.2">
      <c r="A216" s="33">
        <f>'Upgrade Projects'!$A106</f>
        <v>383</v>
      </c>
      <c r="B216" s="34" t="s">
        <v>35</v>
      </c>
      <c r="C216" s="35">
        <f>'Upgrade Projects'!$R106</f>
        <v>0.51</v>
      </c>
      <c r="D216" s="36">
        <f>Greenfield!P$16*(C216^Greenfield!P$15)</f>
        <v>1.8224784342616092</v>
      </c>
      <c r="E216" s="37">
        <f>'Upgrade Projects'!$O106</f>
        <v>1984</v>
      </c>
      <c r="F216" s="35">
        <f>'Upgrade Projects'!$S106</f>
        <v>8</v>
      </c>
      <c r="G216" s="36">
        <f>'Upgrade Projects'!$AJ106/10^6</f>
        <v>3.9501723720469593</v>
      </c>
      <c r="H216" s="38">
        <f>'Upgrade Projects'!$W106</f>
        <v>2005</v>
      </c>
      <c r="I216" s="35">
        <f t="shared" si="17"/>
        <v>8.51</v>
      </c>
      <c r="J216" s="36">
        <f t="shared" si="18"/>
        <v>5.7726508063085689</v>
      </c>
      <c r="K216" s="38">
        <f t="shared" si="19"/>
        <v>2005</v>
      </c>
      <c r="M216" s="21">
        <f t="shared" si="20"/>
        <v>2.1412419425852827</v>
      </c>
      <c r="N216" s="21">
        <f t="shared" si="21"/>
        <v>1.7531313868612728</v>
      </c>
    </row>
    <row r="217" spans="1:14" x14ac:dyDescent="0.2">
      <c r="A217" s="33">
        <f>'Upgrade Projects'!$A107</f>
        <v>1020</v>
      </c>
      <c r="B217" s="34" t="s">
        <v>35</v>
      </c>
      <c r="C217" s="35">
        <f>'Upgrade Projects'!$R107</f>
        <v>13</v>
      </c>
      <c r="D217" s="36">
        <f>Greenfield!P$16*(C217^Greenfield!P$15)</f>
        <v>10.57418548210021</v>
      </c>
      <c r="E217" s="37">
        <f>'Upgrade Projects'!$O107</f>
        <v>1977</v>
      </c>
      <c r="F217" s="35">
        <f>'Upgrade Projects'!$S107</f>
        <v>9</v>
      </c>
      <c r="G217" s="36">
        <f>'Upgrade Projects'!$AJ107/10^6</f>
        <v>7.3449786888029998</v>
      </c>
      <c r="H217" s="38">
        <f>'Upgrade Projects'!$W107</f>
        <v>2010</v>
      </c>
      <c r="I217" s="35">
        <f t="shared" si="17"/>
        <v>22</v>
      </c>
      <c r="J217" s="36">
        <f t="shared" si="18"/>
        <v>17.919164170903208</v>
      </c>
      <c r="K217" s="38">
        <f t="shared" si="19"/>
        <v>2010</v>
      </c>
      <c r="M217" s="21">
        <f t="shared" si="20"/>
        <v>3.0910424533583161</v>
      </c>
      <c r="N217" s="21">
        <f t="shared" si="21"/>
        <v>2.8858707642102961</v>
      </c>
    </row>
    <row r="218" spans="1:14" x14ac:dyDescent="0.2">
      <c r="A218" s="33">
        <f>'Upgrade Projects'!$A108</f>
        <v>1364</v>
      </c>
      <c r="B218" s="34" t="s">
        <v>35</v>
      </c>
      <c r="C218" s="35">
        <f>'Upgrade Projects'!$R108</f>
        <v>8.5</v>
      </c>
      <c r="D218" s="36">
        <f>Greenfield!P$16*(C218^Greenfield!P$15)</f>
        <v>8.3957625314013331</v>
      </c>
      <c r="E218" s="37">
        <f>'Upgrade Projects'!$O108</f>
        <v>0</v>
      </c>
      <c r="F218" s="35">
        <f>'Upgrade Projects'!$S108</f>
        <v>34</v>
      </c>
      <c r="G218" s="36">
        <f>'Upgrade Projects'!$AJ108/10^6</f>
        <v>8.7951197470845859</v>
      </c>
      <c r="H218" s="38">
        <f>'Upgrade Projects'!$W108</f>
        <v>2013</v>
      </c>
      <c r="I218" s="35">
        <f t="shared" si="17"/>
        <v>42.5</v>
      </c>
      <c r="J218" s="36">
        <f t="shared" si="18"/>
        <v>17.190882278485919</v>
      </c>
      <c r="K218" s="38">
        <f t="shared" si="19"/>
        <v>2013</v>
      </c>
      <c r="M218" s="21">
        <f t="shared" si="20"/>
        <v>3.7495040759303713</v>
      </c>
      <c r="N218" s="21">
        <f t="shared" si="21"/>
        <v>2.8443791431786543</v>
      </c>
    </row>
    <row r="219" spans="1:14" x14ac:dyDescent="0.2">
      <c r="A219" s="33">
        <f>'Upgrade Projects'!$A109</f>
        <v>503</v>
      </c>
      <c r="B219" s="34" t="s">
        <v>35</v>
      </c>
      <c r="C219" s="35">
        <f>'Upgrade Projects'!$R109</f>
        <v>31</v>
      </c>
      <c r="D219" s="36">
        <f>Greenfield!P$16*(C219^Greenfield!P$15)</f>
        <v>16.949803152362971</v>
      </c>
      <c r="E219" s="37">
        <f>'Upgrade Projects'!$O109</f>
        <v>1972</v>
      </c>
      <c r="F219" s="35">
        <f>'Upgrade Projects'!$S109</f>
        <v>16</v>
      </c>
      <c r="G219" s="36">
        <f>'Upgrade Projects'!$AJ109/10^6</f>
        <v>3.8033222269089473</v>
      </c>
      <c r="H219" s="38">
        <f>'Upgrade Projects'!$W109</f>
        <v>2007</v>
      </c>
      <c r="I219" s="35">
        <f t="shared" si="17"/>
        <v>47</v>
      </c>
      <c r="J219" s="36">
        <f t="shared" si="18"/>
        <v>20.753125379271918</v>
      </c>
      <c r="K219" s="38">
        <f t="shared" si="19"/>
        <v>2007</v>
      </c>
      <c r="M219" s="21">
        <f t="shared" si="20"/>
        <v>3.8501476017100584</v>
      </c>
      <c r="N219" s="21">
        <f t="shared" si="21"/>
        <v>3.0326968560223535</v>
      </c>
    </row>
    <row r="220" spans="1:14" x14ac:dyDescent="0.2">
      <c r="A220" s="33">
        <f>'Upgrade Projects'!$A110</f>
        <v>925</v>
      </c>
      <c r="B220" s="34" t="s">
        <v>35</v>
      </c>
      <c r="C220" s="35">
        <f>'Upgrade Projects'!$R110</f>
        <v>47</v>
      </c>
      <c r="D220" s="36">
        <f>Greenfield!P$16*(C220^Greenfield!P$15)</f>
        <v>21.246853094370444</v>
      </c>
      <c r="E220" s="37">
        <f>'Upgrade Projects'!$O110</f>
        <v>1972</v>
      </c>
      <c r="F220" s="35">
        <f>'Upgrade Projects'!$S110</f>
        <v>9</v>
      </c>
      <c r="G220" s="36">
        <f>'Upgrade Projects'!$AJ110/10^6</f>
        <v>3.3164697860941139</v>
      </c>
      <c r="H220" s="38">
        <f>'Upgrade Projects'!$W110</f>
        <v>2011</v>
      </c>
      <c r="I220" s="35">
        <f t="shared" si="17"/>
        <v>56</v>
      </c>
      <c r="J220" s="36">
        <f t="shared" si="18"/>
        <v>24.563322880464558</v>
      </c>
      <c r="K220" s="38">
        <f t="shared" si="19"/>
        <v>2011</v>
      </c>
      <c r="M220" s="21">
        <f t="shared" si="20"/>
        <v>4.0253516907351496</v>
      </c>
      <c r="N220" s="21">
        <f t="shared" si="21"/>
        <v>3.2012543905630575</v>
      </c>
    </row>
    <row r="221" spans="1:14" x14ac:dyDescent="0.2">
      <c r="A221" s="33">
        <f>'Upgrade Projects'!$A111</f>
        <v>821</v>
      </c>
      <c r="B221" s="34" t="s">
        <v>35</v>
      </c>
      <c r="C221" s="35">
        <f>'Upgrade Projects'!$R111</f>
        <v>25</v>
      </c>
      <c r="D221" s="36">
        <f>Greenfield!P$16*(C221^Greenfield!P$15)</f>
        <v>15.081402803377511</v>
      </c>
      <c r="E221" s="37">
        <f>'Upgrade Projects'!$O111</f>
        <v>2006</v>
      </c>
      <c r="F221" s="35">
        <f>'Upgrade Projects'!$S111</f>
        <v>32</v>
      </c>
      <c r="G221" s="36">
        <f>'Upgrade Projects'!$AJ111/10^6</f>
        <v>9.4177371403666275</v>
      </c>
      <c r="H221" s="38">
        <f>'Upgrade Projects'!$W111</f>
        <v>2011</v>
      </c>
      <c r="I221" s="35">
        <f t="shared" si="17"/>
        <v>57</v>
      </c>
      <c r="J221" s="36">
        <f t="shared" si="18"/>
        <v>24.49913994374414</v>
      </c>
      <c r="K221" s="38">
        <f t="shared" si="19"/>
        <v>2011</v>
      </c>
      <c r="M221" s="21">
        <f t="shared" si="20"/>
        <v>4.0430512678345503</v>
      </c>
      <c r="N221" s="21">
        <f t="shared" si="21"/>
        <v>3.1986380125975358</v>
      </c>
    </row>
    <row r="222" spans="1:14" x14ac:dyDescent="0.2">
      <c r="A222" s="33">
        <f>'Upgrade Projects'!$A112</f>
        <v>486</v>
      </c>
      <c r="B222" s="34" t="s">
        <v>35</v>
      </c>
      <c r="C222" s="35">
        <f>'Upgrade Projects'!$R112</f>
        <v>10.81</v>
      </c>
      <c r="D222" s="36">
        <f>Greenfield!P$16*(C222^Greenfield!P$15)</f>
        <v>9.5663743438371007</v>
      </c>
      <c r="E222" s="37">
        <f>'Upgrade Projects'!$O112</f>
        <v>1993</v>
      </c>
      <c r="F222" s="35">
        <f>'Upgrade Projects'!$S112</f>
        <v>3.1399999999999988</v>
      </c>
      <c r="G222" s="36">
        <f>'Upgrade Projects'!$AJ112/10^6</f>
        <v>0.34692120274319505</v>
      </c>
      <c r="H222" s="38">
        <f>'Upgrade Projects'!$W112</f>
        <v>2005</v>
      </c>
      <c r="I222" s="35">
        <f t="shared" si="17"/>
        <v>13.95</v>
      </c>
      <c r="J222" s="36">
        <f t="shared" si="18"/>
        <v>9.9132955465802954</v>
      </c>
      <c r="K222" s="38">
        <f t="shared" si="19"/>
        <v>2005</v>
      </c>
      <c r="M222" s="21">
        <f t="shared" si="20"/>
        <v>2.6354795082673745</v>
      </c>
      <c r="N222" s="21">
        <f t="shared" si="21"/>
        <v>2.2938768406465098</v>
      </c>
    </row>
    <row r="223" spans="1:14" x14ac:dyDescent="0.2">
      <c r="A223" s="33">
        <f>'Upgrade Projects'!$A113</f>
        <v>779</v>
      </c>
      <c r="B223" s="34" t="s">
        <v>35</v>
      </c>
      <c r="C223" s="35">
        <f>'Upgrade Projects'!$R113</f>
        <v>13.95</v>
      </c>
      <c r="D223" s="36">
        <f>Greenfield!P$16*(C223^Greenfield!P$15)</f>
        <v>10.986967020317207</v>
      </c>
      <c r="E223" s="37">
        <f>'Upgrade Projects'!$O113</f>
        <v>1993</v>
      </c>
      <c r="F223" s="35">
        <f>'Upgrade Projects'!$S113</f>
        <v>4.0500000000000007</v>
      </c>
      <c r="G223" s="36">
        <f>'Upgrade Projects'!$AJ113/10^6</f>
        <v>0.91575874480529229</v>
      </c>
      <c r="H223" s="38">
        <f>'Upgrade Projects'!$W113</f>
        <v>2008</v>
      </c>
      <c r="I223" s="35">
        <f t="shared" si="17"/>
        <v>18</v>
      </c>
      <c r="J223" s="36">
        <f t="shared" si="18"/>
        <v>11.902725765122499</v>
      </c>
      <c r="K223" s="38">
        <f t="shared" si="19"/>
        <v>2008</v>
      </c>
      <c r="M223" s="21">
        <f t="shared" si="20"/>
        <v>2.8903717578961645</v>
      </c>
      <c r="N223" s="21">
        <f t="shared" si="21"/>
        <v>2.4767674297808351</v>
      </c>
    </row>
    <row r="224" spans="1:14" x14ac:dyDescent="0.2">
      <c r="A224" s="33">
        <f>'Upgrade Projects'!$A114</f>
        <v>1416</v>
      </c>
      <c r="B224" s="34" t="s">
        <v>35</v>
      </c>
      <c r="C224" s="35">
        <f>'Upgrade Projects'!$R114</f>
        <v>18</v>
      </c>
      <c r="D224" s="36">
        <f>Greenfield!P$16*(C224^Greenfield!P$15)</f>
        <v>12.617723487696756</v>
      </c>
      <c r="E224" s="37">
        <f>'Upgrade Projects'!$O114</f>
        <v>1993</v>
      </c>
      <c r="F224" s="35">
        <f>'Upgrade Projects'!$S114</f>
        <v>6</v>
      </c>
      <c r="G224" s="36">
        <f>'Upgrade Projects'!$AJ114/10^6</f>
        <v>1.4181567457767223</v>
      </c>
      <c r="H224" s="38">
        <f>'Upgrade Projects'!$W114</f>
        <v>2014</v>
      </c>
      <c r="I224" s="35">
        <f t="shared" si="17"/>
        <v>24</v>
      </c>
      <c r="J224" s="36">
        <f t="shared" si="18"/>
        <v>14.035880233473478</v>
      </c>
      <c r="K224" s="38">
        <f t="shared" si="19"/>
        <v>2014</v>
      </c>
      <c r="M224" s="21">
        <f t="shared" si="20"/>
        <v>3.1780538303479458</v>
      </c>
      <c r="N224" s="21">
        <f t="shared" si="21"/>
        <v>2.6416169248741821</v>
      </c>
    </row>
    <row r="225" spans="1:14" x14ac:dyDescent="0.2">
      <c r="A225" s="33">
        <f>'Upgrade Projects'!$A115</f>
        <v>554</v>
      </c>
      <c r="B225" s="34" t="s">
        <v>35</v>
      </c>
      <c r="C225" s="35">
        <f>'Upgrade Projects'!$R115</f>
        <v>23</v>
      </c>
      <c r="D225" s="36">
        <f>Greenfield!P$16*(C225^Greenfield!P$15)</f>
        <v>14.413866304209847</v>
      </c>
      <c r="E225" s="37">
        <f>'Upgrade Projects'!$O115</f>
        <v>1968</v>
      </c>
      <c r="F225" s="35">
        <f>'Upgrade Projects'!$S115</f>
        <v>8.2600000000000016</v>
      </c>
      <c r="G225" s="36">
        <f>'Upgrade Projects'!$AJ115/10^6</f>
        <v>1.061095708813089</v>
      </c>
      <c r="H225" s="38">
        <f>'Upgrade Projects'!$W115</f>
        <v>2006</v>
      </c>
      <c r="I225" s="35">
        <f t="shared" si="17"/>
        <v>31.26</v>
      </c>
      <c r="J225" s="36">
        <f t="shared" si="18"/>
        <v>15.474962013022935</v>
      </c>
      <c r="K225" s="38">
        <f t="shared" si="19"/>
        <v>2006</v>
      </c>
      <c r="M225" s="21">
        <f t="shared" si="20"/>
        <v>3.4423393249933305</v>
      </c>
      <c r="N225" s="21">
        <f t="shared" si="21"/>
        <v>2.7392233638356882</v>
      </c>
    </row>
    <row r="226" spans="1:14" x14ac:dyDescent="0.2">
      <c r="A226" s="33">
        <f>'Upgrade Projects'!$A116</f>
        <v>1581</v>
      </c>
      <c r="B226" s="34" t="s">
        <v>35</v>
      </c>
      <c r="C226" s="35">
        <f>'Upgrade Projects'!$R116</f>
        <v>7.44</v>
      </c>
      <c r="D226" s="36">
        <f>Greenfield!P$16*(C226^Greenfield!P$15)</f>
        <v>7.810033633244073</v>
      </c>
      <c r="E226" s="37" t="str">
        <f>'Upgrade Projects'!$O116</f>
        <v>unknown</v>
      </c>
      <c r="F226" s="35">
        <f>'Upgrade Projects'!$S116</f>
        <v>9.36</v>
      </c>
      <c r="G226" s="36">
        <f>'Upgrade Projects'!$AJ116/10^6</f>
        <v>5.3848313505476417</v>
      </c>
      <c r="H226" s="38">
        <f>'Upgrade Projects'!$W116</f>
        <v>2015</v>
      </c>
      <c r="I226" s="35">
        <f t="shared" si="17"/>
        <v>16.8</v>
      </c>
      <c r="J226" s="36">
        <f t="shared" si="18"/>
        <v>13.194864983791714</v>
      </c>
      <c r="K226" s="38">
        <f t="shared" si="19"/>
        <v>2015</v>
      </c>
      <c r="M226" s="21">
        <f t="shared" si="20"/>
        <v>2.8213788864092133</v>
      </c>
      <c r="N226" s="21">
        <f t="shared" si="21"/>
        <v>2.5798277375264083</v>
      </c>
    </row>
    <row r="227" spans="1:14" x14ac:dyDescent="0.2">
      <c r="A227" s="33">
        <f>'Upgrade Projects'!$A117</f>
        <v>880</v>
      </c>
      <c r="B227" s="34" t="s">
        <v>35</v>
      </c>
      <c r="C227" s="35">
        <f>'Upgrade Projects'!$R117</f>
        <v>8.9499999999999993</v>
      </c>
      <c r="D227" s="36">
        <f>Greenfield!P$16*(C227^Greenfield!P$15)</f>
        <v>8.634244953440982</v>
      </c>
      <c r="E227" s="37">
        <f>'Upgrade Projects'!$O117</f>
        <v>1966</v>
      </c>
      <c r="F227" s="35">
        <f>'Upgrade Projects'!$S117</f>
        <v>2.0500000000000007</v>
      </c>
      <c r="G227" s="36">
        <f>'Upgrade Projects'!$AJ117/10^6</f>
        <v>4.5763928166345611</v>
      </c>
      <c r="H227" s="38">
        <f>'Upgrade Projects'!$W117</f>
        <v>2010</v>
      </c>
      <c r="I227" s="35">
        <f t="shared" si="17"/>
        <v>11</v>
      </c>
      <c r="J227" s="36">
        <f t="shared" si="18"/>
        <v>13.210637770075543</v>
      </c>
      <c r="K227" s="38">
        <f t="shared" si="19"/>
        <v>2010</v>
      </c>
      <c r="M227" s="21">
        <f t="shared" si="20"/>
        <v>2.3978952727983707</v>
      </c>
      <c r="N227" s="21">
        <f t="shared" si="21"/>
        <v>2.5810223967083807</v>
      </c>
    </row>
    <row r="228" spans="1:14" x14ac:dyDescent="0.2">
      <c r="A228" s="33">
        <f>'Upgrade Projects'!$A118</f>
        <v>1047</v>
      </c>
      <c r="B228" s="34" t="s">
        <v>35</v>
      </c>
      <c r="C228" s="35">
        <f>'Upgrade Projects'!$R118</f>
        <v>10</v>
      </c>
      <c r="D228" s="36">
        <f>Greenfield!P$16*(C228^Greenfield!P$15)</f>
        <v>9.1702642415128466</v>
      </c>
      <c r="E228" s="37">
        <f>'Upgrade Projects'!$O118</f>
        <v>1965</v>
      </c>
      <c r="F228" s="35">
        <f>'Upgrade Projects'!$S118</f>
        <v>5</v>
      </c>
      <c r="G228" s="36">
        <f>'Upgrade Projects'!$AJ118/10^6</f>
        <v>6.2586429220605622</v>
      </c>
      <c r="H228" s="38">
        <f>'Upgrade Projects'!$W118</f>
        <v>2012</v>
      </c>
      <c r="I228" s="35">
        <f t="shared" si="17"/>
        <v>15</v>
      </c>
      <c r="J228" s="36">
        <f t="shared" si="18"/>
        <v>15.42890716357341</v>
      </c>
      <c r="K228" s="38">
        <f t="shared" si="19"/>
        <v>2012</v>
      </c>
      <c r="M228" s="21">
        <f t="shared" si="20"/>
        <v>2.7080502011022101</v>
      </c>
      <c r="N228" s="21">
        <f t="shared" si="21"/>
        <v>2.7362428384341282</v>
      </c>
    </row>
    <row r="229" spans="1:14" x14ac:dyDescent="0.2">
      <c r="A229" s="33">
        <f>'Upgrade Projects'!$A119</f>
        <v>1045</v>
      </c>
      <c r="B229" s="34" t="s">
        <v>35</v>
      </c>
      <c r="C229" s="35">
        <f>'Upgrade Projects'!$R119</f>
        <v>24.065999999999999</v>
      </c>
      <c r="D229" s="36">
        <f>Greenfield!P$16*(C229^Greenfield!P$15)</f>
        <v>14.772824351032877</v>
      </c>
      <c r="E229" s="37">
        <f>'Upgrade Projects'!$O119</f>
        <v>1971</v>
      </c>
      <c r="F229" s="35">
        <f>'Upgrade Projects'!$S119</f>
        <v>7.9340000000000011</v>
      </c>
      <c r="G229" s="36">
        <f>'Upgrade Projects'!$AJ119/10^6</f>
        <v>3.8009199870921253</v>
      </c>
      <c r="H229" s="38">
        <f>'Upgrade Projects'!$W119</f>
        <v>2011</v>
      </c>
      <c r="I229" s="35">
        <f t="shared" si="17"/>
        <v>32</v>
      </c>
      <c r="J229" s="36">
        <f t="shared" si="18"/>
        <v>18.573744338125003</v>
      </c>
      <c r="K229" s="38">
        <f t="shared" si="19"/>
        <v>2011</v>
      </c>
      <c r="M229" s="21">
        <f t="shared" si="20"/>
        <v>3.4657359027997265</v>
      </c>
      <c r="N229" s="21">
        <f t="shared" si="21"/>
        <v>2.9217489887562853</v>
      </c>
    </row>
    <row r="230" spans="1:14" x14ac:dyDescent="0.2">
      <c r="A230" s="33">
        <f>'Upgrade Projects'!$A120</f>
        <v>1616</v>
      </c>
      <c r="B230" s="34" t="s">
        <v>35</v>
      </c>
      <c r="C230" s="35">
        <f>'Upgrade Projects'!$R120</f>
        <v>21.68</v>
      </c>
      <c r="D230" s="36">
        <f>Greenfield!P$16*(C230^Greenfield!P$15)</f>
        <v>13.958663936519816</v>
      </c>
      <c r="E230" s="37" t="str">
        <f>'Upgrade Projects'!$O120</f>
        <v>unknown</v>
      </c>
      <c r="F230" s="35">
        <f>'Upgrade Projects'!$S120</f>
        <v>25.75</v>
      </c>
      <c r="G230" s="36">
        <f>'Upgrade Projects'!$AJ120/10^6</f>
        <v>0.84818580502502572</v>
      </c>
      <c r="H230" s="38">
        <f>'Upgrade Projects'!$W120</f>
        <v>2015</v>
      </c>
      <c r="I230" s="35">
        <f t="shared" si="17"/>
        <v>47.43</v>
      </c>
      <c r="J230" s="36">
        <f t="shared" si="18"/>
        <v>14.806849741544841</v>
      </c>
      <c r="K230" s="38">
        <f t="shared" si="19"/>
        <v>2015</v>
      </c>
      <c r="M230" s="21">
        <f t="shared" si="20"/>
        <v>3.8592549398894902</v>
      </c>
      <c r="N230" s="21">
        <f t="shared" si="21"/>
        <v>2.6950898940764056</v>
      </c>
    </row>
    <row r="231" spans="1:14" x14ac:dyDescent="0.2">
      <c r="A231" s="33">
        <f>'Upgrade Projects'!$A121</f>
        <v>362</v>
      </c>
      <c r="B231" s="34" t="s">
        <v>35</v>
      </c>
      <c r="C231" s="35">
        <f>'Upgrade Projects'!$R121</f>
        <v>51.8</v>
      </c>
      <c r="D231" s="36">
        <f>Greenfield!P$16*(C231^Greenfield!P$15)</f>
        <v>22.398774232233432</v>
      </c>
      <c r="E231" s="37">
        <f>'Upgrade Projects'!$O121</f>
        <v>1971</v>
      </c>
      <c r="F231" s="35">
        <f>'Upgrade Projects'!$S121</f>
        <v>1</v>
      </c>
      <c r="G231" s="36">
        <f>'Upgrade Projects'!$AJ121/10^6</f>
        <v>0.78848028183233532</v>
      </c>
      <c r="H231" s="38">
        <f>'Upgrade Projects'!$W121</f>
        <v>2004</v>
      </c>
      <c r="I231" s="35">
        <f t="shared" si="17"/>
        <v>52.8</v>
      </c>
      <c r="J231" s="36">
        <f t="shared" si="18"/>
        <v>23.187254514065767</v>
      </c>
      <c r="K231" s="38">
        <f t="shared" si="19"/>
        <v>2004</v>
      </c>
      <c r="M231" s="21">
        <f t="shared" si="20"/>
        <v>3.9665111907122159</v>
      </c>
      <c r="N231" s="21">
        <f t="shared" si="21"/>
        <v>3.1436027533171429</v>
      </c>
    </row>
    <row r="232" spans="1:14" x14ac:dyDescent="0.2">
      <c r="A232" s="33">
        <f>'Upgrade Projects'!$A122</f>
        <v>924</v>
      </c>
      <c r="B232" s="34" t="s">
        <v>35</v>
      </c>
      <c r="C232" s="35">
        <f>'Upgrade Projects'!$R122</f>
        <v>45.94</v>
      </c>
      <c r="D232" s="36">
        <f>Greenfield!P$16*(C232^Greenfield!P$15)</f>
        <v>20.985326105396148</v>
      </c>
      <c r="E232" s="37">
        <f>'Upgrade Projects'!$O122</f>
        <v>1982</v>
      </c>
      <c r="F232" s="35">
        <f>'Upgrade Projects'!$S122</f>
        <v>6.0600000000000023</v>
      </c>
      <c r="G232" s="36">
        <f>'Upgrade Projects'!$AJ122/10^6</f>
        <v>1.4264307906682692</v>
      </c>
      <c r="H232" s="38">
        <f>'Upgrade Projects'!$W122</f>
        <v>2010</v>
      </c>
      <c r="I232" s="35">
        <f t="shared" si="17"/>
        <v>52</v>
      </c>
      <c r="J232" s="36">
        <f t="shared" si="18"/>
        <v>22.411756896064418</v>
      </c>
      <c r="K232" s="38">
        <f t="shared" si="19"/>
        <v>2010</v>
      </c>
      <c r="M232" s="21">
        <f t="shared" si="20"/>
        <v>3.9512437185814275</v>
      </c>
      <c r="N232" s="21">
        <f t="shared" si="21"/>
        <v>3.1095856826008577</v>
      </c>
    </row>
    <row r="233" spans="1:14" x14ac:dyDescent="0.2">
      <c r="A233" s="33">
        <f>'Upgrade Projects'!$A123</f>
        <v>1241</v>
      </c>
      <c r="B233" s="34" t="s">
        <v>35</v>
      </c>
      <c r="C233" s="35">
        <f>'Upgrade Projects'!$R123</f>
        <v>20.29</v>
      </c>
      <c r="D233" s="36">
        <f>Greenfield!P$16*(C233^Greenfield!P$15)</f>
        <v>13.465403518242724</v>
      </c>
      <c r="E233" s="37" t="str">
        <f>'Upgrade Projects'!$O123</f>
        <v>unknown</v>
      </c>
      <c r="F233" s="35">
        <f>'Upgrade Projects'!$S123</f>
        <v>6</v>
      </c>
      <c r="G233" s="36">
        <f>'Upgrade Projects'!$AJ123/10^6</f>
        <v>2.625007735639064</v>
      </c>
      <c r="H233" s="38">
        <f>'Upgrade Projects'!$W123</f>
        <v>2012</v>
      </c>
      <c r="I233" s="35">
        <f t="shared" si="17"/>
        <v>26.29</v>
      </c>
      <c r="J233" s="36">
        <f t="shared" si="18"/>
        <v>16.090411253881786</v>
      </c>
      <c r="K233" s="38">
        <f t="shared" si="19"/>
        <v>2012</v>
      </c>
      <c r="M233" s="21">
        <f t="shared" si="20"/>
        <v>3.2691886387417899</v>
      </c>
      <c r="N233" s="21">
        <f t="shared" si="21"/>
        <v>2.7782235202725412</v>
      </c>
    </row>
    <row r="234" spans="1:14" x14ac:dyDescent="0.2">
      <c r="A234" s="33">
        <f>'Upgrade Projects'!$A124</f>
        <v>438</v>
      </c>
      <c r="B234" s="34" t="s">
        <v>35</v>
      </c>
      <c r="C234" s="35">
        <f>'Upgrade Projects'!$R124</f>
        <v>8.2460000000000004</v>
      </c>
      <c r="D234" s="36">
        <f>Greenfield!P$16*(C234^Greenfield!P$15)</f>
        <v>8.2586015080888906</v>
      </c>
      <c r="E234" s="37">
        <f>'Upgrade Projects'!$O124</f>
        <v>1978</v>
      </c>
      <c r="F234" s="35">
        <f>'Upgrade Projects'!$S124</f>
        <v>1</v>
      </c>
      <c r="G234" s="36">
        <f>'Upgrade Projects'!$AJ124/10^6</f>
        <v>0.18095315250984781</v>
      </c>
      <c r="H234" s="38">
        <f>'Upgrade Projects'!$W124</f>
        <v>2004</v>
      </c>
      <c r="I234" s="35">
        <f t="shared" si="17"/>
        <v>9.2460000000000004</v>
      </c>
      <c r="J234" s="36">
        <f t="shared" si="18"/>
        <v>8.4395546605987377</v>
      </c>
      <c r="K234" s="38">
        <f t="shared" si="19"/>
        <v>2004</v>
      </c>
      <c r="M234" s="21">
        <f t="shared" si="20"/>
        <v>2.2241910255660335</v>
      </c>
      <c r="N234" s="21">
        <f t="shared" si="21"/>
        <v>2.1329295418838234</v>
      </c>
    </row>
    <row r="235" spans="1:14" x14ac:dyDescent="0.2">
      <c r="A235" s="33">
        <f>'Upgrade Projects'!$A125</f>
        <v>748</v>
      </c>
      <c r="B235" s="34" t="s">
        <v>35</v>
      </c>
      <c r="C235" s="35">
        <f>'Upgrade Projects'!$R125</f>
        <v>25.541</v>
      </c>
      <c r="D235" s="36">
        <f>Greenfield!P$16*(C235^Greenfield!P$15)</f>
        <v>15.257732261225632</v>
      </c>
      <c r="E235" s="37">
        <f>'Upgrade Projects'!$O125</f>
        <v>1995</v>
      </c>
      <c r="F235" s="35">
        <f>'Upgrade Projects'!$S125</f>
        <v>1</v>
      </c>
      <c r="G235" s="36">
        <f>'Upgrade Projects'!$AJ125/10^6</f>
        <v>0.38858476644316492</v>
      </c>
      <c r="H235" s="38">
        <f>'Upgrade Projects'!$W125</f>
        <v>2008</v>
      </c>
      <c r="I235" s="35">
        <f t="shared" si="17"/>
        <v>26.541</v>
      </c>
      <c r="J235" s="36">
        <f t="shared" si="18"/>
        <v>15.646317027668797</v>
      </c>
      <c r="K235" s="38">
        <f t="shared" si="19"/>
        <v>2008</v>
      </c>
      <c r="M235" s="21">
        <f t="shared" si="20"/>
        <v>3.2786907071693587</v>
      </c>
      <c r="N235" s="21">
        <f t="shared" si="21"/>
        <v>2.7502355555955584</v>
      </c>
    </row>
    <row r="236" spans="1:14" x14ac:dyDescent="0.2">
      <c r="A236" s="33">
        <f>'Upgrade Projects'!$A126</f>
        <v>1319</v>
      </c>
      <c r="B236" s="34" t="s">
        <v>35</v>
      </c>
      <c r="C236" s="35">
        <f>'Upgrade Projects'!$R126</f>
        <v>15.71</v>
      </c>
      <c r="D236" s="36">
        <f>Greenfield!P$16*(C236^Greenfield!P$15)</f>
        <v>11.71911732272034</v>
      </c>
      <c r="E236" s="37">
        <f>'Upgrade Projects'!$O126</f>
        <v>0</v>
      </c>
      <c r="F236" s="35">
        <f>'Upgrade Projects'!$S126</f>
        <v>4.2899999999999991</v>
      </c>
      <c r="G236" s="36">
        <f>'Upgrade Projects'!$AJ126/10^6</f>
        <v>3.2376779482440865</v>
      </c>
      <c r="H236" s="38">
        <f>'Upgrade Projects'!$W126</f>
        <v>2014</v>
      </c>
      <c r="I236" s="35">
        <f t="shared" si="17"/>
        <v>20</v>
      </c>
      <c r="J236" s="36">
        <f t="shared" si="18"/>
        <v>14.956795270964427</v>
      </c>
      <c r="K236" s="38">
        <f t="shared" si="19"/>
        <v>2014</v>
      </c>
      <c r="M236" s="21">
        <f t="shared" si="20"/>
        <v>2.9957322735539909</v>
      </c>
      <c r="N236" s="21">
        <f t="shared" si="21"/>
        <v>2.7051657297426615</v>
      </c>
    </row>
    <row r="237" spans="1:14" x14ac:dyDescent="0.2">
      <c r="A237" s="33">
        <f>'Upgrade Projects'!$A127</f>
        <v>892</v>
      </c>
      <c r="B237" s="34" t="s">
        <v>35</v>
      </c>
      <c r="C237" s="35">
        <f>'Upgrade Projects'!$R127</f>
        <v>13.05</v>
      </c>
      <c r="D237" s="36">
        <f>Greenfield!P$16*(C237^Greenfield!P$15)</f>
        <v>10.596247688411969</v>
      </c>
      <c r="E237" s="37">
        <f>'Upgrade Projects'!$O127</f>
        <v>1972</v>
      </c>
      <c r="F237" s="35">
        <f>'Upgrade Projects'!$S127</f>
        <v>0</v>
      </c>
      <c r="G237" s="36">
        <f>'Upgrade Projects'!$AJ127/10^6</f>
        <v>3.2490818561124843</v>
      </c>
      <c r="H237" s="38">
        <f>'Upgrade Projects'!$W127</f>
        <v>2011</v>
      </c>
      <c r="I237" s="35">
        <f t="shared" si="17"/>
        <v>13.05</v>
      </c>
      <c r="J237" s="36">
        <f t="shared" si="18"/>
        <v>13.845329544524454</v>
      </c>
      <c r="K237" s="38">
        <f t="shared" si="19"/>
        <v>2011</v>
      </c>
      <c r="M237" s="21">
        <f t="shared" si="20"/>
        <v>2.5687881337687024</v>
      </c>
      <c r="N237" s="21">
        <f t="shared" si="21"/>
        <v>2.6279479587610641</v>
      </c>
    </row>
    <row r="238" spans="1:14" x14ac:dyDescent="0.2">
      <c r="A238" s="33">
        <f>'Upgrade Projects'!$A128</f>
        <v>504</v>
      </c>
      <c r="B238" s="34" t="s">
        <v>35</v>
      </c>
      <c r="C238" s="35">
        <f>'Upgrade Projects'!$R128</f>
        <v>10.496</v>
      </c>
      <c r="D238" s="36">
        <f>Greenfield!P$16*(C238^Greenfield!P$15)</f>
        <v>9.4144867312721452</v>
      </c>
      <c r="E238" s="37">
        <f>'Upgrade Projects'!$O128</f>
        <v>2007</v>
      </c>
      <c r="F238" s="35">
        <f>'Upgrade Projects'!$S128</f>
        <v>0</v>
      </c>
      <c r="G238" s="36">
        <f>'Upgrade Projects'!$AJ128/10^6</f>
        <v>2.1923137026225539</v>
      </c>
      <c r="H238" s="38">
        <f>'Upgrade Projects'!$W128</f>
        <v>2006</v>
      </c>
      <c r="I238" s="35">
        <f t="shared" si="17"/>
        <v>10.496</v>
      </c>
      <c r="J238" s="36">
        <f t="shared" si="18"/>
        <v>11.6068004338947</v>
      </c>
      <c r="K238" s="38">
        <f t="shared" si="19"/>
        <v>2007</v>
      </c>
      <c r="M238" s="21">
        <f t="shared" si="20"/>
        <v>2.3509942322017334</v>
      </c>
      <c r="N238" s="21">
        <f t="shared" si="21"/>
        <v>2.451591170639527</v>
      </c>
    </row>
    <row r="239" spans="1:14" x14ac:dyDescent="0.2">
      <c r="A239" s="33">
        <f>'Upgrade Projects'!$A129</f>
        <v>618</v>
      </c>
      <c r="B239" s="34" t="s">
        <v>35</v>
      </c>
      <c r="C239" s="35">
        <f>'Upgrade Projects'!$R129</f>
        <v>11</v>
      </c>
      <c r="D239" s="36">
        <f>Greenfield!P$16*(C239^Greenfield!P$15)</f>
        <v>9.6573025632108163</v>
      </c>
      <c r="E239" s="37">
        <f>'Upgrade Projects'!$O129</f>
        <v>1995</v>
      </c>
      <c r="F239" s="35">
        <f>'Upgrade Projects'!$S129</f>
        <v>11.5</v>
      </c>
      <c r="G239" s="36">
        <f>'Upgrade Projects'!$AJ129/10^6</f>
        <v>2.3464649770982668</v>
      </c>
      <c r="H239" s="38">
        <f>'Upgrade Projects'!$W129</f>
        <v>2006</v>
      </c>
      <c r="I239" s="35">
        <f t="shared" si="17"/>
        <v>22.5</v>
      </c>
      <c r="J239" s="36">
        <f t="shared" si="18"/>
        <v>12.003767540309083</v>
      </c>
      <c r="K239" s="38">
        <f t="shared" si="19"/>
        <v>2006</v>
      </c>
      <c r="M239" s="21">
        <f t="shared" si="20"/>
        <v>3.1135153092103742</v>
      </c>
      <c r="N239" s="21">
        <f t="shared" si="21"/>
        <v>2.4852205622047654</v>
      </c>
    </row>
    <row r="240" spans="1:14" x14ac:dyDescent="0.2">
      <c r="A240" s="33">
        <f>'Upgrade Projects'!$A130</f>
        <v>712</v>
      </c>
      <c r="B240" s="34" t="s">
        <v>35</v>
      </c>
      <c r="C240" s="35">
        <f>'Upgrade Projects'!$R130</f>
        <v>7.5</v>
      </c>
      <c r="D240" s="36">
        <f>Greenfield!P$16*(C240^Greenfield!P$15)</f>
        <v>7.8441678359196425</v>
      </c>
      <c r="E240" s="37">
        <f>'Upgrade Projects'!$O130</f>
        <v>1980</v>
      </c>
      <c r="F240" s="35">
        <f>'Upgrade Projects'!$S130</f>
        <v>1</v>
      </c>
      <c r="G240" s="36">
        <f>'Upgrade Projects'!$AJ130/10^6</f>
        <v>7.8904141673966368</v>
      </c>
      <c r="H240" s="38">
        <f>'Upgrade Projects'!$W130</f>
        <v>2011</v>
      </c>
      <c r="I240" s="35">
        <f t="shared" si="17"/>
        <v>8.5</v>
      </c>
      <c r="J240" s="36">
        <f t="shared" si="18"/>
        <v>15.73458200331628</v>
      </c>
      <c r="K240" s="38">
        <f t="shared" si="19"/>
        <v>2011</v>
      </c>
      <c r="M240" s="21">
        <f t="shared" si="20"/>
        <v>2.1400661634962708</v>
      </c>
      <c r="N240" s="21">
        <f t="shared" si="21"/>
        <v>2.7558609653917556</v>
      </c>
    </row>
    <row r="241" spans="1:14" x14ac:dyDescent="0.2">
      <c r="A241" s="33">
        <f>'Upgrade Projects'!$A131</f>
        <v>726</v>
      </c>
      <c r="B241" s="34" t="s">
        <v>35</v>
      </c>
      <c r="C241" s="35">
        <f>'Upgrade Projects'!$R131</f>
        <v>25.635400000000001</v>
      </c>
      <c r="D241" s="36">
        <f>Greenfield!P$16*(C241^Greenfield!P$15)</f>
        <v>15.288324714923615</v>
      </c>
      <c r="E241" s="37">
        <f>'Upgrade Projects'!$O131</f>
        <v>1982</v>
      </c>
      <c r="F241" s="35">
        <f>'Upgrade Projects'!$S131</f>
        <v>5.3645999999999994</v>
      </c>
      <c r="G241" s="36">
        <f>'Upgrade Projects'!$AJ131/10^6</f>
        <v>1.031633192087684</v>
      </c>
      <c r="H241" s="38">
        <f>'Upgrade Projects'!$W131</f>
        <v>2008</v>
      </c>
      <c r="I241" s="35">
        <f t="shared" si="17"/>
        <v>31</v>
      </c>
      <c r="J241" s="36">
        <f t="shared" si="18"/>
        <v>16.3199579070113</v>
      </c>
      <c r="K241" s="38">
        <f t="shared" si="19"/>
        <v>2008</v>
      </c>
      <c r="M241" s="21">
        <f t="shared" si="20"/>
        <v>3.4339872044851463</v>
      </c>
      <c r="N241" s="21">
        <f t="shared" si="21"/>
        <v>2.792388770305386</v>
      </c>
    </row>
    <row r="242" spans="1:14" x14ac:dyDescent="0.2">
      <c r="A242" s="33">
        <f>'Upgrade Projects'!$A132</f>
        <v>530</v>
      </c>
      <c r="B242" s="34" t="s">
        <v>35</v>
      </c>
      <c r="C242" s="35">
        <f>'Upgrade Projects'!$R132</f>
        <v>25</v>
      </c>
      <c r="D242" s="36">
        <f>Greenfield!P$16*(C242^Greenfield!P$15)</f>
        <v>15.081402803377511</v>
      </c>
      <c r="E242" s="37">
        <f>'Upgrade Projects'!$O132</f>
        <v>1982</v>
      </c>
      <c r="F242" s="35">
        <f>'Upgrade Projects'!$S132</f>
        <v>20</v>
      </c>
      <c r="G242" s="36">
        <f>'Upgrade Projects'!$AJ132/10^6</f>
        <v>4.5022608459814819</v>
      </c>
      <c r="H242" s="38">
        <f>'Upgrade Projects'!$W132</f>
        <v>2006</v>
      </c>
      <c r="I242" s="35">
        <f t="shared" si="17"/>
        <v>45</v>
      </c>
      <c r="J242" s="36">
        <f t="shared" si="18"/>
        <v>19.583663649358993</v>
      </c>
      <c r="K242" s="38">
        <f t="shared" si="19"/>
        <v>2006</v>
      </c>
      <c r="M242" s="21">
        <f t="shared" si="20"/>
        <v>3.8066624897703196</v>
      </c>
      <c r="N242" s="21">
        <f t="shared" si="21"/>
        <v>2.9746957314152191</v>
      </c>
    </row>
    <row r="243" spans="1:14" x14ac:dyDescent="0.2">
      <c r="A243" s="33">
        <f>'Upgrade Projects'!$A133</f>
        <v>755</v>
      </c>
      <c r="B243" s="34" t="s">
        <v>35</v>
      </c>
      <c r="C243" s="35">
        <f>'Upgrade Projects'!$R133</f>
        <v>8.6980000000000004</v>
      </c>
      <c r="D243" s="36">
        <f>Greenfield!P$16*(C243^Greenfield!P$15)</f>
        <v>8.5013885254569477</v>
      </c>
      <c r="E243" s="37">
        <f>'Upgrade Projects'!$O133</f>
        <v>1983</v>
      </c>
      <c r="F243" s="35">
        <f>'Upgrade Projects'!$S133</f>
        <v>3.3019999999999996</v>
      </c>
      <c r="G243" s="36">
        <f>'Upgrade Projects'!$AJ133/10^6</f>
        <v>0.74649134624932623</v>
      </c>
      <c r="H243" s="38">
        <f>'Upgrade Projects'!$W133</f>
        <v>2008</v>
      </c>
      <c r="I243" s="35">
        <f t="shared" si="17"/>
        <v>12</v>
      </c>
      <c r="J243" s="36">
        <f t="shared" si="18"/>
        <v>9.2478798717062745</v>
      </c>
      <c r="K243" s="38">
        <f t="shared" si="19"/>
        <v>2008</v>
      </c>
      <c r="M243" s="21">
        <f t="shared" si="20"/>
        <v>2.4849066497880004</v>
      </c>
      <c r="N243" s="21">
        <f t="shared" si="21"/>
        <v>2.224394322194517</v>
      </c>
    </row>
    <row r="244" spans="1:14" x14ac:dyDescent="0.2">
      <c r="A244" s="33">
        <f>'Upgrade Projects'!$A134</f>
        <v>1081</v>
      </c>
      <c r="B244" s="34" t="s">
        <v>35</v>
      </c>
      <c r="C244" s="35">
        <f>'Upgrade Projects'!$R134</f>
        <v>12</v>
      </c>
      <c r="D244" s="36">
        <f>Greenfield!P$16*(C244^Greenfield!P$15)</f>
        <v>10.124485940450056</v>
      </c>
      <c r="E244" s="37">
        <f>'Upgrade Projects'!$O134</f>
        <v>1983</v>
      </c>
      <c r="F244" s="35">
        <f>'Upgrade Projects'!$S134</f>
        <v>4</v>
      </c>
      <c r="G244" s="36">
        <f>'Upgrade Projects'!$AJ134/10^6</f>
        <v>0.74615854172219498</v>
      </c>
      <c r="H244" s="38">
        <f>'Upgrade Projects'!$W134</f>
        <v>2010</v>
      </c>
      <c r="I244" s="35">
        <f t="shared" si="17"/>
        <v>16</v>
      </c>
      <c r="J244" s="36">
        <f t="shared" si="18"/>
        <v>10.870644482172251</v>
      </c>
      <c r="K244" s="38">
        <f t="shared" si="19"/>
        <v>2010</v>
      </c>
      <c r="M244" s="21">
        <f t="shared" si="20"/>
        <v>2.7725887222397811</v>
      </c>
      <c r="N244" s="21">
        <f t="shared" si="21"/>
        <v>2.3860659893637837</v>
      </c>
    </row>
    <row r="245" spans="1:14" x14ac:dyDescent="0.2">
      <c r="A245" s="33">
        <f>'Upgrade Projects'!$A135</f>
        <v>307</v>
      </c>
      <c r="B245" s="34" t="s">
        <v>35</v>
      </c>
      <c r="C245" s="35">
        <f>'Upgrade Projects'!$R135</f>
        <v>9.07</v>
      </c>
      <c r="D245" s="36">
        <f>Greenfield!P$16*(C245^Greenfield!P$15)</f>
        <v>8.6969085040333542</v>
      </c>
      <c r="E245" s="37">
        <f>'Upgrade Projects'!$O135</f>
        <v>1985</v>
      </c>
      <c r="F245" s="35">
        <f>'Upgrade Projects'!$S135</f>
        <v>1.0019999999999989</v>
      </c>
      <c r="G245" s="36">
        <f>'Upgrade Projects'!$AJ135/10^6</f>
        <v>2.5230801807757093</v>
      </c>
      <c r="H245" s="38">
        <f>'Upgrade Projects'!$W135</f>
        <v>2003</v>
      </c>
      <c r="I245" s="35">
        <f t="shared" si="17"/>
        <v>10.071999999999999</v>
      </c>
      <c r="J245" s="36">
        <f t="shared" si="18"/>
        <v>11.219988684809064</v>
      </c>
      <c r="K245" s="38">
        <f t="shared" si="19"/>
        <v>2003</v>
      </c>
      <c r="M245" s="21">
        <f t="shared" si="20"/>
        <v>2.3097592967420462</v>
      </c>
      <c r="N245" s="21">
        <f t="shared" si="21"/>
        <v>2.4176968916100012</v>
      </c>
    </row>
    <row r="246" spans="1:14" x14ac:dyDescent="0.2">
      <c r="A246" s="33">
        <f>'Upgrade Projects'!$A136</f>
        <v>1466</v>
      </c>
      <c r="B246" s="34" t="s">
        <v>35</v>
      </c>
      <c r="C246" s="35">
        <f>'Upgrade Projects'!$R136</f>
        <v>10.07</v>
      </c>
      <c r="D246" s="36">
        <f>Greenfield!P$16*(C246^Greenfield!P$15)</f>
        <v>9.2050613772766834</v>
      </c>
      <c r="E246" s="37">
        <f>'Upgrade Projects'!$O136</f>
        <v>1985</v>
      </c>
      <c r="F246" s="35">
        <f>'Upgrade Projects'!$S136</f>
        <v>4.93</v>
      </c>
      <c r="G246" s="36">
        <f>'Upgrade Projects'!$AJ136/10^6</f>
        <v>4.634839878669343</v>
      </c>
      <c r="H246" s="38">
        <f>'Upgrade Projects'!$W136</f>
        <v>2015</v>
      </c>
      <c r="I246" s="35">
        <f t="shared" si="17"/>
        <v>15</v>
      </c>
      <c r="J246" s="36">
        <f t="shared" si="18"/>
        <v>13.839901255946026</v>
      </c>
      <c r="K246" s="38">
        <f t="shared" si="19"/>
        <v>2015</v>
      </c>
      <c r="M246" s="21">
        <f t="shared" si="20"/>
        <v>2.7080502011022101</v>
      </c>
      <c r="N246" s="21">
        <f t="shared" si="21"/>
        <v>2.6275558154780909</v>
      </c>
    </row>
    <row r="247" spans="1:14" x14ac:dyDescent="0.2">
      <c r="A247" s="33">
        <f>'Upgrade Projects'!$A137</f>
        <v>1091</v>
      </c>
      <c r="B247" s="34" t="s">
        <v>35</v>
      </c>
      <c r="C247" s="35">
        <f>'Upgrade Projects'!$R137</f>
        <v>16.059999999999999</v>
      </c>
      <c r="D247" s="36">
        <f>Greenfield!P$16*(C247^Greenfield!P$15)</f>
        <v>11.860159905918142</v>
      </c>
      <c r="E247" s="37">
        <f>'Upgrade Projects'!$O137</f>
        <v>1982</v>
      </c>
      <c r="F247" s="35">
        <f>'Upgrade Projects'!$S137</f>
        <v>24.34</v>
      </c>
      <c r="G247" s="36">
        <f>'Upgrade Projects'!$AJ137/10^6</f>
        <v>7.6638380518522098</v>
      </c>
      <c r="H247" s="38">
        <f>'Upgrade Projects'!$W137</f>
        <v>2011</v>
      </c>
      <c r="I247" s="35">
        <f t="shared" ref="I247:I292" si="24">C247+F247</f>
        <v>40.4</v>
      </c>
      <c r="J247" s="36">
        <f t="shared" ref="J247:J292" si="25">D247+G247</f>
        <v>19.523997957770352</v>
      </c>
      <c r="K247" s="38">
        <f t="shared" ref="K247:K292" si="26">MAX(E247,H247)</f>
        <v>2011</v>
      </c>
      <c r="M247" s="21">
        <f t="shared" ref="M247:M289" si="27">LN(I247)</f>
        <v>3.6988297849671046</v>
      </c>
      <c r="N247" s="21">
        <f t="shared" ref="N247:N289" si="28">LN(J247)</f>
        <v>2.9716443734239095</v>
      </c>
    </row>
    <row r="248" spans="1:14" x14ac:dyDescent="0.2">
      <c r="A248" s="33">
        <f>'Upgrade Projects'!$A138</f>
        <v>666</v>
      </c>
      <c r="B248" s="34" t="s">
        <v>35</v>
      </c>
      <c r="C248" s="35">
        <f>'Upgrade Projects'!$R138</f>
        <v>25.92</v>
      </c>
      <c r="D248" s="36">
        <f>Greenfield!P$16*(C248^Greenfield!P$15)</f>
        <v>15.380245541400779</v>
      </c>
      <c r="E248" s="37">
        <f>'Upgrade Projects'!$O138</f>
        <v>1987</v>
      </c>
      <c r="F248" s="35">
        <f>'Upgrade Projects'!$S138</f>
        <v>14.079999999999998</v>
      </c>
      <c r="G248" s="36">
        <f>'Upgrade Projects'!$AJ138/10^6</f>
        <v>3.6887760601263184</v>
      </c>
      <c r="H248" s="38">
        <f>'Upgrade Projects'!$W138</f>
        <v>2008</v>
      </c>
      <c r="I248" s="35">
        <f t="shared" si="24"/>
        <v>40</v>
      </c>
      <c r="J248" s="36">
        <f t="shared" si="25"/>
        <v>19.069021601527098</v>
      </c>
      <c r="K248" s="38">
        <f t="shared" si="26"/>
        <v>2008</v>
      </c>
      <c r="M248" s="21">
        <f t="shared" si="27"/>
        <v>3.6888794541139363</v>
      </c>
      <c r="N248" s="21">
        <f t="shared" si="28"/>
        <v>2.9480651126604434</v>
      </c>
    </row>
    <row r="249" spans="1:14" x14ac:dyDescent="0.2">
      <c r="A249" s="33">
        <f>'Upgrade Projects'!$A139</f>
        <v>556</v>
      </c>
      <c r="B249" s="34" t="s">
        <v>35</v>
      </c>
      <c r="C249" s="35">
        <f>'Upgrade Projects'!$R139</f>
        <v>8.6560000000000006</v>
      </c>
      <c r="D249" s="36">
        <f>Greenfield!P$16*(C249^Greenfield!P$15)</f>
        <v>8.4790756060665089</v>
      </c>
      <c r="E249" s="37">
        <f>'Upgrade Projects'!$O139</f>
        <v>1985</v>
      </c>
      <c r="F249" s="35">
        <f>'Upgrade Projects'!$S139</f>
        <v>4.3439999999999994</v>
      </c>
      <c r="G249" s="36">
        <f>'Upgrade Projects'!$AJ139/10^6</f>
        <v>3.2483692675760008</v>
      </c>
      <c r="H249" s="38">
        <f>'Upgrade Projects'!$W139</f>
        <v>2007</v>
      </c>
      <c r="I249" s="35">
        <f t="shared" si="24"/>
        <v>13</v>
      </c>
      <c r="J249" s="36">
        <f t="shared" si="25"/>
        <v>11.72744487364251</v>
      </c>
      <c r="K249" s="38">
        <f t="shared" si="26"/>
        <v>2007</v>
      </c>
      <c r="M249" s="21">
        <f t="shared" si="27"/>
        <v>2.5649493574615367</v>
      </c>
      <c r="N249" s="21">
        <f t="shared" si="28"/>
        <v>2.461931810603375</v>
      </c>
    </row>
    <row r="250" spans="1:14" x14ac:dyDescent="0.2">
      <c r="A250" s="33">
        <f>'Upgrade Projects'!$A140</f>
        <v>452</v>
      </c>
      <c r="B250" s="34" t="s">
        <v>35</v>
      </c>
      <c r="C250" s="35">
        <f>'Upgrade Projects'!$R140</f>
        <v>10.781000000000001</v>
      </c>
      <c r="D250" s="36">
        <f>Greenfield!P$16*(C250^Greenfield!P$15)</f>
        <v>9.5524317768970981</v>
      </c>
      <c r="E250" s="37">
        <f>'Upgrade Projects'!$O140</f>
        <v>1986</v>
      </c>
      <c r="F250" s="35">
        <f>'Upgrade Projects'!$S140</f>
        <v>3.6189999999999998</v>
      </c>
      <c r="G250" s="36">
        <f>'Upgrade Projects'!$AJ140/10^6</f>
        <v>3.4437072461958511</v>
      </c>
      <c r="H250" s="38">
        <f>'Upgrade Projects'!$W140</f>
        <v>2005</v>
      </c>
      <c r="I250" s="35">
        <f t="shared" si="24"/>
        <v>14.4</v>
      </c>
      <c r="J250" s="36">
        <f t="shared" si="25"/>
        <v>12.996139023092949</v>
      </c>
      <c r="K250" s="38">
        <f t="shared" si="26"/>
        <v>2005</v>
      </c>
      <c r="M250" s="21">
        <f t="shared" si="27"/>
        <v>2.6672282065819548</v>
      </c>
      <c r="N250" s="21">
        <f t="shared" si="28"/>
        <v>2.5646523151252105</v>
      </c>
    </row>
    <row r="251" spans="1:14" x14ac:dyDescent="0.2">
      <c r="A251" s="33">
        <f>'Upgrade Projects'!$A141</f>
        <v>613</v>
      </c>
      <c r="B251" s="34" t="s">
        <v>35</v>
      </c>
      <c r="C251" s="35">
        <f>'Upgrade Projects'!$R141</f>
        <v>6.2</v>
      </c>
      <c r="D251" s="36">
        <f>Greenfield!P$16*(C251^Greenfield!P$15)</f>
        <v>7.0739465265894887</v>
      </c>
      <c r="E251" s="37">
        <f>'Upgrade Projects'!$O141</f>
        <v>1999</v>
      </c>
      <c r="F251" s="35">
        <f>'Upgrade Projects'!$S141</f>
        <v>2.2000000000000002</v>
      </c>
      <c r="G251" s="36">
        <f>'Upgrade Projects'!$AJ141/10^6</f>
        <v>0.43131820582676678</v>
      </c>
      <c r="H251" s="38">
        <f>'Upgrade Projects'!$W141</f>
        <v>2006</v>
      </c>
      <c r="I251" s="35">
        <f t="shared" si="24"/>
        <v>8.4</v>
      </c>
      <c r="J251" s="36">
        <f t="shared" si="25"/>
        <v>7.5052647324162551</v>
      </c>
      <c r="K251" s="38">
        <f t="shared" si="26"/>
        <v>2006</v>
      </c>
      <c r="M251" s="21">
        <f t="shared" si="27"/>
        <v>2.1282317058492679</v>
      </c>
      <c r="N251" s="21">
        <f t="shared" si="28"/>
        <v>2.0156047386027152</v>
      </c>
    </row>
    <row r="252" spans="1:14" x14ac:dyDescent="0.2">
      <c r="A252" s="33">
        <f>'Upgrade Projects'!$A142</f>
        <v>778</v>
      </c>
      <c r="B252" s="34" t="s">
        <v>35</v>
      </c>
      <c r="C252" s="35">
        <f>'Upgrade Projects'!$R142</f>
        <v>0.1</v>
      </c>
      <c r="D252" s="36">
        <f>Greenfield!P$16*(C252^Greenfield!P$15)</f>
        <v>0.75247154885099177</v>
      </c>
      <c r="E252" s="37">
        <f>'Upgrade Projects'!$O142</f>
        <v>1988</v>
      </c>
      <c r="F252" s="35">
        <f>'Upgrade Projects'!$S142</f>
        <v>1.9</v>
      </c>
      <c r="G252" s="36">
        <f>'Upgrade Projects'!$AJ142/10^6</f>
        <v>0.48701021540648831</v>
      </c>
      <c r="H252" s="38">
        <f>'Upgrade Projects'!$W142</f>
        <v>2008</v>
      </c>
      <c r="I252" s="35">
        <f t="shared" si="24"/>
        <v>2</v>
      </c>
      <c r="J252" s="36">
        <f t="shared" si="25"/>
        <v>1.23948176425748</v>
      </c>
      <c r="K252" s="38">
        <f t="shared" si="26"/>
        <v>2008</v>
      </c>
      <c r="M252" s="21">
        <f t="shared" si="27"/>
        <v>0.69314718055994529</v>
      </c>
      <c r="N252" s="21">
        <f t="shared" si="28"/>
        <v>0.21469336020858615</v>
      </c>
    </row>
    <row r="253" spans="1:14" x14ac:dyDescent="0.2">
      <c r="A253" s="33">
        <f>'Upgrade Projects'!$A143</f>
        <v>1571</v>
      </c>
      <c r="B253" s="34" t="s">
        <v>35</v>
      </c>
      <c r="C253" s="35">
        <f>'Upgrade Projects'!$R143</f>
        <v>2</v>
      </c>
      <c r="D253" s="36">
        <f>Greenfield!P$16*(C253^Greenfield!P$15)</f>
        <v>3.8271806637538481</v>
      </c>
      <c r="E253" s="37">
        <f>'Upgrade Projects'!$O143</f>
        <v>1988</v>
      </c>
      <c r="F253" s="35">
        <f>'Upgrade Projects'!$S143</f>
        <v>11</v>
      </c>
      <c r="G253" s="36">
        <f>'Upgrade Projects'!$AJ143/10^6</f>
        <v>1.5920457896917759</v>
      </c>
      <c r="H253" s="38">
        <f>'Upgrade Projects'!$W143</f>
        <v>2016</v>
      </c>
      <c r="I253" s="35">
        <f t="shared" si="24"/>
        <v>13</v>
      </c>
      <c r="J253" s="36">
        <f t="shared" si="25"/>
        <v>5.4192264534456243</v>
      </c>
      <c r="K253" s="38">
        <f t="shared" si="26"/>
        <v>2016</v>
      </c>
      <c r="M253" s="21">
        <f t="shared" si="27"/>
        <v>2.5649493574615367</v>
      </c>
      <c r="N253" s="21">
        <f t="shared" si="28"/>
        <v>1.6899530844994872</v>
      </c>
    </row>
    <row r="254" spans="1:14" x14ac:dyDescent="0.2">
      <c r="A254" s="33">
        <f>'Upgrade Projects'!$A144</f>
        <v>525</v>
      </c>
      <c r="B254" s="34" t="s">
        <v>35</v>
      </c>
      <c r="C254" s="35">
        <f>'Upgrade Projects'!$R144</f>
        <v>11.55</v>
      </c>
      <c r="D254" s="36">
        <f>Greenfield!P$16*(C254^Greenfield!P$15)</f>
        <v>9.9165471409838588</v>
      </c>
      <c r="E254" s="37">
        <f>'Upgrade Projects'!$O144</f>
        <v>1995</v>
      </c>
      <c r="F254" s="35">
        <f>'Upgrade Projects'!$S144</f>
        <v>14</v>
      </c>
      <c r="G254" s="36">
        <f>'Upgrade Projects'!$AJ144/10^6</f>
        <v>2.107818995325883</v>
      </c>
      <c r="H254" s="38">
        <f>'Upgrade Projects'!$W144</f>
        <v>2006</v>
      </c>
      <c r="I254" s="35">
        <f t="shared" si="24"/>
        <v>25.55</v>
      </c>
      <c r="J254" s="36">
        <f t="shared" si="25"/>
        <v>12.024366136309741</v>
      </c>
      <c r="K254" s="38">
        <f t="shared" si="26"/>
        <v>2006</v>
      </c>
      <c r="M254" s="21">
        <f t="shared" si="27"/>
        <v>3.2406373166497136</v>
      </c>
      <c r="N254" s="21">
        <f t="shared" si="28"/>
        <v>2.4869351024452961</v>
      </c>
    </row>
    <row r="255" spans="1:14" x14ac:dyDescent="0.2">
      <c r="A255" s="33">
        <f>'Upgrade Projects'!$A145</f>
        <v>1324</v>
      </c>
      <c r="B255" s="34" t="s">
        <v>35</v>
      </c>
      <c r="C255" s="35">
        <f>'Upgrade Projects'!$R145</f>
        <v>15.8</v>
      </c>
      <c r="D255" s="36">
        <f>Greenfield!P$16*(C255^Greenfield!P$15)</f>
        <v>11.755521431323254</v>
      </c>
      <c r="E255" s="37">
        <f>'Upgrade Projects'!$O145</f>
        <v>2012</v>
      </c>
      <c r="F255" s="35">
        <f>'Upgrade Projects'!$S145</f>
        <v>12.3</v>
      </c>
      <c r="G255" s="36">
        <f>'Upgrade Projects'!$AJ145/10^6</f>
        <v>2.2692987542218521</v>
      </c>
      <c r="H255" s="38">
        <f>'Upgrade Projects'!$W145</f>
        <v>2014</v>
      </c>
      <c r="I255" s="35">
        <f t="shared" si="24"/>
        <v>28.1</v>
      </c>
      <c r="J255" s="36">
        <f t="shared" si="25"/>
        <v>14.024820185545106</v>
      </c>
      <c r="K255" s="38">
        <f t="shared" si="26"/>
        <v>2014</v>
      </c>
      <c r="M255" s="21">
        <f t="shared" si="27"/>
        <v>3.3357695763396999</v>
      </c>
      <c r="N255" s="21">
        <f t="shared" si="28"/>
        <v>2.6408286303315691</v>
      </c>
    </row>
    <row r="256" spans="1:14" x14ac:dyDescent="0.2">
      <c r="A256" s="33">
        <f>'Upgrade Projects'!$A146</f>
        <v>511</v>
      </c>
      <c r="B256" s="34" t="s">
        <v>35</v>
      </c>
      <c r="C256" s="35">
        <f>'Upgrade Projects'!$R146</f>
        <v>13.95</v>
      </c>
      <c r="D256" s="36">
        <f>Greenfield!P$16*(C256^Greenfield!P$15)</f>
        <v>10.986967020317207</v>
      </c>
      <c r="E256" s="37">
        <f>'Upgrade Projects'!$O146</f>
        <v>2004</v>
      </c>
      <c r="F256" s="35">
        <f>'Upgrade Projects'!$S146</f>
        <v>4.0500000000000007</v>
      </c>
      <c r="G256" s="36">
        <f>'Upgrade Projects'!$AJ146/10^6</f>
        <v>0.42903557118440139</v>
      </c>
      <c r="H256" s="38">
        <f>'Upgrade Projects'!$W146</f>
        <v>2004</v>
      </c>
      <c r="I256" s="35">
        <f t="shared" si="24"/>
        <v>18</v>
      </c>
      <c r="J256" s="36">
        <f t="shared" si="25"/>
        <v>11.416002591501609</v>
      </c>
      <c r="K256" s="38">
        <f t="shared" si="26"/>
        <v>2004</v>
      </c>
      <c r="M256" s="21">
        <f t="shared" si="27"/>
        <v>2.8903717578961645</v>
      </c>
      <c r="N256" s="21">
        <f t="shared" si="28"/>
        <v>2.4350161071806071</v>
      </c>
    </row>
    <row r="257" spans="1:14" x14ac:dyDescent="0.2">
      <c r="A257" s="33">
        <f>'Upgrade Projects'!$A147</f>
        <v>1094</v>
      </c>
      <c r="B257" s="34" t="s">
        <v>35</v>
      </c>
      <c r="C257" s="35">
        <f>'Upgrade Projects'!$R147</f>
        <v>18</v>
      </c>
      <c r="D257" s="36">
        <f>Greenfield!P$16*(C257^Greenfield!P$15)</f>
        <v>12.617723487696756</v>
      </c>
      <c r="E257" s="37">
        <f>'Upgrade Projects'!$O147</f>
        <v>2004</v>
      </c>
      <c r="F257" s="35">
        <f>'Upgrade Projects'!$S147</f>
        <v>6</v>
      </c>
      <c r="G257" s="36">
        <f>'Upgrade Projects'!$AJ147/10^6</f>
        <v>1.0646458657975095</v>
      </c>
      <c r="H257" s="38">
        <f>'Upgrade Projects'!$W147</f>
        <v>2011</v>
      </c>
      <c r="I257" s="35">
        <f t="shared" si="24"/>
        <v>24</v>
      </c>
      <c r="J257" s="36">
        <f t="shared" si="25"/>
        <v>13.682369353494265</v>
      </c>
      <c r="K257" s="38">
        <f t="shared" si="26"/>
        <v>2011</v>
      </c>
      <c r="M257" s="21">
        <f t="shared" si="27"/>
        <v>3.1780538303479458</v>
      </c>
      <c r="N257" s="21">
        <f t="shared" si="28"/>
        <v>2.616108095552145</v>
      </c>
    </row>
    <row r="258" spans="1:14" x14ac:dyDescent="0.2">
      <c r="A258" s="33">
        <f>'Upgrade Projects'!$A148</f>
        <v>775</v>
      </c>
      <c r="B258" s="34" t="s">
        <v>35</v>
      </c>
      <c r="C258" s="35">
        <f>'Upgrade Projects'!$R148</f>
        <v>8</v>
      </c>
      <c r="D258" s="36">
        <f>Greenfield!P$16*(C258^Greenfield!P$15)</f>
        <v>8.1239072688762928</v>
      </c>
      <c r="E258" s="37">
        <f>'Upgrade Projects'!$O148</f>
        <v>2002</v>
      </c>
      <c r="F258" s="35">
        <f>'Upgrade Projects'!$S148</f>
        <v>7</v>
      </c>
      <c r="G258" s="36">
        <f>'Upgrade Projects'!$AJ148/10^6</f>
        <v>1.4058744428987999</v>
      </c>
      <c r="H258" s="38">
        <f>'Upgrade Projects'!$W148</f>
        <v>2008</v>
      </c>
      <c r="I258" s="35">
        <f t="shared" si="24"/>
        <v>15</v>
      </c>
      <c r="J258" s="36">
        <f t="shared" si="25"/>
        <v>9.529781711775092</v>
      </c>
      <c r="K258" s="38">
        <f t="shared" si="26"/>
        <v>2008</v>
      </c>
      <c r="M258" s="21">
        <f t="shared" si="27"/>
        <v>2.7080502011022101</v>
      </c>
      <c r="N258" s="21">
        <f t="shared" si="28"/>
        <v>2.254421812028657</v>
      </c>
    </row>
    <row r="259" spans="1:14" x14ac:dyDescent="0.2">
      <c r="A259" s="33">
        <f>'Upgrade Projects'!$A149</f>
        <v>1646</v>
      </c>
      <c r="B259" s="34" t="s">
        <v>35</v>
      </c>
      <c r="C259" s="35">
        <f>'Upgrade Projects'!$R149</f>
        <v>2.88</v>
      </c>
      <c r="D259" s="36">
        <f>Greenfield!P$16*(C259^Greenfield!P$15)</f>
        <v>4.6651028925488243</v>
      </c>
      <c r="E259" s="37" t="str">
        <f>'Upgrade Projects'!$O149</f>
        <v>unknown</v>
      </c>
      <c r="F259" s="35">
        <f>'Upgrade Projects'!$S149</f>
        <v>3.5200000000000005</v>
      </c>
      <c r="G259" s="36">
        <f>'Upgrade Projects'!$AJ149/10^6</f>
        <v>6.6895680450065891</v>
      </c>
      <c r="H259" s="38">
        <f>'Upgrade Projects'!$W149</f>
        <v>2016</v>
      </c>
      <c r="I259" s="35">
        <f t="shared" si="24"/>
        <v>6.4</v>
      </c>
      <c r="J259" s="36">
        <f t="shared" si="25"/>
        <v>11.354670937555413</v>
      </c>
      <c r="K259" s="38">
        <f t="shared" si="26"/>
        <v>2016</v>
      </c>
      <c r="M259" s="21">
        <f t="shared" si="27"/>
        <v>1.8562979903656263</v>
      </c>
      <c r="N259" s="21">
        <f t="shared" si="28"/>
        <v>2.4296291956180491</v>
      </c>
    </row>
    <row r="260" spans="1:14" x14ac:dyDescent="0.2">
      <c r="A260" s="33">
        <f>'Upgrade Projects'!$A150</f>
        <v>467</v>
      </c>
      <c r="B260" s="34" t="s">
        <v>35</v>
      </c>
      <c r="C260" s="35">
        <f>'Upgrade Projects'!$R150</f>
        <v>5.7</v>
      </c>
      <c r="D260" s="36">
        <f>Greenfield!P$16*(C260^Greenfield!P$15)</f>
        <v>6.7582633034598336</v>
      </c>
      <c r="E260" s="37">
        <f>'Upgrade Projects'!$O150</f>
        <v>1996</v>
      </c>
      <c r="F260" s="35">
        <f>'Upgrade Projects'!$S150</f>
        <v>7.8999999999999995</v>
      </c>
      <c r="G260" s="36">
        <f>'Upgrade Projects'!$AJ150/10^6</f>
        <v>3.4855022233326953</v>
      </c>
      <c r="H260" s="38">
        <f>'Upgrade Projects'!$W150</f>
        <v>2005</v>
      </c>
      <c r="I260" s="35">
        <f t="shared" si="24"/>
        <v>13.6</v>
      </c>
      <c r="J260" s="36">
        <f t="shared" si="25"/>
        <v>10.243765526792529</v>
      </c>
      <c r="K260" s="38">
        <f t="shared" si="26"/>
        <v>2005</v>
      </c>
      <c r="M260" s="21">
        <f t="shared" si="27"/>
        <v>2.6100697927420065</v>
      </c>
      <c r="N260" s="21">
        <f t="shared" si="28"/>
        <v>2.3266692792421089</v>
      </c>
    </row>
    <row r="261" spans="1:14" x14ac:dyDescent="0.2">
      <c r="A261" s="33">
        <f>'Upgrade Projects'!$A151</f>
        <v>437</v>
      </c>
      <c r="B261" s="34" t="s">
        <v>35</v>
      </c>
      <c r="C261" s="35">
        <f>'Upgrade Projects'!$R151</f>
        <v>23</v>
      </c>
      <c r="D261" s="36">
        <f>Greenfield!P$16*(C261^Greenfield!P$15)</f>
        <v>14.413866304209847</v>
      </c>
      <c r="E261" s="37">
        <f>'Upgrade Projects'!$O151</f>
        <v>2001</v>
      </c>
      <c r="F261" s="35">
        <f>'Upgrade Projects'!$S151</f>
        <v>17</v>
      </c>
      <c r="G261" s="36">
        <f>'Upgrade Projects'!$AJ151/10^6</f>
        <v>3.6313804067567292</v>
      </c>
      <c r="H261" s="38">
        <f>'Upgrade Projects'!$W151</f>
        <v>2008</v>
      </c>
      <c r="I261" s="35">
        <f t="shared" si="24"/>
        <v>40</v>
      </c>
      <c r="J261" s="36">
        <f t="shared" si="25"/>
        <v>18.045246710966577</v>
      </c>
      <c r="K261" s="38">
        <f t="shared" si="26"/>
        <v>2008</v>
      </c>
      <c r="M261" s="21">
        <f t="shared" si="27"/>
        <v>3.6888794541139363</v>
      </c>
      <c r="N261" s="21">
        <f t="shared" si="28"/>
        <v>2.8928823099861387</v>
      </c>
    </row>
    <row r="262" spans="1:14" x14ac:dyDescent="0.2">
      <c r="A262" s="33">
        <f>'Upgrade Projects'!$A152</f>
        <v>1233</v>
      </c>
      <c r="B262" s="34" t="s">
        <v>35</v>
      </c>
      <c r="C262" s="35">
        <f>'Upgrade Projects'!$R152</f>
        <v>40</v>
      </c>
      <c r="D262" s="36">
        <f>Greenfield!P$16*(C262^Greenfield!P$15)</f>
        <v>19.46560219502981</v>
      </c>
      <c r="E262" s="37">
        <f>'Upgrade Projects'!$O152</f>
        <v>2001</v>
      </c>
      <c r="F262" s="35">
        <f>'Upgrade Projects'!$S152</f>
        <v>10</v>
      </c>
      <c r="G262" s="36">
        <f>'Upgrade Projects'!$AJ152/10^6</f>
        <v>3.8904117673360803</v>
      </c>
      <c r="H262" s="38">
        <f>'Upgrade Projects'!$W152</f>
        <v>2011</v>
      </c>
      <c r="I262" s="35">
        <f t="shared" si="24"/>
        <v>50</v>
      </c>
      <c r="J262" s="36">
        <f t="shared" si="25"/>
        <v>23.356013962365889</v>
      </c>
      <c r="K262" s="38">
        <f t="shared" si="26"/>
        <v>2011</v>
      </c>
      <c r="M262" s="21">
        <f t="shared" si="27"/>
        <v>3.912023005428146</v>
      </c>
      <c r="N262" s="21">
        <f t="shared" si="28"/>
        <v>3.1508545082274959</v>
      </c>
    </row>
    <row r="263" spans="1:14" x14ac:dyDescent="0.2">
      <c r="A263" s="33">
        <f>'Upgrade Projects'!$A153</f>
        <v>361</v>
      </c>
      <c r="B263" s="34" t="s">
        <v>35</v>
      </c>
      <c r="C263" s="35">
        <f>'Upgrade Projects'!$R153</f>
        <v>12.22</v>
      </c>
      <c r="D263" s="36">
        <f>Greenfield!P$16*(C263^Greenfield!P$15)</f>
        <v>10.224846639970011</v>
      </c>
      <c r="E263" s="37">
        <f>'Upgrade Projects'!$O153</f>
        <v>1986</v>
      </c>
      <c r="F263" s="35">
        <f>'Upgrade Projects'!$S153</f>
        <v>12.999999999999998</v>
      </c>
      <c r="G263" s="36">
        <f>'Upgrade Projects'!$AJ153/10^6</f>
        <v>1.1719780512644304</v>
      </c>
      <c r="H263" s="38">
        <f>'Upgrade Projects'!$W153</f>
        <v>2002</v>
      </c>
      <c r="I263" s="35">
        <f t="shared" si="24"/>
        <v>25.22</v>
      </c>
      <c r="J263" s="36">
        <f t="shared" si="25"/>
        <v>11.396824691234441</v>
      </c>
      <c r="K263" s="38">
        <f t="shared" si="26"/>
        <v>2002</v>
      </c>
      <c r="M263" s="21">
        <f t="shared" si="27"/>
        <v>3.2276373305367736</v>
      </c>
      <c r="N263" s="21">
        <f t="shared" si="28"/>
        <v>2.4333347807455055</v>
      </c>
    </row>
    <row r="264" spans="1:14" x14ac:dyDescent="0.2">
      <c r="A264" s="33">
        <f>'Upgrade Projects'!$A154</f>
        <v>645</v>
      </c>
      <c r="B264" s="34" t="s">
        <v>35</v>
      </c>
      <c r="C264" s="35">
        <f>'Upgrade Projects'!$R154</f>
        <v>25.22</v>
      </c>
      <c r="D264" s="36">
        <f>Greenfield!P$16*(C264^Greenfield!P$15)</f>
        <v>15.153316301398439</v>
      </c>
      <c r="E264" s="37">
        <f>'Upgrade Projects'!$O154</f>
        <v>1986</v>
      </c>
      <c r="F264" s="35">
        <f>'Upgrade Projects'!$S154</f>
        <v>1</v>
      </c>
      <c r="G264" s="36">
        <f>'Upgrade Projects'!$AJ154/10^6</f>
        <v>0.22667756309168191</v>
      </c>
      <c r="H264" s="38">
        <f>'Upgrade Projects'!$W154</f>
        <v>2006</v>
      </c>
      <c r="I264" s="35">
        <f t="shared" si="24"/>
        <v>26.22</v>
      </c>
      <c r="J264" s="36">
        <f t="shared" si="25"/>
        <v>15.379993864490121</v>
      </c>
      <c r="K264" s="38">
        <f t="shared" si="26"/>
        <v>2006</v>
      </c>
      <c r="M264" s="21">
        <f t="shared" si="27"/>
        <v>3.2665224783355535</v>
      </c>
      <c r="N264" s="21">
        <f t="shared" si="28"/>
        <v>2.7330675651495979</v>
      </c>
    </row>
    <row r="265" spans="1:14" x14ac:dyDescent="0.2">
      <c r="A265" s="33">
        <f>'Upgrade Projects'!$A155</f>
        <v>720</v>
      </c>
      <c r="B265" s="34" t="s">
        <v>35</v>
      </c>
      <c r="C265" s="35">
        <f>'Upgrade Projects'!$R155</f>
        <v>5.29</v>
      </c>
      <c r="D265" s="36">
        <f>Greenfield!P$16*(C265^Greenfield!P$15)</f>
        <v>6.4898288793941932</v>
      </c>
      <c r="E265" s="37">
        <f>'Upgrade Projects'!$O155</f>
        <v>1974</v>
      </c>
      <c r="F265" s="35">
        <f>'Upgrade Projects'!$S155</f>
        <v>3.9099999999999993</v>
      </c>
      <c r="G265" s="36">
        <f>'Upgrade Projects'!$AJ155/10^6</f>
        <v>3.214674226156069</v>
      </c>
      <c r="H265" s="38">
        <f>'Upgrade Projects'!$W155</f>
        <v>2009</v>
      </c>
      <c r="I265" s="35">
        <f t="shared" si="24"/>
        <v>9.1999999999999993</v>
      </c>
      <c r="J265" s="36">
        <f t="shared" si="25"/>
        <v>9.7045031055502626</v>
      </c>
      <c r="K265" s="38">
        <f t="shared" si="26"/>
        <v>2009</v>
      </c>
      <c r="M265" s="21">
        <f t="shared" si="27"/>
        <v>2.2192034840549946</v>
      </c>
      <c r="N265" s="21">
        <f t="shared" si="28"/>
        <v>2.2725900154699556</v>
      </c>
    </row>
    <row r="266" spans="1:14" x14ac:dyDescent="0.2">
      <c r="A266" s="33">
        <f>'Upgrade Projects'!$A156</f>
        <v>1554</v>
      </c>
      <c r="B266" s="34" t="s">
        <v>35</v>
      </c>
      <c r="C266" s="35">
        <f>'Upgrade Projects'!$R156</f>
        <v>18</v>
      </c>
      <c r="D266" s="36">
        <f>Greenfield!P$16*(C266^Greenfield!P$15)</f>
        <v>12.617723487696756</v>
      </c>
      <c r="E266" s="37">
        <f>'Upgrade Projects'!$O156</f>
        <v>2013</v>
      </c>
      <c r="F266" s="35">
        <f>'Upgrade Projects'!$S156</f>
        <v>13</v>
      </c>
      <c r="G266" s="36">
        <f>'Upgrade Projects'!$AJ156/10^6</f>
        <v>4.0040929633677633</v>
      </c>
      <c r="H266" s="38">
        <f>'Upgrade Projects'!$W156</f>
        <v>2015</v>
      </c>
      <c r="I266" s="35">
        <f t="shared" si="24"/>
        <v>31</v>
      </c>
      <c r="J266" s="36">
        <f t="shared" si="25"/>
        <v>16.621816451064518</v>
      </c>
      <c r="K266" s="38">
        <f t="shared" si="26"/>
        <v>2015</v>
      </c>
      <c r="M266" s="21">
        <f t="shared" si="27"/>
        <v>3.4339872044851463</v>
      </c>
      <c r="N266" s="21">
        <f t="shared" si="28"/>
        <v>2.8107160765397556</v>
      </c>
    </row>
    <row r="267" spans="1:14" x14ac:dyDescent="0.2">
      <c r="A267" s="33">
        <f>'Upgrade Projects'!$A157</f>
        <v>1570</v>
      </c>
      <c r="B267" s="34" t="s">
        <v>35</v>
      </c>
      <c r="C267" s="35">
        <f>'Upgrade Projects'!$R157</f>
        <v>12</v>
      </c>
      <c r="D267" s="36">
        <f>Greenfield!P$16*(C267^Greenfield!P$15)</f>
        <v>10.124485940450056</v>
      </c>
      <c r="E267" s="37">
        <f>'Upgrade Projects'!$O157</f>
        <v>0</v>
      </c>
      <c r="F267" s="35">
        <f>'Upgrade Projects'!$S157</f>
        <v>7</v>
      </c>
      <c r="G267" s="36">
        <f>'Upgrade Projects'!$AJ157/10^6</f>
        <v>5.7128729653456798</v>
      </c>
      <c r="H267" s="38">
        <f>'Upgrade Projects'!$W157</f>
        <v>2016</v>
      </c>
      <c r="I267" s="35">
        <f t="shared" si="24"/>
        <v>19</v>
      </c>
      <c r="J267" s="36">
        <f t="shared" si="25"/>
        <v>15.837358905795735</v>
      </c>
      <c r="K267" s="38">
        <f t="shared" si="26"/>
        <v>2016</v>
      </c>
      <c r="M267" s="21">
        <f t="shared" si="27"/>
        <v>2.9444389791664403</v>
      </c>
      <c r="N267" s="21">
        <f t="shared" si="28"/>
        <v>2.7623716367391116</v>
      </c>
    </row>
    <row r="268" spans="1:14" x14ac:dyDescent="0.2">
      <c r="A268" s="33">
        <f>'Upgrade Projects'!$A158</f>
        <v>1280</v>
      </c>
      <c r="B268" s="34" t="s">
        <v>35</v>
      </c>
      <c r="C268" s="35">
        <f>'Upgrade Projects'!$R158</f>
        <v>10</v>
      </c>
      <c r="D268" s="36">
        <f>Greenfield!P$16*(C268^Greenfield!P$15)</f>
        <v>9.1702642415128466</v>
      </c>
      <c r="E268" s="37">
        <f>'Upgrade Projects'!$O158</f>
        <v>0</v>
      </c>
      <c r="F268" s="35">
        <f>'Upgrade Projects'!$S158</f>
        <v>10</v>
      </c>
      <c r="G268" s="36">
        <f>'Upgrade Projects'!$AJ158/10^6</f>
        <v>3.9567117678399111</v>
      </c>
      <c r="H268" s="38">
        <f>'Upgrade Projects'!$W158</f>
        <v>2013</v>
      </c>
      <c r="I268" s="35">
        <f t="shared" si="24"/>
        <v>20</v>
      </c>
      <c r="J268" s="36">
        <f t="shared" si="25"/>
        <v>13.126976009352758</v>
      </c>
      <c r="K268" s="38">
        <f t="shared" si="26"/>
        <v>2013</v>
      </c>
      <c r="M268" s="21">
        <f t="shared" si="27"/>
        <v>2.9957322735539909</v>
      </c>
      <c r="N268" s="21">
        <f t="shared" si="28"/>
        <v>2.5746693502392515</v>
      </c>
    </row>
    <row r="269" spans="1:14" x14ac:dyDescent="0.2">
      <c r="A269" s="33">
        <f>'Upgrade Projects'!$A159</f>
        <v>659</v>
      </c>
      <c r="B269" s="34" t="s">
        <v>35</v>
      </c>
      <c r="C269" s="35">
        <f>'Upgrade Projects'!$R159</f>
        <v>51</v>
      </c>
      <c r="D269" s="36">
        <f>Greenfield!P$16*(C269^Greenfield!P$15)</f>
        <v>22.210286677492807</v>
      </c>
      <c r="E269" s="37">
        <f>'Upgrade Projects'!$O159</f>
        <v>1974</v>
      </c>
      <c r="F269" s="35">
        <f>'Upgrade Projects'!$S159</f>
        <v>7</v>
      </c>
      <c r="G269" s="36">
        <f>'Upgrade Projects'!$AJ159/10^6</f>
        <v>0.19038861907506671</v>
      </c>
      <c r="H269" s="38">
        <f>'Upgrade Projects'!$W159</f>
        <v>2006</v>
      </c>
      <c r="I269" s="35">
        <f t="shared" si="24"/>
        <v>58</v>
      </c>
      <c r="J269" s="36">
        <f t="shared" si="25"/>
        <v>22.400675296567872</v>
      </c>
      <c r="K269" s="38">
        <f t="shared" si="26"/>
        <v>2006</v>
      </c>
      <c r="M269" s="21">
        <f t="shared" si="27"/>
        <v>4.0604430105464191</v>
      </c>
      <c r="N269" s="21">
        <f t="shared" si="28"/>
        <v>3.1090911055747861</v>
      </c>
    </row>
    <row r="270" spans="1:14" x14ac:dyDescent="0.2">
      <c r="A270" s="33">
        <f>'Upgrade Projects'!$A160</f>
        <v>1240</v>
      </c>
      <c r="B270" s="34" t="s">
        <v>35</v>
      </c>
      <c r="C270" s="35">
        <f>'Upgrade Projects'!$R160</f>
        <v>9</v>
      </c>
      <c r="D270" s="36">
        <f>Greenfield!P$16*(C270^Greenfield!P$15)</f>
        <v>8.6604011485057413</v>
      </c>
      <c r="E270" s="37">
        <f>'Upgrade Projects'!$O160</f>
        <v>0</v>
      </c>
      <c r="F270" s="35">
        <f>'Upgrade Projects'!$S160</f>
        <v>12</v>
      </c>
      <c r="G270" s="36">
        <f>'Upgrade Projects'!$AJ160/10^6</f>
        <v>2.4762389627807444</v>
      </c>
      <c r="H270" s="38">
        <f>'Upgrade Projects'!$W160</f>
        <v>2013</v>
      </c>
      <c r="I270" s="35">
        <f t="shared" si="24"/>
        <v>21</v>
      </c>
      <c r="J270" s="36">
        <f t="shared" si="25"/>
        <v>11.136640111286486</v>
      </c>
      <c r="K270" s="38">
        <f t="shared" si="26"/>
        <v>2013</v>
      </c>
      <c r="M270" s="21">
        <f t="shared" si="27"/>
        <v>3.044522437723423</v>
      </c>
      <c r="N270" s="21">
        <f t="shared" si="28"/>
        <v>2.410240583197846</v>
      </c>
    </row>
    <row r="271" spans="1:14" x14ac:dyDescent="0.2">
      <c r="A271" s="33">
        <f>'Upgrade Projects'!$A161</f>
        <v>317</v>
      </c>
      <c r="B271" s="34" t="s">
        <v>35</v>
      </c>
      <c r="C271" s="35">
        <f>'Upgrade Projects'!$R161</f>
        <v>26.67</v>
      </c>
      <c r="D271" s="36">
        <f>Greenfield!P$16*(C271^Greenfield!P$15)</f>
        <v>15.620297193443895</v>
      </c>
      <c r="E271" s="37">
        <f>'Upgrade Projects'!$O161</f>
        <v>1978</v>
      </c>
      <c r="F271" s="35">
        <f>'Upgrade Projects'!$S161</f>
        <v>8.4600000000000009</v>
      </c>
      <c r="G271" s="36">
        <f>'Upgrade Projects'!$AJ161/10^6</f>
        <v>3.7336154837609361</v>
      </c>
      <c r="H271" s="38">
        <f>'Upgrade Projects'!$W161</f>
        <v>2002</v>
      </c>
      <c r="I271" s="35">
        <f t="shared" si="24"/>
        <v>35.130000000000003</v>
      </c>
      <c r="J271" s="36">
        <f t="shared" si="25"/>
        <v>19.353912677204832</v>
      </c>
      <c r="K271" s="38">
        <f t="shared" si="26"/>
        <v>2002</v>
      </c>
      <c r="M271" s="21">
        <f t="shared" si="27"/>
        <v>3.5590554662777358</v>
      </c>
      <c r="N271" s="21">
        <f t="shared" si="28"/>
        <v>2.9628946045753075</v>
      </c>
    </row>
    <row r="272" spans="1:14" x14ac:dyDescent="0.2">
      <c r="A272" s="33">
        <f>'Upgrade Projects'!$A162</f>
        <v>1510</v>
      </c>
      <c r="B272" s="34" t="s">
        <v>35</v>
      </c>
      <c r="C272" s="35">
        <f>'Upgrade Projects'!$R162</f>
        <v>35.130000000000003</v>
      </c>
      <c r="D272" s="36">
        <f>Greenfield!P$16*(C272^Greenfield!P$15)</f>
        <v>18.140763229229844</v>
      </c>
      <c r="E272" s="37">
        <f>'Upgrade Projects'!$O162</f>
        <v>1978</v>
      </c>
      <c r="F272" s="35">
        <f>'Upgrade Projects'!$S162</f>
        <v>0</v>
      </c>
      <c r="G272" s="36">
        <f>'Upgrade Projects'!$AJ162/10^6</f>
        <v>1.0378442790997116</v>
      </c>
      <c r="H272" s="38">
        <f>'Upgrade Projects'!$W162</f>
        <v>2014</v>
      </c>
      <c r="I272" s="35">
        <f t="shared" si="24"/>
        <v>35.130000000000003</v>
      </c>
      <c r="J272" s="36">
        <f t="shared" si="25"/>
        <v>19.178607508329556</v>
      </c>
      <c r="K272" s="38">
        <f t="shared" si="26"/>
        <v>2014</v>
      </c>
      <c r="M272" s="21">
        <f t="shared" si="27"/>
        <v>3.5590554662777358</v>
      </c>
      <c r="N272" s="21">
        <f t="shared" si="28"/>
        <v>2.9537954655855736</v>
      </c>
    </row>
    <row r="273" spans="1:14" x14ac:dyDescent="0.2">
      <c r="A273" s="33">
        <f>'Upgrade Projects'!$A163</f>
        <v>1678</v>
      </c>
      <c r="B273" s="34" t="s">
        <v>35</v>
      </c>
      <c r="C273" s="35">
        <f>'Upgrade Projects'!$R163</f>
        <v>71.19</v>
      </c>
      <c r="D273" s="36">
        <f>Greenfield!P$16*(C273^Greenfield!P$15)</f>
        <v>26.619459498448784</v>
      </c>
      <c r="E273" s="37">
        <f>'Upgrade Projects'!$O163</f>
        <v>0</v>
      </c>
      <c r="F273" s="35">
        <f>'Upgrade Projects'!$S163</f>
        <v>3.8100000000000023</v>
      </c>
      <c r="G273" s="36">
        <f>'Upgrade Projects'!$AJ163/10^6</f>
        <v>0.1876880715541229</v>
      </c>
      <c r="H273" s="38">
        <f>'Upgrade Projects'!$W163</f>
        <v>2015</v>
      </c>
      <c r="I273" s="35">
        <f t="shared" si="24"/>
        <v>75</v>
      </c>
      <c r="J273" s="36">
        <f t="shared" si="25"/>
        <v>26.807147570002908</v>
      </c>
      <c r="K273" s="38">
        <f t="shared" si="26"/>
        <v>2015</v>
      </c>
      <c r="M273" s="21">
        <f t="shared" si="27"/>
        <v>4.3174881135363101</v>
      </c>
      <c r="N273" s="21">
        <f t="shared" si="28"/>
        <v>3.2886685523318313</v>
      </c>
    </row>
    <row r="274" spans="1:14" x14ac:dyDescent="0.2">
      <c r="A274" s="33">
        <f>'Upgrade Projects'!$A164</f>
        <v>409</v>
      </c>
      <c r="B274" s="34" t="s">
        <v>35</v>
      </c>
      <c r="C274" s="35">
        <f>'Upgrade Projects'!$R164</f>
        <v>50.9</v>
      </c>
      <c r="D274" s="36">
        <f>Greenfield!P$16*(C274^Greenfield!P$15)</f>
        <v>22.186631006111668</v>
      </c>
      <c r="E274" s="37" t="str">
        <f>'Upgrade Projects'!$O164</f>
        <v>unknown</v>
      </c>
      <c r="F274" s="35">
        <f>'Upgrade Projects'!$S164</f>
        <v>0</v>
      </c>
      <c r="G274" s="36">
        <f>'Upgrade Projects'!$AJ164/10^6</f>
        <v>6.9500275644125207</v>
      </c>
      <c r="H274" s="38">
        <f>'Upgrade Projects'!$W164</f>
        <v>2004</v>
      </c>
      <c r="I274" s="35">
        <f t="shared" si="24"/>
        <v>50.9</v>
      </c>
      <c r="J274" s="36">
        <f t="shared" si="25"/>
        <v>29.13665857052419</v>
      </c>
      <c r="K274" s="38">
        <f t="shared" si="26"/>
        <v>2004</v>
      </c>
      <c r="M274" s="21">
        <f t="shared" si="27"/>
        <v>3.929862923556477</v>
      </c>
      <c r="N274" s="21">
        <f t="shared" si="28"/>
        <v>3.3719971260564137</v>
      </c>
    </row>
    <row r="275" spans="1:14" x14ac:dyDescent="0.2">
      <c r="A275" s="33">
        <f>'Upgrade Projects'!$A165</f>
        <v>620</v>
      </c>
      <c r="B275" s="34" t="s">
        <v>35</v>
      </c>
      <c r="C275" s="35">
        <f>'Upgrade Projects'!$R165</f>
        <v>66.040000000000006</v>
      </c>
      <c r="D275" s="36">
        <f>Greenfield!P$16*(C275^Greenfield!P$15)</f>
        <v>25.555990660680081</v>
      </c>
      <c r="E275" s="37" t="str">
        <f>'Upgrade Projects'!$O165</f>
        <v>unknown</v>
      </c>
      <c r="F275" s="35">
        <f>'Upgrade Projects'!$S165</f>
        <v>1</v>
      </c>
      <c r="G275" s="36">
        <f>'Upgrade Projects'!$AJ165/10^6</f>
        <v>5.2327101351069411E-2</v>
      </c>
      <c r="H275" s="38">
        <f>'Upgrade Projects'!$W165</f>
        <v>2006</v>
      </c>
      <c r="I275" s="35">
        <f t="shared" si="24"/>
        <v>67.040000000000006</v>
      </c>
      <c r="J275" s="36">
        <f t="shared" si="25"/>
        <v>25.608317762031149</v>
      </c>
      <c r="K275" s="38">
        <f t="shared" si="26"/>
        <v>2006</v>
      </c>
      <c r="M275" s="21">
        <f t="shared" si="27"/>
        <v>4.2052894561738281</v>
      </c>
      <c r="N275" s="21">
        <f t="shared" si="28"/>
        <v>3.2429172112921973</v>
      </c>
    </row>
    <row r="276" spans="1:14" x14ac:dyDescent="0.2">
      <c r="A276" s="33">
        <f>'Upgrade Projects'!$A166</f>
        <v>1085</v>
      </c>
      <c r="B276" s="34" t="s">
        <v>35</v>
      </c>
      <c r="C276" s="35">
        <f>'Upgrade Projects'!$R166</f>
        <v>67.040000000000006</v>
      </c>
      <c r="D276" s="36">
        <f>Greenfield!P$16*(C276^Greenfield!P$15)</f>
        <v>25.765376706589766</v>
      </c>
      <c r="E276" s="37" t="str">
        <f>'Upgrade Projects'!$O166</f>
        <v>unknown</v>
      </c>
      <c r="F276" s="35">
        <f>'Upgrade Projects'!$S166</f>
        <v>2</v>
      </c>
      <c r="G276" s="36">
        <f>'Upgrade Projects'!$AJ166/10^6</f>
        <v>7.9312358901564406E-2</v>
      </c>
      <c r="H276" s="38">
        <f>'Upgrade Projects'!$W166</f>
        <v>2010</v>
      </c>
      <c r="I276" s="35">
        <f t="shared" si="24"/>
        <v>69.040000000000006</v>
      </c>
      <c r="J276" s="36">
        <f t="shared" si="25"/>
        <v>25.84468906549133</v>
      </c>
      <c r="K276" s="38">
        <f t="shared" si="26"/>
        <v>2010</v>
      </c>
      <c r="M276" s="21">
        <f t="shared" si="27"/>
        <v>4.234686046775173</v>
      </c>
      <c r="N276" s="21">
        <f t="shared" si="28"/>
        <v>3.2521051278343416</v>
      </c>
    </row>
    <row r="277" spans="1:14" x14ac:dyDescent="0.2">
      <c r="A277" s="33">
        <f>'Upgrade Projects'!$A167</f>
        <v>589</v>
      </c>
      <c r="B277" s="34" t="s">
        <v>35</v>
      </c>
      <c r="C277" s="35">
        <f>'Upgrade Projects'!$R167</f>
        <v>36.963000000000001</v>
      </c>
      <c r="D277" s="36">
        <f>Greenfield!P$16*(C277^Greenfield!P$15)</f>
        <v>18.648706784791184</v>
      </c>
      <c r="E277" s="37">
        <f>'Upgrade Projects'!$O167</f>
        <v>1974</v>
      </c>
      <c r="F277" s="35">
        <f>'Upgrade Projects'!$S167</f>
        <v>0</v>
      </c>
      <c r="G277" s="36">
        <f>'Upgrade Projects'!$AJ167/10^6</f>
        <v>3.2007376892660457E-2</v>
      </c>
      <c r="H277" s="38">
        <f>'Upgrade Projects'!$W167</f>
        <v>2005</v>
      </c>
      <c r="I277" s="35">
        <f t="shared" si="24"/>
        <v>36.963000000000001</v>
      </c>
      <c r="J277" s="36">
        <f t="shared" si="25"/>
        <v>18.680714161683845</v>
      </c>
      <c r="K277" s="38">
        <f t="shared" si="26"/>
        <v>2005</v>
      </c>
      <c r="M277" s="21">
        <f t="shared" si="27"/>
        <v>3.609917412310641</v>
      </c>
      <c r="N277" s="21">
        <f t="shared" si="28"/>
        <v>2.9274916634234218</v>
      </c>
    </row>
    <row r="278" spans="1:14" x14ac:dyDescent="0.2">
      <c r="A278" s="33">
        <f>'Upgrade Projects'!$A168</f>
        <v>836</v>
      </c>
      <c r="B278" s="34" t="s">
        <v>35</v>
      </c>
      <c r="C278" s="35">
        <f>'Upgrade Projects'!$R168</f>
        <v>33.963000000000001</v>
      </c>
      <c r="D278" s="36">
        <f>Greenfield!P$16*(C278^Greenfield!P$15)</f>
        <v>17.811044806292045</v>
      </c>
      <c r="E278" s="37">
        <f>'Upgrade Projects'!$O168</f>
        <v>1974</v>
      </c>
      <c r="F278" s="35">
        <f>'Upgrade Projects'!$S168</f>
        <v>10.036999999999999</v>
      </c>
      <c r="G278" s="36">
        <f>'Upgrade Projects'!$AJ168/10^6</f>
        <v>0.20824846319974696</v>
      </c>
      <c r="H278" s="38">
        <f>'Upgrade Projects'!$W168</f>
        <v>2008</v>
      </c>
      <c r="I278" s="35">
        <f t="shared" si="24"/>
        <v>44</v>
      </c>
      <c r="J278" s="36">
        <f t="shared" si="25"/>
        <v>18.019293269491794</v>
      </c>
      <c r="K278" s="38">
        <f t="shared" si="26"/>
        <v>2008</v>
      </c>
      <c r="M278" s="21">
        <f t="shared" si="27"/>
        <v>3.784189633918261</v>
      </c>
      <c r="N278" s="21">
        <f t="shared" si="28"/>
        <v>2.8914430321820075</v>
      </c>
    </row>
    <row r="279" spans="1:14" x14ac:dyDescent="0.2">
      <c r="A279" s="33">
        <f>'Upgrade Projects'!$A169</f>
        <v>1417</v>
      </c>
      <c r="B279" s="34" t="s">
        <v>35</v>
      </c>
      <c r="C279" s="35">
        <f>'Upgrade Projects'!$R169</f>
        <v>53.176000000000002</v>
      </c>
      <c r="D279" s="36">
        <f>Greenfield!P$16*(C279^Greenfield!P$15)</f>
        <v>22.719887841657162</v>
      </c>
      <c r="E279" s="37">
        <f>'Upgrade Projects'!$O169</f>
        <v>0</v>
      </c>
      <c r="F279" s="35">
        <f>'Upgrade Projects'!$S169</f>
        <v>2.8239999999999981</v>
      </c>
      <c r="G279" s="36">
        <f>'Upgrade Projects'!$AJ169/10^6</f>
        <v>0.36631755287404399</v>
      </c>
      <c r="H279" s="38">
        <f>'Upgrade Projects'!$W169</f>
        <v>2013</v>
      </c>
      <c r="I279" s="35">
        <f t="shared" si="24"/>
        <v>56</v>
      </c>
      <c r="J279" s="36">
        <f t="shared" si="25"/>
        <v>23.086205394531206</v>
      </c>
      <c r="K279" s="38">
        <f t="shared" si="26"/>
        <v>2013</v>
      </c>
      <c r="M279" s="21">
        <f t="shared" si="27"/>
        <v>4.0253516907351496</v>
      </c>
      <c r="N279" s="21">
        <f t="shared" si="28"/>
        <v>3.1392352700833692</v>
      </c>
    </row>
    <row r="280" spans="1:14" x14ac:dyDescent="0.2">
      <c r="A280" s="33">
        <f>'Upgrade Projects'!$A170</f>
        <v>1575</v>
      </c>
      <c r="B280" s="34" t="s">
        <v>35</v>
      </c>
      <c r="C280" s="35">
        <f>'Upgrade Projects'!$R170</f>
        <v>107.8</v>
      </c>
      <c r="D280" s="36">
        <f>Greenfield!P$16*(C280^Greenfield!P$15)</f>
        <v>33.345555380023704</v>
      </c>
      <c r="E280" s="37">
        <f>'Upgrade Projects'!$O170</f>
        <v>0</v>
      </c>
      <c r="F280" s="35">
        <f>'Upgrade Projects'!$S170</f>
        <v>2.2000000000000028</v>
      </c>
      <c r="G280" s="36">
        <f>'Upgrade Projects'!$AJ170/10^6</f>
        <v>8.4606138058298655E-2</v>
      </c>
      <c r="H280" s="38">
        <f>'Upgrade Projects'!$W170</f>
        <v>2014</v>
      </c>
      <c r="I280" s="35">
        <f t="shared" si="24"/>
        <v>110</v>
      </c>
      <c r="J280" s="36">
        <f t="shared" si="25"/>
        <v>33.430161518082002</v>
      </c>
      <c r="K280" s="38">
        <f t="shared" si="26"/>
        <v>2014</v>
      </c>
      <c r="M280" s="21">
        <f t="shared" si="27"/>
        <v>4.7004803657924166</v>
      </c>
      <c r="N280" s="21">
        <f t="shared" si="28"/>
        <v>3.5094585319513554</v>
      </c>
    </row>
    <row r="281" spans="1:14" x14ac:dyDescent="0.2">
      <c r="A281" s="33">
        <f>'Upgrade Projects'!$A171</f>
        <v>1480</v>
      </c>
      <c r="B281" s="34" t="s">
        <v>35</v>
      </c>
      <c r="C281" s="35">
        <f>'Upgrade Projects'!$R171</f>
        <v>92</v>
      </c>
      <c r="D281" s="36">
        <f>Greenfield!P$16*(C281^Greenfield!P$15)</f>
        <v>30.596128986115918</v>
      </c>
      <c r="E281" s="37">
        <f>'Upgrade Projects'!$O171</f>
        <v>0</v>
      </c>
      <c r="F281" s="35">
        <f>'Upgrade Projects'!$S171</f>
        <v>9</v>
      </c>
      <c r="G281" s="36">
        <f>'Upgrade Projects'!$AJ171/10^6</f>
        <v>1.4186292000498641</v>
      </c>
      <c r="H281" s="38">
        <f>'Upgrade Projects'!$W171</f>
        <v>2015</v>
      </c>
      <c r="I281" s="35">
        <f t="shared" si="24"/>
        <v>101</v>
      </c>
      <c r="J281" s="36">
        <f t="shared" si="25"/>
        <v>32.014758186165786</v>
      </c>
      <c r="K281" s="38">
        <f t="shared" si="26"/>
        <v>2015</v>
      </c>
      <c r="M281" s="21">
        <f t="shared" si="27"/>
        <v>4.6151205168412597</v>
      </c>
      <c r="N281" s="21">
        <f t="shared" si="28"/>
        <v>3.4661969898004563</v>
      </c>
    </row>
    <row r="282" spans="1:14" x14ac:dyDescent="0.2">
      <c r="A282" s="33">
        <f>'Upgrade Projects'!$A172</f>
        <v>1644</v>
      </c>
      <c r="B282" s="34" t="s">
        <v>35</v>
      </c>
      <c r="C282" s="35">
        <f>'Upgrade Projects'!$R172</f>
        <v>25</v>
      </c>
      <c r="D282" s="36">
        <f>Greenfield!P$16*(C282^Greenfield!P$15)</f>
        <v>15.081402803377511</v>
      </c>
      <c r="E282" s="37">
        <f>'Upgrade Projects'!$O172</f>
        <v>0</v>
      </c>
      <c r="F282" s="35">
        <f>'Upgrade Projects'!$S172</f>
        <v>14</v>
      </c>
      <c r="G282" s="36">
        <f>'Upgrade Projects'!$AJ172/10^6</f>
        <v>6.4881768587089867</v>
      </c>
      <c r="H282" s="38">
        <f>'Upgrade Projects'!$W172</f>
        <v>2016</v>
      </c>
      <c r="I282" s="35">
        <f t="shared" si="24"/>
        <v>39</v>
      </c>
      <c r="J282" s="36">
        <f t="shared" si="25"/>
        <v>21.569579662086497</v>
      </c>
      <c r="K282" s="38">
        <f t="shared" si="26"/>
        <v>2016</v>
      </c>
      <c r="M282" s="21">
        <f t="shared" si="27"/>
        <v>3.6635616461296463</v>
      </c>
      <c r="N282" s="21">
        <f t="shared" si="28"/>
        <v>3.071283973057108</v>
      </c>
    </row>
    <row r="283" spans="1:14" x14ac:dyDescent="0.2">
      <c r="A283" s="33">
        <f>'Upgrade Projects'!$A173</f>
        <v>1276</v>
      </c>
      <c r="B283" s="34" t="s">
        <v>35</v>
      </c>
      <c r="C283" s="35">
        <f>'Upgrade Projects'!$R173</f>
        <v>34</v>
      </c>
      <c r="D283" s="36">
        <f>Greenfield!P$16*(C283^Greenfield!P$15)</f>
        <v>17.821577356557565</v>
      </c>
      <c r="E283" s="37" t="str">
        <f>'Upgrade Projects'!$O173</f>
        <v>unknown</v>
      </c>
      <c r="F283" s="35">
        <f>'Upgrade Projects'!$S173</f>
        <v>4</v>
      </c>
      <c r="G283" s="36">
        <f>'Upgrade Projects'!$AJ173/10^6</f>
        <v>0.69755192087391271</v>
      </c>
      <c r="H283" s="38">
        <f>'Upgrade Projects'!$W173</f>
        <v>2012</v>
      </c>
      <c r="I283" s="35">
        <f t="shared" si="24"/>
        <v>38</v>
      </c>
      <c r="J283" s="36">
        <f t="shared" si="25"/>
        <v>18.519129277431478</v>
      </c>
      <c r="K283" s="38">
        <f t="shared" si="26"/>
        <v>2012</v>
      </c>
      <c r="M283" s="21">
        <f t="shared" si="27"/>
        <v>3.6375861597263857</v>
      </c>
      <c r="N283" s="21">
        <f t="shared" si="28"/>
        <v>2.918804212855302</v>
      </c>
    </row>
    <row r="284" spans="1:14" x14ac:dyDescent="0.2">
      <c r="A284" s="33">
        <f>'Upgrade Projects'!$A174</f>
        <v>823</v>
      </c>
      <c r="B284" s="34" t="s">
        <v>35</v>
      </c>
      <c r="C284" s="35">
        <f>'Upgrade Projects'!$R174</f>
        <v>10</v>
      </c>
      <c r="D284" s="36">
        <f>Greenfield!P$16*(C284^Greenfield!P$15)</f>
        <v>9.1702642415128466</v>
      </c>
      <c r="E284" s="37" t="str">
        <f>'Upgrade Projects'!$O174</f>
        <v>unknown</v>
      </c>
      <c r="F284" s="35">
        <f>'Upgrade Projects'!$S174</f>
        <v>25</v>
      </c>
      <c r="G284" s="36">
        <f>'Upgrade Projects'!$AJ174/10^6</f>
        <v>8.3156614233786232</v>
      </c>
      <c r="H284" s="38">
        <f>'Upgrade Projects'!$W174</f>
        <v>2009</v>
      </c>
      <c r="I284" s="35">
        <f t="shared" si="24"/>
        <v>35</v>
      </c>
      <c r="J284" s="36">
        <f t="shared" si="25"/>
        <v>17.485925664891468</v>
      </c>
      <c r="K284" s="38">
        <f t="shared" si="26"/>
        <v>2009</v>
      </c>
      <c r="M284" s="21">
        <f t="shared" si="27"/>
        <v>3.5553480614894135</v>
      </c>
      <c r="N284" s="21">
        <f t="shared" si="28"/>
        <v>2.8613963096282786</v>
      </c>
    </row>
    <row r="285" spans="1:14" x14ac:dyDescent="0.2">
      <c r="A285" s="33">
        <f>'Upgrade Projects'!$A175</f>
        <v>1601</v>
      </c>
      <c r="B285" s="34" t="s">
        <v>35</v>
      </c>
      <c r="C285" s="35">
        <f>'Upgrade Projects'!$R175</f>
        <v>77</v>
      </c>
      <c r="D285" s="36">
        <f>Greenfield!P$16*(C285^Greenfield!P$15)</f>
        <v>27.777831536916857</v>
      </c>
      <c r="E285" s="37">
        <f>'Upgrade Projects'!$O175</f>
        <v>0</v>
      </c>
      <c r="F285" s="35">
        <f>'Upgrade Projects'!$S175</f>
        <v>0</v>
      </c>
      <c r="G285" s="36">
        <f>'Upgrade Projects'!$AJ175/10^6</f>
        <v>4.0094648670350015</v>
      </c>
      <c r="H285" s="38">
        <f>'Upgrade Projects'!$W175</f>
        <v>2015</v>
      </c>
      <c r="I285" s="35">
        <f t="shared" si="24"/>
        <v>77</v>
      </c>
      <c r="J285" s="36">
        <f t="shared" si="25"/>
        <v>31.787296403951856</v>
      </c>
      <c r="K285" s="38">
        <f t="shared" si="26"/>
        <v>2015</v>
      </c>
      <c r="M285" s="21">
        <f t="shared" si="27"/>
        <v>4.3438054218536841</v>
      </c>
      <c r="N285" s="21">
        <f t="shared" si="28"/>
        <v>3.4590667258186225</v>
      </c>
    </row>
    <row r="286" spans="1:14" x14ac:dyDescent="0.2">
      <c r="A286" s="33">
        <f>'Upgrade Projects'!$A176</f>
        <v>1046</v>
      </c>
      <c r="B286" s="34" t="s">
        <v>35</v>
      </c>
      <c r="C286" s="35">
        <f>'Upgrade Projects'!$R176</f>
        <v>33</v>
      </c>
      <c r="D286" s="36">
        <f>Greenfield!P$16*(C286^Greenfield!P$15)</f>
        <v>17.53504396332124</v>
      </c>
      <c r="E286" s="37" t="str">
        <f>'Upgrade Projects'!$O176</f>
        <v>unknown</v>
      </c>
      <c r="F286" s="35">
        <f>'Upgrade Projects'!$S176</f>
        <v>17</v>
      </c>
      <c r="G286" s="36">
        <f>'Upgrade Projects'!$AJ176/10^6</f>
        <v>13.838101419471103</v>
      </c>
      <c r="H286" s="38">
        <f>'Upgrade Projects'!$W176</f>
        <v>2011</v>
      </c>
      <c r="I286" s="35">
        <f t="shared" si="24"/>
        <v>50</v>
      </c>
      <c r="J286" s="36">
        <f t="shared" si="25"/>
        <v>31.373145382792345</v>
      </c>
      <c r="K286" s="38">
        <f t="shared" si="26"/>
        <v>2011</v>
      </c>
      <c r="M286" s="21">
        <f t="shared" si="27"/>
        <v>3.912023005428146</v>
      </c>
      <c r="N286" s="21">
        <f t="shared" si="28"/>
        <v>3.4459522843993824</v>
      </c>
    </row>
    <row r="287" spans="1:14" x14ac:dyDescent="0.2">
      <c r="A287" s="33">
        <f>'Upgrade Projects'!$A177</f>
        <v>873</v>
      </c>
      <c r="B287" s="34" t="s">
        <v>35</v>
      </c>
      <c r="C287" s="35">
        <f>'Upgrade Projects'!$R177</f>
        <v>38</v>
      </c>
      <c r="D287" s="36">
        <f>Greenfield!P$16*(C287^Greenfield!P$15)</f>
        <v>18.930974345875899</v>
      </c>
      <c r="E287" s="37" t="str">
        <f>'Upgrade Projects'!$O177</f>
        <v>unknown</v>
      </c>
      <c r="F287" s="35">
        <f>'Upgrade Projects'!$S177</f>
        <v>10</v>
      </c>
      <c r="G287" s="36">
        <f>'Upgrade Projects'!$AJ177/10^6</f>
        <v>10.835025062169574</v>
      </c>
      <c r="H287" s="38">
        <f>'Upgrade Projects'!$W177</f>
        <v>2011</v>
      </c>
      <c r="I287" s="35">
        <f t="shared" si="24"/>
        <v>48</v>
      </c>
      <c r="J287" s="36">
        <f t="shared" si="25"/>
        <v>29.765999408045474</v>
      </c>
      <c r="K287" s="38">
        <f t="shared" si="26"/>
        <v>2011</v>
      </c>
      <c r="M287" s="21">
        <f t="shared" si="27"/>
        <v>3.8712010109078911</v>
      </c>
      <c r="N287" s="21">
        <f t="shared" si="28"/>
        <v>3.3933667826600309</v>
      </c>
    </row>
    <row r="288" spans="1:14" x14ac:dyDescent="0.2">
      <c r="A288" s="33">
        <f>'Upgrade Projects'!$A178</f>
        <v>630</v>
      </c>
      <c r="B288" s="34" t="s">
        <v>35</v>
      </c>
      <c r="C288" s="35">
        <f>'Upgrade Projects'!$R178</f>
        <v>36.4</v>
      </c>
      <c r="D288" s="36">
        <f>Greenfield!P$16*(C288^Greenfield!P$15)</f>
        <v>18.493943918851937</v>
      </c>
      <c r="E288" s="37" t="str">
        <f>'Upgrade Projects'!$O178</f>
        <v>unknown</v>
      </c>
      <c r="F288" s="35">
        <f>'Upgrade Projects'!$S178</f>
        <v>3.6000000000000014</v>
      </c>
      <c r="G288" s="36">
        <f>'Upgrade Projects'!$AJ178/10^6</f>
        <v>0.76181860016629799</v>
      </c>
      <c r="H288" s="38">
        <f>'Upgrade Projects'!$W178</f>
        <v>2007</v>
      </c>
      <c r="I288" s="35">
        <f t="shared" si="24"/>
        <v>40</v>
      </c>
      <c r="J288" s="36">
        <f t="shared" si="25"/>
        <v>19.255762519018234</v>
      </c>
      <c r="K288" s="38">
        <f t="shared" si="26"/>
        <v>2007</v>
      </c>
      <c r="M288" s="21">
        <f t="shared" si="27"/>
        <v>3.6888794541139363</v>
      </c>
      <c r="N288" s="21">
        <f t="shared" si="28"/>
        <v>2.9578103675743423</v>
      </c>
    </row>
    <row r="289" spans="1:20" x14ac:dyDescent="0.2">
      <c r="A289" s="33">
        <f>'Upgrade Projects'!$A179</f>
        <v>1107</v>
      </c>
      <c r="B289" s="34" t="s">
        <v>35</v>
      </c>
      <c r="C289" s="35">
        <f>'Upgrade Projects'!$R179</f>
        <v>16</v>
      </c>
      <c r="D289" s="36">
        <f>Greenfield!P$16*(C289^Greenfield!P$15)</f>
        <v>11.836081701141181</v>
      </c>
      <c r="E289" s="37">
        <f>'Upgrade Projects'!$O179</f>
        <v>2010</v>
      </c>
      <c r="F289" s="35">
        <f>'Upgrade Projects'!$S179</f>
        <v>24</v>
      </c>
      <c r="G289" s="36">
        <f>'Upgrade Projects'!$AJ179/10^6</f>
        <v>7.7000094501504579</v>
      </c>
      <c r="H289" s="38">
        <f>'Upgrade Projects'!$W179</f>
        <v>2014</v>
      </c>
      <c r="I289" s="35">
        <f t="shared" si="24"/>
        <v>40</v>
      </c>
      <c r="J289" s="36">
        <f t="shared" si="25"/>
        <v>19.53609115129164</v>
      </c>
      <c r="K289" s="38">
        <f t="shared" si="26"/>
        <v>2014</v>
      </c>
      <c r="M289" s="21">
        <f t="shared" si="27"/>
        <v>3.6888794541139363</v>
      </c>
      <c r="N289" s="21">
        <f t="shared" si="28"/>
        <v>2.9722635831688704</v>
      </c>
    </row>
    <row r="290" spans="1:20" x14ac:dyDescent="0.2">
      <c r="A290" s="33">
        <f>'Upgrade Projects'!$A180</f>
        <v>682</v>
      </c>
      <c r="B290" s="34" t="s">
        <v>35</v>
      </c>
      <c r="C290" s="35">
        <f>'Upgrade Projects'!$R180</f>
        <v>12</v>
      </c>
      <c r="D290" s="36">
        <f>Greenfield!P$16*(C290^Greenfield!P$15)</f>
        <v>10.124485940450056</v>
      </c>
      <c r="E290" s="37">
        <f>'Upgrade Projects'!$O180</f>
        <v>2005</v>
      </c>
      <c r="F290" s="35">
        <f>'Upgrade Projects'!$S180</f>
        <v>18</v>
      </c>
      <c r="G290" s="36">
        <f>'Upgrade Projects'!$AJ180/10^6</f>
        <v>4.2252233548626927</v>
      </c>
      <c r="H290" s="38">
        <f>'Upgrade Projects'!$W180</f>
        <v>2009</v>
      </c>
      <c r="I290" s="35">
        <f t="shared" si="24"/>
        <v>30</v>
      </c>
      <c r="J290" s="36">
        <f t="shared" si="25"/>
        <v>14.349709295312749</v>
      </c>
      <c r="K290" s="38">
        <f t="shared" si="26"/>
        <v>2009</v>
      </c>
      <c r="M290" s="21">
        <f t="shared" ref="M290" si="29">LN(I290)</f>
        <v>3.4011973816621555</v>
      </c>
      <c r="N290" s="21">
        <f t="shared" ref="N290" si="30">LN(J290)</f>
        <v>2.6637296838340716</v>
      </c>
    </row>
    <row r="291" spans="1:20" x14ac:dyDescent="0.2">
      <c r="A291" s="33">
        <f>'Upgrade Projects'!$A181</f>
        <v>677</v>
      </c>
      <c r="B291" s="34" t="s">
        <v>35</v>
      </c>
      <c r="C291" s="35">
        <f>'Upgrade Projects'!$R181</f>
        <v>117</v>
      </c>
      <c r="D291" s="36">
        <f>Greenfield!P$16*(C291^Greenfield!P$15)</f>
        <v>34.861732497857112</v>
      </c>
      <c r="E291" s="37" t="str">
        <f>'Upgrade Projects'!$O181</f>
        <v>unknown</v>
      </c>
      <c r="F291" s="35">
        <f>'Upgrade Projects'!$S181</f>
        <v>0</v>
      </c>
      <c r="G291" s="36">
        <f>'Upgrade Projects'!$AJ181/10^6</f>
        <v>5.9672660834890454</v>
      </c>
      <c r="H291" s="38">
        <f>'Upgrade Projects'!$W181</f>
        <v>2009</v>
      </c>
      <c r="I291" s="35">
        <f t="shared" si="24"/>
        <v>117</v>
      </c>
      <c r="J291" s="36">
        <f t="shared" si="25"/>
        <v>40.828998581346156</v>
      </c>
      <c r="K291" s="38">
        <f t="shared" si="26"/>
        <v>2009</v>
      </c>
      <c r="M291" s="21">
        <f t="shared" ref="M291:M292" si="31">LN(I291)</f>
        <v>4.7621739347977563</v>
      </c>
      <c r="N291" s="21">
        <f t="shared" ref="N291:N292" si="32">LN(J291)</f>
        <v>3.7093925784900756</v>
      </c>
    </row>
    <row r="292" spans="1:20" x14ac:dyDescent="0.2">
      <c r="A292" s="33">
        <f>'Upgrade Projects'!$A182</f>
        <v>643</v>
      </c>
      <c r="B292" s="34" t="s">
        <v>35</v>
      </c>
      <c r="C292" s="35">
        <f>'Upgrade Projects'!$R182</f>
        <v>53.37</v>
      </c>
      <c r="D292" s="36">
        <f>Greenfield!P$16*(C292^Greenfield!P$15)</f>
        <v>22.764854146304373</v>
      </c>
      <c r="E292" s="37" t="str">
        <f>'Upgrade Projects'!$O182</f>
        <v>unknown</v>
      </c>
      <c r="F292" s="35">
        <f>'Upgrade Projects'!$S182</f>
        <v>0.5</v>
      </c>
      <c r="G292" s="36">
        <f>'Upgrade Projects'!$AJ182/10^6</f>
        <v>4.4086715648995529</v>
      </c>
      <c r="H292" s="38">
        <f>'Upgrade Projects'!$W182</f>
        <v>2009</v>
      </c>
      <c r="I292" s="35">
        <f t="shared" si="24"/>
        <v>53.87</v>
      </c>
      <c r="J292" s="36">
        <f t="shared" si="25"/>
        <v>27.173525711203926</v>
      </c>
      <c r="K292" s="38">
        <f t="shared" si="26"/>
        <v>2009</v>
      </c>
      <c r="M292" s="21">
        <f t="shared" si="31"/>
        <v>3.9865737366924425</v>
      </c>
      <c r="N292" s="21">
        <f t="shared" si="32"/>
        <v>3.3022431798779697</v>
      </c>
    </row>
    <row r="294" spans="1:20" s="9" customFormat="1" x14ac:dyDescent="0.2">
      <c r="A294" s="26" t="s">
        <v>29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36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  <row r="297" spans="1:20" x14ac:dyDescent="0.2">
      <c r="F297" s="9">
        <f>COUNTIF(F118:F292,0)</f>
        <v>21</v>
      </c>
    </row>
  </sheetData>
  <pageMargins left="0.5" right="0.5" top="1" bottom="0.75" header="0.5" footer="0.5"/>
  <pageSetup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8" activePane="bottomLeft" state="frozen"/>
      <selection activeCell="F41" sqref="F41"/>
      <selection pane="bottomLeft" activeCell="A8" sqref="A8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54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G - Point of Delivery Cost Function Workbook</v>
      </c>
    </row>
    <row r="4" spans="1:20" s="1" customFormat="1" x14ac:dyDescent="0.2">
      <c r="A4" s="1" t="s">
        <v>970</v>
      </c>
      <c r="B4" s="42"/>
    </row>
    <row r="5" spans="1:20" s="1" customFormat="1" x14ac:dyDescent="0.2">
      <c r="A5" s="43" t="str">
        <f>TableDate</f>
        <v>August 17, 2018</v>
      </c>
      <c r="B5" s="44"/>
    </row>
    <row r="6" spans="1:20" x14ac:dyDescent="0.2">
      <c r="E6" s="28"/>
    </row>
    <row r="7" spans="1:20" ht="25.5" x14ac:dyDescent="0.2">
      <c r="A7" s="10" t="s">
        <v>0</v>
      </c>
      <c r="B7" s="11" t="s">
        <v>7</v>
      </c>
      <c r="C7" s="12" t="s">
        <v>8</v>
      </c>
      <c r="D7" s="13" t="s">
        <v>30</v>
      </c>
      <c r="E7" s="14" t="s">
        <v>10</v>
      </c>
      <c r="F7" s="12" t="s">
        <v>11</v>
      </c>
      <c r="G7" s="13" t="s">
        <v>12</v>
      </c>
      <c r="H7" s="14" t="s">
        <v>13</v>
      </c>
      <c r="I7" s="12" t="s">
        <v>2</v>
      </c>
      <c r="J7" s="13" t="s">
        <v>14</v>
      </c>
      <c r="K7" s="14" t="s">
        <v>15</v>
      </c>
      <c r="M7" s="11" t="s">
        <v>16</v>
      </c>
      <c r="N7" s="11" t="s">
        <v>17</v>
      </c>
      <c r="P7" s="41" t="s">
        <v>53</v>
      </c>
      <c r="Q7" s="15"/>
      <c r="T7" s="3"/>
    </row>
    <row r="8" spans="1:20" x14ac:dyDescent="0.2">
      <c r="A8" s="25">
        <f>'GF + UG Iteration 1'!A8</f>
        <v>476</v>
      </c>
      <c r="B8" s="25" t="str">
        <f>'GF + UG Iteration 1'!B8</f>
        <v>GF</v>
      </c>
      <c r="C8" s="18">
        <f>'GF + UG Iteration 1'!C8</f>
        <v>14</v>
      </c>
      <c r="D8" s="19">
        <f>'GF + UG Iteration 1'!D8</f>
        <v>16.861812370959647</v>
      </c>
      <c r="E8" s="30">
        <f>'GF + UG Iteration 1'!E8</f>
        <v>2003</v>
      </c>
      <c r="F8" s="18"/>
      <c r="G8" s="19"/>
      <c r="H8" s="20"/>
      <c r="I8" s="18">
        <f>C8+F8</f>
        <v>14</v>
      </c>
      <c r="J8" s="19">
        <f>D8+G8</f>
        <v>16.861812370959647</v>
      </c>
      <c r="K8" s="20">
        <f>MAX(E8,H8)</f>
        <v>2003</v>
      </c>
      <c r="M8" s="21">
        <f>LN(I8)</f>
        <v>2.6390573296152584</v>
      </c>
      <c r="N8" s="21">
        <f>LN(J8)</f>
        <v>2.8250514421084625</v>
      </c>
      <c r="O8" s="3" t="s">
        <v>19</v>
      </c>
      <c r="P8" s="22">
        <f t="array" ref="P8:Q12">LINEST(N8:N292,M8:M292,TRUE,TRUE)</f>
        <v>0.5571026532270773</v>
      </c>
      <c r="Q8" s="22">
        <v>0.9733409249425351</v>
      </c>
      <c r="R8" s="5" t="s">
        <v>20</v>
      </c>
    </row>
    <row r="9" spans="1:20" x14ac:dyDescent="0.2">
      <c r="A9" s="25">
        <f>'GF + UG Iteration 1'!A9</f>
        <v>478</v>
      </c>
      <c r="B9" s="25" t="str">
        <f>'GF + UG Iteration 1'!B9</f>
        <v>GF</v>
      </c>
      <c r="C9" s="18">
        <f>'GF + UG Iteration 1'!C9</f>
        <v>8.5</v>
      </c>
      <c r="D9" s="19">
        <f>'GF + UG Iteration 1'!D9</f>
        <v>6.0182252638842719</v>
      </c>
      <c r="E9" s="30">
        <f>'GF + UG Iteration 1'!E9</f>
        <v>2003</v>
      </c>
      <c r="F9" s="18"/>
      <c r="G9" s="19"/>
      <c r="H9" s="20"/>
      <c r="I9" s="18">
        <f t="shared" ref="I9:I71" si="0">C9+F9</f>
        <v>8.5</v>
      </c>
      <c r="J9" s="19">
        <f t="shared" ref="J9:J71" si="1">D9+G9</f>
        <v>6.0182252638842719</v>
      </c>
      <c r="K9" s="20">
        <f t="shared" ref="K9:K71" si="2">MAX(E9,H9)</f>
        <v>2003</v>
      </c>
      <c r="M9" s="21">
        <f t="shared" ref="M9:M71" si="3">LN(I9)</f>
        <v>2.1400661634962708</v>
      </c>
      <c r="N9" s="21">
        <f t="shared" ref="N9:N71" si="4">LN(J9)</f>
        <v>1.7947924091929603</v>
      </c>
      <c r="O9" s="3" t="s">
        <v>21</v>
      </c>
      <c r="P9" s="22">
        <v>3.1961130051549429E-2</v>
      </c>
      <c r="Q9" s="22">
        <v>0.1019150646024357</v>
      </c>
      <c r="R9" s="5" t="s">
        <v>22</v>
      </c>
    </row>
    <row r="10" spans="1:20" x14ac:dyDescent="0.2">
      <c r="A10" s="25">
        <f>'GF + UG Iteration 1'!A10</f>
        <v>473</v>
      </c>
      <c r="B10" s="25" t="str">
        <f>'GF + UG Iteration 1'!B10</f>
        <v>GF</v>
      </c>
      <c r="C10" s="18">
        <f>'GF + UG Iteration 1'!C10</f>
        <v>30</v>
      </c>
      <c r="D10" s="19">
        <f>'GF + UG Iteration 1'!D10</f>
        <v>14.998991377977235</v>
      </c>
      <c r="E10" s="30">
        <f>'GF + UG Iteration 1'!E10</f>
        <v>2003</v>
      </c>
      <c r="F10" s="18"/>
      <c r="G10" s="19"/>
      <c r="H10" s="20"/>
      <c r="I10" s="18">
        <f t="shared" si="0"/>
        <v>30</v>
      </c>
      <c r="J10" s="19">
        <f t="shared" si="1"/>
        <v>14.998991377977235</v>
      </c>
      <c r="K10" s="20">
        <f t="shared" si="2"/>
        <v>2003</v>
      </c>
      <c r="M10" s="21">
        <f t="shared" si="3"/>
        <v>3.4011973816621555</v>
      </c>
      <c r="N10" s="21">
        <f t="shared" si="4"/>
        <v>2.707982957373217</v>
      </c>
      <c r="O10" s="3" t="s">
        <v>1</v>
      </c>
      <c r="P10" s="22">
        <v>0.51774533984676785</v>
      </c>
      <c r="Q10" s="22">
        <v>0.39152939501629069</v>
      </c>
      <c r="R10" s="5" t="s">
        <v>23</v>
      </c>
    </row>
    <row r="11" spans="1:20" x14ac:dyDescent="0.2">
      <c r="A11" s="25">
        <f>'GF + UG Iteration 1'!A11</f>
        <v>1042</v>
      </c>
      <c r="B11" s="25" t="str">
        <f>'GF + UG Iteration 1'!B11</f>
        <v>GF</v>
      </c>
      <c r="C11" s="18">
        <f>'GF + UG Iteration 1'!C11</f>
        <v>13</v>
      </c>
      <c r="D11" s="19">
        <f>'GF + UG Iteration 1'!D11</f>
        <v>11.164764224012115</v>
      </c>
      <c r="E11" s="30">
        <f>'GF + UG Iteration 1'!E11</f>
        <v>2011</v>
      </c>
      <c r="F11" s="18"/>
      <c r="G11" s="19"/>
      <c r="H11" s="20"/>
      <c r="I11" s="18">
        <f t="shared" si="0"/>
        <v>13</v>
      </c>
      <c r="J11" s="19">
        <f t="shared" si="1"/>
        <v>11.164764224012115</v>
      </c>
      <c r="K11" s="20">
        <f t="shared" si="2"/>
        <v>2011</v>
      </c>
      <c r="M11" s="21">
        <f t="shared" si="3"/>
        <v>2.5649493574615367</v>
      </c>
      <c r="N11" s="21">
        <f t="shared" si="4"/>
        <v>2.4127627676497201</v>
      </c>
      <c r="O11" s="3" t="s">
        <v>24</v>
      </c>
      <c r="P11" s="22">
        <v>303.8268850114984</v>
      </c>
      <c r="Q11" s="22">
        <v>283</v>
      </c>
      <c r="R11" s="5" t="s">
        <v>25</v>
      </c>
    </row>
    <row r="12" spans="1:20" x14ac:dyDescent="0.2">
      <c r="A12" s="25">
        <f>'GF + UG Iteration 1'!A12</f>
        <v>443</v>
      </c>
      <c r="B12" s="25" t="str">
        <f>'GF + UG Iteration 1'!B12</f>
        <v>GF</v>
      </c>
      <c r="C12" s="18">
        <f>'GF + UG Iteration 1'!C12</f>
        <v>24.3</v>
      </c>
      <c r="D12" s="19">
        <f>'GF + UG Iteration 1'!D12</f>
        <v>11.705577131494863</v>
      </c>
      <c r="E12" s="30">
        <f>'GF + UG Iteration 1'!E12</f>
        <v>2006</v>
      </c>
      <c r="F12" s="18"/>
      <c r="G12" s="19"/>
      <c r="H12" s="20"/>
      <c r="I12" s="18">
        <f t="shared" si="0"/>
        <v>24.3</v>
      </c>
      <c r="J12" s="19">
        <f t="shared" si="1"/>
        <v>11.705577131494863</v>
      </c>
      <c r="K12" s="20">
        <f t="shared" si="2"/>
        <v>2006</v>
      </c>
      <c r="M12" s="21">
        <f t="shared" si="3"/>
        <v>3.1904763503465028</v>
      </c>
      <c r="N12" s="21">
        <f t="shared" si="4"/>
        <v>2.4600654061344325</v>
      </c>
      <c r="O12" s="3" t="s">
        <v>26</v>
      </c>
      <c r="P12" s="22">
        <v>46.575223508782003</v>
      </c>
      <c r="Q12" s="22">
        <v>43.382560606795792</v>
      </c>
      <c r="R12" s="5" t="s">
        <v>27</v>
      </c>
    </row>
    <row r="13" spans="1:20" x14ac:dyDescent="0.2">
      <c r="A13" s="25">
        <f>'GF + UG Iteration 1'!A13</f>
        <v>1195</v>
      </c>
      <c r="B13" s="25" t="str">
        <f>'GF + UG Iteration 1'!B13</f>
        <v>GF</v>
      </c>
      <c r="C13" s="18">
        <f>'GF + UG Iteration 1'!C13</f>
        <v>18</v>
      </c>
      <c r="D13" s="19">
        <f>'GF + UG Iteration 1'!D13</f>
        <v>31.659927445331629</v>
      </c>
      <c r="E13" s="30">
        <f>'GF + UG Iteration 1'!E13</f>
        <v>2011</v>
      </c>
      <c r="F13" s="18"/>
      <c r="G13" s="19"/>
      <c r="H13" s="20"/>
      <c r="I13" s="18">
        <f t="shared" si="0"/>
        <v>18</v>
      </c>
      <c r="J13" s="19">
        <f t="shared" si="1"/>
        <v>31.659927445331629</v>
      </c>
      <c r="K13" s="20">
        <f t="shared" si="2"/>
        <v>2011</v>
      </c>
      <c r="M13" s="21">
        <f t="shared" si="3"/>
        <v>2.8903717578961645</v>
      </c>
      <c r="N13" s="21">
        <f t="shared" si="4"/>
        <v>3.4550517627677269</v>
      </c>
    </row>
    <row r="14" spans="1:20" x14ac:dyDescent="0.2">
      <c r="A14" s="25">
        <f>'GF + UG Iteration 1'!A14</f>
        <v>420</v>
      </c>
      <c r="B14" s="25" t="str">
        <f>'GF + UG Iteration 1'!B14</f>
        <v>GF</v>
      </c>
      <c r="C14" s="18">
        <f>'GF + UG Iteration 1'!C14</f>
        <v>6</v>
      </c>
      <c r="D14" s="19">
        <f>'GF + UG Iteration 1'!D14</f>
        <v>9.6396451057157435</v>
      </c>
      <c r="E14" s="30">
        <f>'GF + UG Iteration 1'!E14</f>
        <v>2007</v>
      </c>
      <c r="F14" s="18"/>
      <c r="G14" s="19"/>
      <c r="H14" s="20"/>
      <c r="I14" s="18">
        <f t="shared" si="0"/>
        <v>6</v>
      </c>
      <c r="J14" s="19">
        <f t="shared" si="1"/>
        <v>9.6396451057157435</v>
      </c>
      <c r="K14" s="20">
        <f t="shared" si="2"/>
        <v>2007</v>
      </c>
      <c r="M14" s="21">
        <f t="shared" si="3"/>
        <v>1.791759469228055</v>
      </c>
      <c r="N14" s="21">
        <f t="shared" si="4"/>
        <v>2.2658842931849965</v>
      </c>
      <c r="P14" s="15" t="s">
        <v>6</v>
      </c>
      <c r="Q14" s="15"/>
    </row>
    <row r="15" spans="1:20" x14ac:dyDescent="0.2">
      <c r="A15" s="25">
        <f>'GF + UG Iteration 1'!A15</f>
        <v>440</v>
      </c>
      <c r="B15" s="25" t="str">
        <f>'GF + UG Iteration 1'!B15</f>
        <v>GF</v>
      </c>
      <c r="C15" s="18">
        <f>'GF + UG Iteration 1'!C15</f>
        <v>10</v>
      </c>
      <c r="D15" s="19">
        <f>'GF + UG Iteration 1'!D15</f>
        <v>16.009559216092757</v>
      </c>
      <c r="E15" s="30">
        <f>'GF + UG Iteration 1'!E15</f>
        <v>2006</v>
      </c>
      <c r="F15" s="18"/>
      <c r="G15" s="19"/>
      <c r="H15" s="20"/>
      <c r="I15" s="18">
        <f t="shared" si="0"/>
        <v>10</v>
      </c>
      <c r="J15" s="19">
        <f t="shared" si="1"/>
        <v>16.009559216092757</v>
      </c>
      <c r="K15" s="20">
        <f t="shared" si="2"/>
        <v>2006</v>
      </c>
      <c r="M15" s="21">
        <f t="shared" si="3"/>
        <v>2.3025850929940459</v>
      </c>
      <c r="N15" s="21">
        <f t="shared" si="4"/>
        <v>2.7731859948427808</v>
      </c>
      <c r="O15" s="3" t="s">
        <v>19</v>
      </c>
      <c r="P15" s="23">
        <f>P8</f>
        <v>0.5571026532270773</v>
      </c>
      <c r="Q15" s="31">
        <f>(P15-'GF + UG Iteration 1'!P15)/'GF + UG Iteration 1'!P15</f>
        <v>1.6534104720982313E-2</v>
      </c>
      <c r="R15" s="32" t="s">
        <v>31</v>
      </c>
    </row>
    <row r="16" spans="1:20" x14ac:dyDescent="0.2">
      <c r="A16" s="25">
        <f>'GF + UG Iteration 1'!A16</f>
        <v>1102</v>
      </c>
      <c r="B16" s="25" t="str">
        <f>'GF + UG Iteration 1'!B16</f>
        <v>GF</v>
      </c>
      <c r="C16" s="18">
        <f>'GF + UG Iteration 1'!C16</f>
        <v>20</v>
      </c>
      <c r="D16" s="19">
        <f>'GF + UG Iteration 1'!D16</f>
        <v>16.293644713264708</v>
      </c>
      <c r="E16" s="30">
        <f>'GF + UG Iteration 1'!E16</f>
        <v>2011</v>
      </c>
      <c r="F16" s="18"/>
      <c r="G16" s="19"/>
      <c r="H16" s="20"/>
      <c r="I16" s="18">
        <f t="shared" si="0"/>
        <v>20</v>
      </c>
      <c r="J16" s="19">
        <f t="shared" si="1"/>
        <v>16.293644713264708</v>
      </c>
      <c r="K16" s="20">
        <f t="shared" si="2"/>
        <v>2011</v>
      </c>
      <c r="M16" s="21">
        <f t="shared" si="3"/>
        <v>2.9957322735539909</v>
      </c>
      <c r="N16" s="21">
        <f t="shared" si="4"/>
        <v>2.7907751368922047</v>
      </c>
      <c r="O16" s="3" t="s">
        <v>28</v>
      </c>
      <c r="P16" s="23">
        <f>EXP(Q8)</f>
        <v>2.6467723722814092</v>
      </c>
      <c r="Q16" s="31">
        <f>(P16-'GF + UG Iteration 1'!P16)/'GF + UG Iteration 1'!P16</f>
        <v>-1.1541372624471609E-2</v>
      </c>
      <c r="R16" s="32" t="s">
        <v>32</v>
      </c>
    </row>
    <row r="17" spans="1:18" x14ac:dyDescent="0.2">
      <c r="A17" s="25">
        <f>'GF + UG Iteration 1'!A17</f>
        <v>324</v>
      </c>
      <c r="B17" s="25" t="str">
        <f>'GF + UG Iteration 1'!B17</f>
        <v>GF</v>
      </c>
      <c r="C17" s="18">
        <f>'GF + UG Iteration 1'!C17</f>
        <v>17.2</v>
      </c>
      <c r="D17" s="19">
        <f>'GF + UG Iteration 1'!D17</f>
        <v>8.9094125785416409</v>
      </c>
      <c r="E17" s="30">
        <f>'GF + UG Iteration 1'!E17</f>
        <v>2003</v>
      </c>
      <c r="F17" s="18"/>
      <c r="G17" s="19"/>
      <c r="H17" s="20"/>
      <c r="I17" s="18">
        <f t="shared" si="0"/>
        <v>17.2</v>
      </c>
      <c r="J17" s="19">
        <f t="shared" si="1"/>
        <v>8.9094125785416409</v>
      </c>
      <c r="K17" s="20">
        <f t="shared" si="2"/>
        <v>2003</v>
      </c>
      <c r="M17" s="21">
        <f t="shared" si="3"/>
        <v>2.8449093838194073</v>
      </c>
      <c r="N17" s="21">
        <f t="shared" si="4"/>
        <v>2.1871083109750784</v>
      </c>
      <c r="O17" s="3"/>
      <c r="P17" s="24"/>
      <c r="R17" s="32" t="s">
        <v>33</v>
      </c>
    </row>
    <row r="18" spans="1:18" x14ac:dyDescent="0.2">
      <c r="A18" s="25">
        <f>'GF + UG Iteration 1'!A18</f>
        <v>1103</v>
      </c>
      <c r="B18" s="25" t="str">
        <f>'GF + UG Iteration 1'!B18</f>
        <v>GF</v>
      </c>
      <c r="C18" s="18">
        <f>'GF + UG Iteration 1'!C18</f>
        <v>20</v>
      </c>
      <c r="D18" s="19">
        <f>'GF + UG Iteration 1'!D18</f>
        <v>17.299482978955592</v>
      </c>
      <c r="E18" s="30">
        <f>'GF + UG Iteration 1'!E18</f>
        <v>2011</v>
      </c>
      <c r="F18" s="18"/>
      <c r="G18" s="19"/>
      <c r="H18" s="20"/>
      <c r="I18" s="18">
        <f t="shared" si="0"/>
        <v>20</v>
      </c>
      <c r="J18" s="19">
        <f t="shared" si="1"/>
        <v>17.299482978955592</v>
      </c>
      <c r="K18" s="20">
        <f t="shared" si="2"/>
        <v>2011</v>
      </c>
      <c r="M18" s="21">
        <f t="shared" si="3"/>
        <v>2.9957322735539909</v>
      </c>
      <c r="N18" s="21">
        <f t="shared" si="4"/>
        <v>2.8506766154476462</v>
      </c>
      <c r="P18"/>
      <c r="Q18"/>
      <c r="R18" s="32" t="s">
        <v>34</v>
      </c>
    </row>
    <row r="19" spans="1:18" x14ac:dyDescent="0.2">
      <c r="A19" s="25">
        <f>'GF + UG Iteration 1'!A19</f>
        <v>386</v>
      </c>
      <c r="B19" s="25" t="str">
        <f>'GF + UG Iteration 1'!B19</f>
        <v>GF</v>
      </c>
      <c r="C19" s="18">
        <f>'GF + UG Iteration 1'!C19</f>
        <v>9</v>
      </c>
      <c r="D19" s="19">
        <f>'GF + UG Iteration 1'!D19</f>
        <v>9.9511250787738224</v>
      </c>
      <c r="E19" s="30">
        <f>'GF + UG Iteration 1'!E19</f>
        <v>2003</v>
      </c>
      <c r="F19" s="18"/>
      <c r="G19" s="19"/>
      <c r="H19" s="20"/>
      <c r="I19" s="18">
        <f t="shared" si="0"/>
        <v>9</v>
      </c>
      <c r="J19" s="19">
        <f t="shared" si="1"/>
        <v>9.9511250787738224</v>
      </c>
      <c r="K19" s="20">
        <f t="shared" si="2"/>
        <v>2003</v>
      </c>
      <c r="M19" s="21">
        <f t="shared" si="3"/>
        <v>2.1972245773362196</v>
      </c>
      <c r="N19" s="21">
        <f t="shared" si="4"/>
        <v>2.2976856180218044</v>
      </c>
      <c r="P19"/>
      <c r="Q19"/>
    </row>
    <row r="20" spans="1:18" x14ac:dyDescent="0.2">
      <c r="A20" s="25">
        <f>'GF + UG Iteration 1'!A20</f>
        <v>80</v>
      </c>
      <c r="B20" s="25" t="str">
        <f>'GF + UG Iteration 1'!B20</f>
        <v>GF</v>
      </c>
      <c r="C20" s="18">
        <f>'GF + UG Iteration 1'!C20</f>
        <v>8</v>
      </c>
      <c r="D20" s="19">
        <f>'GF + UG Iteration 1'!D20</f>
        <v>6.0754029342110369</v>
      </c>
      <c r="E20" s="30">
        <f>'GF + UG Iteration 1'!E20</f>
        <v>2001</v>
      </c>
      <c r="F20" s="18"/>
      <c r="G20" s="19"/>
      <c r="H20" s="20"/>
      <c r="I20" s="18">
        <f t="shared" si="0"/>
        <v>8</v>
      </c>
      <c r="J20" s="19">
        <f t="shared" si="1"/>
        <v>6.0754029342110369</v>
      </c>
      <c r="K20" s="20">
        <f t="shared" si="2"/>
        <v>2001</v>
      </c>
      <c r="M20" s="21">
        <f t="shared" si="3"/>
        <v>2.0794415416798357</v>
      </c>
      <c r="N20" s="21">
        <f t="shared" si="4"/>
        <v>1.8042483136462</v>
      </c>
      <c r="P20"/>
      <c r="Q20"/>
    </row>
    <row r="21" spans="1:18" x14ac:dyDescent="0.2">
      <c r="A21" s="25">
        <f>'GF + UG Iteration 1'!A21</f>
        <v>1052</v>
      </c>
      <c r="B21" s="25" t="str">
        <f>'GF + UG Iteration 1'!B21</f>
        <v>GF</v>
      </c>
      <c r="C21" s="18">
        <f>'GF + UG Iteration 1'!C21</f>
        <v>13.6</v>
      </c>
      <c r="D21" s="19">
        <f>'GF + UG Iteration 1'!D21</f>
        <v>10.90270245998838</v>
      </c>
      <c r="E21" s="30">
        <f>'GF + UG Iteration 1'!E21</f>
        <v>2011</v>
      </c>
      <c r="F21" s="18"/>
      <c r="G21" s="19"/>
      <c r="H21" s="20"/>
      <c r="I21" s="18">
        <f t="shared" si="0"/>
        <v>13.6</v>
      </c>
      <c r="J21" s="19">
        <f t="shared" si="1"/>
        <v>10.90270245998838</v>
      </c>
      <c r="K21" s="20">
        <f t="shared" si="2"/>
        <v>2011</v>
      </c>
      <c r="M21" s="21">
        <f t="shared" si="3"/>
        <v>2.6100697927420065</v>
      </c>
      <c r="N21" s="21">
        <f t="shared" si="4"/>
        <v>2.3890106906140374</v>
      </c>
      <c r="P21"/>
      <c r="Q21"/>
    </row>
    <row r="22" spans="1:18" x14ac:dyDescent="0.2">
      <c r="A22" s="25">
        <f>'GF + UG Iteration 1'!A22</f>
        <v>347</v>
      </c>
      <c r="B22" s="25" t="str">
        <f>'GF + UG Iteration 1'!B22</f>
        <v>GF</v>
      </c>
      <c r="C22" s="18">
        <f>'GF + UG Iteration 1'!C22</f>
        <v>10.548</v>
      </c>
      <c r="D22" s="19">
        <f>'GF + UG Iteration 1'!D22</f>
        <v>9.3004925979781259</v>
      </c>
      <c r="E22" s="30">
        <f>'GF + UG Iteration 1'!E22</f>
        <v>2003</v>
      </c>
      <c r="F22" s="18"/>
      <c r="G22" s="19"/>
      <c r="H22" s="20"/>
      <c r="I22" s="18">
        <f t="shared" si="0"/>
        <v>10.548</v>
      </c>
      <c r="J22" s="19">
        <f t="shared" si="1"/>
        <v>9.3004925979781259</v>
      </c>
      <c r="K22" s="20">
        <f t="shared" si="2"/>
        <v>2003</v>
      </c>
      <c r="M22" s="21">
        <f t="shared" si="3"/>
        <v>2.3559362684910403</v>
      </c>
      <c r="N22" s="21">
        <f t="shared" si="4"/>
        <v>2.23006736628101</v>
      </c>
    </row>
    <row r="23" spans="1:18" x14ac:dyDescent="0.2">
      <c r="A23" s="25">
        <f>'GF + UG Iteration 1'!A23</f>
        <v>1358</v>
      </c>
      <c r="B23" s="25" t="str">
        <f>'GF + UG Iteration 1'!B23</f>
        <v>GF</v>
      </c>
      <c r="C23" s="18">
        <f>'GF + UG Iteration 1'!C23</f>
        <v>27</v>
      </c>
      <c r="D23" s="19">
        <f>'GF + UG Iteration 1'!D23</f>
        <v>13.07265503282744</v>
      </c>
      <c r="E23" s="30">
        <f>'GF + UG Iteration 1'!E23</f>
        <v>2011</v>
      </c>
      <c r="F23" s="18"/>
      <c r="G23" s="19"/>
      <c r="H23" s="20"/>
      <c r="I23" s="18">
        <f t="shared" si="0"/>
        <v>27</v>
      </c>
      <c r="J23" s="19">
        <f t="shared" si="1"/>
        <v>13.07265503282744</v>
      </c>
      <c r="K23" s="20">
        <f t="shared" si="2"/>
        <v>2011</v>
      </c>
      <c r="M23" s="21">
        <f t="shared" si="3"/>
        <v>3.2958368660043291</v>
      </c>
      <c r="N23" s="21">
        <f t="shared" si="4"/>
        <v>2.5705226464726247</v>
      </c>
    </row>
    <row r="24" spans="1:18" x14ac:dyDescent="0.2">
      <c r="A24" s="25">
        <f>'GF + UG Iteration 1'!A24</f>
        <v>584</v>
      </c>
      <c r="B24" s="25" t="str">
        <f>'GF + UG Iteration 1'!B24</f>
        <v>GF</v>
      </c>
      <c r="C24" s="18">
        <f>'GF + UG Iteration 1'!C24</f>
        <v>28</v>
      </c>
      <c r="D24" s="19">
        <f>'GF + UG Iteration 1'!D24</f>
        <v>34.903749706800433</v>
      </c>
      <c r="E24" s="30">
        <f>'GF + UG Iteration 1'!E24</f>
        <v>2011</v>
      </c>
      <c r="F24" s="18"/>
      <c r="G24" s="19"/>
      <c r="H24" s="20"/>
      <c r="I24" s="18">
        <f t="shared" si="0"/>
        <v>28</v>
      </c>
      <c r="J24" s="19">
        <f t="shared" si="1"/>
        <v>34.903749706800433</v>
      </c>
      <c r="K24" s="20">
        <f t="shared" si="2"/>
        <v>2011</v>
      </c>
      <c r="M24" s="21">
        <f t="shared" si="3"/>
        <v>3.3322045101752038</v>
      </c>
      <c r="N24" s="21">
        <f t="shared" si="4"/>
        <v>3.5525942648925612</v>
      </c>
    </row>
    <row r="25" spans="1:18" x14ac:dyDescent="0.2">
      <c r="A25" s="25">
        <f>'GF + UG Iteration 1'!A25</f>
        <v>422</v>
      </c>
      <c r="B25" s="25" t="str">
        <f>'GF + UG Iteration 1'!B25</f>
        <v>GF</v>
      </c>
      <c r="C25" s="18">
        <f>'GF + UG Iteration 1'!C25</f>
        <v>24</v>
      </c>
      <c r="D25" s="19">
        <f>'GF + UG Iteration 1'!D25</f>
        <v>13.650794587226329</v>
      </c>
      <c r="E25" s="30">
        <f>'GF + UG Iteration 1'!E25</f>
        <v>2003</v>
      </c>
      <c r="F25" s="18"/>
      <c r="G25" s="19"/>
      <c r="H25" s="20"/>
      <c r="I25" s="18">
        <f t="shared" si="0"/>
        <v>24</v>
      </c>
      <c r="J25" s="19">
        <f t="shared" si="1"/>
        <v>13.650794587226329</v>
      </c>
      <c r="K25" s="20">
        <f t="shared" si="2"/>
        <v>2003</v>
      </c>
      <c r="M25" s="21">
        <f t="shared" si="3"/>
        <v>3.1780538303479458</v>
      </c>
      <c r="N25" s="21">
        <f t="shared" si="4"/>
        <v>2.6137977314551564</v>
      </c>
    </row>
    <row r="26" spans="1:18" x14ac:dyDescent="0.2">
      <c r="A26" s="25">
        <f>'GF + UG Iteration 1'!A26</f>
        <v>944</v>
      </c>
      <c r="B26" s="25" t="str">
        <f>'GF + UG Iteration 1'!B26</f>
        <v>GF</v>
      </c>
      <c r="C26" s="18">
        <f>'GF + UG Iteration 1'!C26</f>
        <v>43</v>
      </c>
      <c r="D26" s="19">
        <f>'GF + UG Iteration 1'!D26</f>
        <v>26.816090615909914</v>
      </c>
      <c r="E26" s="30">
        <f>'GF + UG Iteration 1'!E26</f>
        <v>2010</v>
      </c>
      <c r="F26" s="18"/>
      <c r="G26" s="19"/>
      <c r="H26" s="20"/>
      <c r="I26" s="18">
        <f t="shared" si="0"/>
        <v>43</v>
      </c>
      <c r="J26" s="19">
        <f t="shared" si="1"/>
        <v>26.816090615909914</v>
      </c>
      <c r="K26" s="20">
        <f t="shared" si="2"/>
        <v>2010</v>
      </c>
      <c r="M26" s="21">
        <f t="shared" si="3"/>
        <v>3.7612001156935624</v>
      </c>
      <c r="N26" s="21">
        <f t="shared" si="4"/>
        <v>3.2890021034672148</v>
      </c>
    </row>
    <row r="27" spans="1:18" x14ac:dyDescent="0.2">
      <c r="A27" s="25">
        <f>'GF + UG Iteration 1'!A27</f>
        <v>387</v>
      </c>
      <c r="B27" s="25" t="str">
        <f>'GF + UG Iteration 1'!B27</f>
        <v>GF</v>
      </c>
      <c r="C27" s="18">
        <f>'GF + UG Iteration 1'!C27</f>
        <v>7.5</v>
      </c>
      <c r="D27" s="19">
        <f>'GF + UG Iteration 1'!D27</f>
        <v>9.5130592102135658</v>
      </c>
      <c r="E27" s="30">
        <f>'GF + UG Iteration 1'!E27</f>
        <v>2003</v>
      </c>
      <c r="F27" s="18"/>
      <c r="G27" s="19"/>
      <c r="H27" s="20"/>
      <c r="I27" s="18">
        <f t="shared" si="0"/>
        <v>7.5</v>
      </c>
      <c r="J27" s="19">
        <f t="shared" si="1"/>
        <v>9.5130592102135658</v>
      </c>
      <c r="K27" s="20">
        <f t="shared" si="2"/>
        <v>2003</v>
      </c>
      <c r="M27" s="21">
        <f t="shared" si="3"/>
        <v>2.0149030205422647</v>
      </c>
      <c r="N27" s="21">
        <f t="shared" si="4"/>
        <v>2.2526655083417699</v>
      </c>
    </row>
    <row r="28" spans="1:18" x14ac:dyDescent="0.2">
      <c r="A28" s="25">
        <f>'GF + UG Iteration 1'!A28</f>
        <v>587</v>
      </c>
      <c r="B28" s="25" t="str">
        <f>'GF + UG Iteration 1'!B28</f>
        <v>GF</v>
      </c>
      <c r="C28" s="18">
        <f>'GF + UG Iteration 1'!C28</f>
        <v>17.8</v>
      </c>
      <c r="D28" s="19">
        <f>'GF + UG Iteration 1'!D28</f>
        <v>13.152201549137706</v>
      </c>
      <c r="E28" s="30">
        <f>'GF + UG Iteration 1'!E28</f>
        <v>2006</v>
      </c>
      <c r="F28" s="18"/>
      <c r="G28" s="19"/>
      <c r="H28" s="20"/>
      <c r="I28" s="18">
        <f t="shared" si="0"/>
        <v>17.8</v>
      </c>
      <c r="J28" s="19">
        <f t="shared" si="1"/>
        <v>13.152201549137706</v>
      </c>
      <c r="K28" s="20">
        <f t="shared" si="2"/>
        <v>2006</v>
      </c>
      <c r="M28" s="21">
        <f t="shared" si="3"/>
        <v>2.8791984572980396</v>
      </c>
      <c r="N28" s="21">
        <f t="shared" si="4"/>
        <v>2.57658916279629</v>
      </c>
    </row>
    <row r="29" spans="1:18" x14ac:dyDescent="0.2">
      <c r="A29" s="25">
        <f>'GF + UG Iteration 1'!A29</f>
        <v>585</v>
      </c>
      <c r="B29" s="25" t="str">
        <f>'GF + UG Iteration 1'!B29</f>
        <v>GF</v>
      </c>
      <c r="C29" s="18">
        <f>'GF + UG Iteration 1'!C29</f>
        <v>20.6</v>
      </c>
      <c r="D29" s="19">
        <f>'GF + UG Iteration 1'!D29</f>
        <v>11.291169205189183</v>
      </c>
      <c r="E29" s="30">
        <f>'GF + UG Iteration 1'!E29</f>
        <v>2007</v>
      </c>
      <c r="F29" s="18"/>
      <c r="G29" s="19"/>
      <c r="H29" s="20"/>
      <c r="I29" s="18">
        <f t="shared" si="0"/>
        <v>20.6</v>
      </c>
      <c r="J29" s="19">
        <f t="shared" si="1"/>
        <v>11.291169205189183</v>
      </c>
      <c r="K29" s="20">
        <f t="shared" si="2"/>
        <v>2007</v>
      </c>
      <c r="M29" s="21">
        <f t="shared" si="3"/>
        <v>3.0252910757955354</v>
      </c>
      <c r="N29" s="21">
        <f t="shared" si="4"/>
        <v>2.4240209339322751</v>
      </c>
    </row>
    <row r="30" spans="1:18" x14ac:dyDescent="0.2">
      <c r="A30" s="25">
        <f>'GF + UG Iteration 1'!A30</f>
        <v>831</v>
      </c>
      <c r="B30" s="25" t="str">
        <f>'GF + UG Iteration 1'!B30</f>
        <v>GF</v>
      </c>
      <c r="C30" s="18">
        <f>'GF + UG Iteration 1'!C30</f>
        <v>19.600000000000001</v>
      </c>
      <c r="D30" s="19">
        <f>'GF + UG Iteration 1'!D30</f>
        <v>20.965601428070691</v>
      </c>
      <c r="E30" s="30">
        <f>'GF + UG Iteration 1'!E30</f>
        <v>2011</v>
      </c>
      <c r="F30" s="18"/>
      <c r="G30" s="19"/>
      <c r="H30" s="20"/>
      <c r="I30" s="18">
        <f t="shared" si="0"/>
        <v>19.600000000000001</v>
      </c>
      <c r="J30" s="19">
        <f t="shared" si="1"/>
        <v>20.965601428070691</v>
      </c>
      <c r="K30" s="20">
        <f t="shared" si="2"/>
        <v>2011</v>
      </c>
      <c r="M30" s="21">
        <f t="shared" si="3"/>
        <v>2.9755295662364718</v>
      </c>
      <c r="N30" s="21">
        <f t="shared" si="4"/>
        <v>3.042883067455266</v>
      </c>
    </row>
    <row r="31" spans="1:18" x14ac:dyDescent="0.2">
      <c r="A31" s="25">
        <f>'GF + UG Iteration 1'!A31</f>
        <v>340</v>
      </c>
      <c r="B31" s="25" t="str">
        <f>'GF + UG Iteration 1'!B31</f>
        <v>GF</v>
      </c>
      <c r="C31" s="18">
        <f>'GF + UG Iteration 1'!C31</f>
        <v>22</v>
      </c>
      <c r="D31" s="19">
        <f>'GF + UG Iteration 1'!D31</f>
        <v>13.309615571039751</v>
      </c>
      <c r="E31" s="30">
        <f>'GF + UG Iteration 1'!E31</f>
        <v>2003</v>
      </c>
      <c r="F31" s="18"/>
      <c r="G31" s="19"/>
      <c r="H31" s="20"/>
      <c r="I31" s="18">
        <f t="shared" si="0"/>
        <v>22</v>
      </c>
      <c r="J31" s="19">
        <f t="shared" si="1"/>
        <v>13.309615571039751</v>
      </c>
      <c r="K31" s="20">
        <f t="shared" si="2"/>
        <v>2003</v>
      </c>
      <c r="M31" s="21">
        <f t="shared" si="3"/>
        <v>3.0910424533583161</v>
      </c>
      <c r="N31" s="21">
        <f t="shared" si="4"/>
        <v>2.5884867492731334</v>
      </c>
    </row>
    <row r="32" spans="1:18" x14ac:dyDescent="0.2">
      <c r="A32" s="25">
        <f>'GF + UG Iteration 1'!A32</f>
        <v>334</v>
      </c>
      <c r="B32" s="25" t="str">
        <f>'GF + UG Iteration 1'!B32</f>
        <v>GF</v>
      </c>
      <c r="C32" s="18">
        <f>'GF + UG Iteration 1'!C32</f>
        <v>18.8</v>
      </c>
      <c r="D32" s="19">
        <f>'GF + UG Iteration 1'!D32</f>
        <v>7.9463711126733889</v>
      </c>
      <c r="E32" s="30">
        <f>'GF + UG Iteration 1'!E32</f>
        <v>2003</v>
      </c>
      <c r="F32" s="18"/>
      <c r="G32" s="19"/>
      <c r="H32" s="20"/>
      <c r="I32" s="18">
        <f t="shared" si="0"/>
        <v>18.8</v>
      </c>
      <c r="J32" s="19">
        <f t="shared" si="1"/>
        <v>7.9463711126733889</v>
      </c>
      <c r="K32" s="20">
        <f t="shared" si="2"/>
        <v>2003</v>
      </c>
      <c r="M32" s="21">
        <f t="shared" si="3"/>
        <v>2.9338568698359038</v>
      </c>
      <c r="N32" s="21">
        <f t="shared" si="4"/>
        <v>2.072715360640252</v>
      </c>
    </row>
    <row r="33" spans="1:14" x14ac:dyDescent="0.2">
      <c r="A33" s="25">
        <f>'GF + UG Iteration 1'!A33</f>
        <v>343</v>
      </c>
      <c r="B33" s="25" t="str">
        <f>'GF + UG Iteration 1'!B33</f>
        <v>GF</v>
      </c>
      <c r="C33" s="18">
        <f>'GF + UG Iteration 1'!C33</f>
        <v>15.6</v>
      </c>
      <c r="D33" s="19">
        <f>'GF + UG Iteration 1'!D33</f>
        <v>13.99971574022935</v>
      </c>
      <c r="E33" s="30">
        <f>'GF + UG Iteration 1'!E33</f>
        <v>2003</v>
      </c>
      <c r="F33" s="18"/>
      <c r="G33" s="19"/>
      <c r="H33" s="20"/>
      <c r="I33" s="18">
        <f t="shared" si="0"/>
        <v>15.6</v>
      </c>
      <c r="J33" s="19">
        <f t="shared" si="1"/>
        <v>13.99971574022935</v>
      </c>
      <c r="K33" s="20">
        <f t="shared" si="2"/>
        <v>2003</v>
      </c>
      <c r="M33" s="21">
        <f t="shared" si="3"/>
        <v>2.7472709142554912</v>
      </c>
      <c r="N33" s="21">
        <f t="shared" si="4"/>
        <v>2.6390370251397921</v>
      </c>
    </row>
    <row r="34" spans="1:14" x14ac:dyDescent="0.2">
      <c r="A34" s="25">
        <f>'GF + UG Iteration 1'!A34</f>
        <v>358</v>
      </c>
      <c r="B34" s="25" t="str">
        <f>'GF + UG Iteration 1'!B34</f>
        <v>GF</v>
      </c>
      <c r="C34" s="18">
        <f>'GF + UG Iteration 1'!C34</f>
        <v>19.8</v>
      </c>
      <c r="D34" s="19">
        <f>'GF + UG Iteration 1'!D34</f>
        <v>7.2248521864398549</v>
      </c>
      <c r="E34" s="30">
        <f>'GF + UG Iteration 1'!E34</f>
        <v>2003</v>
      </c>
      <c r="F34" s="18"/>
      <c r="G34" s="19"/>
      <c r="H34" s="20"/>
      <c r="I34" s="18">
        <f t="shared" si="0"/>
        <v>19.8</v>
      </c>
      <c r="J34" s="19">
        <f t="shared" si="1"/>
        <v>7.2248521864398549</v>
      </c>
      <c r="K34" s="20">
        <f t="shared" si="2"/>
        <v>2003</v>
      </c>
      <c r="M34" s="21">
        <f t="shared" si="3"/>
        <v>2.9856819377004897</v>
      </c>
      <c r="N34" s="21">
        <f t="shared" si="4"/>
        <v>1.9775267751649739</v>
      </c>
    </row>
    <row r="35" spans="1:14" x14ac:dyDescent="0.2">
      <c r="A35" s="25">
        <f>'GF + UG Iteration 1'!A35</f>
        <v>702</v>
      </c>
      <c r="B35" s="25" t="str">
        <f>'GF + UG Iteration 1'!B35</f>
        <v>GF</v>
      </c>
      <c r="C35" s="18">
        <f>'GF + UG Iteration 1'!C35</f>
        <v>28.4</v>
      </c>
      <c r="D35" s="19">
        <f>'GF + UG Iteration 1'!D35</f>
        <v>5.2101531080390755</v>
      </c>
      <c r="E35" s="30">
        <f>'GF + UG Iteration 1'!E35</f>
        <v>2007</v>
      </c>
      <c r="F35" s="18"/>
      <c r="G35" s="19"/>
      <c r="H35" s="20"/>
      <c r="I35" s="18">
        <f t="shared" si="0"/>
        <v>28.4</v>
      </c>
      <c r="J35" s="19">
        <f t="shared" si="1"/>
        <v>5.2101531080390755</v>
      </c>
      <c r="K35" s="20">
        <f t="shared" si="2"/>
        <v>2007</v>
      </c>
      <c r="M35" s="21">
        <f t="shared" si="3"/>
        <v>3.3463891451671604</v>
      </c>
      <c r="N35" s="21">
        <f t="shared" si="4"/>
        <v>1.6506092426730299</v>
      </c>
    </row>
    <row r="36" spans="1:14" x14ac:dyDescent="0.2">
      <c r="A36" s="25">
        <f>'GF + UG Iteration 1'!A36</f>
        <v>526</v>
      </c>
      <c r="B36" s="25" t="str">
        <f>'GF + UG Iteration 1'!B36</f>
        <v>GF</v>
      </c>
      <c r="C36" s="18">
        <f>'GF + UG Iteration 1'!C36</f>
        <v>19</v>
      </c>
      <c r="D36" s="19">
        <f>'GF + UG Iteration 1'!D36</f>
        <v>13.758834109767626</v>
      </c>
      <c r="E36" s="30">
        <f>'GF + UG Iteration 1'!E36</f>
        <v>2007</v>
      </c>
      <c r="F36" s="18"/>
      <c r="G36" s="19"/>
      <c r="H36" s="20"/>
      <c r="I36" s="18">
        <f t="shared" si="0"/>
        <v>19</v>
      </c>
      <c r="J36" s="19">
        <f t="shared" si="1"/>
        <v>13.758834109767626</v>
      </c>
      <c r="K36" s="20">
        <f t="shared" si="2"/>
        <v>2007</v>
      </c>
      <c r="M36" s="21">
        <f t="shared" si="3"/>
        <v>2.9444389791664403</v>
      </c>
      <c r="N36" s="21">
        <f t="shared" si="4"/>
        <v>2.6216810985205803</v>
      </c>
    </row>
    <row r="37" spans="1:14" x14ac:dyDescent="0.2">
      <c r="A37" s="25">
        <f>'GF + UG Iteration 1'!A37</f>
        <v>288</v>
      </c>
      <c r="B37" s="25" t="str">
        <f>'GF + UG Iteration 1'!B37</f>
        <v>GF</v>
      </c>
      <c r="C37" s="18">
        <f>'GF + UG Iteration 1'!C37</f>
        <v>12</v>
      </c>
      <c r="D37" s="19">
        <f>'GF + UG Iteration 1'!D37</f>
        <v>4.4533584840568787</v>
      </c>
      <c r="E37" s="30">
        <f>'GF + UG Iteration 1'!E37</f>
        <v>2001</v>
      </c>
      <c r="F37" s="18"/>
      <c r="G37" s="19"/>
      <c r="H37" s="20"/>
      <c r="I37" s="18">
        <f t="shared" si="0"/>
        <v>12</v>
      </c>
      <c r="J37" s="19">
        <f t="shared" si="1"/>
        <v>4.4533584840568787</v>
      </c>
      <c r="K37" s="20">
        <f t="shared" si="2"/>
        <v>2001</v>
      </c>
      <c r="M37" s="21">
        <f t="shared" si="3"/>
        <v>2.4849066497880004</v>
      </c>
      <c r="N37" s="21">
        <f t="shared" si="4"/>
        <v>1.4936585270420049</v>
      </c>
    </row>
    <row r="38" spans="1:14" x14ac:dyDescent="0.2">
      <c r="A38" s="25">
        <f>'GF + UG Iteration 1'!A38</f>
        <v>851</v>
      </c>
      <c r="B38" s="25" t="str">
        <f>'GF + UG Iteration 1'!B38</f>
        <v>GF</v>
      </c>
      <c r="C38" s="18">
        <f>'GF + UG Iteration 1'!C38</f>
        <v>25</v>
      </c>
      <c r="D38" s="19">
        <f>'GF + UG Iteration 1'!D38</f>
        <v>12.931754132918639</v>
      </c>
      <c r="E38" s="30">
        <f>'GF + UG Iteration 1'!E38</f>
        <v>2007</v>
      </c>
      <c r="F38" s="18"/>
      <c r="G38" s="19"/>
      <c r="H38" s="20"/>
      <c r="I38" s="18">
        <f t="shared" si="0"/>
        <v>25</v>
      </c>
      <c r="J38" s="19">
        <f t="shared" si="1"/>
        <v>12.931754132918639</v>
      </c>
      <c r="K38" s="20">
        <f t="shared" si="2"/>
        <v>2007</v>
      </c>
      <c r="M38" s="21">
        <f t="shared" si="3"/>
        <v>3.2188758248682006</v>
      </c>
      <c r="N38" s="21">
        <f t="shared" si="4"/>
        <v>2.5596858473810773</v>
      </c>
    </row>
    <row r="39" spans="1:14" x14ac:dyDescent="0.2">
      <c r="A39" s="25">
        <f>'GF + UG Iteration 1'!A39</f>
        <v>648</v>
      </c>
      <c r="B39" s="25" t="str">
        <f>'GF + UG Iteration 1'!B39</f>
        <v>GF</v>
      </c>
      <c r="C39" s="18">
        <f>'GF + UG Iteration 1'!C39</f>
        <v>15</v>
      </c>
      <c r="D39" s="19">
        <f>'GF + UG Iteration 1'!D39</f>
        <v>14.973718181093032</v>
      </c>
      <c r="E39" s="30">
        <f>'GF + UG Iteration 1'!E39</f>
        <v>2007</v>
      </c>
      <c r="F39" s="18"/>
      <c r="G39" s="19"/>
      <c r="H39" s="20"/>
      <c r="I39" s="18">
        <f t="shared" si="0"/>
        <v>15</v>
      </c>
      <c r="J39" s="19">
        <f t="shared" si="1"/>
        <v>14.973718181093032</v>
      </c>
      <c r="K39" s="20">
        <f t="shared" si="2"/>
        <v>2007</v>
      </c>
      <c r="M39" s="21">
        <f t="shared" si="3"/>
        <v>2.7080502011022101</v>
      </c>
      <c r="N39" s="21">
        <f t="shared" si="4"/>
        <v>2.7062965430819679</v>
      </c>
    </row>
    <row r="40" spans="1:14" x14ac:dyDescent="0.2">
      <c r="A40" s="25">
        <f>'GF + UG Iteration 1'!A40</f>
        <v>855</v>
      </c>
      <c r="B40" s="25" t="str">
        <f>'GF + UG Iteration 1'!B40</f>
        <v>GF</v>
      </c>
      <c r="C40" s="18">
        <f>'GF + UG Iteration 1'!C40</f>
        <v>23</v>
      </c>
      <c r="D40" s="19">
        <f>'GF + UG Iteration 1'!D40</f>
        <v>28.66706963950903</v>
      </c>
      <c r="E40" s="30">
        <f>'GF + UG Iteration 1'!E40</f>
        <v>2011</v>
      </c>
      <c r="F40" s="18"/>
      <c r="G40" s="19"/>
      <c r="H40" s="20"/>
      <c r="I40" s="18">
        <f t="shared" si="0"/>
        <v>23</v>
      </c>
      <c r="J40" s="19">
        <f t="shared" si="1"/>
        <v>28.66706963950903</v>
      </c>
      <c r="K40" s="20">
        <f t="shared" si="2"/>
        <v>2011</v>
      </c>
      <c r="M40" s="21">
        <f t="shared" si="3"/>
        <v>3.1354942159291497</v>
      </c>
      <c r="N40" s="21">
        <f t="shared" si="4"/>
        <v>3.355749064678772</v>
      </c>
    </row>
    <row r="41" spans="1:14" x14ac:dyDescent="0.2">
      <c r="A41" s="25">
        <f>'GF + UG Iteration 1'!A41</f>
        <v>700</v>
      </c>
      <c r="B41" s="25" t="str">
        <f>'GF + UG Iteration 1'!B41</f>
        <v>GF</v>
      </c>
      <c r="C41" s="18">
        <f>'GF + UG Iteration 1'!C41</f>
        <v>9.8000000000000007</v>
      </c>
      <c r="D41" s="19">
        <f>'GF + UG Iteration 1'!D41</f>
        <v>7.0657947644327148</v>
      </c>
      <c r="E41" s="30">
        <f>'GF + UG Iteration 1'!E41</f>
        <v>2007</v>
      </c>
      <c r="F41" s="18"/>
      <c r="G41" s="19"/>
      <c r="H41" s="20"/>
      <c r="I41" s="18">
        <f t="shared" si="0"/>
        <v>9.8000000000000007</v>
      </c>
      <c r="J41" s="19">
        <f t="shared" si="1"/>
        <v>7.0657947644327148</v>
      </c>
      <c r="K41" s="20">
        <f t="shared" si="2"/>
        <v>2007</v>
      </c>
      <c r="M41" s="21">
        <f t="shared" si="3"/>
        <v>2.2823823856765264</v>
      </c>
      <c r="N41" s="21">
        <f t="shared" si="4"/>
        <v>1.9552655030060266</v>
      </c>
    </row>
    <row r="42" spans="1:14" x14ac:dyDescent="0.2">
      <c r="A42" s="25">
        <f>'GF + UG Iteration 1'!A42</f>
        <v>683</v>
      </c>
      <c r="B42" s="25" t="str">
        <f>'GF + UG Iteration 1'!B42</f>
        <v>GF</v>
      </c>
      <c r="C42" s="18">
        <f>'GF + UG Iteration 1'!C42</f>
        <v>30</v>
      </c>
      <c r="D42" s="19">
        <f>'GF + UG Iteration 1'!D42</f>
        <v>16.03232257186292</v>
      </c>
      <c r="E42" s="30">
        <f>'GF + UG Iteration 1'!E42</f>
        <v>2011</v>
      </c>
      <c r="F42" s="18"/>
      <c r="G42" s="19"/>
      <c r="H42" s="20"/>
      <c r="I42" s="18">
        <f t="shared" si="0"/>
        <v>30</v>
      </c>
      <c r="J42" s="19">
        <f t="shared" si="1"/>
        <v>16.03232257186292</v>
      </c>
      <c r="K42" s="20">
        <f t="shared" si="2"/>
        <v>2011</v>
      </c>
      <c r="M42" s="21">
        <f t="shared" si="3"/>
        <v>3.4011973816621555</v>
      </c>
      <c r="N42" s="21">
        <f t="shared" si="4"/>
        <v>2.7746068452004713</v>
      </c>
    </row>
    <row r="43" spans="1:14" x14ac:dyDescent="0.2">
      <c r="A43" s="25">
        <f>'GF + UG Iteration 1'!A43</f>
        <v>559</v>
      </c>
      <c r="B43" s="25" t="str">
        <f>'GF + UG Iteration 1'!B43</f>
        <v>GF</v>
      </c>
      <c r="C43" s="18">
        <f>'GF + UG Iteration 1'!C43</f>
        <v>115</v>
      </c>
      <c r="D43" s="19">
        <f>'GF + UG Iteration 1'!D43</f>
        <v>56.859498956472109</v>
      </c>
      <c r="E43" s="30">
        <f>'GF + UG Iteration 1'!E43</f>
        <v>2011</v>
      </c>
      <c r="F43" s="18"/>
      <c r="G43" s="19"/>
      <c r="H43" s="20"/>
      <c r="I43" s="18">
        <f t="shared" si="0"/>
        <v>115</v>
      </c>
      <c r="J43" s="19">
        <f t="shared" si="1"/>
        <v>56.859498956472109</v>
      </c>
      <c r="K43" s="20">
        <f t="shared" si="2"/>
        <v>2011</v>
      </c>
      <c r="M43" s="21">
        <f t="shared" si="3"/>
        <v>4.7449321283632502</v>
      </c>
      <c r="N43" s="21">
        <f t="shared" si="4"/>
        <v>4.0405832943034818</v>
      </c>
    </row>
    <row r="44" spans="1:14" x14ac:dyDescent="0.2">
      <c r="A44" s="25">
        <f>'GF + UG Iteration 1'!A44</f>
        <v>1074</v>
      </c>
      <c r="B44" s="25" t="str">
        <f>'GF + UG Iteration 1'!B44</f>
        <v>GF</v>
      </c>
      <c r="C44" s="18">
        <f>'GF + UG Iteration 1'!C44</f>
        <v>67</v>
      </c>
      <c r="D44" s="19">
        <f>'GF + UG Iteration 1'!D44</f>
        <v>43.13883453102715</v>
      </c>
      <c r="E44" s="30">
        <f>'GF + UG Iteration 1'!E44</f>
        <v>2011</v>
      </c>
      <c r="F44" s="18"/>
      <c r="G44" s="19"/>
      <c r="H44" s="20"/>
      <c r="I44" s="18">
        <f t="shared" si="0"/>
        <v>67</v>
      </c>
      <c r="J44" s="19">
        <f t="shared" si="1"/>
        <v>43.13883453102715</v>
      </c>
      <c r="K44" s="20">
        <f t="shared" si="2"/>
        <v>2011</v>
      </c>
      <c r="M44" s="21">
        <f t="shared" si="3"/>
        <v>4.2046926193909657</v>
      </c>
      <c r="N44" s="21">
        <f t="shared" si="4"/>
        <v>3.7644236246254454</v>
      </c>
    </row>
    <row r="45" spans="1:14" x14ac:dyDescent="0.2">
      <c r="A45" s="25">
        <f>'GF + UG Iteration 1'!A45</f>
        <v>34</v>
      </c>
      <c r="B45" s="25" t="str">
        <f>'GF + UG Iteration 1'!B45</f>
        <v>GF</v>
      </c>
      <c r="C45" s="18">
        <f>'GF + UG Iteration 1'!C45</f>
        <v>16</v>
      </c>
      <c r="D45" s="19">
        <f>'GF + UG Iteration 1'!D45</f>
        <v>7.5134124542159286</v>
      </c>
      <c r="E45" s="30">
        <f>'GF + UG Iteration 1'!E45</f>
        <v>2000</v>
      </c>
      <c r="F45" s="18"/>
      <c r="G45" s="19"/>
      <c r="H45" s="20"/>
      <c r="I45" s="18">
        <f t="shared" si="0"/>
        <v>16</v>
      </c>
      <c r="J45" s="19">
        <f t="shared" si="1"/>
        <v>7.5134124542159286</v>
      </c>
      <c r="K45" s="20">
        <f t="shared" si="2"/>
        <v>2000</v>
      </c>
      <c r="M45" s="21">
        <f t="shared" si="3"/>
        <v>2.7725887222397811</v>
      </c>
      <c r="N45" s="21">
        <f t="shared" si="4"/>
        <v>2.0166897506177883</v>
      </c>
    </row>
    <row r="46" spans="1:14" x14ac:dyDescent="0.2">
      <c r="A46" s="25">
        <f>'GF + UG Iteration 1'!A46</f>
        <v>433</v>
      </c>
      <c r="B46" s="25" t="str">
        <f>'GF + UG Iteration 1'!B46</f>
        <v>GF</v>
      </c>
      <c r="C46" s="18">
        <f>'GF + UG Iteration 1'!C46</f>
        <v>25</v>
      </c>
      <c r="D46" s="19">
        <f>'GF + UG Iteration 1'!D46</f>
        <v>22.308265318441425</v>
      </c>
      <c r="E46" s="30">
        <f>'GF + UG Iteration 1'!E46</f>
        <v>2003</v>
      </c>
      <c r="F46" s="18"/>
      <c r="G46" s="19"/>
      <c r="H46" s="20"/>
      <c r="I46" s="18">
        <f t="shared" si="0"/>
        <v>25</v>
      </c>
      <c r="J46" s="19">
        <f t="shared" si="1"/>
        <v>22.308265318441425</v>
      </c>
      <c r="K46" s="20">
        <f t="shared" si="2"/>
        <v>2003</v>
      </c>
      <c r="M46" s="21">
        <f t="shared" si="3"/>
        <v>3.2188758248682006</v>
      </c>
      <c r="N46" s="21">
        <f t="shared" si="4"/>
        <v>3.1049572518778392</v>
      </c>
    </row>
    <row r="47" spans="1:14" x14ac:dyDescent="0.2">
      <c r="A47" s="25" t="str">
        <f>'GF + UG Iteration 1'!A47</f>
        <v>79A</v>
      </c>
      <c r="B47" s="25" t="str">
        <f>'GF + UG Iteration 1'!B47</f>
        <v>GF</v>
      </c>
      <c r="C47" s="18">
        <f>'GF + UG Iteration 1'!C47</f>
        <v>8</v>
      </c>
      <c r="D47" s="19">
        <f>'GF + UG Iteration 1'!D47</f>
        <v>5.0823375539699818</v>
      </c>
      <c r="E47" s="30">
        <f>'GF + UG Iteration 1'!E47</f>
        <v>2000</v>
      </c>
      <c r="F47" s="18"/>
      <c r="G47" s="19"/>
      <c r="H47" s="20"/>
      <c r="I47" s="18">
        <f t="shared" si="0"/>
        <v>8</v>
      </c>
      <c r="J47" s="19">
        <f t="shared" si="1"/>
        <v>5.0823375539699818</v>
      </c>
      <c r="K47" s="20">
        <f t="shared" si="2"/>
        <v>2000</v>
      </c>
      <c r="M47" s="21">
        <f t="shared" si="3"/>
        <v>2.0794415416798357</v>
      </c>
      <c r="N47" s="21">
        <f t="shared" si="4"/>
        <v>1.62577130417386</v>
      </c>
    </row>
    <row r="48" spans="1:14" x14ac:dyDescent="0.2">
      <c r="A48" s="25" t="str">
        <f>'GF + UG Iteration 1'!A48</f>
        <v>10A</v>
      </c>
      <c r="B48" s="25" t="str">
        <f>'GF + UG Iteration 1'!B48</f>
        <v>GF</v>
      </c>
      <c r="C48" s="18">
        <f>'GF + UG Iteration 1'!C48</f>
        <v>6.2</v>
      </c>
      <c r="D48" s="19">
        <f>'GF + UG Iteration 1'!D48</f>
        <v>8.9160103759227685</v>
      </c>
      <c r="E48" s="30">
        <f>'GF + UG Iteration 1'!E48</f>
        <v>2001</v>
      </c>
      <c r="F48" s="18"/>
      <c r="G48" s="19"/>
      <c r="H48" s="20"/>
      <c r="I48" s="18">
        <f t="shared" si="0"/>
        <v>6.2</v>
      </c>
      <c r="J48" s="19">
        <f t="shared" si="1"/>
        <v>8.9160103759227685</v>
      </c>
      <c r="K48" s="20">
        <f t="shared" si="2"/>
        <v>2001</v>
      </c>
      <c r="M48" s="21">
        <f t="shared" si="3"/>
        <v>1.824549292051046</v>
      </c>
      <c r="N48" s="21">
        <f t="shared" si="4"/>
        <v>2.1878485792648439</v>
      </c>
    </row>
    <row r="49" spans="1:14" x14ac:dyDescent="0.2">
      <c r="A49" s="25">
        <f>'GF + UG Iteration 1'!A49</f>
        <v>345</v>
      </c>
      <c r="B49" s="25" t="str">
        <f>'GF + UG Iteration 1'!B49</f>
        <v>GF</v>
      </c>
      <c r="C49" s="18">
        <f>'GF + UG Iteration 1'!C49</f>
        <v>35</v>
      </c>
      <c r="D49" s="19">
        <f>'GF + UG Iteration 1'!D49</f>
        <v>8.3689831482940882</v>
      </c>
      <c r="E49" s="30">
        <f>'GF + UG Iteration 1'!E49</f>
        <v>2003</v>
      </c>
      <c r="F49" s="18"/>
      <c r="G49" s="19"/>
      <c r="H49" s="20"/>
      <c r="I49" s="18">
        <f t="shared" si="0"/>
        <v>35</v>
      </c>
      <c r="J49" s="19">
        <f t="shared" si="1"/>
        <v>8.3689831482940882</v>
      </c>
      <c r="K49" s="20">
        <f t="shared" si="2"/>
        <v>2003</v>
      </c>
      <c r="M49" s="21">
        <f t="shared" si="3"/>
        <v>3.5553480614894135</v>
      </c>
      <c r="N49" s="21">
        <f t="shared" si="4"/>
        <v>2.1245323894621508</v>
      </c>
    </row>
    <row r="50" spans="1:14" x14ac:dyDescent="0.2">
      <c r="A50" s="25">
        <f>'GF + UG Iteration 1'!A50</f>
        <v>1049</v>
      </c>
      <c r="B50" s="25" t="str">
        <f>'GF + UG Iteration 1'!B50</f>
        <v>GF</v>
      </c>
      <c r="C50" s="18">
        <f>'GF + UG Iteration 1'!C50</f>
        <v>15.2</v>
      </c>
      <c r="D50" s="19">
        <f>'GF + UG Iteration 1'!D50</f>
        <v>54.551770509232071</v>
      </c>
      <c r="E50" s="30">
        <f>'GF + UG Iteration 1'!E50</f>
        <v>2011</v>
      </c>
      <c r="F50" s="18"/>
      <c r="G50" s="19"/>
      <c r="H50" s="20"/>
      <c r="I50" s="18">
        <f t="shared" si="0"/>
        <v>15.2</v>
      </c>
      <c r="J50" s="19">
        <f t="shared" si="1"/>
        <v>54.551770509232071</v>
      </c>
      <c r="K50" s="20">
        <f t="shared" si="2"/>
        <v>2011</v>
      </c>
      <c r="M50" s="21">
        <f t="shared" si="3"/>
        <v>2.7212954278522306</v>
      </c>
      <c r="N50" s="21">
        <f t="shared" si="4"/>
        <v>3.9991501683835766</v>
      </c>
    </row>
    <row r="51" spans="1:14" x14ac:dyDescent="0.2">
      <c r="A51" s="25">
        <f>'GF + UG Iteration 1'!A51</f>
        <v>230</v>
      </c>
      <c r="B51" s="25" t="str">
        <f>'GF + UG Iteration 1'!B51</f>
        <v>GF</v>
      </c>
      <c r="C51" s="18">
        <f>'GF + UG Iteration 1'!C51</f>
        <v>17</v>
      </c>
      <c r="D51" s="19">
        <f>'GF + UG Iteration 1'!D51</f>
        <v>10.739901169983137</v>
      </c>
      <c r="E51" s="30">
        <f>'GF + UG Iteration 1'!E51</f>
        <v>2003</v>
      </c>
      <c r="F51" s="18"/>
      <c r="G51" s="19"/>
      <c r="H51" s="20"/>
      <c r="I51" s="18">
        <f t="shared" si="0"/>
        <v>17</v>
      </c>
      <c r="J51" s="19">
        <f t="shared" si="1"/>
        <v>10.739901169983137</v>
      </c>
      <c r="K51" s="20">
        <f t="shared" si="2"/>
        <v>2003</v>
      </c>
      <c r="M51" s="21">
        <f t="shared" si="3"/>
        <v>2.8332133440562162</v>
      </c>
      <c r="N51" s="21">
        <f t="shared" si="4"/>
        <v>2.3739658869883922</v>
      </c>
    </row>
    <row r="52" spans="1:14" x14ac:dyDescent="0.2">
      <c r="A52" s="25" t="str">
        <f>'GF + UG Iteration 1'!A52</f>
        <v>79B</v>
      </c>
      <c r="B52" s="25" t="str">
        <f>'GF + UG Iteration 1'!B52</f>
        <v>GF</v>
      </c>
      <c r="C52" s="18">
        <f>'GF + UG Iteration 1'!C52</f>
        <v>8</v>
      </c>
      <c r="D52" s="19">
        <f>'GF + UG Iteration 1'!D52</f>
        <v>3.3788339951362953</v>
      </c>
      <c r="E52" s="30">
        <f>'GF + UG Iteration 1'!E52</f>
        <v>2000</v>
      </c>
      <c r="F52" s="18"/>
      <c r="G52" s="19"/>
      <c r="H52" s="20"/>
      <c r="I52" s="18">
        <f t="shared" si="0"/>
        <v>8</v>
      </c>
      <c r="J52" s="19">
        <f t="shared" si="1"/>
        <v>3.3788339951362953</v>
      </c>
      <c r="K52" s="20">
        <f t="shared" si="2"/>
        <v>2000</v>
      </c>
      <c r="M52" s="21">
        <f t="shared" si="3"/>
        <v>2.0794415416798357</v>
      </c>
      <c r="N52" s="21">
        <f t="shared" si="4"/>
        <v>1.2175306781252826</v>
      </c>
    </row>
    <row r="53" spans="1:14" x14ac:dyDescent="0.2">
      <c r="A53" s="25" t="str">
        <f>'GF + UG Iteration 1'!A53</f>
        <v>10B</v>
      </c>
      <c r="B53" s="25" t="str">
        <f>'GF + UG Iteration 1'!B53</f>
        <v>GF</v>
      </c>
      <c r="C53" s="18">
        <f>'GF + UG Iteration 1'!C53</f>
        <v>9.4060000000000006</v>
      </c>
      <c r="D53" s="19">
        <f>'GF + UG Iteration 1'!D53</f>
        <v>9.7991326901064184</v>
      </c>
      <c r="E53" s="30">
        <f>'GF + UG Iteration 1'!E53</f>
        <v>2001</v>
      </c>
      <c r="F53" s="18"/>
      <c r="G53" s="19"/>
      <c r="H53" s="20"/>
      <c r="I53" s="18">
        <f t="shared" si="0"/>
        <v>9.4060000000000006</v>
      </c>
      <c r="J53" s="19">
        <f t="shared" si="1"/>
        <v>9.7991326901064184</v>
      </c>
      <c r="K53" s="20">
        <f t="shared" si="2"/>
        <v>2001</v>
      </c>
      <c r="M53" s="21">
        <f t="shared" si="3"/>
        <v>2.2413477835228561</v>
      </c>
      <c r="N53" s="21">
        <f t="shared" si="4"/>
        <v>2.2822938807505317</v>
      </c>
    </row>
    <row r="54" spans="1:14" x14ac:dyDescent="0.2">
      <c r="A54" s="25">
        <f>'GF + UG Iteration 1'!A54</f>
        <v>8</v>
      </c>
      <c r="B54" s="25" t="str">
        <f>'GF + UG Iteration 1'!B54</f>
        <v>GF</v>
      </c>
      <c r="C54" s="18">
        <f>'GF + UG Iteration 1'!C54</f>
        <v>18</v>
      </c>
      <c r="D54" s="19">
        <f>'GF + UG Iteration 1'!D54</f>
        <v>11.984110505191126</v>
      </c>
      <c r="E54" s="30">
        <f>'GF + UG Iteration 1'!E54</f>
        <v>2000</v>
      </c>
      <c r="F54" s="18"/>
      <c r="G54" s="19"/>
      <c r="H54" s="20"/>
      <c r="I54" s="18">
        <f t="shared" si="0"/>
        <v>18</v>
      </c>
      <c r="J54" s="19">
        <f t="shared" si="1"/>
        <v>11.984110505191126</v>
      </c>
      <c r="K54" s="20">
        <f t="shared" si="2"/>
        <v>2000</v>
      </c>
      <c r="M54" s="21">
        <f t="shared" si="3"/>
        <v>2.8903717578961645</v>
      </c>
      <c r="N54" s="21">
        <f t="shared" si="4"/>
        <v>2.4835816477930246</v>
      </c>
    </row>
    <row r="55" spans="1:14" x14ac:dyDescent="0.2">
      <c r="A55" s="25">
        <f>'GF + UG Iteration 1'!A55</f>
        <v>487</v>
      </c>
      <c r="B55" s="25" t="str">
        <f>'GF + UG Iteration 1'!B55</f>
        <v>GF</v>
      </c>
      <c r="C55" s="18">
        <f>'GF + UG Iteration 1'!C55</f>
        <v>22</v>
      </c>
      <c r="D55" s="19">
        <f>'GF + UG Iteration 1'!D55</f>
        <v>16.606728766354362</v>
      </c>
      <c r="E55" s="30">
        <f>'GF + UG Iteration 1'!E55</f>
        <v>2007</v>
      </c>
      <c r="F55" s="18"/>
      <c r="G55" s="19"/>
      <c r="H55" s="20"/>
      <c r="I55" s="18">
        <f t="shared" si="0"/>
        <v>22</v>
      </c>
      <c r="J55" s="19">
        <f t="shared" si="1"/>
        <v>16.606728766354362</v>
      </c>
      <c r="K55" s="20">
        <f t="shared" si="2"/>
        <v>2007</v>
      </c>
      <c r="M55" s="21">
        <f t="shared" si="3"/>
        <v>3.0910424533583161</v>
      </c>
      <c r="N55" s="21">
        <f t="shared" si="4"/>
        <v>2.8098079606021904</v>
      </c>
    </row>
    <row r="56" spans="1:14" x14ac:dyDescent="0.2">
      <c r="A56" s="25">
        <f>'GF + UG Iteration 1'!A56</f>
        <v>385</v>
      </c>
      <c r="B56" s="25" t="str">
        <f>'GF + UG Iteration 1'!B56</f>
        <v>GF</v>
      </c>
      <c r="C56" s="18">
        <f>'GF + UG Iteration 1'!C56</f>
        <v>7.5</v>
      </c>
      <c r="D56" s="19">
        <f>'GF + UG Iteration 1'!D56</f>
        <v>8.5880709825089685</v>
      </c>
      <c r="E56" s="30">
        <f>'GF + UG Iteration 1'!E56</f>
        <v>2003</v>
      </c>
      <c r="F56" s="18"/>
      <c r="G56" s="19"/>
      <c r="H56" s="20"/>
      <c r="I56" s="18">
        <f t="shared" si="0"/>
        <v>7.5</v>
      </c>
      <c r="J56" s="19">
        <f t="shared" si="1"/>
        <v>8.5880709825089685</v>
      </c>
      <c r="K56" s="20">
        <f t="shared" si="2"/>
        <v>2003</v>
      </c>
      <c r="M56" s="21">
        <f t="shared" si="3"/>
        <v>2.0149030205422647</v>
      </c>
      <c r="N56" s="21">
        <f t="shared" si="4"/>
        <v>2.1503741452954848</v>
      </c>
    </row>
    <row r="57" spans="1:14" x14ac:dyDescent="0.2">
      <c r="A57" s="25">
        <f>'GF + UG Iteration 1'!A57</f>
        <v>865</v>
      </c>
      <c r="B57" s="25" t="str">
        <f>'GF + UG Iteration 1'!B57</f>
        <v>GF</v>
      </c>
      <c r="C57" s="18">
        <f>'GF + UG Iteration 1'!C57</f>
        <v>25</v>
      </c>
      <c r="D57" s="19">
        <f>'GF + UG Iteration 1'!D57</f>
        <v>8.6091983279462436</v>
      </c>
      <c r="E57" s="30">
        <f>'GF + UG Iteration 1'!E57</f>
        <v>2007</v>
      </c>
      <c r="F57" s="18"/>
      <c r="G57" s="19"/>
      <c r="H57" s="20"/>
      <c r="I57" s="18">
        <f t="shared" si="0"/>
        <v>25</v>
      </c>
      <c r="J57" s="19">
        <f t="shared" si="1"/>
        <v>8.6091983279462436</v>
      </c>
      <c r="K57" s="20">
        <f t="shared" si="2"/>
        <v>2007</v>
      </c>
      <c r="M57" s="21">
        <f t="shared" si="3"/>
        <v>3.2188758248682006</v>
      </c>
      <c r="N57" s="21">
        <f t="shared" si="4"/>
        <v>2.1528312046907798</v>
      </c>
    </row>
    <row r="58" spans="1:14" x14ac:dyDescent="0.2">
      <c r="A58" s="25">
        <f>'GF + UG Iteration 1'!A58</f>
        <v>863</v>
      </c>
      <c r="B58" s="25" t="str">
        <f>'GF + UG Iteration 1'!B58</f>
        <v>GF</v>
      </c>
      <c r="C58" s="18">
        <f>'GF + UG Iteration 1'!C58</f>
        <v>25</v>
      </c>
      <c r="D58" s="19">
        <f>'GF + UG Iteration 1'!D58</f>
        <v>8.2434360504581008</v>
      </c>
      <c r="E58" s="30">
        <f>'GF + UG Iteration 1'!E58</f>
        <v>2007</v>
      </c>
      <c r="F58" s="18"/>
      <c r="G58" s="19"/>
      <c r="H58" s="20"/>
      <c r="I58" s="18">
        <f t="shared" si="0"/>
        <v>25</v>
      </c>
      <c r="J58" s="19">
        <f t="shared" si="1"/>
        <v>8.2434360504581008</v>
      </c>
      <c r="K58" s="20">
        <f t="shared" si="2"/>
        <v>2007</v>
      </c>
      <c r="M58" s="21">
        <f t="shared" si="3"/>
        <v>3.2188758248682006</v>
      </c>
      <c r="N58" s="21">
        <f t="shared" si="4"/>
        <v>2.1094172534173556</v>
      </c>
    </row>
    <row r="59" spans="1:14" x14ac:dyDescent="0.2">
      <c r="A59" s="25">
        <f>'GF + UG Iteration 1'!A59</f>
        <v>527</v>
      </c>
      <c r="B59" s="25" t="str">
        <f>'GF + UG Iteration 1'!B59</f>
        <v>GF</v>
      </c>
      <c r="C59" s="18">
        <f>'GF + UG Iteration 1'!C59</f>
        <v>17</v>
      </c>
      <c r="D59" s="19">
        <f>'GF + UG Iteration 1'!D59</f>
        <v>6.9318595783251213</v>
      </c>
      <c r="E59" s="30">
        <f>'GF + UG Iteration 1'!E59</f>
        <v>2007</v>
      </c>
      <c r="F59" s="18"/>
      <c r="G59" s="19"/>
      <c r="H59" s="20"/>
      <c r="I59" s="18">
        <f t="shared" si="0"/>
        <v>17</v>
      </c>
      <c r="J59" s="19">
        <f t="shared" si="1"/>
        <v>6.9318595783251213</v>
      </c>
      <c r="K59" s="20">
        <f t="shared" si="2"/>
        <v>2007</v>
      </c>
      <c r="M59" s="21">
        <f t="shared" si="3"/>
        <v>2.8332133440562162</v>
      </c>
      <c r="N59" s="21">
        <f t="shared" si="4"/>
        <v>1.936128114626418</v>
      </c>
    </row>
    <row r="60" spans="1:14" x14ac:dyDescent="0.2">
      <c r="A60" s="25">
        <f>'GF + UG Iteration 1'!A60</f>
        <v>595</v>
      </c>
      <c r="B60" s="25" t="str">
        <f>'GF + UG Iteration 1'!B60</f>
        <v>GF</v>
      </c>
      <c r="C60" s="18">
        <f>'GF + UG Iteration 1'!C60</f>
        <v>11</v>
      </c>
      <c r="D60" s="19">
        <f>'GF + UG Iteration 1'!D60</f>
        <v>19.087371326529755</v>
      </c>
      <c r="E60" s="30">
        <f>'GF + UG Iteration 1'!E60</f>
        <v>2007</v>
      </c>
      <c r="F60" s="18"/>
      <c r="G60" s="19"/>
      <c r="H60" s="20"/>
      <c r="I60" s="18">
        <f t="shared" si="0"/>
        <v>11</v>
      </c>
      <c r="J60" s="19">
        <f t="shared" si="1"/>
        <v>19.087371326529755</v>
      </c>
      <c r="K60" s="20">
        <f t="shared" si="2"/>
        <v>2007</v>
      </c>
      <c r="M60" s="21">
        <f t="shared" si="3"/>
        <v>2.3978952727983707</v>
      </c>
      <c r="N60" s="21">
        <f t="shared" si="4"/>
        <v>2.9490269292793174</v>
      </c>
    </row>
    <row r="61" spans="1:14" x14ac:dyDescent="0.2">
      <c r="A61" s="25">
        <f>'GF + UG Iteration 1'!A61</f>
        <v>528</v>
      </c>
      <c r="B61" s="25" t="str">
        <f>'GF + UG Iteration 1'!B61</f>
        <v>GF</v>
      </c>
      <c r="C61" s="18">
        <f>'GF + UG Iteration 1'!C61</f>
        <v>17</v>
      </c>
      <c r="D61" s="19">
        <f>'GF + UG Iteration 1'!D61</f>
        <v>5.2657663175025586</v>
      </c>
      <c r="E61" s="30">
        <f>'GF + UG Iteration 1'!E61</f>
        <v>2007</v>
      </c>
      <c r="F61" s="18"/>
      <c r="G61" s="19"/>
      <c r="H61" s="20"/>
      <c r="I61" s="18">
        <f t="shared" si="0"/>
        <v>17</v>
      </c>
      <c r="J61" s="19">
        <f t="shared" si="1"/>
        <v>5.2657663175025586</v>
      </c>
      <c r="K61" s="20">
        <f t="shared" si="2"/>
        <v>2007</v>
      </c>
      <c r="M61" s="21">
        <f t="shared" si="3"/>
        <v>2.8332133440562162</v>
      </c>
      <c r="N61" s="21">
        <f t="shared" si="4"/>
        <v>1.6612266843778571</v>
      </c>
    </row>
    <row r="62" spans="1:14" x14ac:dyDescent="0.2">
      <c r="A62" s="25">
        <f>'GF + UG Iteration 1'!A62</f>
        <v>529</v>
      </c>
      <c r="B62" s="25" t="str">
        <f>'GF + UG Iteration 1'!B62</f>
        <v>GF</v>
      </c>
      <c r="C62" s="18">
        <f>'GF + UG Iteration 1'!C62</f>
        <v>17</v>
      </c>
      <c r="D62" s="19">
        <f>'GF + UG Iteration 1'!D62</f>
        <v>7.7921694439597555</v>
      </c>
      <c r="E62" s="30">
        <f>'GF + UG Iteration 1'!E62</f>
        <v>2007</v>
      </c>
      <c r="F62" s="18"/>
      <c r="G62" s="19"/>
      <c r="H62" s="20"/>
      <c r="I62" s="18">
        <f t="shared" si="0"/>
        <v>17</v>
      </c>
      <c r="J62" s="19">
        <f t="shared" si="1"/>
        <v>7.7921694439597555</v>
      </c>
      <c r="K62" s="20">
        <f t="shared" si="2"/>
        <v>2007</v>
      </c>
      <c r="M62" s="21">
        <f t="shared" si="3"/>
        <v>2.8332133440562162</v>
      </c>
      <c r="N62" s="21">
        <f t="shared" si="4"/>
        <v>2.0531193119918547</v>
      </c>
    </row>
    <row r="63" spans="1:14" x14ac:dyDescent="0.2">
      <c r="A63" s="25">
        <f>'GF + UG Iteration 1'!A63</f>
        <v>1095</v>
      </c>
      <c r="B63" s="25" t="str">
        <f>'GF + UG Iteration 1'!B63</f>
        <v>GF</v>
      </c>
      <c r="C63" s="18">
        <f>'GF + UG Iteration 1'!C63</f>
        <v>18</v>
      </c>
      <c r="D63" s="19">
        <f>'GF + UG Iteration 1'!D63</f>
        <v>11.923356574074873</v>
      </c>
      <c r="E63" s="30">
        <f>'GF + UG Iteration 1'!E63</f>
        <v>2011</v>
      </c>
      <c r="F63" s="18"/>
      <c r="G63" s="19"/>
      <c r="H63" s="20"/>
      <c r="I63" s="18">
        <f t="shared" si="0"/>
        <v>18</v>
      </c>
      <c r="J63" s="19">
        <f t="shared" si="1"/>
        <v>11.923356574074873</v>
      </c>
      <c r="K63" s="20">
        <f t="shared" si="2"/>
        <v>2011</v>
      </c>
      <c r="M63" s="21">
        <f t="shared" si="3"/>
        <v>2.8903717578961645</v>
      </c>
      <c r="N63" s="21">
        <f t="shared" si="4"/>
        <v>2.4784992137824831</v>
      </c>
    </row>
    <row r="64" spans="1:14" x14ac:dyDescent="0.2">
      <c r="A64" s="25">
        <f>'GF + UG Iteration 1'!A64</f>
        <v>561</v>
      </c>
      <c r="B64" s="25" t="str">
        <f>'GF + UG Iteration 1'!B64</f>
        <v>GF</v>
      </c>
      <c r="C64" s="18">
        <f>'GF + UG Iteration 1'!C64</f>
        <v>46</v>
      </c>
      <c r="D64" s="19">
        <f>'GF + UG Iteration 1'!D64</f>
        <v>58.100097147658744</v>
      </c>
      <c r="E64" s="30">
        <f>'GF + UG Iteration 1'!E64</f>
        <v>2011</v>
      </c>
      <c r="F64" s="18"/>
      <c r="G64" s="19"/>
      <c r="H64" s="20"/>
      <c r="I64" s="18">
        <f t="shared" si="0"/>
        <v>46</v>
      </c>
      <c r="J64" s="19">
        <f t="shared" si="1"/>
        <v>58.100097147658744</v>
      </c>
      <c r="K64" s="20">
        <f t="shared" si="2"/>
        <v>2011</v>
      </c>
      <c r="M64" s="21">
        <f t="shared" si="3"/>
        <v>3.8286413964890951</v>
      </c>
      <c r="N64" s="21">
        <f t="shared" si="4"/>
        <v>4.0621673359332098</v>
      </c>
    </row>
    <row r="65" spans="1:14" x14ac:dyDescent="0.2">
      <c r="A65" s="25">
        <f>'GF + UG Iteration 1'!A65</f>
        <v>1018</v>
      </c>
      <c r="B65" s="25" t="str">
        <f>'GF + UG Iteration 1'!B65</f>
        <v>GF</v>
      </c>
      <c r="C65" s="18">
        <f>'GF + UG Iteration 1'!C65</f>
        <v>3</v>
      </c>
      <c r="D65" s="19">
        <f>'GF + UG Iteration 1'!D65</f>
        <v>10.634643135603309</v>
      </c>
      <c r="E65" s="30">
        <f>'GF + UG Iteration 1'!E65</f>
        <v>2011</v>
      </c>
      <c r="F65" s="18"/>
      <c r="G65" s="19"/>
      <c r="H65" s="20"/>
      <c r="I65" s="18">
        <f t="shared" si="0"/>
        <v>3</v>
      </c>
      <c r="J65" s="19">
        <f t="shared" si="1"/>
        <v>10.634643135603309</v>
      </c>
      <c r="K65" s="20">
        <f t="shared" si="2"/>
        <v>2011</v>
      </c>
      <c r="M65" s="21">
        <f t="shared" si="3"/>
        <v>1.0986122886681098</v>
      </c>
      <c r="N65" s="21">
        <f t="shared" si="4"/>
        <v>2.3641168924336546</v>
      </c>
    </row>
    <row r="66" spans="1:14" x14ac:dyDescent="0.2">
      <c r="A66" s="25">
        <f>'GF + UG Iteration 1'!A66</f>
        <v>360</v>
      </c>
      <c r="B66" s="25" t="str">
        <f>'GF + UG Iteration 1'!B66</f>
        <v>GF</v>
      </c>
      <c r="C66" s="18">
        <f>'GF + UG Iteration 1'!C66</f>
        <v>22</v>
      </c>
      <c r="D66" s="19">
        <f>'GF + UG Iteration 1'!D66</f>
        <v>7.1174715515965792</v>
      </c>
      <c r="E66" s="30">
        <f>'GF + UG Iteration 1'!E66</f>
        <v>2003</v>
      </c>
      <c r="F66" s="18"/>
      <c r="G66" s="19"/>
      <c r="H66" s="20"/>
      <c r="I66" s="18">
        <f t="shared" si="0"/>
        <v>22</v>
      </c>
      <c r="J66" s="19">
        <f t="shared" si="1"/>
        <v>7.1174715515965792</v>
      </c>
      <c r="K66" s="20">
        <f t="shared" si="2"/>
        <v>2003</v>
      </c>
      <c r="M66" s="21">
        <f t="shared" si="3"/>
        <v>3.0910424533583161</v>
      </c>
      <c r="N66" s="21">
        <f t="shared" si="4"/>
        <v>1.9625525431963604</v>
      </c>
    </row>
    <row r="67" spans="1:14" x14ac:dyDescent="0.2">
      <c r="A67" s="25">
        <f>'GF + UG Iteration 1'!A67</f>
        <v>1106</v>
      </c>
      <c r="B67" s="25" t="str">
        <f>'GF + UG Iteration 1'!B67</f>
        <v>GF</v>
      </c>
      <c r="C67" s="18">
        <f>'GF + UG Iteration 1'!C67</f>
        <v>12</v>
      </c>
      <c r="D67" s="19">
        <f>'GF + UG Iteration 1'!D67</f>
        <v>20.217898457447252</v>
      </c>
      <c r="E67" s="30">
        <f>'GF + UG Iteration 1'!E67</f>
        <v>2011</v>
      </c>
      <c r="F67" s="18"/>
      <c r="G67" s="19"/>
      <c r="H67" s="20"/>
      <c r="I67" s="18">
        <f t="shared" si="0"/>
        <v>12</v>
      </c>
      <c r="J67" s="19">
        <f t="shared" si="1"/>
        <v>20.217898457447252</v>
      </c>
      <c r="K67" s="20">
        <f t="shared" si="2"/>
        <v>2011</v>
      </c>
      <c r="M67" s="21">
        <f t="shared" si="3"/>
        <v>2.4849066497880004</v>
      </c>
      <c r="N67" s="21">
        <f t="shared" si="4"/>
        <v>3.0065682743355979</v>
      </c>
    </row>
    <row r="68" spans="1:14" x14ac:dyDescent="0.2">
      <c r="A68" s="25">
        <f>'GF + UG Iteration 1'!A68</f>
        <v>899</v>
      </c>
      <c r="B68" s="25" t="str">
        <f>'GF + UG Iteration 1'!B68</f>
        <v>GF</v>
      </c>
      <c r="C68" s="18">
        <f>'GF + UG Iteration 1'!C68</f>
        <v>25</v>
      </c>
      <c r="D68" s="19">
        <f>'GF + UG Iteration 1'!D68</f>
        <v>15.17251837286627</v>
      </c>
      <c r="E68" s="30">
        <f>'GF + UG Iteration 1'!E68</f>
        <v>2010</v>
      </c>
      <c r="F68" s="18"/>
      <c r="G68" s="19"/>
      <c r="H68" s="20"/>
      <c r="I68" s="18">
        <f t="shared" si="0"/>
        <v>25</v>
      </c>
      <c r="J68" s="19">
        <f t="shared" si="1"/>
        <v>15.17251837286627</v>
      </c>
      <c r="K68" s="20">
        <f t="shared" si="2"/>
        <v>2010</v>
      </c>
      <c r="M68" s="21">
        <f t="shared" si="3"/>
        <v>3.2188758248682006</v>
      </c>
      <c r="N68" s="21">
        <f t="shared" si="4"/>
        <v>2.7194857896591729</v>
      </c>
    </row>
    <row r="69" spans="1:14" x14ac:dyDescent="0.2">
      <c r="A69" s="25">
        <f>'GF + UG Iteration 1'!A69</f>
        <v>1191</v>
      </c>
      <c r="B69" s="25" t="str">
        <f>'GF + UG Iteration 1'!B69</f>
        <v>GF</v>
      </c>
      <c r="C69" s="18">
        <f>'GF + UG Iteration 1'!C69</f>
        <v>11</v>
      </c>
      <c r="D69" s="19">
        <f>'GF + UG Iteration 1'!D69</f>
        <v>12.628076471206382</v>
      </c>
      <c r="E69" s="30">
        <f>'GF + UG Iteration 1'!E69</f>
        <v>2011</v>
      </c>
      <c r="F69" s="18"/>
      <c r="G69" s="19"/>
      <c r="H69" s="20"/>
      <c r="I69" s="18">
        <f t="shared" si="0"/>
        <v>11</v>
      </c>
      <c r="J69" s="19">
        <f t="shared" si="1"/>
        <v>12.628076471206382</v>
      </c>
      <c r="K69" s="20">
        <f t="shared" si="2"/>
        <v>2011</v>
      </c>
      <c r="M69" s="21">
        <f t="shared" si="3"/>
        <v>2.3978952727983707</v>
      </c>
      <c r="N69" s="21">
        <f t="shared" si="4"/>
        <v>2.5359226263636927</v>
      </c>
    </row>
    <row r="70" spans="1:14" x14ac:dyDescent="0.2">
      <c r="A70" s="25">
        <f>'GF + UG Iteration 1'!A70</f>
        <v>1115</v>
      </c>
      <c r="B70" s="25" t="str">
        <f>'GF + UG Iteration 1'!B70</f>
        <v>GF</v>
      </c>
      <c r="C70" s="18">
        <f>'GF + UG Iteration 1'!C70</f>
        <v>10</v>
      </c>
      <c r="D70" s="19">
        <f>'GF + UG Iteration 1'!D70</f>
        <v>24.362790290493837</v>
      </c>
      <c r="E70" s="30">
        <f>'GF + UG Iteration 1'!E70</f>
        <v>2011</v>
      </c>
      <c r="F70" s="18"/>
      <c r="G70" s="19"/>
      <c r="H70" s="20"/>
      <c r="I70" s="18">
        <f t="shared" si="0"/>
        <v>10</v>
      </c>
      <c r="J70" s="19">
        <f t="shared" si="1"/>
        <v>24.362790290493837</v>
      </c>
      <c r="K70" s="20">
        <f t="shared" si="2"/>
        <v>2011</v>
      </c>
      <c r="M70" s="21">
        <f t="shared" si="3"/>
        <v>2.3025850929940459</v>
      </c>
      <c r="N70" s="21">
        <f t="shared" si="4"/>
        <v>3.1930569802267783</v>
      </c>
    </row>
    <row r="71" spans="1:14" x14ac:dyDescent="0.2">
      <c r="A71" s="25">
        <f>'GF + UG Iteration 1'!A71</f>
        <v>1053</v>
      </c>
      <c r="B71" s="25" t="str">
        <f>'GF + UG Iteration 1'!B71</f>
        <v>GF</v>
      </c>
      <c r="C71" s="18">
        <f>'GF + UG Iteration 1'!C71</f>
        <v>9</v>
      </c>
      <c r="D71" s="19">
        <f>'GF + UG Iteration 1'!D71</f>
        <v>14.71443826778331</v>
      </c>
      <c r="E71" s="30">
        <f>'GF + UG Iteration 1'!E71</f>
        <v>2011</v>
      </c>
      <c r="F71" s="18"/>
      <c r="G71" s="19"/>
      <c r="H71" s="20"/>
      <c r="I71" s="18">
        <f t="shared" si="0"/>
        <v>9</v>
      </c>
      <c r="J71" s="19">
        <f t="shared" si="1"/>
        <v>14.71443826778331</v>
      </c>
      <c r="K71" s="20">
        <f t="shared" si="2"/>
        <v>2011</v>
      </c>
      <c r="M71" s="21">
        <f t="shared" si="3"/>
        <v>2.1972245773362196</v>
      </c>
      <c r="N71" s="21">
        <f t="shared" si="4"/>
        <v>2.6888292068340069</v>
      </c>
    </row>
    <row r="72" spans="1:14" x14ac:dyDescent="0.2">
      <c r="A72" s="25">
        <f>'GF + UG Iteration 1'!A72</f>
        <v>864</v>
      </c>
      <c r="B72" s="25" t="str">
        <f>'GF + UG Iteration 1'!B72</f>
        <v>GF</v>
      </c>
      <c r="C72" s="18">
        <f>'GF + UG Iteration 1'!C72</f>
        <v>25</v>
      </c>
      <c r="D72" s="19">
        <f>'GF + UG Iteration 1'!D72</f>
        <v>9.825778201045452</v>
      </c>
      <c r="E72" s="30">
        <f>'GF + UG Iteration 1'!E72</f>
        <v>2007</v>
      </c>
      <c r="F72" s="18"/>
      <c r="G72" s="19"/>
      <c r="H72" s="20"/>
      <c r="I72" s="18">
        <f t="shared" ref="I72:I118" si="5">C72+F72</f>
        <v>25</v>
      </c>
      <c r="J72" s="19">
        <f t="shared" ref="J72:J118" si="6">D72+G72</f>
        <v>9.825778201045452</v>
      </c>
      <c r="K72" s="20">
        <f t="shared" ref="K72:K118" si="7">MAX(E72,H72)</f>
        <v>2007</v>
      </c>
      <c r="M72" s="21">
        <f t="shared" ref="M72:M118" si="8">LN(I72)</f>
        <v>3.2188758248682006</v>
      </c>
      <c r="N72" s="21">
        <f t="shared" ref="N72:N118" si="9">LN(J72)</f>
        <v>2.2850093608319559</v>
      </c>
    </row>
    <row r="73" spans="1:14" x14ac:dyDescent="0.2">
      <c r="A73" s="25">
        <f>'GF + UG Iteration 1'!A73</f>
        <v>834</v>
      </c>
      <c r="B73" s="25" t="str">
        <f>'GF + UG Iteration 1'!B73</f>
        <v>GF</v>
      </c>
      <c r="C73" s="18">
        <f>'GF + UG Iteration 1'!C73</f>
        <v>45</v>
      </c>
      <c r="D73" s="19">
        <f>'GF + UG Iteration 1'!D73</f>
        <v>25.798393978216257</v>
      </c>
      <c r="E73" s="30">
        <f>'GF + UG Iteration 1'!E73</f>
        <v>2010</v>
      </c>
      <c r="F73" s="18"/>
      <c r="G73" s="19"/>
      <c r="H73" s="20"/>
      <c r="I73" s="18">
        <f t="shared" si="5"/>
        <v>45</v>
      </c>
      <c r="J73" s="19">
        <f t="shared" si="6"/>
        <v>25.798393978216257</v>
      </c>
      <c r="K73" s="20">
        <f t="shared" si="7"/>
        <v>2010</v>
      </c>
      <c r="M73" s="21">
        <f t="shared" si="8"/>
        <v>3.8066624897703196</v>
      </c>
      <c r="N73" s="21">
        <f t="shared" si="9"/>
        <v>3.2503122410836816</v>
      </c>
    </row>
    <row r="74" spans="1:14" x14ac:dyDescent="0.2">
      <c r="A74" s="25">
        <f>'GF + UG Iteration 1'!A74</f>
        <v>722</v>
      </c>
      <c r="B74" s="25" t="str">
        <f>'GF + UG Iteration 1'!B74</f>
        <v>GF</v>
      </c>
      <c r="C74" s="18">
        <f>'GF + UG Iteration 1'!C74</f>
        <v>10.5</v>
      </c>
      <c r="D74" s="19">
        <f>'GF + UG Iteration 1'!D74</f>
        <v>13.501544643115857</v>
      </c>
      <c r="E74" s="30">
        <f>'GF + UG Iteration 1'!E74</f>
        <v>2010</v>
      </c>
      <c r="F74" s="18"/>
      <c r="G74" s="19"/>
      <c r="H74" s="20"/>
      <c r="I74" s="18">
        <f t="shared" si="5"/>
        <v>10.5</v>
      </c>
      <c r="J74" s="19">
        <f t="shared" si="6"/>
        <v>13.501544643115857</v>
      </c>
      <c r="K74" s="20">
        <f t="shared" si="7"/>
        <v>2010</v>
      </c>
      <c r="M74" s="21">
        <f t="shared" si="8"/>
        <v>2.3513752571634776</v>
      </c>
      <c r="N74" s="21">
        <f t="shared" si="9"/>
        <v>2.6028040969077249</v>
      </c>
    </row>
    <row r="75" spans="1:14" x14ac:dyDescent="0.2">
      <c r="A75" s="25">
        <f>'GF + UG Iteration 1'!A75</f>
        <v>927</v>
      </c>
      <c r="B75" s="25" t="str">
        <f>'GF + UG Iteration 1'!B75</f>
        <v>GF</v>
      </c>
      <c r="C75" s="18">
        <f>'GF + UG Iteration 1'!C75</f>
        <v>60</v>
      </c>
      <c r="D75" s="19">
        <f>'GF + UG Iteration 1'!D75</f>
        <v>25.887106037100622</v>
      </c>
      <c r="E75" s="30">
        <f>'GF + UG Iteration 1'!E75</f>
        <v>2011</v>
      </c>
      <c r="F75" s="18"/>
      <c r="G75" s="19"/>
      <c r="H75" s="20"/>
      <c r="I75" s="18">
        <f t="shared" si="5"/>
        <v>60</v>
      </c>
      <c r="J75" s="19">
        <f t="shared" si="6"/>
        <v>25.887106037100622</v>
      </c>
      <c r="K75" s="20">
        <f t="shared" si="7"/>
        <v>2011</v>
      </c>
      <c r="M75" s="21">
        <f t="shared" si="8"/>
        <v>4.0943445622221004</v>
      </c>
      <c r="N75" s="21">
        <f t="shared" si="9"/>
        <v>3.2537450083384241</v>
      </c>
    </row>
    <row r="76" spans="1:14" x14ac:dyDescent="0.2">
      <c r="A76" s="25">
        <f>'GF + UG Iteration 1'!A76</f>
        <v>1068</v>
      </c>
      <c r="B76" s="25" t="str">
        <f>'GF + UG Iteration 1'!B76</f>
        <v>GF</v>
      </c>
      <c r="C76" s="18">
        <f>'GF + UG Iteration 1'!C76</f>
        <v>11.2</v>
      </c>
      <c r="D76" s="19">
        <f>'GF + UG Iteration 1'!D76</f>
        <v>26.918199168374588</v>
      </c>
      <c r="E76" s="30">
        <f>'GF + UG Iteration 1'!E76</f>
        <v>2011</v>
      </c>
      <c r="F76" s="18"/>
      <c r="G76" s="19"/>
      <c r="H76" s="20"/>
      <c r="I76" s="18">
        <f t="shared" si="5"/>
        <v>11.2</v>
      </c>
      <c r="J76" s="19">
        <f t="shared" si="6"/>
        <v>26.918199168374588</v>
      </c>
      <c r="K76" s="20">
        <f t="shared" si="7"/>
        <v>2011</v>
      </c>
      <c r="M76" s="21">
        <f t="shared" si="8"/>
        <v>2.4159137783010487</v>
      </c>
      <c r="N76" s="21">
        <f t="shared" si="9"/>
        <v>3.2928026068618901</v>
      </c>
    </row>
    <row r="77" spans="1:14" x14ac:dyDescent="0.2">
      <c r="A77" s="25">
        <f>'GF + UG Iteration 1'!A77</f>
        <v>506</v>
      </c>
      <c r="B77" s="25" t="str">
        <f>'GF + UG Iteration 1'!B77</f>
        <v>GF</v>
      </c>
      <c r="C77" s="18">
        <f>'GF + UG Iteration 1'!C77</f>
        <v>20</v>
      </c>
      <c r="D77" s="19">
        <f>'GF + UG Iteration 1'!D77</f>
        <v>13.969254162639503</v>
      </c>
      <c r="E77" s="30">
        <f>'GF + UG Iteration 1'!E77</f>
        <v>2003</v>
      </c>
      <c r="F77" s="18"/>
      <c r="G77" s="19"/>
      <c r="H77" s="20"/>
      <c r="I77" s="18">
        <f t="shared" si="5"/>
        <v>20</v>
      </c>
      <c r="J77" s="19">
        <f t="shared" si="6"/>
        <v>13.969254162639503</v>
      </c>
      <c r="K77" s="20">
        <f t="shared" si="7"/>
        <v>2003</v>
      </c>
      <c r="M77" s="21">
        <f t="shared" si="8"/>
        <v>2.9957322735539909</v>
      </c>
      <c r="N77" s="21">
        <f t="shared" si="9"/>
        <v>2.6368587833425443</v>
      </c>
    </row>
    <row r="78" spans="1:14" x14ac:dyDescent="0.2">
      <c r="A78" s="25">
        <f>'GF + UG Iteration 1'!A78</f>
        <v>456</v>
      </c>
      <c r="B78" s="25" t="str">
        <f>'GF + UG Iteration 1'!B78</f>
        <v>GF</v>
      </c>
      <c r="C78" s="18">
        <f>'GF + UG Iteration 1'!C78</f>
        <v>16</v>
      </c>
      <c r="D78" s="19">
        <f>'GF + UG Iteration 1'!D78</f>
        <v>17.647037003819346</v>
      </c>
      <c r="E78" s="30">
        <f>'GF + UG Iteration 1'!E78</f>
        <v>2007</v>
      </c>
      <c r="F78" s="18"/>
      <c r="G78" s="19"/>
      <c r="H78" s="20"/>
      <c r="I78" s="18">
        <f t="shared" si="5"/>
        <v>16</v>
      </c>
      <c r="J78" s="19">
        <f t="shared" si="6"/>
        <v>17.647037003819346</v>
      </c>
      <c r="K78" s="20">
        <f t="shared" si="7"/>
        <v>2007</v>
      </c>
      <c r="M78" s="21">
        <f t="shared" si="8"/>
        <v>2.7725887222397811</v>
      </c>
      <c r="N78" s="21">
        <f t="shared" si="9"/>
        <v>2.8705678941489836</v>
      </c>
    </row>
    <row r="79" spans="1:14" x14ac:dyDescent="0.2">
      <c r="A79" s="25">
        <f>'GF + UG Iteration 1'!A79</f>
        <v>130</v>
      </c>
      <c r="B79" s="25" t="str">
        <f>'GF + UG Iteration 1'!B79</f>
        <v>GF</v>
      </c>
      <c r="C79" s="18">
        <f>'GF + UG Iteration 1'!C79</f>
        <v>18</v>
      </c>
      <c r="D79" s="19">
        <f>'GF + UG Iteration 1'!D79</f>
        <v>8.4369732753123952</v>
      </c>
      <c r="E79" s="30">
        <f>'GF + UG Iteration 1'!E79</f>
        <v>2001</v>
      </c>
      <c r="F79" s="18"/>
      <c r="G79" s="19"/>
      <c r="H79" s="20"/>
      <c r="I79" s="18">
        <f t="shared" si="5"/>
        <v>18</v>
      </c>
      <c r="J79" s="19">
        <f t="shared" si="6"/>
        <v>8.4369732753123952</v>
      </c>
      <c r="K79" s="20">
        <f t="shared" si="7"/>
        <v>2001</v>
      </c>
      <c r="M79" s="21">
        <f t="shared" si="8"/>
        <v>2.8903717578961645</v>
      </c>
      <c r="N79" s="21">
        <f t="shared" si="9"/>
        <v>2.1326236276203829</v>
      </c>
    </row>
    <row r="80" spans="1:14" x14ac:dyDescent="0.2">
      <c r="A80" s="25">
        <f>'GF + UG Iteration 1'!A80</f>
        <v>308</v>
      </c>
      <c r="B80" s="25" t="str">
        <f>'GF + UG Iteration 1'!B80</f>
        <v>GF</v>
      </c>
      <c r="C80" s="18">
        <f>'GF + UG Iteration 1'!C80</f>
        <v>10</v>
      </c>
      <c r="D80" s="19">
        <f>'GF + UG Iteration 1'!D80</f>
        <v>8.8753762889293544</v>
      </c>
      <c r="E80" s="30">
        <f>'GF + UG Iteration 1'!E80</f>
        <v>2003</v>
      </c>
      <c r="F80" s="18"/>
      <c r="G80" s="19"/>
      <c r="H80" s="20"/>
      <c r="I80" s="18">
        <f t="shared" si="5"/>
        <v>10</v>
      </c>
      <c r="J80" s="19">
        <f t="shared" si="6"/>
        <v>8.8753762889293544</v>
      </c>
      <c r="K80" s="20">
        <f t="shared" si="7"/>
        <v>2003</v>
      </c>
      <c r="M80" s="21">
        <f t="shared" si="8"/>
        <v>2.3025850929940459</v>
      </c>
      <c r="N80" s="21">
        <f t="shared" si="9"/>
        <v>2.1832807332152813</v>
      </c>
    </row>
    <row r="81" spans="1:14" x14ac:dyDescent="0.2">
      <c r="A81" s="25">
        <f>'GF + UG Iteration 1'!A81</f>
        <v>829</v>
      </c>
      <c r="B81" s="25" t="str">
        <f>'GF + UG Iteration 1'!B81</f>
        <v>GF</v>
      </c>
      <c r="C81" s="18">
        <f>'GF + UG Iteration 1'!C81</f>
        <v>20</v>
      </c>
      <c r="D81" s="19">
        <f>'GF + UG Iteration 1'!D81</f>
        <v>27.761077137379147</v>
      </c>
      <c r="E81" s="30">
        <f>'GF + UG Iteration 1'!E81</f>
        <v>2011</v>
      </c>
      <c r="F81" s="18"/>
      <c r="G81" s="19"/>
      <c r="H81" s="20"/>
      <c r="I81" s="18">
        <f t="shared" si="5"/>
        <v>20</v>
      </c>
      <c r="J81" s="19">
        <f t="shared" si="6"/>
        <v>27.761077137379147</v>
      </c>
      <c r="K81" s="20">
        <f t="shared" si="7"/>
        <v>2011</v>
      </c>
      <c r="M81" s="21">
        <f t="shared" si="8"/>
        <v>2.9957322735539909</v>
      </c>
      <c r="N81" s="21">
        <f t="shared" si="9"/>
        <v>3.3236349366646221</v>
      </c>
    </row>
    <row r="82" spans="1:14" x14ac:dyDescent="0.2">
      <c r="A82" s="25">
        <f>'GF + UG Iteration 1'!A82</f>
        <v>425</v>
      </c>
      <c r="B82" s="25" t="str">
        <f>'GF + UG Iteration 1'!B82</f>
        <v>GF</v>
      </c>
      <c r="C82" s="18">
        <f>'GF + UG Iteration 1'!C82</f>
        <v>17</v>
      </c>
      <c r="D82" s="19">
        <f>'GF + UG Iteration 1'!D82</f>
        <v>11.725448588458148</v>
      </c>
      <c r="E82" s="30">
        <f>'GF + UG Iteration 1'!E82</f>
        <v>2006</v>
      </c>
      <c r="F82" s="18"/>
      <c r="G82" s="19"/>
      <c r="H82" s="20"/>
      <c r="I82" s="18">
        <f t="shared" si="5"/>
        <v>17</v>
      </c>
      <c r="J82" s="19">
        <f t="shared" si="6"/>
        <v>11.725448588458148</v>
      </c>
      <c r="K82" s="20">
        <f t="shared" si="7"/>
        <v>2006</v>
      </c>
      <c r="M82" s="21">
        <f t="shared" si="8"/>
        <v>2.8332133440562162</v>
      </c>
      <c r="N82" s="21">
        <f t="shared" si="9"/>
        <v>2.4617615727440327</v>
      </c>
    </row>
    <row r="83" spans="1:14" x14ac:dyDescent="0.2">
      <c r="A83" s="25">
        <f>'GF + UG Iteration 1'!A83</f>
        <v>333</v>
      </c>
      <c r="B83" s="25" t="str">
        <f>'GF + UG Iteration 1'!B83</f>
        <v>GF</v>
      </c>
      <c r="C83" s="18">
        <f>'GF + UG Iteration 1'!C83</f>
        <v>12</v>
      </c>
      <c r="D83" s="19">
        <f>'GF + UG Iteration 1'!D83</f>
        <v>7.5607136656563343</v>
      </c>
      <c r="E83" s="30">
        <f>'GF + UG Iteration 1'!E83</f>
        <v>2003</v>
      </c>
      <c r="F83" s="18"/>
      <c r="G83" s="19"/>
      <c r="H83" s="20"/>
      <c r="I83" s="18">
        <f t="shared" si="5"/>
        <v>12</v>
      </c>
      <c r="J83" s="19">
        <f t="shared" si="6"/>
        <v>7.5607136656563343</v>
      </c>
      <c r="K83" s="20">
        <f t="shared" si="7"/>
        <v>2003</v>
      </c>
      <c r="M83" s="21">
        <f t="shared" si="8"/>
        <v>2.4849066497880004</v>
      </c>
      <c r="N83" s="21">
        <f t="shared" si="9"/>
        <v>2.022965585955113</v>
      </c>
    </row>
    <row r="84" spans="1:14" x14ac:dyDescent="0.2">
      <c r="A84" s="25">
        <f>'GF + UG Iteration 1'!A84</f>
        <v>769</v>
      </c>
      <c r="B84" s="25" t="str">
        <f>'GF + UG Iteration 1'!B84</f>
        <v>GF</v>
      </c>
      <c r="C84" s="18">
        <f>'GF + UG Iteration 1'!C84</f>
        <v>40</v>
      </c>
      <c r="D84" s="19">
        <f>'GF + UG Iteration 1'!D84</f>
        <v>26.381292343151443</v>
      </c>
      <c r="E84" s="30">
        <f>'GF + UG Iteration 1'!E84</f>
        <v>2007</v>
      </c>
      <c r="F84" s="18"/>
      <c r="G84" s="19"/>
      <c r="H84" s="20"/>
      <c r="I84" s="18">
        <f t="shared" si="5"/>
        <v>40</v>
      </c>
      <c r="J84" s="19">
        <f t="shared" si="6"/>
        <v>26.381292343151443</v>
      </c>
      <c r="K84" s="20">
        <f t="shared" si="7"/>
        <v>2007</v>
      </c>
      <c r="M84" s="21">
        <f t="shared" si="8"/>
        <v>3.6888794541139363</v>
      </c>
      <c r="N84" s="21">
        <f t="shared" si="9"/>
        <v>3.2726551355945839</v>
      </c>
    </row>
    <row r="85" spans="1:14" x14ac:dyDescent="0.2">
      <c r="A85" s="25">
        <f>'GF + UG Iteration 1'!A85</f>
        <v>948</v>
      </c>
      <c r="B85" s="25" t="str">
        <f>'GF + UG Iteration 1'!B85</f>
        <v>GF</v>
      </c>
      <c r="C85" s="18">
        <f>'GF + UG Iteration 1'!C85</f>
        <v>57</v>
      </c>
      <c r="D85" s="19">
        <f>'GF + UG Iteration 1'!D85</f>
        <v>12.653662771089085</v>
      </c>
      <c r="E85" s="30">
        <f>'GF + UG Iteration 1'!E85</f>
        <v>2014</v>
      </c>
      <c r="F85" s="18"/>
      <c r="G85" s="19"/>
      <c r="H85" s="20"/>
      <c r="I85" s="18">
        <f t="shared" si="5"/>
        <v>57</v>
      </c>
      <c r="J85" s="19">
        <f t="shared" si="6"/>
        <v>12.653662771089085</v>
      </c>
      <c r="K85" s="20">
        <f t="shared" si="7"/>
        <v>2014</v>
      </c>
      <c r="M85" s="21">
        <f t="shared" si="8"/>
        <v>4.0430512678345503</v>
      </c>
      <c r="N85" s="21">
        <f t="shared" si="9"/>
        <v>2.5379467203845181</v>
      </c>
    </row>
    <row r="86" spans="1:14" x14ac:dyDescent="0.2">
      <c r="A86" s="25">
        <f>'GF + UG Iteration 1'!A86</f>
        <v>1128</v>
      </c>
      <c r="B86" s="25" t="str">
        <f>'GF + UG Iteration 1'!B86</f>
        <v>GF</v>
      </c>
      <c r="C86" s="18">
        <f>'GF + UG Iteration 1'!C86</f>
        <v>45</v>
      </c>
      <c r="D86" s="19">
        <f>'GF + UG Iteration 1'!D86</f>
        <v>63.556235718349399</v>
      </c>
      <c r="E86" s="30">
        <f>'GF + UG Iteration 1'!E86</f>
        <v>2013</v>
      </c>
      <c r="F86" s="18"/>
      <c r="G86" s="19"/>
      <c r="H86" s="20"/>
      <c r="I86" s="18">
        <f t="shared" si="5"/>
        <v>45</v>
      </c>
      <c r="J86" s="19">
        <f t="shared" si="6"/>
        <v>63.556235718349399</v>
      </c>
      <c r="K86" s="20">
        <f t="shared" si="7"/>
        <v>2013</v>
      </c>
      <c r="M86" s="21">
        <f t="shared" si="8"/>
        <v>3.8066624897703196</v>
      </c>
      <c r="N86" s="21">
        <f t="shared" si="9"/>
        <v>4.1519251158484547</v>
      </c>
    </row>
    <row r="87" spans="1:14" x14ac:dyDescent="0.2">
      <c r="A87" s="25">
        <f>'GF + UG Iteration 1'!A87</f>
        <v>1214</v>
      </c>
      <c r="B87" s="25" t="str">
        <f>'GF + UG Iteration 1'!B87</f>
        <v>GF</v>
      </c>
      <c r="C87" s="18">
        <f>'GF + UG Iteration 1'!C87</f>
        <v>52</v>
      </c>
      <c r="D87" s="19">
        <f>'GF + UG Iteration 1'!D87</f>
        <v>22.631695273294461</v>
      </c>
      <c r="E87" s="30">
        <f>'GF + UG Iteration 1'!E87</f>
        <v>2013</v>
      </c>
      <c r="F87" s="18"/>
      <c r="G87" s="19"/>
      <c r="H87" s="20"/>
      <c r="I87" s="18">
        <f t="shared" si="5"/>
        <v>52</v>
      </c>
      <c r="J87" s="19">
        <f t="shared" si="6"/>
        <v>22.631695273294461</v>
      </c>
      <c r="K87" s="20">
        <f t="shared" si="7"/>
        <v>2013</v>
      </c>
      <c r="M87" s="21">
        <f t="shared" si="8"/>
        <v>3.9512437185814275</v>
      </c>
      <c r="N87" s="21">
        <f t="shared" si="9"/>
        <v>3.1193513694907367</v>
      </c>
    </row>
    <row r="88" spans="1:14" x14ac:dyDescent="0.2">
      <c r="A88" s="25">
        <f>'GF + UG Iteration 1'!A88</f>
        <v>1225</v>
      </c>
      <c r="B88" s="25" t="str">
        <f>'GF + UG Iteration 1'!B88</f>
        <v>GF</v>
      </c>
      <c r="C88" s="18">
        <f>'GF + UG Iteration 1'!C88</f>
        <v>20</v>
      </c>
      <c r="D88" s="19">
        <f>'GF + UG Iteration 1'!D88</f>
        <v>18.636695744675041</v>
      </c>
      <c r="E88" s="30">
        <f>'GF + UG Iteration 1'!E88</f>
        <v>2013</v>
      </c>
      <c r="F88" s="18"/>
      <c r="G88" s="19"/>
      <c r="H88" s="20"/>
      <c r="I88" s="18">
        <f t="shared" si="5"/>
        <v>20</v>
      </c>
      <c r="J88" s="19">
        <f t="shared" si="6"/>
        <v>18.636695744675041</v>
      </c>
      <c r="K88" s="20">
        <f t="shared" si="7"/>
        <v>2013</v>
      </c>
      <c r="M88" s="21">
        <f t="shared" si="8"/>
        <v>2.9957322735539909</v>
      </c>
      <c r="N88" s="21">
        <f t="shared" si="9"/>
        <v>2.925132526627233</v>
      </c>
    </row>
    <row r="89" spans="1:14" x14ac:dyDescent="0.2">
      <c r="A89" s="25">
        <f>'GF + UG Iteration 1'!A89</f>
        <v>1263</v>
      </c>
      <c r="B89" s="25" t="str">
        <f>'GF + UG Iteration 1'!B89</f>
        <v>GF</v>
      </c>
      <c r="C89" s="18">
        <f>'GF + UG Iteration 1'!C89</f>
        <v>8</v>
      </c>
      <c r="D89" s="19">
        <f>'GF + UG Iteration 1'!D89</f>
        <v>19.611656992669992</v>
      </c>
      <c r="E89" s="30">
        <f>'GF + UG Iteration 1'!E89</f>
        <v>2013</v>
      </c>
      <c r="F89" s="18"/>
      <c r="G89" s="19"/>
      <c r="H89" s="20"/>
      <c r="I89" s="18">
        <f t="shared" si="5"/>
        <v>8</v>
      </c>
      <c r="J89" s="19">
        <f t="shared" si="6"/>
        <v>19.611656992669992</v>
      </c>
      <c r="K89" s="20">
        <f t="shared" si="7"/>
        <v>2013</v>
      </c>
      <c r="M89" s="21">
        <f t="shared" si="8"/>
        <v>2.0794415416798357</v>
      </c>
      <c r="N89" s="21">
        <f t="shared" si="9"/>
        <v>2.9761241339700195</v>
      </c>
    </row>
    <row r="90" spans="1:14" x14ac:dyDescent="0.2">
      <c r="A90" s="25">
        <f>'GF + UG Iteration 1'!A90</f>
        <v>1309</v>
      </c>
      <c r="B90" s="25" t="str">
        <f>'GF + UG Iteration 1'!B90</f>
        <v>GF</v>
      </c>
      <c r="C90" s="18">
        <f>'GF + UG Iteration 1'!C90</f>
        <v>15</v>
      </c>
      <c r="D90" s="19">
        <f>'GF + UG Iteration 1'!D90</f>
        <v>16.109333942693336</v>
      </c>
      <c r="E90" s="30">
        <f>'GF + UG Iteration 1'!E90</f>
        <v>2013</v>
      </c>
      <c r="F90" s="18"/>
      <c r="G90" s="19"/>
      <c r="H90" s="20"/>
      <c r="I90" s="18">
        <f t="shared" si="5"/>
        <v>15</v>
      </c>
      <c r="J90" s="19">
        <f t="shared" si="6"/>
        <v>16.109333942693336</v>
      </c>
      <c r="K90" s="20">
        <f t="shared" si="7"/>
        <v>2013</v>
      </c>
      <c r="M90" s="21">
        <f t="shared" si="8"/>
        <v>2.7080502011022101</v>
      </c>
      <c r="N90" s="21">
        <f t="shared" si="9"/>
        <v>2.7793988519948485</v>
      </c>
    </row>
    <row r="91" spans="1:14" x14ac:dyDescent="0.2">
      <c r="A91" s="25">
        <f>'GF + UG Iteration 1'!A91</f>
        <v>1349</v>
      </c>
      <c r="B91" s="25" t="str">
        <f>'GF + UG Iteration 1'!B91</f>
        <v>GF</v>
      </c>
      <c r="C91" s="18">
        <f>'GF + UG Iteration 1'!C91</f>
        <v>34</v>
      </c>
      <c r="D91" s="19">
        <f>'GF + UG Iteration 1'!D91</f>
        <v>8.9679522578977586</v>
      </c>
      <c r="E91" s="30">
        <f>'GF + UG Iteration 1'!E91</f>
        <v>2013</v>
      </c>
      <c r="F91" s="18"/>
      <c r="G91" s="19"/>
      <c r="H91" s="20"/>
      <c r="I91" s="18">
        <f t="shared" si="5"/>
        <v>34</v>
      </c>
      <c r="J91" s="19">
        <f t="shared" si="6"/>
        <v>8.9679522578977586</v>
      </c>
      <c r="K91" s="20">
        <f t="shared" si="7"/>
        <v>2013</v>
      </c>
      <c r="M91" s="21">
        <f t="shared" si="8"/>
        <v>3.5263605246161616</v>
      </c>
      <c r="N91" s="21">
        <f t="shared" si="9"/>
        <v>2.193657362149283</v>
      </c>
    </row>
    <row r="92" spans="1:14" x14ac:dyDescent="0.2">
      <c r="A92" s="25">
        <f>'GF + UG Iteration 1'!A92</f>
        <v>1358</v>
      </c>
      <c r="B92" s="25" t="str">
        <f>'GF + UG Iteration 1'!B92</f>
        <v>GF</v>
      </c>
      <c r="C92" s="18">
        <f>'GF + UG Iteration 1'!C92</f>
        <v>27</v>
      </c>
      <c r="D92" s="19">
        <f>'GF + UG Iteration 1'!D92</f>
        <v>13.07265503282744</v>
      </c>
      <c r="E92" s="30">
        <f>'GF + UG Iteration 1'!E92</f>
        <v>2013</v>
      </c>
      <c r="F92" s="18"/>
      <c r="G92" s="19"/>
      <c r="H92" s="20"/>
      <c r="I92" s="18">
        <f t="shared" si="5"/>
        <v>27</v>
      </c>
      <c r="J92" s="19">
        <f t="shared" si="6"/>
        <v>13.07265503282744</v>
      </c>
      <c r="K92" s="20">
        <f t="shared" si="7"/>
        <v>2013</v>
      </c>
      <c r="M92" s="21">
        <f t="shared" si="8"/>
        <v>3.2958368660043291</v>
      </c>
      <c r="N92" s="21">
        <f t="shared" si="9"/>
        <v>2.5705226464726247</v>
      </c>
    </row>
    <row r="93" spans="1:14" x14ac:dyDescent="0.2">
      <c r="A93" s="25">
        <f>'GF + UG Iteration 1'!A93</f>
        <v>1404</v>
      </c>
      <c r="B93" s="25" t="str">
        <f>'GF + UG Iteration 1'!B93</f>
        <v>GF</v>
      </c>
      <c r="C93" s="18">
        <f>'GF + UG Iteration 1'!C93</f>
        <v>35</v>
      </c>
      <c r="D93" s="19">
        <f>'GF + UG Iteration 1'!D93</f>
        <v>35.276341164894447</v>
      </c>
      <c r="E93" s="30">
        <f>'GF + UG Iteration 1'!E93</f>
        <v>2013</v>
      </c>
      <c r="F93" s="18"/>
      <c r="G93" s="19"/>
      <c r="H93" s="20"/>
      <c r="I93" s="18">
        <f t="shared" si="5"/>
        <v>35</v>
      </c>
      <c r="J93" s="19">
        <f t="shared" si="6"/>
        <v>35.276341164894447</v>
      </c>
      <c r="K93" s="20">
        <f t="shared" si="7"/>
        <v>2013</v>
      </c>
      <c r="M93" s="21">
        <f t="shared" si="8"/>
        <v>3.5553480614894135</v>
      </c>
      <c r="N93" s="21">
        <f t="shared" si="9"/>
        <v>3.5632125172824458</v>
      </c>
    </row>
    <row r="94" spans="1:14" x14ac:dyDescent="0.2">
      <c r="A94" s="25">
        <f>'GF + UG Iteration 1'!A94</f>
        <v>1482</v>
      </c>
      <c r="B94" s="25" t="str">
        <f>'GF + UG Iteration 1'!B94</f>
        <v>GF</v>
      </c>
      <c r="C94" s="18">
        <f>'GF + UG Iteration 1'!C94</f>
        <v>18.399999999999999</v>
      </c>
      <c r="D94" s="19">
        <f>'GF + UG Iteration 1'!D94</f>
        <v>18.765793673519447</v>
      </c>
      <c r="E94" s="30">
        <f>'GF + UG Iteration 1'!E94</f>
        <v>2013</v>
      </c>
      <c r="F94" s="18"/>
      <c r="G94" s="19"/>
      <c r="H94" s="20"/>
      <c r="I94" s="18">
        <f t="shared" si="5"/>
        <v>18.399999999999999</v>
      </c>
      <c r="J94" s="19">
        <f t="shared" si="6"/>
        <v>18.765793673519447</v>
      </c>
      <c r="K94" s="20">
        <f t="shared" si="7"/>
        <v>2013</v>
      </c>
      <c r="M94" s="21">
        <f t="shared" si="8"/>
        <v>2.91235066461494</v>
      </c>
      <c r="N94" s="21">
        <f t="shared" si="9"/>
        <v>2.9320357271105943</v>
      </c>
    </row>
    <row r="95" spans="1:14" x14ac:dyDescent="0.2">
      <c r="A95" s="25">
        <f>'GF + UG Iteration 1'!A95</f>
        <v>1515</v>
      </c>
      <c r="B95" s="25" t="str">
        <f>'GF + UG Iteration 1'!B95</f>
        <v>GF</v>
      </c>
      <c r="C95" s="18">
        <f>'GF + UG Iteration 1'!C95</f>
        <v>7.2</v>
      </c>
      <c r="D95" s="19">
        <f>'GF + UG Iteration 1'!D95</f>
        <v>12.99271394051414</v>
      </c>
      <c r="E95" s="30">
        <f>'GF + UG Iteration 1'!E95</f>
        <v>2013</v>
      </c>
      <c r="F95" s="18"/>
      <c r="G95" s="19"/>
      <c r="H95" s="20"/>
      <c r="I95" s="18">
        <f t="shared" si="5"/>
        <v>7.2</v>
      </c>
      <c r="J95" s="19">
        <f t="shared" si="6"/>
        <v>12.99271394051414</v>
      </c>
      <c r="K95" s="20">
        <f t="shared" si="7"/>
        <v>2013</v>
      </c>
      <c r="M95" s="21">
        <f t="shared" si="8"/>
        <v>1.9740810260220096</v>
      </c>
      <c r="N95" s="21">
        <f t="shared" si="9"/>
        <v>2.5643887342273977</v>
      </c>
    </row>
    <row r="96" spans="1:14" x14ac:dyDescent="0.2">
      <c r="A96" s="25">
        <f>'GF + UG Iteration 1'!A96</f>
        <v>1618</v>
      </c>
      <c r="B96" s="25" t="str">
        <f>'GF + UG Iteration 1'!B96</f>
        <v>GF</v>
      </c>
      <c r="C96" s="18">
        <f>'GF + UG Iteration 1'!C96</f>
        <v>21</v>
      </c>
      <c r="D96" s="19">
        <f>'GF + UG Iteration 1'!D96</f>
        <v>15.965955598995766</v>
      </c>
      <c r="E96" s="30">
        <f>'GF + UG Iteration 1'!E96</f>
        <v>2016</v>
      </c>
      <c r="F96" s="18"/>
      <c r="G96" s="19"/>
      <c r="H96" s="20"/>
      <c r="I96" s="18">
        <f t="shared" si="5"/>
        <v>21</v>
      </c>
      <c r="J96" s="19">
        <f t="shared" si="6"/>
        <v>15.965955598995766</v>
      </c>
      <c r="K96" s="20">
        <f t="shared" si="7"/>
        <v>2016</v>
      </c>
      <c r="M96" s="21">
        <f t="shared" si="8"/>
        <v>3.044522437723423</v>
      </c>
      <c r="N96" s="21">
        <f t="shared" si="9"/>
        <v>2.7704586802474096</v>
      </c>
    </row>
    <row r="97" spans="1:17" x14ac:dyDescent="0.2">
      <c r="A97" s="25">
        <f>'GF + UG Iteration 1'!A97</f>
        <v>1634</v>
      </c>
      <c r="B97" s="25" t="str">
        <f>'GF + UG Iteration 1'!B97</f>
        <v>GF</v>
      </c>
      <c r="C97" s="18">
        <f>'GF + UG Iteration 1'!C97</f>
        <v>17.899999999999999</v>
      </c>
      <c r="D97" s="19">
        <f>'GF + UG Iteration 1'!D97</f>
        <v>17.172783979023848</v>
      </c>
      <c r="E97" s="30">
        <f>'GF + UG Iteration 1'!E97</f>
        <v>2015</v>
      </c>
      <c r="F97" s="18"/>
      <c r="G97" s="19"/>
      <c r="H97" s="20"/>
      <c r="I97" s="18">
        <f t="shared" si="5"/>
        <v>17.899999999999999</v>
      </c>
      <c r="J97" s="19">
        <f t="shared" si="6"/>
        <v>17.172783979023848</v>
      </c>
      <c r="K97" s="20">
        <f t="shared" si="7"/>
        <v>2015</v>
      </c>
      <c r="M97" s="21">
        <f t="shared" si="8"/>
        <v>2.884800712846709</v>
      </c>
      <c r="N97" s="21">
        <f t="shared" si="9"/>
        <v>2.8433258038172586</v>
      </c>
    </row>
    <row r="98" spans="1:17" x14ac:dyDescent="0.2">
      <c r="A98" s="25">
        <f>'GF + UG Iteration 1'!A98</f>
        <v>1258</v>
      </c>
      <c r="B98" s="25" t="str">
        <f>'GF + UG Iteration 1'!B98</f>
        <v>GF</v>
      </c>
      <c r="C98" s="18">
        <f>'GF + UG Iteration 1'!C98</f>
        <v>46</v>
      </c>
      <c r="D98" s="19">
        <f>'GF + UG Iteration 1'!D98</f>
        <v>53.518330212347877</v>
      </c>
      <c r="E98" s="30">
        <f>'GF + UG Iteration 1'!E98</f>
        <v>2017</v>
      </c>
      <c r="F98" s="18"/>
      <c r="G98" s="19"/>
      <c r="H98" s="20"/>
      <c r="I98" s="18">
        <f t="shared" si="5"/>
        <v>46</v>
      </c>
      <c r="J98" s="19">
        <f t="shared" si="6"/>
        <v>53.518330212347877</v>
      </c>
      <c r="K98" s="20">
        <f t="shared" si="7"/>
        <v>2017</v>
      </c>
      <c r="M98" s="21">
        <f t="shared" si="8"/>
        <v>3.8286413964890951</v>
      </c>
      <c r="N98" s="21">
        <f t="shared" si="9"/>
        <v>3.98002421601241</v>
      </c>
    </row>
    <row r="99" spans="1:17" x14ac:dyDescent="0.2">
      <c r="A99" s="25">
        <f>'GF + UG Iteration 1'!A99</f>
        <v>1284</v>
      </c>
      <c r="B99" s="25" t="str">
        <f>'GF + UG Iteration 1'!B99</f>
        <v>GF</v>
      </c>
      <c r="C99" s="18">
        <f>'GF + UG Iteration 1'!C99</f>
        <v>24.1</v>
      </c>
      <c r="D99" s="19">
        <f>'GF + UG Iteration 1'!D99</f>
        <v>7.0843108002972475</v>
      </c>
      <c r="E99" s="30">
        <f>'GF + UG Iteration 1'!E99</f>
        <v>2013</v>
      </c>
      <c r="F99" s="18"/>
      <c r="G99" s="19"/>
      <c r="H99" s="20"/>
      <c r="I99" s="18">
        <f t="shared" si="5"/>
        <v>24.1</v>
      </c>
      <c r="J99" s="19">
        <f t="shared" si="6"/>
        <v>7.0843108002972475</v>
      </c>
      <c r="K99" s="20">
        <f t="shared" si="7"/>
        <v>2013</v>
      </c>
      <c r="M99" s="21">
        <f t="shared" si="8"/>
        <v>3.1822118404966093</v>
      </c>
      <c r="N99" s="21">
        <f t="shared" si="9"/>
        <v>1.9578825925179175</v>
      </c>
    </row>
    <row r="100" spans="1:17" x14ac:dyDescent="0.2">
      <c r="A100" s="25" t="str">
        <f>'GF + UG Iteration 1'!A100</f>
        <v>Pre-01</v>
      </c>
      <c r="B100" s="25" t="str">
        <f>'GF + UG Iteration 1'!B100</f>
        <v>GF</v>
      </c>
      <c r="C100" s="18">
        <f>'GF + UG Iteration 1'!C100</f>
        <v>2.2000000000000002</v>
      </c>
      <c r="D100" s="19">
        <f>'GF + UG Iteration 1'!D100</f>
        <v>2.4933711786255444</v>
      </c>
      <c r="E100" s="30">
        <f>'GF + UG Iteration 1'!E100</f>
        <v>1990</v>
      </c>
      <c r="F100" s="18"/>
      <c r="G100" s="19"/>
      <c r="H100" s="20"/>
      <c r="I100" s="18">
        <f t="shared" si="5"/>
        <v>2.2000000000000002</v>
      </c>
      <c r="J100" s="19">
        <f t="shared" si="6"/>
        <v>2.4933711786255444</v>
      </c>
      <c r="K100" s="20">
        <f t="shared" si="7"/>
        <v>1990</v>
      </c>
      <c r="M100" s="21">
        <f t="shared" si="8"/>
        <v>0.78845736036427028</v>
      </c>
      <c r="N100" s="21">
        <f t="shared" si="9"/>
        <v>0.91363568179621524</v>
      </c>
    </row>
    <row r="101" spans="1:17" x14ac:dyDescent="0.2">
      <c r="A101" s="25" t="str">
        <f>'GF + UG Iteration 1'!A101</f>
        <v>Pre-02</v>
      </c>
      <c r="B101" s="25" t="str">
        <f>'GF + UG Iteration 1'!B101</f>
        <v>GF</v>
      </c>
      <c r="C101" s="18">
        <f>'GF + UG Iteration 1'!C101</f>
        <v>1.464</v>
      </c>
      <c r="D101" s="19">
        <f>'GF + UG Iteration 1'!D101</f>
        <v>1.4940223849019025</v>
      </c>
      <c r="E101" s="30">
        <f>'GF + UG Iteration 1'!E101</f>
        <v>1987</v>
      </c>
      <c r="F101" s="18"/>
      <c r="G101" s="19"/>
      <c r="H101" s="20"/>
      <c r="I101" s="18">
        <f t="shared" si="5"/>
        <v>1.464</v>
      </c>
      <c r="J101" s="19">
        <f t="shared" si="6"/>
        <v>1.4940223849019025</v>
      </c>
      <c r="K101" s="20">
        <f t="shared" si="7"/>
        <v>1987</v>
      </c>
      <c r="M101" s="21">
        <f t="shared" si="8"/>
        <v>0.38117241553911979</v>
      </c>
      <c r="N101" s="21">
        <f t="shared" si="9"/>
        <v>0.40147206979911648</v>
      </c>
    </row>
    <row r="102" spans="1:17" x14ac:dyDescent="0.2">
      <c r="A102" s="25" t="str">
        <f>'GF + UG Iteration 1'!A102</f>
        <v>Pre-03</v>
      </c>
      <c r="B102" s="25" t="str">
        <f>'GF + UG Iteration 1'!B102</f>
        <v>GF</v>
      </c>
      <c r="C102" s="18">
        <f>'GF + UG Iteration 1'!C102</f>
        <v>4.0750000000000002</v>
      </c>
      <c r="D102" s="19">
        <f>'GF + UG Iteration 1'!D102</f>
        <v>1.9369408873503524</v>
      </c>
      <c r="E102" s="30">
        <f>'GF + UG Iteration 1'!E102</f>
        <v>1990</v>
      </c>
      <c r="F102" s="18"/>
      <c r="G102" s="19"/>
      <c r="H102" s="20"/>
      <c r="I102" s="18">
        <f t="shared" si="5"/>
        <v>4.0750000000000002</v>
      </c>
      <c r="J102" s="19">
        <f t="shared" si="6"/>
        <v>1.9369408873503524</v>
      </c>
      <c r="K102" s="20">
        <f t="shared" si="7"/>
        <v>1990</v>
      </c>
      <c r="M102" s="21">
        <f t="shared" si="8"/>
        <v>1.4048707466928261</v>
      </c>
      <c r="N102" s="21">
        <f t="shared" si="9"/>
        <v>0.66110986632901214</v>
      </c>
    </row>
    <row r="103" spans="1:17" x14ac:dyDescent="0.2">
      <c r="A103" s="25" t="str">
        <f>'GF + UG Iteration 1'!A103</f>
        <v>Pre-04</v>
      </c>
      <c r="B103" s="25" t="str">
        <f>'GF + UG Iteration 1'!B103</f>
        <v>GF</v>
      </c>
      <c r="C103" s="18">
        <f>'GF + UG Iteration 1'!C103</f>
        <v>10</v>
      </c>
      <c r="D103" s="19">
        <f>'GF + UG Iteration 1'!D103</f>
        <v>8.526519330793306</v>
      </c>
      <c r="E103" s="30">
        <f>'GF + UG Iteration 1'!E103</f>
        <v>1991</v>
      </c>
      <c r="F103" s="18"/>
      <c r="G103" s="19"/>
      <c r="H103" s="20"/>
      <c r="I103" s="18">
        <f t="shared" si="5"/>
        <v>10</v>
      </c>
      <c r="J103" s="19">
        <f t="shared" si="6"/>
        <v>8.526519330793306</v>
      </c>
      <c r="K103" s="20">
        <f t="shared" si="7"/>
        <v>1991</v>
      </c>
      <c r="M103" s="21">
        <f t="shared" si="8"/>
        <v>2.3025850929940459</v>
      </c>
      <c r="N103" s="21">
        <f t="shared" si="9"/>
        <v>2.143181227911088</v>
      </c>
    </row>
    <row r="104" spans="1:17" x14ac:dyDescent="0.2">
      <c r="A104" s="25" t="str">
        <f>'GF + UG Iteration 1'!A104</f>
        <v>Pre-05</v>
      </c>
      <c r="B104" s="25" t="str">
        <f>'GF + UG Iteration 1'!B104</f>
        <v>GF</v>
      </c>
      <c r="C104" s="18">
        <f>'GF + UG Iteration 1'!C104</f>
        <v>4.8</v>
      </c>
      <c r="D104" s="19">
        <f>'GF + UG Iteration 1'!D104</f>
        <v>4.0521826998299986</v>
      </c>
      <c r="E104" s="30">
        <f>'GF + UG Iteration 1'!E104</f>
        <v>1988</v>
      </c>
      <c r="F104" s="18"/>
      <c r="G104" s="19"/>
      <c r="H104" s="20"/>
      <c r="I104" s="18">
        <f t="shared" si="5"/>
        <v>4.8</v>
      </c>
      <c r="J104" s="19">
        <f t="shared" si="6"/>
        <v>4.0521826998299986</v>
      </c>
      <c r="K104" s="20">
        <f t="shared" si="7"/>
        <v>1988</v>
      </c>
      <c r="M104" s="21">
        <f t="shared" si="8"/>
        <v>1.5686159179138452</v>
      </c>
      <c r="N104" s="21">
        <f t="shared" si="9"/>
        <v>1.3992556741730273</v>
      </c>
    </row>
    <row r="105" spans="1:17" x14ac:dyDescent="0.2">
      <c r="A105" s="25" t="str">
        <f>'GF + UG Iteration 1'!A105</f>
        <v>Pre-06</v>
      </c>
      <c r="B105" s="25" t="str">
        <f>'GF + UG Iteration 1'!B105</f>
        <v>GF</v>
      </c>
      <c r="C105" s="18">
        <f>'GF + UG Iteration 1'!C105</f>
        <v>5.0999999999999996</v>
      </c>
      <c r="D105" s="19">
        <f>'GF + UG Iteration 1'!D105</f>
        <v>9.6482174286466869</v>
      </c>
      <c r="E105" s="30">
        <f>'GF + UG Iteration 1'!E105</f>
        <v>1989</v>
      </c>
      <c r="F105" s="18"/>
      <c r="G105" s="19"/>
      <c r="H105" s="20"/>
      <c r="I105" s="18">
        <f t="shared" si="5"/>
        <v>5.0999999999999996</v>
      </c>
      <c r="J105" s="19">
        <f t="shared" si="6"/>
        <v>9.6482174286466869</v>
      </c>
      <c r="K105" s="20">
        <f t="shared" si="7"/>
        <v>1989</v>
      </c>
      <c r="M105" s="21">
        <f t="shared" si="8"/>
        <v>1.62924053973028</v>
      </c>
      <c r="N105" s="21">
        <f t="shared" si="9"/>
        <v>2.2667731758675744</v>
      </c>
    </row>
    <row r="106" spans="1:17" x14ac:dyDescent="0.2">
      <c r="A106" s="25" t="str">
        <f>'GF + UG Iteration 1'!A106</f>
        <v>Pre-07</v>
      </c>
      <c r="B106" s="25" t="str">
        <f>'GF + UG Iteration 1'!B106</f>
        <v>GF</v>
      </c>
      <c r="C106" s="18">
        <f>'GF + UG Iteration 1'!C106</f>
        <v>6.9</v>
      </c>
      <c r="D106" s="19">
        <f>'GF + UG Iteration 1'!D106</f>
        <v>5.029432718717521</v>
      </c>
      <c r="E106" s="30">
        <f>'GF + UG Iteration 1'!E106</f>
        <v>1997</v>
      </c>
      <c r="F106" s="18"/>
      <c r="G106" s="19"/>
      <c r="H106" s="20"/>
      <c r="I106" s="18">
        <f t="shared" si="5"/>
        <v>6.9</v>
      </c>
      <c r="J106" s="19">
        <f t="shared" si="6"/>
        <v>5.029432718717521</v>
      </c>
      <c r="K106" s="20">
        <f t="shared" si="7"/>
        <v>1997</v>
      </c>
      <c r="M106" s="21">
        <f t="shared" si="8"/>
        <v>1.9315214116032138</v>
      </c>
      <c r="N106" s="21">
        <f t="shared" si="9"/>
        <v>1.6153071981725313</v>
      </c>
    </row>
    <row r="107" spans="1:17" x14ac:dyDescent="0.2">
      <c r="A107" s="25" t="str">
        <f>'GF + UG Iteration 1'!A107</f>
        <v>Pre-08</v>
      </c>
      <c r="B107" s="25" t="str">
        <f>'GF + UG Iteration 1'!B107</f>
        <v>GF</v>
      </c>
      <c r="C107" s="18">
        <f>'GF + UG Iteration 1'!C107</f>
        <v>11.8</v>
      </c>
      <c r="D107" s="19">
        <f>'GF + UG Iteration 1'!D107</f>
        <v>6.372939235597177</v>
      </c>
      <c r="E107" s="30">
        <f>'GF + UG Iteration 1'!E107</f>
        <v>1987</v>
      </c>
      <c r="F107" s="18"/>
      <c r="G107" s="19"/>
      <c r="H107" s="20"/>
      <c r="I107" s="18">
        <f t="shared" si="5"/>
        <v>11.8</v>
      </c>
      <c r="J107" s="19">
        <f t="shared" si="6"/>
        <v>6.372939235597177</v>
      </c>
      <c r="K107" s="20">
        <f t="shared" si="7"/>
        <v>1987</v>
      </c>
      <c r="M107" s="21">
        <f t="shared" si="8"/>
        <v>2.4680995314716192</v>
      </c>
      <c r="N107" s="21">
        <f t="shared" si="9"/>
        <v>1.8520607816244041</v>
      </c>
      <c r="P107"/>
      <c r="Q107"/>
    </row>
    <row r="108" spans="1:17" x14ac:dyDescent="0.2">
      <c r="A108" s="25" t="str">
        <f>'GF + UG Iteration 1'!A108</f>
        <v>Pre-09</v>
      </c>
      <c r="B108" s="25" t="str">
        <f>'GF + UG Iteration 1'!B108</f>
        <v>GF</v>
      </c>
      <c r="C108" s="18">
        <f>'GF + UG Iteration 1'!C108</f>
        <v>9.6999999999999993</v>
      </c>
      <c r="D108" s="19">
        <f>'GF + UG Iteration 1'!D108</f>
        <v>2.9443376052628771</v>
      </c>
      <c r="E108" s="30">
        <f>'GF + UG Iteration 1'!E108</f>
        <v>1997</v>
      </c>
      <c r="F108" s="18"/>
      <c r="G108" s="19"/>
      <c r="H108" s="20"/>
      <c r="I108" s="18">
        <f t="shared" si="5"/>
        <v>9.6999999999999993</v>
      </c>
      <c r="J108" s="19">
        <f t="shared" si="6"/>
        <v>2.9443376052628771</v>
      </c>
      <c r="K108" s="20">
        <f t="shared" si="7"/>
        <v>1997</v>
      </c>
      <c r="M108" s="21">
        <f t="shared" si="8"/>
        <v>2.2721258855093369</v>
      </c>
      <c r="N108" s="21">
        <f t="shared" si="9"/>
        <v>1.0798838699925799</v>
      </c>
      <c r="P108"/>
      <c r="Q108"/>
    </row>
    <row r="109" spans="1:17" x14ac:dyDescent="0.2">
      <c r="A109" s="25" t="str">
        <f>'GF + UG Iteration 1'!A109</f>
        <v>Pre-10</v>
      </c>
      <c r="B109" s="25" t="str">
        <f>'GF + UG Iteration 1'!B109</f>
        <v>GF</v>
      </c>
      <c r="C109" s="18">
        <f>'GF + UG Iteration 1'!C109</f>
        <v>6.12</v>
      </c>
      <c r="D109" s="19">
        <f>'GF + UG Iteration 1'!D109</f>
        <v>13.481108575958453</v>
      </c>
      <c r="E109" s="30">
        <f>'GF + UG Iteration 1'!E109</f>
        <v>1990</v>
      </c>
      <c r="F109" s="18"/>
      <c r="G109" s="19"/>
      <c r="H109" s="20"/>
      <c r="I109" s="18">
        <f t="shared" si="5"/>
        <v>6.12</v>
      </c>
      <c r="J109" s="19">
        <f t="shared" si="6"/>
        <v>13.481108575958453</v>
      </c>
      <c r="K109" s="20">
        <f t="shared" si="7"/>
        <v>1990</v>
      </c>
      <c r="M109" s="21">
        <f t="shared" si="8"/>
        <v>1.8115620965242347</v>
      </c>
      <c r="N109" s="21">
        <f t="shared" si="9"/>
        <v>2.6012893406753403</v>
      </c>
    </row>
    <row r="110" spans="1:17" x14ac:dyDescent="0.2">
      <c r="A110" s="25" t="str">
        <f>'GF + UG Iteration 1'!A110</f>
        <v>Pre-11</v>
      </c>
      <c r="B110" s="25" t="str">
        <f>'GF + UG Iteration 1'!B110</f>
        <v>GF</v>
      </c>
      <c r="C110" s="18">
        <f>'GF + UG Iteration 1'!C110</f>
        <v>6.2671999999999999</v>
      </c>
      <c r="D110" s="19">
        <f>'GF + UG Iteration 1'!D110</f>
        <v>2.9102311039234974</v>
      </c>
      <c r="E110" s="30">
        <f>'GF + UG Iteration 1'!E110</f>
        <v>1987</v>
      </c>
      <c r="F110" s="18"/>
      <c r="G110" s="19"/>
      <c r="H110" s="20"/>
      <c r="I110" s="18">
        <f t="shared" si="5"/>
        <v>6.2671999999999999</v>
      </c>
      <c r="J110" s="19">
        <f t="shared" si="6"/>
        <v>2.9102311039234974</v>
      </c>
      <c r="K110" s="20">
        <f t="shared" si="7"/>
        <v>1987</v>
      </c>
      <c r="M110" s="21">
        <f t="shared" si="8"/>
        <v>1.8353296839294297</v>
      </c>
      <c r="N110" s="21">
        <f t="shared" si="9"/>
        <v>1.0682324951858668</v>
      </c>
    </row>
    <row r="111" spans="1:17" x14ac:dyDescent="0.2">
      <c r="A111" s="25" t="str">
        <f>'GF + UG Iteration 1'!A111</f>
        <v>Pre-12</v>
      </c>
      <c r="B111" s="25" t="str">
        <f>'GF + UG Iteration 1'!B111</f>
        <v>GF</v>
      </c>
      <c r="C111" s="18">
        <f>'GF + UG Iteration 1'!C111</f>
        <v>6.3659999999999997</v>
      </c>
      <c r="D111" s="19">
        <f>'GF + UG Iteration 1'!D111</f>
        <v>9.8906921245327926</v>
      </c>
      <c r="E111" s="30">
        <f>'GF + UG Iteration 1'!E111</f>
        <v>1993</v>
      </c>
      <c r="F111" s="18"/>
      <c r="G111" s="19"/>
      <c r="H111" s="20"/>
      <c r="I111" s="18">
        <f t="shared" si="5"/>
        <v>6.3659999999999997</v>
      </c>
      <c r="J111" s="19">
        <f t="shared" si="6"/>
        <v>9.8906921245327926</v>
      </c>
      <c r="K111" s="20">
        <f t="shared" si="7"/>
        <v>1993</v>
      </c>
      <c r="M111" s="21">
        <f t="shared" si="8"/>
        <v>1.850971328859901</v>
      </c>
      <c r="N111" s="21">
        <f t="shared" si="9"/>
        <v>2.2915941254440955</v>
      </c>
    </row>
    <row r="112" spans="1:17" x14ac:dyDescent="0.2">
      <c r="A112" s="25" t="str">
        <f>'GF + UG Iteration 1'!A112</f>
        <v>Pre-13</v>
      </c>
      <c r="B112" s="25" t="str">
        <f>'GF + UG Iteration 1'!B112</f>
        <v>GF</v>
      </c>
      <c r="C112" s="18">
        <f>'GF + UG Iteration 1'!C112</f>
        <v>8.5</v>
      </c>
      <c r="D112" s="19">
        <f>'GF + UG Iteration 1'!D112</f>
        <v>5.9446476688134462</v>
      </c>
      <c r="E112" s="30">
        <f>'GF + UG Iteration 1'!E112</f>
        <v>1990</v>
      </c>
      <c r="F112" s="18"/>
      <c r="G112" s="19"/>
      <c r="H112" s="20"/>
      <c r="I112" s="18">
        <f t="shared" si="5"/>
        <v>8.5</v>
      </c>
      <c r="J112" s="19">
        <f t="shared" si="6"/>
        <v>5.9446476688134462</v>
      </c>
      <c r="K112" s="20">
        <f t="shared" si="7"/>
        <v>1990</v>
      </c>
      <c r="M112" s="21">
        <f t="shared" si="8"/>
        <v>2.1400661634962708</v>
      </c>
      <c r="N112" s="21">
        <f t="shared" si="9"/>
        <v>1.7824912632583982</v>
      </c>
    </row>
    <row r="113" spans="1:14" x14ac:dyDescent="0.2">
      <c r="A113" s="25" t="str">
        <f>'GF + UG Iteration 1'!A113</f>
        <v>Pre-14</v>
      </c>
      <c r="B113" s="25" t="str">
        <f>'GF + UG Iteration 1'!B113</f>
        <v>GF</v>
      </c>
      <c r="C113" s="18">
        <f>'GF + UG Iteration 1'!C113</f>
        <v>46.55</v>
      </c>
      <c r="D113" s="19">
        <f>'GF + UG Iteration 1'!D113</f>
        <v>7.1936227504100643</v>
      </c>
      <c r="E113" s="30">
        <f>'GF + UG Iteration 1'!E113</f>
        <v>1991</v>
      </c>
      <c r="F113" s="18"/>
      <c r="G113" s="19"/>
      <c r="H113" s="20"/>
      <c r="I113" s="18">
        <f t="shared" si="5"/>
        <v>46.55</v>
      </c>
      <c r="J113" s="19">
        <f t="shared" si="6"/>
        <v>7.1936227504100643</v>
      </c>
      <c r="K113" s="20">
        <f t="shared" si="7"/>
        <v>1991</v>
      </c>
      <c r="M113" s="21">
        <f t="shared" si="8"/>
        <v>3.8405270037230759</v>
      </c>
      <c r="N113" s="21">
        <f t="shared" si="9"/>
        <v>1.9731949044224915</v>
      </c>
    </row>
    <row r="114" spans="1:14" x14ac:dyDescent="0.2">
      <c r="A114" s="25" t="str">
        <f>'GF + UG Iteration 1'!A114</f>
        <v>Pre-15</v>
      </c>
      <c r="B114" s="25" t="str">
        <f>'GF + UG Iteration 1'!B114</f>
        <v>GF</v>
      </c>
      <c r="C114" s="18">
        <f>'GF + UG Iteration 1'!C114</f>
        <v>56.8</v>
      </c>
      <c r="D114" s="19">
        <f>'GF + UG Iteration 1'!D114</f>
        <v>17.594466678549747</v>
      </c>
      <c r="E114" s="30">
        <f>'GF + UG Iteration 1'!E114</f>
        <v>1990</v>
      </c>
      <c r="F114" s="18"/>
      <c r="G114" s="19"/>
      <c r="H114" s="20"/>
      <c r="I114" s="18">
        <f t="shared" si="5"/>
        <v>56.8</v>
      </c>
      <c r="J114" s="19">
        <f t="shared" si="6"/>
        <v>17.594466678549747</v>
      </c>
      <c r="K114" s="20">
        <f t="shared" si="7"/>
        <v>1990</v>
      </c>
      <c r="M114" s="21">
        <f t="shared" si="8"/>
        <v>4.0395363257271057</v>
      </c>
      <c r="N114" s="21">
        <f t="shared" si="9"/>
        <v>2.867584459347964</v>
      </c>
    </row>
    <row r="115" spans="1:14" x14ac:dyDescent="0.2">
      <c r="A115" s="25" t="str">
        <f>'GF + UG Iteration 1'!A115</f>
        <v>Pre-16</v>
      </c>
      <c r="B115" s="25" t="str">
        <f>'GF + UG Iteration 1'!B115</f>
        <v>GF</v>
      </c>
      <c r="C115" s="18">
        <f>'GF + UG Iteration 1'!C115</f>
        <v>81.575999999999993</v>
      </c>
      <c r="D115" s="19">
        <f>'GF + UG Iteration 1'!D115</f>
        <v>14.026199251012313</v>
      </c>
      <c r="E115" s="30">
        <f>'GF + UG Iteration 1'!E115</f>
        <v>1988</v>
      </c>
      <c r="F115" s="18"/>
      <c r="G115" s="19"/>
      <c r="H115" s="20"/>
      <c r="I115" s="18">
        <f t="shared" si="5"/>
        <v>81.575999999999993</v>
      </c>
      <c r="J115" s="19">
        <f t="shared" si="6"/>
        <v>14.026199251012313</v>
      </c>
      <c r="K115" s="20">
        <f t="shared" si="7"/>
        <v>1988</v>
      </c>
      <c r="M115" s="21">
        <f t="shared" si="8"/>
        <v>4.4015351010619241</v>
      </c>
      <c r="N115" s="21">
        <f t="shared" si="9"/>
        <v>2.6409269558467208</v>
      </c>
    </row>
    <row r="116" spans="1:14" x14ac:dyDescent="0.2">
      <c r="A116" s="25" t="str">
        <f>'GF + UG Iteration 1'!A116</f>
        <v>Pre-17</v>
      </c>
      <c r="B116" s="25" t="str">
        <f>'GF + UG Iteration 1'!B116</f>
        <v>GF</v>
      </c>
      <c r="C116" s="18">
        <f>'GF + UG Iteration 1'!C116</f>
        <v>95.2</v>
      </c>
      <c r="D116" s="19">
        <f>'GF + UG Iteration 1'!D116</f>
        <v>14.219904176944949</v>
      </c>
      <c r="E116" s="30">
        <f>'GF + UG Iteration 1'!E116</f>
        <v>1999</v>
      </c>
      <c r="F116" s="18"/>
      <c r="G116" s="19"/>
      <c r="H116" s="20"/>
      <c r="I116" s="18">
        <f t="shared" si="5"/>
        <v>95.2</v>
      </c>
      <c r="J116" s="19">
        <f t="shared" si="6"/>
        <v>14.219904176944949</v>
      </c>
      <c r="K116" s="20">
        <f t="shared" si="7"/>
        <v>1999</v>
      </c>
      <c r="M116" s="21">
        <f t="shared" si="8"/>
        <v>4.5559799417973199</v>
      </c>
      <c r="N116" s="21">
        <f t="shared" si="9"/>
        <v>2.654642685740924</v>
      </c>
    </row>
    <row r="117" spans="1:14" x14ac:dyDescent="0.2">
      <c r="A117" s="25" t="str">
        <f>'GF + UG Iteration 1'!A117</f>
        <v>Pre-18</v>
      </c>
      <c r="B117" s="25" t="str">
        <f>'GF + UG Iteration 1'!B117</f>
        <v>GF</v>
      </c>
      <c r="C117" s="18">
        <f>'GF + UG Iteration 1'!C117</f>
        <v>122.77200000000001</v>
      </c>
      <c r="D117" s="19">
        <f>'GF + UG Iteration 1'!D117</f>
        <v>23.447549869052086</v>
      </c>
      <c r="E117" s="30">
        <f>'GF + UG Iteration 1'!E117</f>
        <v>1990</v>
      </c>
      <c r="F117" s="18"/>
      <c r="G117" s="19"/>
      <c r="H117" s="20"/>
      <c r="I117" s="18">
        <f t="shared" si="5"/>
        <v>122.77200000000001</v>
      </c>
      <c r="J117" s="19">
        <f t="shared" si="6"/>
        <v>23.447549869052086</v>
      </c>
      <c r="K117" s="20">
        <f t="shared" si="7"/>
        <v>1990</v>
      </c>
      <c r="M117" s="21">
        <f t="shared" si="8"/>
        <v>4.8103289766848034</v>
      </c>
      <c r="N117" s="21">
        <f t="shared" si="9"/>
        <v>3.1547660062374661</v>
      </c>
    </row>
    <row r="118" spans="1:14" x14ac:dyDescent="0.2">
      <c r="A118" s="33">
        <f>'GF + UG Iteration 1'!A118</f>
        <v>1184</v>
      </c>
      <c r="B118" s="34" t="str">
        <f>'GF + UG Iteration 1'!B118</f>
        <v>UG</v>
      </c>
      <c r="C118" s="35">
        <f>'GF + UG Iteration 1'!C118</f>
        <v>30</v>
      </c>
      <c r="D118" s="36">
        <f>'GF + UG Iteration 1'!P$16*(C118^'GF + UG Iteration 1'!P$15)</f>
        <v>17.26956989505905</v>
      </c>
      <c r="E118" s="37">
        <f>'GF + UG Iteration 1'!E118</f>
        <v>2013</v>
      </c>
      <c r="F118" s="35">
        <f>'GF + UG Iteration 1'!F118</f>
        <v>18.200000000000003</v>
      </c>
      <c r="G118" s="36">
        <f>'GF + UG Iteration 1'!G118</f>
        <v>18.869341885211266</v>
      </c>
      <c r="H118" s="38">
        <f>'GF + UG Iteration 1'!H118</f>
        <v>2012</v>
      </c>
      <c r="I118" s="35">
        <f t="shared" si="5"/>
        <v>48.2</v>
      </c>
      <c r="J118" s="36">
        <f t="shared" si="6"/>
        <v>36.13891178027032</v>
      </c>
      <c r="K118" s="38">
        <f t="shared" si="7"/>
        <v>2013</v>
      </c>
      <c r="M118" s="21">
        <f t="shared" si="8"/>
        <v>3.8753590210565547</v>
      </c>
      <c r="N118" s="21">
        <f t="shared" si="9"/>
        <v>3.5873701734841204</v>
      </c>
    </row>
    <row r="119" spans="1:14" x14ac:dyDescent="0.2">
      <c r="A119" s="33">
        <f>'GF + UG Iteration 1'!A119</f>
        <v>1481</v>
      </c>
      <c r="B119" s="34" t="str">
        <f>'GF + UG Iteration 1'!B119</f>
        <v>UG</v>
      </c>
      <c r="C119" s="35">
        <f>'GF + UG Iteration 1'!C119</f>
        <v>48.2</v>
      </c>
      <c r="D119" s="36">
        <f>'GF + UG Iteration 1'!P$16*(C119^'GF + UG Iteration 1'!P$15)</f>
        <v>22.394292773420123</v>
      </c>
      <c r="E119" s="37">
        <f>'GF + UG Iteration 1'!E119</f>
        <v>2013</v>
      </c>
      <c r="F119" s="35">
        <f>'GF + UG Iteration 1'!F119</f>
        <v>0</v>
      </c>
      <c r="G119" s="36">
        <f>'GF + UG Iteration 1'!G119</f>
        <v>1.1114331301697908</v>
      </c>
      <c r="H119" s="38">
        <f>'GF + UG Iteration 1'!H119</f>
        <v>2014</v>
      </c>
      <c r="I119" s="35">
        <f t="shared" ref="I119:I183" si="10">C119+F119</f>
        <v>48.2</v>
      </c>
      <c r="J119" s="36">
        <f t="shared" ref="J119:J183" si="11">D119+G119</f>
        <v>23.505725903589912</v>
      </c>
      <c r="K119" s="38">
        <f t="shared" ref="K119:K183" si="12">MAX(E119,H119)</f>
        <v>2014</v>
      </c>
      <c r="M119" s="21">
        <f t="shared" ref="M119:M183" si="13">LN(I119)</f>
        <v>3.8753590210565547</v>
      </c>
      <c r="N119" s="21">
        <f t="shared" ref="N119:N183" si="14">LN(J119)</f>
        <v>3.1572440469428509</v>
      </c>
    </row>
    <row r="120" spans="1:14" x14ac:dyDescent="0.2">
      <c r="A120" s="33">
        <f>'GF + UG Iteration 1'!A120</f>
        <v>457</v>
      </c>
      <c r="B120" s="34" t="str">
        <f>'GF + UG Iteration 1'!B120</f>
        <v>UG</v>
      </c>
      <c r="C120" s="35">
        <f>'GF + UG Iteration 1'!C120</f>
        <v>10.77</v>
      </c>
      <c r="D120" s="36">
        <f>'GF + UG Iteration 1'!P$16*(C120^'GF + UG Iteration 1'!P$15)</f>
        <v>9.8504237365822931</v>
      </c>
      <c r="E120" s="37">
        <f>'GF + UG Iteration 1'!E120</f>
        <v>1990</v>
      </c>
      <c r="F120" s="35">
        <f>'GF + UG Iteration 1'!F120</f>
        <v>10</v>
      </c>
      <c r="G120" s="36">
        <f>'GF + UG Iteration 1'!G120</f>
        <v>3.289132084924363</v>
      </c>
      <c r="H120" s="38">
        <f>'GF + UG Iteration 1'!H120</f>
        <v>2006</v>
      </c>
      <c r="I120" s="35">
        <f t="shared" si="10"/>
        <v>20.77</v>
      </c>
      <c r="J120" s="36">
        <f t="shared" si="11"/>
        <v>13.139555821506656</v>
      </c>
      <c r="K120" s="38">
        <f t="shared" si="12"/>
        <v>2006</v>
      </c>
      <c r="M120" s="21">
        <f t="shared" si="13"/>
        <v>3.0335096378880211</v>
      </c>
      <c r="N120" s="21">
        <f t="shared" si="14"/>
        <v>2.5756272089468055</v>
      </c>
    </row>
    <row r="121" spans="1:14" x14ac:dyDescent="0.2">
      <c r="A121" s="33">
        <f>'GF + UG Iteration 1'!A121</f>
        <v>407</v>
      </c>
      <c r="B121" s="34" t="str">
        <f>'GF + UG Iteration 1'!B121</f>
        <v>UG</v>
      </c>
      <c r="C121" s="35">
        <f>'GF + UG Iteration 1'!C121</f>
        <v>25.4</v>
      </c>
      <c r="D121" s="36">
        <f>'GF + UG Iteration 1'!P$16*(C121^'GF + UG Iteration 1'!P$15)</f>
        <v>15.763947013954127</v>
      </c>
      <c r="E121" s="37">
        <f>'GF + UG Iteration 1'!E121</f>
        <v>1982</v>
      </c>
      <c r="F121" s="35">
        <f>'GF + UG Iteration 1'!F121</f>
        <v>2</v>
      </c>
      <c r="G121" s="36">
        <f>'GF + UG Iteration 1'!G121</f>
        <v>0.60106525862386018</v>
      </c>
      <c r="H121" s="38">
        <f>'GF + UG Iteration 1'!H121</f>
        <v>2004</v>
      </c>
      <c r="I121" s="35">
        <f t="shared" si="10"/>
        <v>27.4</v>
      </c>
      <c r="J121" s="36">
        <f t="shared" si="11"/>
        <v>16.365012272577985</v>
      </c>
      <c r="K121" s="38">
        <f t="shared" si="12"/>
        <v>2004</v>
      </c>
      <c r="M121" s="21">
        <f t="shared" si="13"/>
        <v>3.3105430133940246</v>
      </c>
      <c r="N121" s="21">
        <f t="shared" si="14"/>
        <v>2.7951456578812457</v>
      </c>
    </row>
    <row r="122" spans="1:14" x14ac:dyDescent="0.2">
      <c r="A122" s="33">
        <f>'GF + UG Iteration 1'!A122</f>
        <v>706</v>
      </c>
      <c r="B122" s="34" t="str">
        <f>'GF + UG Iteration 1'!B122</f>
        <v>UG</v>
      </c>
      <c r="C122" s="35">
        <f>'GF + UG Iteration 1'!C122</f>
        <v>14.85</v>
      </c>
      <c r="D122" s="36">
        <f>'GF + UG Iteration 1'!P$16*(C122^'GF + UG Iteration 1'!P$15)</f>
        <v>11.746610362774806</v>
      </c>
      <c r="E122" s="37">
        <f>'GF + UG Iteration 1'!E122</f>
        <v>1984</v>
      </c>
      <c r="F122" s="35">
        <f>'GF + UG Iteration 1'!F122</f>
        <v>14.250000000000002</v>
      </c>
      <c r="G122" s="36">
        <f>'GF + UG Iteration 1'!G122</f>
        <v>5.8346214151737739</v>
      </c>
      <c r="H122" s="38">
        <f>'GF + UG Iteration 1'!H122</f>
        <v>2008</v>
      </c>
      <c r="I122" s="35">
        <f t="shared" si="10"/>
        <v>29.1</v>
      </c>
      <c r="J122" s="36">
        <f t="shared" si="11"/>
        <v>17.581231777948581</v>
      </c>
      <c r="K122" s="38">
        <f t="shared" si="12"/>
        <v>2008</v>
      </c>
      <c r="M122" s="21">
        <f t="shared" si="13"/>
        <v>3.3707381741774469</v>
      </c>
      <c r="N122" s="21">
        <f t="shared" si="14"/>
        <v>2.8668319568074918</v>
      </c>
    </row>
    <row r="123" spans="1:14" x14ac:dyDescent="0.2">
      <c r="A123" s="33">
        <f>'GF + UG Iteration 1'!A123</f>
        <v>1070</v>
      </c>
      <c r="B123" s="34" t="str">
        <f>'GF + UG Iteration 1'!B123</f>
        <v>UG</v>
      </c>
      <c r="C123" s="35">
        <f>'GF + UG Iteration 1'!C123</f>
        <v>34</v>
      </c>
      <c r="D123" s="36">
        <f>'GF + UG Iteration 1'!P$16*(C123^'GF + UG Iteration 1'!P$15)</f>
        <v>18.495742238741464</v>
      </c>
      <c r="E123" s="37">
        <f>'GF + UG Iteration 1'!E123</f>
        <v>1984</v>
      </c>
      <c r="F123" s="35">
        <f>'GF + UG Iteration 1'!F123</f>
        <v>4.8999999999999986</v>
      </c>
      <c r="G123" s="36">
        <f>'GF + UG Iteration 1'!G123</f>
        <v>0.83607952853202894</v>
      </c>
      <c r="H123" s="38">
        <f>'GF + UG Iteration 1'!H123</f>
        <v>2011</v>
      </c>
      <c r="I123" s="35">
        <f t="shared" si="10"/>
        <v>38.9</v>
      </c>
      <c r="J123" s="36">
        <f t="shared" si="11"/>
        <v>19.331821767273492</v>
      </c>
      <c r="K123" s="38">
        <f t="shared" si="12"/>
        <v>2011</v>
      </c>
      <c r="M123" s="21">
        <f t="shared" si="13"/>
        <v>3.6609942506244004</v>
      </c>
      <c r="N123" s="21">
        <f t="shared" si="14"/>
        <v>2.9617525343703752</v>
      </c>
    </row>
    <row r="124" spans="1:14" x14ac:dyDescent="0.2">
      <c r="A124" s="33">
        <f>'GF + UG Iteration 1'!A124</f>
        <v>1264</v>
      </c>
      <c r="B124" s="34" t="str">
        <f>'GF + UG Iteration 1'!B124</f>
        <v>UG</v>
      </c>
      <c r="C124" s="35">
        <f>'GF + UG Iteration 1'!C124</f>
        <v>38.9</v>
      </c>
      <c r="D124" s="36">
        <f>'GF + UG Iteration 1'!P$16*(C124^'GF + UG Iteration 1'!P$15)</f>
        <v>19.912056370551046</v>
      </c>
      <c r="E124" s="37">
        <f>'GF + UG Iteration 1'!E124</f>
        <v>1984</v>
      </c>
      <c r="F124" s="35">
        <f>'GF + UG Iteration 1'!F124</f>
        <v>7.2000000000000028</v>
      </c>
      <c r="G124" s="36">
        <f>'GF + UG Iteration 1'!G124</f>
        <v>8.0578720930203094</v>
      </c>
      <c r="H124" s="38">
        <f>'GF + UG Iteration 1'!H124</f>
        <v>2013</v>
      </c>
      <c r="I124" s="35">
        <f t="shared" si="10"/>
        <v>46.1</v>
      </c>
      <c r="J124" s="36">
        <f t="shared" si="11"/>
        <v>27.969928463571357</v>
      </c>
      <c r="K124" s="38">
        <f t="shared" si="12"/>
        <v>2013</v>
      </c>
      <c r="M124" s="21">
        <f t="shared" si="13"/>
        <v>3.8308129500026027</v>
      </c>
      <c r="N124" s="21">
        <f t="shared" si="14"/>
        <v>3.3311299495978468</v>
      </c>
    </row>
    <row r="125" spans="1:14" x14ac:dyDescent="0.2">
      <c r="A125" s="33">
        <f>'GF + UG Iteration 1'!A125</f>
        <v>1208</v>
      </c>
      <c r="B125" s="34" t="str">
        <f>'GF + UG Iteration 1'!B125</f>
        <v>UG</v>
      </c>
      <c r="C125" s="35">
        <f>'GF + UG Iteration 1'!C125</f>
        <v>14.1</v>
      </c>
      <c r="D125" s="36">
        <f>'GF + UG Iteration 1'!P$16*(C125^'GF + UG Iteration 1'!P$15)</f>
        <v>11.417673279409225</v>
      </c>
      <c r="E125" s="37">
        <f>'GF + UG Iteration 1'!E125</f>
        <v>1961</v>
      </c>
      <c r="F125" s="35">
        <f>'GF + UG Iteration 1'!F125</f>
        <v>11.500000000000002</v>
      </c>
      <c r="G125" s="36">
        <f>'GF + UG Iteration 1'!G125</f>
        <v>2.7992110812000917</v>
      </c>
      <c r="H125" s="38">
        <f>'GF + UG Iteration 1'!H125</f>
        <v>2012</v>
      </c>
      <c r="I125" s="35">
        <f t="shared" si="10"/>
        <v>25.6</v>
      </c>
      <c r="J125" s="36">
        <f t="shared" si="11"/>
        <v>14.216884360609317</v>
      </c>
      <c r="K125" s="38">
        <f t="shared" si="12"/>
        <v>2012</v>
      </c>
      <c r="M125" s="21">
        <f t="shared" si="13"/>
        <v>3.2425923514855168</v>
      </c>
      <c r="N125" s="21">
        <f t="shared" si="14"/>
        <v>2.6544302977391636</v>
      </c>
    </row>
    <row r="126" spans="1:14" x14ac:dyDescent="0.2">
      <c r="A126" s="33">
        <f>'GF + UG Iteration 1'!A126</f>
        <v>655</v>
      </c>
      <c r="B126" s="34" t="str">
        <f>'GF + UG Iteration 1'!B126</f>
        <v>UG</v>
      </c>
      <c r="C126" s="35">
        <f>'GF + UG Iteration 1'!C126</f>
        <v>12.052999999999999</v>
      </c>
      <c r="D126" s="36">
        <f>'GF + UG Iteration 1'!P$16*(C126^'GF + UG Iteration 1'!P$15)</f>
        <v>10.477142991515626</v>
      </c>
      <c r="E126" s="37">
        <f>'GF + UG Iteration 1'!E126</f>
        <v>1974</v>
      </c>
      <c r="F126" s="35">
        <f>'GF + UG Iteration 1'!F126</f>
        <v>2.3390000000000004</v>
      </c>
      <c r="G126" s="36">
        <f>'GF + UG Iteration 1'!G126</f>
        <v>0.59464786373478107</v>
      </c>
      <c r="H126" s="38">
        <f>'GF + UG Iteration 1'!H126</f>
        <v>2007</v>
      </c>
      <c r="I126" s="35">
        <f t="shared" si="10"/>
        <v>14.391999999999999</v>
      </c>
      <c r="J126" s="36">
        <f t="shared" si="11"/>
        <v>11.071790855250407</v>
      </c>
      <c r="K126" s="38">
        <f t="shared" si="12"/>
        <v>2007</v>
      </c>
      <c r="M126" s="21">
        <f t="shared" si="13"/>
        <v>2.666672496648232</v>
      </c>
      <c r="N126" s="21">
        <f t="shared" si="14"/>
        <v>2.4044005091783358</v>
      </c>
    </row>
    <row r="127" spans="1:14" x14ac:dyDescent="0.2">
      <c r="A127" s="33">
        <f>'GF + UG Iteration 1'!A127</f>
        <v>733</v>
      </c>
      <c r="B127" s="34" t="str">
        <f>'GF + UG Iteration 1'!B127</f>
        <v>UG</v>
      </c>
      <c r="C127" s="35">
        <f>'GF + UG Iteration 1'!C127</f>
        <v>24.3</v>
      </c>
      <c r="D127" s="36">
        <f>'GF + UG Iteration 1'!P$16*(C127^'GF + UG Iteration 1'!P$15)</f>
        <v>15.386063976196017</v>
      </c>
      <c r="E127" s="37">
        <f>'GF + UG Iteration 1'!E127</f>
        <v>2007</v>
      </c>
      <c r="F127" s="35">
        <f>'GF + UG Iteration 1'!F127</f>
        <v>17.099999999999998</v>
      </c>
      <c r="G127" s="36">
        <f>'GF + UG Iteration 1'!G127</f>
        <v>6.7726080218724345</v>
      </c>
      <c r="H127" s="38">
        <f>'GF + UG Iteration 1'!H127</f>
        <v>2009</v>
      </c>
      <c r="I127" s="35">
        <f t="shared" si="10"/>
        <v>41.4</v>
      </c>
      <c r="J127" s="36">
        <f t="shared" si="11"/>
        <v>22.158671998068449</v>
      </c>
      <c r="K127" s="38">
        <f t="shared" si="12"/>
        <v>2009</v>
      </c>
      <c r="M127" s="21">
        <f t="shared" si="13"/>
        <v>3.7232808808312687</v>
      </c>
      <c r="N127" s="21">
        <f t="shared" si="14"/>
        <v>3.0982289321983378</v>
      </c>
    </row>
    <row r="128" spans="1:14" x14ac:dyDescent="0.2">
      <c r="A128" s="33">
        <f>'GF + UG Iteration 1'!A128</f>
        <v>1700</v>
      </c>
      <c r="B128" s="34" t="str">
        <f>'GF + UG Iteration 1'!B128</f>
        <v>UG</v>
      </c>
      <c r="C128" s="35">
        <f>'GF + UG Iteration 1'!C128</f>
        <v>13.4</v>
      </c>
      <c r="D128" s="36">
        <f>'GF + UG Iteration 1'!P$16*(C128^'GF + UG Iteration 1'!P$15)</f>
        <v>11.103452888828464</v>
      </c>
      <c r="E128" s="37">
        <f>'GF + UG Iteration 1'!E128</f>
        <v>0</v>
      </c>
      <c r="F128" s="35">
        <f>'GF + UG Iteration 1'!F128</f>
        <v>0</v>
      </c>
      <c r="G128" s="36">
        <f>'GF + UG Iteration 1'!G128</f>
        <v>4.0238803148956235</v>
      </c>
      <c r="H128" s="38">
        <f>'GF + UG Iteration 1'!H128</f>
        <v>2016</v>
      </c>
      <c r="I128" s="35">
        <f t="shared" ref="I128" si="15">C128+F128</f>
        <v>13.4</v>
      </c>
      <c r="J128" s="36">
        <f t="shared" ref="J128" si="16">D128+G128</f>
        <v>15.127333203724088</v>
      </c>
      <c r="K128" s="38">
        <f t="shared" ref="K128" si="17">MAX(E128,H128)</f>
        <v>2016</v>
      </c>
      <c r="M128" s="21">
        <f t="shared" ref="M128" si="18">LN(I128)</f>
        <v>2.5952547069568657</v>
      </c>
      <c r="N128" s="21">
        <f t="shared" ref="N128" si="19">LN(J128)</f>
        <v>2.7165032534230837</v>
      </c>
    </row>
    <row r="129" spans="1:14" x14ac:dyDescent="0.2">
      <c r="A129" s="33">
        <f>'GF + UG Iteration 1'!A129</f>
        <v>1569</v>
      </c>
      <c r="B129" s="34" t="str">
        <f>'GF + UG Iteration 1'!B129</f>
        <v>UG</v>
      </c>
      <c r="C129" s="35">
        <f>'GF + UG Iteration 1'!C129</f>
        <v>17.7</v>
      </c>
      <c r="D129" s="36">
        <f>'GF + UG Iteration 1'!P$16*(C129^'GF + UG Iteration 1'!P$15)</f>
        <v>12.932990670768998</v>
      </c>
      <c r="E129" s="37">
        <f>'GF + UG Iteration 1'!E129</f>
        <v>1997</v>
      </c>
      <c r="F129" s="35">
        <f>'GF + UG Iteration 1'!F129</f>
        <v>0</v>
      </c>
      <c r="G129" s="36">
        <f>'GF + UG Iteration 1'!G129</f>
        <v>3.7372730134616279</v>
      </c>
      <c r="H129" s="38">
        <f>'GF + UG Iteration 1'!H129</f>
        <v>2015</v>
      </c>
      <c r="I129" s="35">
        <f t="shared" si="10"/>
        <v>17.7</v>
      </c>
      <c r="J129" s="36">
        <f t="shared" si="11"/>
        <v>16.670263684230626</v>
      </c>
      <c r="K129" s="38">
        <f t="shared" si="12"/>
        <v>2015</v>
      </c>
      <c r="M129" s="21">
        <f t="shared" si="13"/>
        <v>2.8735646395797834</v>
      </c>
      <c r="N129" s="21">
        <f t="shared" si="14"/>
        <v>2.8136265145278605</v>
      </c>
    </row>
    <row r="130" spans="1:14" x14ac:dyDescent="0.2">
      <c r="A130" s="33">
        <f>'GF + UG Iteration 1'!A130</f>
        <v>401</v>
      </c>
      <c r="B130" s="34" t="str">
        <f>'GF + UG Iteration 1'!B130</f>
        <v>UG</v>
      </c>
      <c r="C130" s="35">
        <f>'GF + UG Iteration 1'!C130</f>
        <v>2</v>
      </c>
      <c r="D130" s="36">
        <f>'GF + UG Iteration 1'!P$16*(C130^'GF + UG Iteration 1'!P$15)</f>
        <v>3.9150287974723184</v>
      </c>
      <c r="E130" s="37">
        <f>'GF + UG Iteration 1'!E130</f>
        <v>1986</v>
      </c>
      <c r="F130" s="35">
        <f>'GF + UG Iteration 1'!F130</f>
        <v>1.5</v>
      </c>
      <c r="G130" s="36">
        <f>'GF + UG Iteration 1'!G130</f>
        <v>0.36204281296556784</v>
      </c>
      <c r="H130" s="38">
        <f>'GF + UG Iteration 1'!H130</f>
        <v>2004</v>
      </c>
      <c r="I130" s="35">
        <f t="shared" si="10"/>
        <v>3.5</v>
      </c>
      <c r="J130" s="36">
        <f t="shared" si="11"/>
        <v>4.2770716104378863</v>
      </c>
      <c r="K130" s="38">
        <f t="shared" si="12"/>
        <v>2004</v>
      </c>
      <c r="M130" s="21">
        <f t="shared" si="13"/>
        <v>1.2527629684953681</v>
      </c>
      <c r="N130" s="21">
        <f t="shared" si="14"/>
        <v>1.4532685722511782</v>
      </c>
    </row>
    <row r="131" spans="1:14" x14ac:dyDescent="0.2">
      <c r="A131" s="33">
        <f>'GF + UG Iteration 1'!A131</f>
        <v>1412</v>
      </c>
      <c r="B131" s="34" t="str">
        <f>'GF + UG Iteration 1'!B131</f>
        <v>UG</v>
      </c>
      <c r="C131" s="35">
        <f>'GF + UG Iteration 1'!C131</f>
        <v>3.5</v>
      </c>
      <c r="D131" s="36">
        <f>'GF + UG Iteration 1'!P$16*(C131^'GF + UG Iteration 1'!P$15)</f>
        <v>5.3202230998835578</v>
      </c>
      <c r="E131" s="37">
        <f>'GF + UG Iteration 1'!E131</f>
        <v>1986</v>
      </c>
      <c r="F131" s="35">
        <f>'GF + UG Iteration 1'!F131</f>
        <v>11</v>
      </c>
      <c r="G131" s="36">
        <f>'GF + UG Iteration 1'!G131</f>
        <v>4.3574845496482366</v>
      </c>
      <c r="H131" s="38">
        <f>'GF + UG Iteration 1'!H131</f>
        <v>2015</v>
      </c>
      <c r="I131" s="35">
        <f t="shared" si="10"/>
        <v>14.5</v>
      </c>
      <c r="J131" s="36">
        <f t="shared" si="11"/>
        <v>9.6777076495317935</v>
      </c>
      <c r="K131" s="38">
        <f t="shared" si="12"/>
        <v>2015</v>
      </c>
      <c r="M131" s="21">
        <f t="shared" si="13"/>
        <v>2.6741486494265287</v>
      </c>
      <c r="N131" s="21">
        <f t="shared" si="14"/>
        <v>2.2698250601789467</v>
      </c>
    </row>
    <row r="132" spans="1:14" x14ac:dyDescent="0.2">
      <c r="A132" s="33">
        <f>'GF + UG Iteration 1'!A132</f>
        <v>1318</v>
      </c>
      <c r="B132" s="34" t="str">
        <f>'GF + UG Iteration 1'!B132</f>
        <v>UG</v>
      </c>
      <c r="C132" s="35">
        <f>'GF + UG Iteration 1'!C132</f>
        <v>22.3</v>
      </c>
      <c r="D132" s="36">
        <f>'GF + UG Iteration 1'!P$16*(C132^'GF + UG Iteration 1'!P$15)</f>
        <v>14.67860626025484</v>
      </c>
      <c r="E132" s="37">
        <f>'GF + UG Iteration 1'!E132</f>
        <v>1997</v>
      </c>
      <c r="F132" s="35">
        <f>'GF + UG Iteration 1'!F132</f>
        <v>28.900000000000002</v>
      </c>
      <c r="G132" s="36">
        <f>'GF + UG Iteration 1'!G132</f>
        <v>1.6878206182928517</v>
      </c>
      <c r="H132" s="38">
        <f>'GF + UG Iteration 1'!H132</f>
        <v>2013</v>
      </c>
      <c r="I132" s="35">
        <f t="shared" si="10"/>
        <v>51.2</v>
      </c>
      <c r="J132" s="36">
        <f t="shared" si="11"/>
        <v>16.366426878547692</v>
      </c>
      <c r="K132" s="38">
        <f t="shared" si="12"/>
        <v>2013</v>
      </c>
      <c r="M132" s="21">
        <f t="shared" si="13"/>
        <v>3.9357395320454622</v>
      </c>
      <c r="N132" s="21">
        <f t="shared" si="14"/>
        <v>2.7952320950198053</v>
      </c>
    </row>
    <row r="133" spans="1:14" x14ac:dyDescent="0.2">
      <c r="A133" s="33">
        <f>'GF + UG Iteration 1'!A133</f>
        <v>1194</v>
      </c>
      <c r="B133" s="34" t="str">
        <f>'GF + UG Iteration 1'!B133</f>
        <v>UG</v>
      </c>
      <c r="C133" s="35">
        <f>'GF + UG Iteration 1'!C133</f>
        <v>5.8</v>
      </c>
      <c r="D133" s="36">
        <f>'GF + UG Iteration 1'!P$16*(C133^'GF + UG Iteration 1'!P$15)</f>
        <v>7.0169462873662356</v>
      </c>
      <c r="E133" s="37">
        <f>'GF + UG Iteration 1'!E133</f>
        <v>1980</v>
      </c>
      <c r="F133" s="35">
        <f>'GF + UG Iteration 1'!F133</f>
        <v>9.6000000000000014</v>
      </c>
      <c r="G133" s="36">
        <f>'GF + UG Iteration 1'!G133</f>
        <v>1.6086060831571487</v>
      </c>
      <c r="H133" s="38">
        <f>'GF + UG Iteration 1'!H133</f>
        <v>2011</v>
      </c>
      <c r="I133" s="35">
        <f t="shared" si="10"/>
        <v>15.400000000000002</v>
      </c>
      <c r="J133" s="36">
        <f t="shared" si="11"/>
        <v>8.6255523705233834</v>
      </c>
      <c r="K133" s="38">
        <f t="shared" si="12"/>
        <v>2011</v>
      </c>
      <c r="M133" s="21">
        <f t="shared" si="13"/>
        <v>2.7343675094195836</v>
      </c>
      <c r="N133" s="21">
        <f t="shared" si="14"/>
        <v>2.1547290038259934</v>
      </c>
    </row>
    <row r="134" spans="1:14" x14ac:dyDescent="0.2">
      <c r="A134" s="33">
        <f>'GF + UG Iteration 1'!A134</f>
        <v>801</v>
      </c>
      <c r="B134" s="34" t="str">
        <f>'GF + UG Iteration 1'!B134</f>
        <v>UG</v>
      </c>
      <c r="C134" s="35">
        <f>'GF + UG Iteration 1'!C134</f>
        <v>10</v>
      </c>
      <c r="D134" s="36">
        <f>'GF + UG Iteration 1'!P$16*(C134^'GF + UG Iteration 1'!P$15)</f>
        <v>9.4580014807312924</v>
      </c>
      <c r="E134" s="37">
        <f>'GF + UG Iteration 1'!E134</f>
        <v>2008</v>
      </c>
      <c r="F134" s="35">
        <f>'GF + UG Iteration 1'!F134</f>
        <v>0</v>
      </c>
      <c r="G134" s="36">
        <f>'GF + UG Iteration 1'!G134</f>
        <v>6.3106495854024782</v>
      </c>
      <c r="H134" s="38">
        <f>'GF + UG Iteration 1'!H134</f>
        <v>2009</v>
      </c>
      <c r="I134" s="35">
        <f t="shared" si="10"/>
        <v>10</v>
      </c>
      <c r="J134" s="36">
        <f t="shared" si="11"/>
        <v>15.768651066133771</v>
      </c>
      <c r="K134" s="38">
        <f t="shared" si="12"/>
        <v>2009</v>
      </c>
      <c r="M134" s="21">
        <f t="shared" si="13"/>
        <v>2.3025850929940459</v>
      </c>
      <c r="N134" s="21">
        <f t="shared" si="14"/>
        <v>2.7580238593413355</v>
      </c>
    </row>
    <row r="135" spans="1:14" x14ac:dyDescent="0.2">
      <c r="A135" s="33">
        <f>'GF + UG Iteration 1'!A135</f>
        <v>804</v>
      </c>
      <c r="B135" s="34" t="str">
        <f>'GF + UG Iteration 1'!B135</f>
        <v>UG</v>
      </c>
      <c r="C135" s="35">
        <f>'GF + UG Iteration 1'!C135</f>
        <v>14.429</v>
      </c>
      <c r="D135" s="36">
        <f>'GF + UG Iteration 1'!P$16*(C135^'GF + UG Iteration 1'!P$15)</f>
        <v>11.562916968663092</v>
      </c>
      <c r="E135" s="37">
        <f>'GF + UG Iteration 1'!E135</f>
        <v>1982</v>
      </c>
      <c r="F135" s="35">
        <f>'GF + UG Iteration 1'!F135</f>
        <v>9.8710000000000004</v>
      </c>
      <c r="G135" s="36">
        <f>'GF + UG Iteration 1'!G135</f>
        <v>9.1566982400815444</v>
      </c>
      <c r="H135" s="38">
        <f>'GF + UG Iteration 1'!H135</f>
        <v>2009</v>
      </c>
      <c r="I135" s="35">
        <f t="shared" si="10"/>
        <v>24.3</v>
      </c>
      <c r="J135" s="36">
        <f t="shared" si="11"/>
        <v>20.719615208744635</v>
      </c>
      <c r="K135" s="38">
        <f t="shared" si="12"/>
        <v>2009</v>
      </c>
      <c r="M135" s="21">
        <f t="shared" si="13"/>
        <v>3.1904763503465028</v>
      </c>
      <c r="N135" s="21">
        <f t="shared" si="14"/>
        <v>3.0310808462123058</v>
      </c>
    </row>
    <row r="136" spans="1:14" x14ac:dyDescent="0.2">
      <c r="A136" s="33">
        <f>'GF + UG Iteration 1'!A136</f>
        <v>365</v>
      </c>
      <c r="B136" s="34" t="str">
        <f>'GF + UG Iteration 1'!B136</f>
        <v>UG</v>
      </c>
      <c r="C136" s="35">
        <f>'GF + UG Iteration 1'!C136</f>
        <v>15.9</v>
      </c>
      <c r="D136" s="36">
        <f>'GF + UG Iteration 1'!P$16*(C136^'GF + UG Iteration 1'!P$15)</f>
        <v>12.194761633327747</v>
      </c>
      <c r="E136" s="37">
        <f>'GF + UG Iteration 1'!E136</f>
        <v>1982</v>
      </c>
      <c r="F136" s="35">
        <f>'GF + UG Iteration 1'!F136</f>
        <v>0.26900000000000013</v>
      </c>
      <c r="G136" s="36">
        <f>'GF + UG Iteration 1'!G136</f>
        <v>0.59607313292480213</v>
      </c>
      <c r="H136" s="38">
        <f>'GF + UG Iteration 1'!H136</f>
        <v>2003</v>
      </c>
      <c r="I136" s="35">
        <f t="shared" si="10"/>
        <v>16.169</v>
      </c>
      <c r="J136" s="36">
        <f t="shared" si="11"/>
        <v>12.79083476625255</v>
      </c>
      <c r="K136" s="38">
        <f t="shared" si="12"/>
        <v>2003</v>
      </c>
      <c r="M136" s="21">
        <f t="shared" si="13"/>
        <v>2.7830958287576775</v>
      </c>
      <c r="N136" s="21">
        <f t="shared" si="14"/>
        <v>2.5487288805643518</v>
      </c>
    </row>
    <row r="137" spans="1:14" x14ac:dyDescent="0.2">
      <c r="A137" s="33">
        <f>'GF + UG Iteration 1'!A137</f>
        <v>708</v>
      </c>
      <c r="B137" s="34" t="str">
        <f>'GF + UG Iteration 1'!B137</f>
        <v>UG</v>
      </c>
      <c r="C137" s="35">
        <f>'GF + UG Iteration 1'!C137</f>
        <v>16.2</v>
      </c>
      <c r="D137" s="36">
        <f>'GF + UG Iteration 1'!P$16*(C137^'GF + UG Iteration 1'!P$15)</f>
        <v>12.320327564016889</v>
      </c>
      <c r="E137" s="37">
        <f>'GF + UG Iteration 1'!E137</f>
        <v>1982</v>
      </c>
      <c r="F137" s="35">
        <f>'GF + UG Iteration 1'!F137</f>
        <v>11.5</v>
      </c>
      <c r="G137" s="36">
        <f>'GF + UG Iteration 1'!G137</f>
        <v>6.8374623210633541</v>
      </c>
      <c r="H137" s="38">
        <f>'GF + UG Iteration 1'!H137</f>
        <v>2007</v>
      </c>
      <c r="I137" s="35">
        <f t="shared" si="10"/>
        <v>27.7</v>
      </c>
      <c r="J137" s="36">
        <f t="shared" si="11"/>
        <v>19.157789885080241</v>
      </c>
      <c r="K137" s="38">
        <f t="shared" si="12"/>
        <v>2007</v>
      </c>
      <c r="M137" s="21">
        <f t="shared" si="13"/>
        <v>3.3214324131932926</v>
      </c>
      <c r="N137" s="21">
        <f t="shared" si="14"/>
        <v>2.9527094154237972</v>
      </c>
    </row>
    <row r="138" spans="1:14" x14ac:dyDescent="0.2">
      <c r="A138" s="33">
        <f>'GF + UG Iteration 1'!A138</f>
        <v>1568</v>
      </c>
      <c r="B138" s="34" t="str">
        <f>'GF + UG Iteration 1'!B138</f>
        <v>UG</v>
      </c>
      <c r="C138" s="35">
        <f>'GF + UG Iteration 1'!C138</f>
        <v>27.7</v>
      </c>
      <c r="D138" s="36">
        <f>'GF + UG Iteration 1'!P$16*(C138^'GF + UG Iteration 1'!P$15)</f>
        <v>16.530902227872957</v>
      </c>
      <c r="E138" s="37">
        <f>'GF + UG Iteration 1'!E138</f>
        <v>1997</v>
      </c>
      <c r="F138" s="35">
        <f>'GF + UG Iteration 1'!F138</f>
        <v>8.0999999999999979</v>
      </c>
      <c r="G138" s="36">
        <f>'GF + UG Iteration 1'!G138</f>
        <v>3.5848996641236104</v>
      </c>
      <c r="H138" s="38">
        <f>'GF + UG Iteration 1'!H138</f>
        <v>2015</v>
      </c>
      <c r="I138" s="35">
        <f t="shared" si="10"/>
        <v>35.799999999999997</v>
      </c>
      <c r="J138" s="36">
        <f t="shared" si="11"/>
        <v>20.115801891996568</v>
      </c>
      <c r="K138" s="38">
        <f t="shared" si="12"/>
        <v>2015</v>
      </c>
      <c r="M138" s="21">
        <f t="shared" si="13"/>
        <v>3.5779478934066544</v>
      </c>
      <c r="N138" s="21">
        <f t="shared" si="14"/>
        <v>3.0015056699810772</v>
      </c>
    </row>
    <row r="139" spans="1:14" x14ac:dyDescent="0.2">
      <c r="A139" s="33">
        <f>'GF + UG Iteration 1'!A139</f>
        <v>398</v>
      </c>
      <c r="B139" s="34" t="str">
        <f>'GF + UG Iteration 1'!B139</f>
        <v>UG</v>
      </c>
      <c r="C139" s="35">
        <f>'GF + UG Iteration 1'!C139</f>
        <v>27.329000000000001</v>
      </c>
      <c r="D139" s="36">
        <f>'GF + UG Iteration 1'!P$16*(C139^'GF + UG Iteration 1'!P$15)</f>
        <v>16.409192578736718</v>
      </c>
      <c r="E139" s="37">
        <f>'GF + UG Iteration 1'!E139</f>
        <v>1981</v>
      </c>
      <c r="F139" s="35">
        <f>'GF + UG Iteration 1'!F139</f>
        <v>2</v>
      </c>
      <c r="G139" s="36">
        <f>'GF + UG Iteration 1'!G139</f>
        <v>1.454685054931611</v>
      </c>
      <c r="H139" s="38">
        <f>'GF + UG Iteration 1'!H139</f>
        <v>2004</v>
      </c>
      <c r="I139" s="35">
        <f t="shared" si="10"/>
        <v>29.329000000000001</v>
      </c>
      <c r="J139" s="36">
        <f t="shared" si="11"/>
        <v>17.863877633668331</v>
      </c>
      <c r="K139" s="38">
        <f t="shared" si="12"/>
        <v>2004</v>
      </c>
      <c r="M139" s="21">
        <f t="shared" si="13"/>
        <v>3.3785767876246213</v>
      </c>
      <c r="N139" s="21">
        <f t="shared" si="14"/>
        <v>2.8827806646301783</v>
      </c>
    </row>
    <row r="140" spans="1:14" x14ac:dyDescent="0.2">
      <c r="A140" s="33">
        <f>'GF + UG Iteration 1'!A140</f>
        <v>1642</v>
      </c>
      <c r="B140" s="34" t="str">
        <f>'GF + UG Iteration 1'!B140</f>
        <v>UG</v>
      </c>
      <c r="C140" s="35">
        <f>'GF + UG Iteration 1'!C140</f>
        <v>16.12</v>
      </c>
      <c r="D140" s="36">
        <f>'GF + UG Iteration 1'!P$16*(C140^'GF + UG Iteration 1'!P$15)</f>
        <v>12.286946817850971</v>
      </c>
      <c r="E140" s="37" t="str">
        <f>'GF + UG Iteration 1'!E140</f>
        <v>unknown</v>
      </c>
      <c r="F140" s="35">
        <f>'GF + UG Iteration 1'!F140</f>
        <v>2.7799999999999976</v>
      </c>
      <c r="G140" s="36">
        <f>'GF + UG Iteration 1'!G140</f>
        <v>10.134123990225088</v>
      </c>
      <c r="H140" s="38">
        <f>'GF + UG Iteration 1'!H140</f>
        <v>2015</v>
      </c>
      <c r="I140" s="35">
        <f t="shared" si="10"/>
        <v>18.899999999999999</v>
      </c>
      <c r="J140" s="36">
        <f t="shared" si="11"/>
        <v>22.42107080807606</v>
      </c>
      <c r="K140" s="38">
        <f t="shared" si="12"/>
        <v>2015</v>
      </c>
      <c r="M140" s="21">
        <f t="shared" si="13"/>
        <v>2.9391619220655967</v>
      </c>
      <c r="N140" s="21">
        <f t="shared" si="14"/>
        <v>3.1100011777914398</v>
      </c>
    </row>
    <row r="141" spans="1:14" x14ac:dyDescent="0.2">
      <c r="A141" s="33">
        <f>'GF + UG Iteration 1'!A141</f>
        <v>522</v>
      </c>
      <c r="B141" s="34" t="str">
        <f>'GF + UG Iteration 1'!B141</f>
        <v>UG</v>
      </c>
      <c r="C141" s="35">
        <f>'GF + UG Iteration 1'!C141</f>
        <v>38.700000000000003</v>
      </c>
      <c r="D141" s="36">
        <f>'GF + UG Iteration 1'!P$16*(C141^'GF + UG Iteration 1'!P$15)</f>
        <v>19.855884960024333</v>
      </c>
      <c r="E141" s="37">
        <f>'GF + UG Iteration 1'!E141</f>
        <v>1981</v>
      </c>
      <c r="F141" s="35">
        <f>'GF + UG Iteration 1'!F141</f>
        <v>2.2999999999999972</v>
      </c>
      <c r="G141" s="36">
        <f>'GF + UG Iteration 1'!G141</f>
        <v>0.49326793696611254</v>
      </c>
      <c r="H141" s="38">
        <f>'GF + UG Iteration 1'!H141</f>
        <v>2006</v>
      </c>
      <c r="I141" s="35">
        <f t="shared" si="10"/>
        <v>41</v>
      </c>
      <c r="J141" s="36">
        <f t="shared" si="11"/>
        <v>20.349152896990446</v>
      </c>
      <c r="K141" s="38">
        <f t="shared" si="12"/>
        <v>2006</v>
      </c>
      <c r="M141" s="21">
        <f t="shared" si="13"/>
        <v>3.713572066704308</v>
      </c>
      <c r="N141" s="21">
        <f t="shared" si="14"/>
        <v>3.0130392843386735</v>
      </c>
    </row>
    <row r="142" spans="1:14" x14ac:dyDescent="0.2">
      <c r="A142" s="33">
        <f>'GF + UG Iteration 1'!A142</f>
        <v>170</v>
      </c>
      <c r="B142" s="34" t="str">
        <f>'GF + UG Iteration 1'!B142</f>
        <v>UG</v>
      </c>
      <c r="C142" s="35">
        <f>'GF + UG Iteration 1'!C142</f>
        <v>20.399999999999999</v>
      </c>
      <c r="D142" s="36">
        <f>'GF + UG Iteration 1'!P$16*(C142^'GF + UG Iteration 1'!P$15)</f>
        <v>13.97943088813447</v>
      </c>
      <c r="E142" s="37" t="str">
        <f>'GF + UG Iteration 1'!E142</f>
        <v>unknown</v>
      </c>
      <c r="F142" s="35">
        <f>'GF + UG Iteration 1'!F142</f>
        <v>5.6000000000000014</v>
      </c>
      <c r="G142" s="36">
        <f>'GF + UG Iteration 1'!G142</f>
        <v>4.433742547698083</v>
      </c>
      <c r="H142" s="38">
        <f>'GF + UG Iteration 1'!H142</f>
        <v>2001</v>
      </c>
      <c r="I142" s="35">
        <f t="shared" si="10"/>
        <v>26</v>
      </c>
      <c r="J142" s="36">
        <f t="shared" si="11"/>
        <v>18.413173435832555</v>
      </c>
      <c r="K142" s="38">
        <f t="shared" si="12"/>
        <v>2001</v>
      </c>
      <c r="M142" s="21">
        <f t="shared" si="13"/>
        <v>3.2580965380214821</v>
      </c>
      <c r="N142" s="21">
        <f t="shared" si="14"/>
        <v>2.9130663560463139</v>
      </c>
    </row>
    <row r="143" spans="1:14" x14ac:dyDescent="0.2">
      <c r="A143" s="33">
        <f>'GF + UG Iteration 1'!A143</f>
        <v>1312</v>
      </c>
      <c r="B143" s="34" t="str">
        <f>'GF + UG Iteration 1'!B143</f>
        <v>UG</v>
      </c>
      <c r="C143" s="35">
        <f>'GF + UG Iteration 1'!C143</f>
        <v>23.63</v>
      </c>
      <c r="D143" s="36">
        <f>'GF + UG Iteration 1'!P$16*(C143^'GF + UG Iteration 1'!P$15)</f>
        <v>15.152103010550167</v>
      </c>
      <c r="E143" s="37" t="str">
        <f>'GF + UG Iteration 1'!E143</f>
        <v>unknown</v>
      </c>
      <c r="F143" s="35">
        <f>'GF + UG Iteration 1'!F143</f>
        <v>0</v>
      </c>
      <c r="G143" s="36">
        <f>'GF + UG Iteration 1'!G143</f>
        <v>6.0245111186360631</v>
      </c>
      <c r="H143" s="38">
        <f>'GF + UG Iteration 1'!H143</f>
        <v>2013</v>
      </c>
      <c r="I143" s="35">
        <f t="shared" si="10"/>
        <v>23.63</v>
      </c>
      <c r="J143" s="36">
        <f t="shared" si="11"/>
        <v>21.17661412918623</v>
      </c>
      <c r="K143" s="38">
        <f t="shared" si="12"/>
        <v>2013</v>
      </c>
      <c r="M143" s="21">
        <f t="shared" si="13"/>
        <v>3.1625170911988163</v>
      </c>
      <c r="N143" s="21">
        <f t="shared" si="14"/>
        <v>3.0528974656936501</v>
      </c>
    </row>
    <row r="144" spans="1:14" x14ac:dyDescent="0.2">
      <c r="A144" s="33">
        <f>'GF + UG Iteration 1'!A144</f>
        <v>170</v>
      </c>
      <c r="B144" s="34" t="str">
        <f>'GF + UG Iteration 1'!B144</f>
        <v>UG</v>
      </c>
      <c r="C144" s="35">
        <f>'GF + UG Iteration 1'!C144</f>
        <v>21.6</v>
      </c>
      <c r="D144" s="36">
        <f>'GF + UG Iteration 1'!P$16*(C144^'GF + UG Iteration 1'!P$15)</f>
        <v>14.424269896193584</v>
      </c>
      <c r="E144" s="37" t="str">
        <f>'GF + UG Iteration 1'!E144</f>
        <v>unknown</v>
      </c>
      <c r="F144" s="35">
        <f>'GF + UG Iteration 1'!F144</f>
        <v>1</v>
      </c>
      <c r="G144" s="36">
        <f>'GF + UG Iteration 1'!G144</f>
        <v>4.8829870198591019</v>
      </c>
      <c r="H144" s="38">
        <f>'GF + UG Iteration 1'!H144</f>
        <v>2001</v>
      </c>
      <c r="I144" s="35">
        <f t="shared" si="10"/>
        <v>22.6</v>
      </c>
      <c r="J144" s="36">
        <f t="shared" si="11"/>
        <v>19.307256916052687</v>
      </c>
      <c r="K144" s="38">
        <f t="shared" si="12"/>
        <v>2001</v>
      </c>
      <c r="M144" s="21">
        <f t="shared" si="13"/>
        <v>3.1179499062782403</v>
      </c>
      <c r="N144" s="21">
        <f t="shared" si="14"/>
        <v>2.9604810312513865</v>
      </c>
    </row>
    <row r="145" spans="1:14" x14ac:dyDescent="0.2">
      <c r="A145" s="33">
        <f>'GF + UG Iteration 1'!A145</f>
        <v>1366</v>
      </c>
      <c r="B145" s="34" t="str">
        <f>'GF + UG Iteration 1'!B145</f>
        <v>UG</v>
      </c>
      <c r="C145" s="35">
        <f>'GF + UG Iteration 1'!C145</f>
        <v>25.5</v>
      </c>
      <c r="D145" s="36">
        <f>'GF + UG Iteration 1'!P$16*(C145^'GF + UG Iteration 1'!P$15)</f>
        <v>15.797929778133964</v>
      </c>
      <c r="E145" s="37">
        <f>'GF + UG Iteration 1'!E145</f>
        <v>0</v>
      </c>
      <c r="F145" s="35">
        <f>'GF + UG Iteration 1'!F145</f>
        <v>14</v>
      </c>
      <c r="G145" s="36">
        <f>'GF + UG Iteration 1'!G145</f>
        <v>5.5737060104438019</v>
      </c>
      <c r="H145" s="38">
        <f>'GF + UG Iteration 1'!H145</f>
        <v>2013</v>
      </c>
      <c r="I145" s="35">
        <f t="shared" si="10"/>
        <v>39.5</v>
      </c>
      <c r="J145" s="36">
        <f t="shared" si="11"/>
        <v>21.371635788577766</v>
      </c>
      <c r="K145" s="38">
        <f t="shared" si="12"/>
        <v>2013</v>
      </c>
      <c r="M145" s="21">
        <f t="shared" si="13"/>
        <v>3.6763006719070761</v>
      </c>
      <c r="N145" s="21">
        <f t="shared" si="14"/>
        <v>3.0620646124276591</v>
      </c>
    </row>
    <row r="146" spans="1:14" x14ac:dyDescent="0.2">
      <c r="A146" s="33">
        <f>'GF + UG Iteration 1'!A146</f>
        <v>170</v>
      </c>
      <c r="B146" s="34" t="str">
        <f>'GF + UG Iteration 1'!B146</f>
        <v>UG</v>
      </c>
      <c r="C146" s="35">
        <f>'GF + UG Iteration 1'!C146</f>
        <v>5.4</v>
      </c>
      <c r="D146" s="36">
        <f>'GF + UG Iteration 1'!P$16*(C146^'GF + UG Iteration 1'!P$15)</f>
        <v>6.7474567723255916</v>
      </c>
      <c r="E146" s="37" t="str">
        <f>'GF + UG Iteration 1'!E146</f>
        <v>unknown</v>
      </c>
      <c r="F146" s="35">
        <f>'GF + UG Iteration 1'!F146</f>
        <v>10.6</v>
      </c>
      <c r="G146" s="36">
        <f>'GF + UG Iteration 1'!G146</f>
        <v>5.2097107088088661</v>
      </c>
      <c r="H146" s="38">
        <f>'GF + UG Iteration 1'!H146</f>
        <v>2001</v>
      </c>
      <c r="I146" s="35">
        <f t="shared" si="10"/>
        <v>16</v>
      </c>
      <c r="J146" s="36">
        <f t="shared" si="11"/>
        <v>11.957167481134459</v>
      </c>
      <c r="K146" s="38">
        <f t="shared" si="12"/>
        <v>2001</v>
      </c>
      <c r="M146" s="21">
        <f t="shared" si="13"/>
        <v>2.7725887222397811</v>
      </c>
      <c r="N146" s="21">
        <f t="shared" si="14"/>
        <v>2.4813308877921321</v>
      </c>
    </row>
    <row r="147" spans="1:14" x14ac:dyDescent="0.2">
      <c r="A147" s="33">
        <f>'GF + UG Iteration 1'!A147</f>
        <v>1350</v>
      </c>
      <c r="B147" s="34" t="str">
        <f>'GF + UG Iteration 1'!B147</f>
        <v>UG</v>
      </c>
      <c r="C147" s="35">
        <f>'GF + UG Iteration 1'!C147</f>
        <v>16</v>
      </c>
      <c r="D147" s="36">
        <f>'GF + UG Iteration 1'!P$16*(C147^'GF + UG Iteration 1'!P$15)</f>
        <v>12.236734985670052</v>
      </c>
      <c r="E147" s="37">
        <f>'GF + UG Iteration 1'!E147</f>
        <v>0</v>
      </c>
      <c r="F147" s="35">
        <f>'GF + UG Iteration 1'!F147</f>
        <v>20</v>
      </c>
      <c r="G147" s="36">
        <f>'GF + UG Iteration 1'!G147</f>
        <v>6.5300342953877131</v>
      </c>
      <c r="H147" s="38">
        <f>'GF + UG Iteration 1'!H147</f>
        <v>2013</v>
      </c>
      <c r="I147" s="35">
        <f t="shared" si="10"/>
        <v>36</v>
      </c>
      <c r="J147" s="36">
        <f t="shared" si="11"/>
        <v>18.766769281057766</v>
      </c>
      <c r="K147" s="38">
        <f t="shared" si="12"/>
        <v>2013</v>
      </c>
      <c r="M147" s="21">
        <f t="shared" si="13"/>
        <v>3.5835189384561099</v>
      </c>
      <c r="N147" s="21">
        <f t="shared" si="14"/>
        <v>2.9320877143697492</v>
      </c>
    </row>
    <row r="148" spans="1:14" x14ac:dyDescent="0.2">
      <c r="A148" s="33">
        <f>'GF + UG Iteration 1'!A148</f>
        <v>658</v>
      </c>
      <c r="B148" s="34" t="str">
        <f>'GF + UG Iteration 1'!B148</f>
        <v>UG</v>
      </c>
      <c r="C148" s="35">
        <f>'GF + UG Iteration 1'!C148</f>
        <v>1.6</v>
      </c>
      <c r="D148" s="36">
        <f>'GF + UG Iteration 1'!P$16*(C148^'GF + UG Iteration 1'!P$15)</f>
        <v>3.4643700325261935</v>
      </c>
      <c r="E148" s="37">
        <f>'GF + UG Iteration 1'!E148</f>
        <v>1996</v>
      </c>
      <c r="F148" s="35">
        <f>'GF + UG Iteration 1'!F148</f>
        <v>13.200000000000001</v>
      </c>
      <c r="G148" s="36">
        <f>'GF + UG Iteration 1'!G148</f>
        <v>7.1146692323992218</v>
      </c>
      <c r="H148" s="38">
        <f>'GF + UG Iteration 1'!H148</f>
        <v>2008</v>
      </c>
      <c r="I148" s="35">
        <f t="shared" si="10"/>
        <v>14.8</v>
      </c>
      <c r="J148" s="36">
        <f t="shared" si="11"/>
        <v>10.579039264925415</v>
      </c>
      <c r="K148" s="38">
        <f t="shared" si="12"/>
        <v>2008</v>
      </c>
      <c r="M148" s="21">
        <f t="shared" si="13"/>
        <v>2.6946271807700692</v>
      </c>
      <c r="N148" s="21">
        <f t="shared" si="14"/>
        <v>2.3588746155891491</v>
      </c>
    </row>
    <row r="149" spans="1:14" x14ac:dyDescent="0.2">
      <c r="A149" s="33">
        <f>'GF + UG Iteration 1'!A149</f>
        <v>897</v>
      </c>
      <c r="B149" s="34" t="str">
        <f>'GF + UG Iteration 1'!B149</f>
        <v>UG</v>
      </c>
      <c r="C149" s="35">
        <f>'GF + UG Iteration 1'!C149</f>
        <v>14.8</v>
      </c>
      <c r="D149" s="36">
        <f>'GF + UG Iteration 1'!P$16*(C149^'GF + UG Iteration 1'!P$15)</f>
        <v>11.724918330413951</v>
      </c>
      <c r="E149" s="37">
        <f>'GF + UG Iteration 1'!E149</f>
        <v>1996</v>
      </c>
      <c r="F149" s="35">
        <f>'GF + UG Iteration 1'!F149</f>
        <v>3</v>
      </c>
      <c r="G149" s="36">
        <f>'GF + UG Iteration 1'!G149</f>
        <v>6.2372112776035529</v>
      </c>
      <c r="H149" s="38">
        <f>'GF + UG Iteration 1'!H149</f>
        <v>2010</v>
      </c>
      <c r="I149" s="35">
        <f t="shared" si="10"/>
        <v>17.8</v>
      </c>
      <c r="J149" s="36">
        <f t="shared" si="11"/>
        <v>17.962129608017506</v>
      </c>
      <c r="K149" s="38">
        <f t="shared" si="12"/>
        <v>2010</v>
      </c>
      <c r="M149" s="21">
        <f t="shared" si="13"/>
        <v>2.8791984572980396</v>
      </c>
      <c r="N149" s="21">
        <f t="shared" si="14"/>
        <v>2.8882656309012411</v>
      </c>
    </row>
    <row r="150" spans="1:14" x14ac:dyDescent="0.2">
      <c r="A150" s="33">
        <f>'GF + UG Iteration 1'!A150</f>
        <v>483</v>
      </c>
      <c r="B150" s="34" t="str">
        <f>'GF + UG Iteration 1'!B150</f>
        <v>UG</v>
      </c>
      <c r="C150" s="35">
        <f>'GF + UG Iteration 1'!C150</f>
        <v>20.7</v>
      </c>
      <c r="D150" s="36">
        <f>'GF + UG Iteration 1'!P$16*(C150^'GF + UG Iteration 1'!P$15)</f>
        <v>14.091725366997759</v>
      </c>
      <c r="E150" s="37">
        <f>'GF + UG Iteration 1'!E150</f>
        <v>1986</v>
      </c>
      <c r="F150" s="35">
        <f>'GF + UG Iteration 1'!F150</f>
        <v>18.099999999999998</v>
      </c>
      <c r="G150" s="36">
        <f>'GF + UG Iteration 1'!G150</f>
        <v>3.6200694377675466</v>
      </c>
      <c r="H150" s="38">
        <f>'GF + UG Iteration 1'!H150</f>
        <v>2005</v>
      </c>
      <c r="I150" s="35">
        <f t="shared" si="10"/>
        <v>38.799999999999997</v>
      </c>
      <c r="J150" s="36">
        <f t="shared" si="11"/>
        <v>17.711794804765304</v>
      </c>
      <c r="K150" s="38">
        <f t="shared" si="12"/>
        <v>2005</v>
      </c>
      <c r="M150" s="21">
        <f t="shared" si="13"/>
        <v>3.6584202466292277</v>
      </c>
      <c r="N150" s="21">
        <f t="shared" si="14"/>
        <v>2.8742307908023634</v>
      </c>
    </row>
    <row r="151" spans="1:14" x14ac:dyDescent="0.2">
      <c r="A151" s="33">
        <f>'GF + UG Iteration 1'!A151</f>
        <v>1494</v>
      </c>
      <c r="B151" s="34" t="str">
        <f>'GF + UG Iteration 1'!B151</f>
        <v>UG</v>
      </c>
      <c r="C151" s="35">
        <f>'GF + UG Iteration 1'!C151</f>
        <v>13.3</v>
      </c>
      <c r="D151" s="36">
        <f>'GF + UG Iteration 1'!P$16*(C151^'GF + UG Iteration 1'!P$15)</f>
        <v>11.057964457029088</v>
      </c>
      <c r="E151" s="37">
        <f>'GF + UG Iteration 1'!E151</f>
        <v>0</v>
      </c>
      <c r="F151" s="35">
        <f>'GF + UG Iteration 1'!F151</f>
        <v>6</v>
      </c>
      <c r="G151" s="36">
        <f>'GF + UG Iteration 1'!G151</f>
        <v>6.4297485673579153</v>
      </c>
      <c r="H151" s="38">
        <f>'GF + UG Iteration 1'!H151</f>
        <v>2014</v>
      </c>
      <c r="I151" s="35">
        <f t="shared" si="10"/>
        <v>19.3</v>
      </c>
      <c r="J151" s="36">
        <f t="shared" si="11"/>
        <v>17.487713024387006</v>
      </c>
      <c r="K151" s="38">
        <f t="shared" si="12"/>
        <v>2014</v>
      </c>
      <c r="M151" s="21">
        <f t="shared" si="13"/>
        <v>2.9601050959108397</v>
      </c>
      <c r="N151" s="21">
        <f t="shared" si="14"/>
        <v>2.8614985214406081</v>
      </c>
    </row>
    <row r="152" spans="1:14" x14ac:dyDescent="0.2">
      <c r="A152" s="33">
        <f>'GF + UG Iteration 1'!A152</f>
        <v>488</v>
      </c>
      <c r="B152" s="34" t="str">
        <f>'GF + UG Iteration 1'!B152</f>
        <v>UG</v>
      </c>
      <c r="C152" s="35">
        <f>'GF + UG Iteration 1'!C152</f>
        <v>41.3</v>
      </c>
      <c r="D152" s="36">
        <f>'GF + UG Iteration 1'!P$16*(C152^'GF + UG Iteration 1'!P$15)</f>
        <v>20.576212346821137</v>
      </c>
      <c r="E152" s="37">
        <f>'GF + UG Iteration 1'!E152</f>
        <v>1982</v>
      </c>
      <c r="F152" s="35">
        <f>'GF + UG Iteration 1'!F152</f>
        <v>24.200000000000003</v>
      </c>
      <c r="G152" s="36">
        <f>'GF + UG Iteration 1'!G152</f>
        <v>0.40462675342078769</v>
      </c>
      <c r="H152" s="38">
        <f>'GF + UG Iteration 1'!H152</f>
        <v>2006</v>
      </c>
      <c r="I152" s="35">
        <f t="shared" si="10"/>
        <v>65.5</v>
      </c>
      <c r="J152" s="36">
        <f t="shared" si="11"/>
        <v>20.980839100241926</v>
      </c>
      <c r="K152" s="38">
        <f t="shared" si="12"/>
        <v>2006</v>
      </c>
      <c r="M152" s="21">
        <f t="shared" si="13"/>
        <v>4.1820501426412067</v>
      </c>
      <c r="N152" s="21">
        <f t="shared" si="14"/>
        <v>3.0436095974134498</v>
      </c>
    </row>
    <row r="153" spans="1:14" x14ac:dyDescent="0.2">
      <c r="A153" s="33">
        <f>'GF + UG Iteration 1'!A153</f>
        <v>1692</v>
      </c>
      <c r="B153" s="34" t="str">
        <f>'GF + UG Iteration 1'!B153</f>
        <v>UG</v>
      </c>
      <c r="C153" s="35">
        <f>'GF + UG Iteration 1'!C153</f>
        <v>65.5</v>
      </c>
      <c r="D153" s="36">
        <f>'GF + UG Iteration 1'!P$16*(C153^'GF + UG Iteration 1'!P$15)</f>
        <v>26.493132136164547</v>
      </c>
      <c r="E153" s="37">
        <f>'GF + UG Iteration 1'!E153</f>
        <v>0</v>
      </c>
      <c r="F153" s="35">
        <f>'GF + UG Iteration 1'!F153</f>
        <v>0</v>
      </c>
      <c r="G153" s="36">
        <f>'GF + UG Iteration 1'!G153</f>
        <v>2.2188176481219593</v>
      </c>
      <c r="H153" s="38">
        <f>'GF + UG Iteration 1'!H153</f>
        <v>2016</v>
      </c>
      <c r="I153" s="35">
        <f t="shared" si="10"/>
        <v>65.5</v>
      </c>
      <c r="J153" s="36">
        <f t="shared" si="11"/>
        <v>28.711949784286507</v>
      </c>
      <c r="K153" s="38">
        <f t="shared" si="12"/>
        <v>2016</v>
      </c>
      <c r="M153" s="21">
        <f t="shared" si="13"/>
        <v>4.1820501426412067</v>
      </c>
      <c r="N153" s="21">
        <f t="shared" si="14"/>
        <v>3.3573134048986146</v>
      </c>
    </row>
    <row r="154" spans="1:14" x14ac:dyDescent="0.2">
      <c r="A154" s="33">
        <f>'GF + UG Iteration 1'!A154</f>
        <v>318</v>
      </c>
      <c r="B154" s="34" t="str">
        <f>'GF + UG Iteration 1'!B154</f>
        <v>UG</v>
      </c>
      <c r="C154" s="35">
        <f>'GF + UG Iteration 1'!C154</f>
        <v>22.87</v>
      </c>
      <c r="D154" s="36">
        <f>'GF + UG Iteration 1'!P$16*(C154^'GF + UG Iteration 1'!P$15)</f>
        <v>14.883054320196047</v>
      </c>
      <c r="E154" s="37">
        <f>'GF + UG Iteration 1'!E154</f>
        <v>1996</v>
      </c>
      <c r="F154" s="35">
        <f>'GF + UG Iteration 1'!F154</f>
        <v>1</v>
      </c>
      <c r="G154" s="36">
        <f>'GF + UG Iteration 1'!G154</f>
        <v>0.76702040063252341</v>
      </c>
      <c r="H154" s="38">
        <f>'GF + UG Iteration 1'!H154</f>
        <v>2001</v>
      </c>
      <c r="I154" s="35">
        <f t="shared" si="10"/>
        <v>23.87</v>
      </c>
      <c r="J154" s="36">
        <f t="shared" si="11"/>
        <v>15.65007472082857</v>
      </c>
      <c r="K154" s="38">
        <f t="shared" si="12"/>
        <v>2001</v>
      </c>
      <c r="M154" s="21">
        <f t="shared" si="13"/>
        <v>3.1726224403507386</v>
      </c>
      <c r="N154" s="21">
        <f t="shared" si="14"/>
        <v>2.7504756914686026</v>
      </c>
    </row>
    <row r="155" spans="1:14" x14ac:dyDescent="0.2">
      <c r="A155" s="33">
        <f>'GF + UG Iteration 1'!A155</f>
        <v>806</v>
      </c>
      <c r="B155" s="34" t="str">
        <f>'GF + UG Iteration 1'!B155</f>
        <v>UG</v>
      </c>
      <c r="C155" s="35">
        <f>'GF + UG Iteration 1'!C155</f>
        <v>23.867000000000001</v>
      </c>
      <c r="D155" s="36">
        <f>'GF + UG Iteration 1'!P$16*(C155^'GF + UG Iteration 1'!P$15)</f>
        <v>15.235200926285501</v>
      </c>
      <c r="E155" s="37">
        <f>'GF + UG Iteration 1'!E155</f>
        <v>1996</v>
      </c>
      <c r="F155" s="35">
        <f>'GF + UG Iteration 1'!F155</f>
        <v>5.4329999999999998</v>
      </c>
      <c r="G155" s="36">
        <f>'GF + UG Iteration 1'!G155</f>
        <v>0.68947713107767894</v>
      </c>
      <c r="H155" s="38">
        <f>'GF + UG Iteration 1'!H155</f>
        <v>2008</v>
      </c>
      <c r="I155" s="35">
        <f t="shared" si="10"/>
        <v>29.3</v>
      </c>
      <c r="J155" s="36">
        <f t="shared" si="11"/>
        <v>15.924678057363179</v>
      </c>
      <c r="K155" s="38">
        <f t="shared" si="12"/>
        <v>2008</v>
      </c>
      <c r="M155" s="21">
        <f t="shared" si="13"/>
        <v>3.3775875160230218</v>
      </c>
      <c r="N155" s="21">
        <f t="shared" si="14"/>
        <v>2.7678699850757411</v>
      </c>
    </row>
    <row r="156" spans="1:14" x14ac:dyDescent="0.2">
      <c r="A156" s="33">
        <f>'GF + UG Iteration 1'!A156</f>
        <v>1495</v>
      </c>
      <c r="B156" s="34" t="str">
        <f>'GF + UG Iteration 1'!B156</f>
        <v>UG</v>
      </c>
      <c r="C156" s="35">
        <f>'GF + UG Iteration 1'!C156</f>
        <v>29.3</v>
      </c>
      <c r="D156" s="36">
        <f>'GF + UG Iteration 1'!P$16*(C156^'GF + UG Iteration 1'!P$15)</f>
        <v>17.047555245498533</v>
      </c>
      <c r="E156" s="37">
        <f>'GF + UG Iteration 1'!E156</f>
        <v>1996</v>
      </c>
      <c r="F156" s="35">
        <f>'GF + UG Iteration 1'!F156</f>
        <v>0</v>
      </c>
      <c r="G156" s="36">
        <f>'GF + UG Iteration 1'!G156</f>
        <v>5.142810508174632</v>
      </c>
      <c r="H156" s="38">
        <f>'GF + UG Iteration 1'!H156</f>
        <v>2014</v>
      </c>
      <c r="I156" s="35">
        <f t="shared" si="10"/>
        <v>29.3</v>
      </c>
      <c r="J156" s="36">
        <f t="shared" si="11"/>
        <v>22.190365753673163</v>
      </c>
      <c r="K156" s="38">
        <f t="shared" si="12"/>
        <v>2014</v>
      </c>
      <c r="M156" s="21">
        <f t="shared" si="13"/>
        <v>3.3775875160230218</v>
      </c>
      <c r="N156" s="21">
        <f t="shared" si="14"/>
        <v>3.099658219624037</v>
      </c>
    </row>
    <row r="157" spans="1:14" x14ac:dyDescent="0.2">
      <c r="A157" s="33">
        <f>'GF + UG Iteration 1'!A157</f>
        <v>1386</v>
      </c>
      <c r="B157" s="34" t="str">
        <f>'GF + UG Iteration 1'!B157</f>
        <v>UG</v>
      </c>
      <c r="C157" s="35">
        <f>'GF + UG Iteration 1'!C157</f>
        <v>32.700000000000003</v>
      </c>
      <c r="D157" s="36">
        <f>'GF + UG Iteration 1'!P$16*(C157^'GF + UG Iteration 1'!P$15)</f>
        <v>18.104760634522613</v>
      </c>
      <c r="E157" s="37">
        <f>'GF + UG Iteration 1'!E157</f>
        <v>0</v>
      </c>
      <c r="F157" s="35">
        <f>'GF + UG Iteration 1'!F157</f>
        <v>13.5</v>
      </c>
      <c r="G157" s="36">
        <f>'GF + UG Iteration 1'!G157</f>
        <v>0.85934464632152285</v>
      </c>
      <c r="H157" s="38">
        <f>'GF + UG Iteration 1'!H157</f>
        <v>2013</v>
      </c>
      <c r="I157" s="35">
        <f t="shared" si="10"/>
        <v>46.2</v>
      </c>
      <c r="J157" s="36">
        <f t="shared" si="11"/>
        <v>18.964105280844137</v>
      </c>
      <c r="K157" s="38">
        <f t="shared" si="12"/>
        <v>2013</v>
      </c>
      <c r="M157" s="21">
        <f t="shared" si="13"/>
        <v>3.8329797980876932</v>
      </c>
      <c r="N157" s="21">
        <f t="shared" si="14"/>
        <v>2.9425479966403727</v>
      </c>
    </row>
    <row r="158" spans="1:14" x14ac:dyDescent="0.2">
      <c r="A158" s="33">
        <f>'GF + UG Iteration 1'!A158</f>
        <v>928</v>
      </c>
      <c r="B158" s="34" t="str">
        <f>'GF + UG Iteration 1'!B158</f>
        <v>UG</v>
      </c>
      <c r="C158" s="35">
        <f>'GF + UG Iteration 1'!C158</f>
        <v>18.02</v>
      </c>
      <c r="D158" s="36">
        <f>'GF + UG Iteration 1'!P$16*(C158^'GF + UG Iteration 1'!P$15)</f>
        <v>13.060612928029874</v>
      </c>
      <c r="E158" s="37">
        <f>'GF + UG Iteration 1'!E158</f>
        <v>1992</v>
      </c>
      <c r="F158" s="35">
        <f>'GF + UG Iteration 1'!F158</f>
        <v>3.4800000000000004</v>
      </c>
      <c r="G158" s="36">
        <f>'GF + UG Iteration 1'!G158</f>
        <v>10.364367944955573</v>
      </c>
      <c r="H158" s="38">
        <f>'GF + UG Iteration 1'!H158</f>
        <v>2010</v>
      </c>
      <c r="I158" s="35">
        <f t="shared" si="10"/>
        <v>21.5</v>
      </c>
      <c r="J158" s="36">
        <f t="shared" si="11"/>
        <v>23.424980872985447</v>
      </c>
      <c r="K158" s="38">
        <f t="shared" si="12"/>
        <v>2010</v>
      </c>
      <c r="M158" s="21">
        <f t="shared" si="13"/>
        <v>3.068052935133617</v>
      </c>
      <c r="N158" s="21">
        <f t="shared" si="14"/>
        <v>3.15380301160272</v>
      </c>
    </row>
    <row r="159" spans="1:14" x14ac:dyDescent="0.2">
      <c r="A159" s="33">
        <f>'GF + UG Iteration 1'!A159</f>
        <v>1450</v>
      </c>
      <c r="B159" s="34" t="str">
        <f>'GF + UG Iteration 1'!B159</f>
        <v>UG</v>
      </c>
      <c r="C159" s="35">
        <f>'GF + UG Iteration 1'!C159</f>
        <v>21.5</v>
      </c>
      <c r="D159" s="36">
        <f>'GF + UG Iteration 1'!P$16*(C159^'GF + UG Iteration 1'!P$15)</f>
        <v>14.387633857971108</v>
      </c>
      <c r="E159" s="37">
        <f>'GF + UG Iteration 1'!E159</f>
        <v>1992</v>
      </c>
      <c r="F159" s="35">
        <f>'GF + UG Iteration 1'!F159</f>
        <v>16.299999999999997</v>
      </c>
      <c r="G159" s="36">
        <f>'GF + UG Iteration 1'!G159</f>
        <v>5.1529943993409928</v>
      </c>
      <c r="H159" s="38">
        <f>'GF + UG Iteration 1'!H159</f>
        <v>2014</v>
      </c>
      <c r="I159" s="35">
        <f t="shared" si="10"/>
        <v>37.799999999999997</v>
      </c>
      <c r="J159" s="36">
        <f t="shared" si="11"/>
        <v>19.5406282573121</v>
      </c>
      <c r="K159" s="38">
        <f t="shared" si="12"/>
        <v>2014</v>
      </c>
      <c r="M159" s="21">
        <f t="shared" si="13"/>
        <v>3.6323091026255421</v>
      </c>
      <c r="N159" s="21">
        <f t="shared" si="14"/>
        <v>2.9724957984678779</v>
      </c>
    </row>
    <row r="160" spans="1:14" x14ac:dyDescent="0.2">
      <c r="A160" s="33">
        <f>'GF + UG Iteration 1'!A160</f>
        <v>170</v>
      </c>
      <c r="B160" s="34" t="str">
        <f>'GF + UG Iteration 1'!B160</f>
        <v>UG</v>
      </c>
      <c r="C160" s="35">
        <f>'GF + UG Iteration 1'!C160</f>
        <v>17.7</v>
      </c>
      <c r="D160" s="36">
        <f>'GF + UG Iteration 1'!P$16*(C160^'GF + UG Iteration 1'!P$15)</f>
        <v>12.932990670768998</v>
      </c>
      <c r="E160" s="37" t="str">
        <f>'GF + UG Iteration 1'!E160</f>
        <v>unknown</v>
      </c>
      <c r="F160" s="35">
        <f>'GF + UG Iteration 1'!F160</f>
        <v>8.8000000000000007</v>
      </c>
      <c r="G160" s="36">
        <f>'GF + UG Iteration 1'!G160</f>
        <v>1.1342290648673055</v>
      </c>
      <c r="H160" s="38">
        <f>'GF + UG Iteration 1'!H160</f>
        <v>2001</v>
      </c>
      <c r="I160" s="35">
        <f t="shared" si="10"/>
        <v>26.5</v>
      </c>
      <c r="J160" s="36">
        <f t="shared" si="11"/>
        <v>14.067219735636304</v>
      </c>
      <c r="K160" s="38">
        <f t="shared" si="12"/>
        <v>2001</v>
      </c>
      <c r="M160" s="21">
        <f t="shared" si="13"/>
        <v>3.2771447329921766</v>
      </c>
      <c r="N160" s="21">
        <f t="shared" si="14"/>
        <v>2.6438472493001992</v>
      </c>
    </row>
    <row r="161" spans="1:14" x14ac:dyDescent="0.2">
      <c r="A161" s="33">
        <f>'GF + UG Iteration 1'!A161</f>
        <v>649</v>
      </c>
      <c r="B161" s="34" t="str">
        <f>'GF + UG Iteration 1'!B161</f>
        <v>UG</v>
      </c>
      <c r="C161" s="35">
        <f>'GF + UG Iteration 1'!C161</f>
        <v>26.5</v>
      </c>
      <c r="D161" s="36">
        <f>'GF + UG Iteration 1'!P$16*(C161^'GF + UG Iteration 1'!P$15)</f>
        <v>16.134502873387227</v>
      </c>
      <c r="E161" s="37">
        <f>'GF + UG Iteration 1'!E161</f>
        <v>1997</v>
      </c>
      <c r="F161" s="35">
        <f>'GF + UG Iteration 1'!F161</f>
        <v>33.799999999999997</v>
      </c>
      <c r="G161" s="36">
        <f>'GF + UG Iteration 1'!G161</f>
        <v>5.0180795362586865</v>
      </c>
      <c r="H161" s="38">
        <f>'GF + UG Iteration 1'!H161</f>
        <v>2007</v>
      </c>
      <c r="I161" s="35">
        <f t="shared" si="10"/>
        <v>60.3</v>
      </c>
      <c r="J161" s="36">
        <f t="shared" si="11"/>
        <v>21.152582409645913</v>
      </c>
      <c r="K161" s="38">
        <f t="shared" si="12"/>
        <v>2007</v>
      </c>
      <c r="M161" s="21">
        <f t="shared" si="13"/>
        <v>4.0993321037331398</v>
      </c>
      <c r="N161" s="21">
        <f t="shared" si="14"/>
        <v>3.0517619977855714</v>
      </c>
    </row>
    <row r="162" spans="1:14" x14ac:dyDescent="0.2">
      <c r="A162" s="33">
        <f>'GF + UG Iteration 1'!A162</f>
        <v>1203</v>
      </c>
      <c r="B162" s="34" t="str">
        <f>'GF + UG Iteration 1'!B162</f>
        <v>UG</v>
      </c>
      <c r="C162" s="35">
        <f>'GF + UG Iteration 1'!C162</f>
        <v>20.5</v>
      </c>
      <c r="D162" s="36">
        <f>'GF + UG Iteration 1'!P$16*(C162^'GF + UG Iteration 1'!P$15)</f>
        <v>14.016944802550013</v>
      </c>
      <c r="E162" s="37">
        <f>'GF + UG Iteration 1'!E162</f>
        <v>1977</v>
      </c>
      <c r="F162" s="35">
        <f>'GF + UG Iteration 1'!F162</f>
        <v>4.1000000000000014</v>
      </c>
      <c r="G162" s="36">
        <f>'GF + UG Iteration 1'!G162</f>
        <v>12.443615523285567</v>
      </c>
      <c r="H162" s="38">
        <f>'GF + UG Iteration 1'!H162</f>
        <v>2012</v>
      </c>
      <c r="I162" s="35">
        <f t="shared" si="10"/>
        <v>24.6</v>
      </c>
      <c r="J162" s="36">
        <f t="shared" si="11"/>
        <v>26.46056032583558</v>
      </c>
      <c r="K162" s="38">
        <f t="shared" si="12"/>
        <v>2012</v>
      </c>
      <c r="M162" s="21">
        <f t="shared" si="13"/>
        <v>3.202746442938317</v>
      </c>
      <c r="N162" s="21">
        <f t="shared" si="14"/>
        <v>3.275655334798028</v>
      </c>
    </row>
    <row r="163" spans="1:14" x14ac:dyDescent="0.2">
      <c r="A163" s="33">
        <f>'GF + UG Iteration 1'!A163</f>
        <v>170</v>
      </c>
      <c r="B163" s="34" t="str">
        <f>'GF + UG Iteration 1'!B163</f>
        <v>UG</v>
      </c>
      <c r="C163" s="35">
        <f>'GF + UG Iteration 1'!C163</f>
        <v>7.9</v>
      </c>
      <c r="D163" s="36">
        <f>'GF + UG Iteration 1'!P$16*(C163^'GF + UG Iteration 1'!P$15)</f>
        <v>8.3117945073880257</v>
      </c>
      <c r="E163" s="37">
        <f>'GF + UG Iteration 1'!E163</f>
        <v>1972</v>
      </c>
      <c r="F163" s="35">
        <f>'GF + UG Iteration 1'!F163</f>
        <v>6.1</v>
      </c>
      <c r="G163" s="36">
        <f>'GF + UG Iteration 1'!G163</f>
        <v>2.9004939377112939</v>
      </c>
      <c r="H163" s="38">
        <f>'GF + UG Iteration 1'!H163</f>
        <v>2001</v>
      </c>
      <c r="I163" s="35">
        <f t="shared" si="10"/>
        <v>14</v>
      </c>
      <c r="J163" s="36">
        <f t="shared" si="11"/>
        <v>11.21228844509932</v>
      </c>
      <c r="K163" s="38">
        <f t="shared" si="12"/>
        <v>2001</v>
      </c>
      <c r="M163" s="21">
        <f t="shared" si="13"/>
        <v>2.6390573296152584</v>
      </c>
      <c r="N163" s="21">
        <f t="shared" si="14"/>
        <v>2.41701035943428</v>
      </c>
    </row>
    <row r="164" spans="1:14" x14ac:dyDescent="0.2">
      <c r="A164" s="33">
        <f>'GF + UG Iteration 1'!A164</f>
        <v>363</v>
      </c>
      <c r="B164" s="34" t="str">
        <f>'GF + UG Iteration 1'!B164</f>
        <v>UG</v>
      </c>
      <c r="C164" s="35">
        <f>'GF + UG Iteration 1'!C164</f>
        <v>21.225999999999999</v>
      </c>
      <c r="D164" s="36">
        <f>'GF + UG Iteration 1'!P$16*(C164^'GF + UG Iteration 1'!P$15)</f>
        <v>14.286854533445094</v>
      </c>
      <c r="E164" s="37">
        <f>'GF + UG Iteration 1'!E164</f>
        <v>1975</v>
      </c>
      <c r="F164" s="35">
        <f>'GF + UG Iteration 1'!F164</f>
        <v>4.1999999999999993</v>
      </c>
      <c r="G164" s="36">
        <f>'GF + UG Iteration 1'!G164</f>
        <v>0.82194253395528394</v>
      </c>
      <c r="H164" s="38">
        <f>'GF + UG Iteration 1'!H164</f>
        <v>2004</v>
      </c>
      <c r="I164" s="35">
        <f t="shared" si="10"/>
        <v>25.425999999999998</v>
      </c>
      <c r="J164" s="36">
        <f t="shared" si="11"/>
        <v>15.108797067400378</v>
      </c>
      <c r="K164" s="38">
        <f t="shared" si="12"/>
        <v>2004</v>
      </c>
      <c r="M164" s="21">
        <f t="shared" si="13"/>
        <v>3.2357722725279308</v>
      </c>
      <c r="N164" s="21">
        <f t="shared" si="14"/>
        <v>2.7152771614278706</v>
      </c>
    </row>
    <row r="165" spans="1:14" x14ac:dyDescent="0.2">
      <c r="A165" s="33">
        <f>'GF + UG Iteration 1'!A165</f>
        <v>493</v>
      </c>
      <c r="B165" s="34" t="str">
        <f>'GF + UG Iteration 1'!B165</f>
        <v>UG</v>
      </c>
      <c r="C165" s="35">
        <f>'GF + UG Iteration 1'!C165</f>
        <v>25.4</v>
      </c>
      <c r="D165" s="36">
        <f>'GF + UG Iteration 1'!P$16*(C165^'GF + UG Iteration 1'!P$15)</f>
        <v>15.763947013954127</v>
      </c>
      <c r="E165" s="37">
        <f>'GF + UG Iteration 1'!E165</f>
        <v>1975</v>
      </c>
      <c r="F165" s="35">
        <f>'GF + UG Iteration 1'!F165</f>
        <v>3.3000000000000007</v>
      </c>
      <c r="G165" s="36">
        <f>'GF + UG Iteration 1'!G165</f>
        <v>3.4002692913337142</v>
      </c>
      <c r="H165" s="38">
        <f>'GF + UG Iteration 1'!H165</f>
        <v>2006</v>
      </c>
      <c r="I165" s="35">
        <f t="shared" si="10"/>
        <v>28.7</v>
      </c>
      <c r="J165" s="36">
        <f t="shared" si="11"/>
        <v>19.164216305287841</v>
      </c>
      <c r="K165" s="38">
        <f t="shared" si="12"/>
        <v>2006</v>
      </c>
      <c r="M165" s="21">
        <f t="shared" si="13"/>
        <v>3.3568971227655755</v>
      </c>
      <c r="N165" s="21">
        <f t="shared" si="14"/>
        <v>2.9530448060208299</v>
      </c>
    </row>
    <row r="166" spans="1:14" x14ac:dyDescent="0.2">
      <c r="A166" s="33">
        <f>'GF + UG Iteration 1'!A166</f>
        <v>685</v>
      </c>
      <c r="B166" s="34" t="str">
        <f>'GF + UG Iteration 1'!B166</f>
        <v>UG</v>
      </c>
      <c r="C166" s="35">
        <f>'GF + UG Iteration 1'!C166</f>
        <v>28.7</v>
      </c>
      <c r="D166" s="36">
        <f>'GF + UG Iteration 1'!P$16*(C166^'GF + UG Iteration 1'!P$15)</f>
        <v>16.85534161673435</v>
      </c>
      <c r="E166" s="37">
        <f>'GF + UG Iteration 1'!E166</f>
        <v>1975</v>
      </c>
      <c r="F166" s="35">
        <f>'GF + UG Iteration 1'!F166</f>
        <v>4.1999999999999993</v>
      </c>
      <c r="G166" s="36">
        <f>'GF + UG Iteration 1'!G166</f>
        <v>0.94606982488538283</v>
      </c>
      <c r="H166" s="38">
        <f>'GF + UG Iteration 1'!H166</f>
        <v>2007</v>
      </c>
      <c r="I166" s="35">
        <f t="shared" si="10"/>
        <v>32.9</v>
      </c>
      <c r="J166" s="36">
        <f t="shared" si="11"/>
        <v>17.801411441619734</v>
      </c>
      <c r="K166" s="38">
        <f t="shared" si="12"/>
        <v>2007</v>
      </c>
      <c r="M166" s="21">
        <f t="shared" si="13"/>
        <v>3.493472657771326</v>
      </c>
      <c r="N166" s="21">
        <f t="shared" si="14"/>
        <v>2.8792777486274179</v>
      </c>
    </row>
    <row r="167" spans="1:14" x14ac:dyDescent="0.2">
      <c r="A167" s="33">
        <f>'GF + UG Iteration 1'!A167</f>
        <v>1574</v>
      </c>
      <c r="B167" s="34" t="str">
        <f>'GF + UG Iteration 1'!B167</f>
        <v>UG</v>
      </c>
      <c r="C167" s="35">
        <f>'GF + UG Iteration 1'!C167</f>
        <v>28</v>
      </c>
      <c r="D167" s="36">
        <f>'GF + UG Iteration 1'!P$16*(C167^'GF + UG Iteration 1'!P$15)</f>
        <v>16.628781933851254</v>
      </c>
      <c r="E167" s="37">
        <f>'GF + UG Iteration 1'!E167</f>
        <v>2013</v>
      </c>
      <c r="F167" s="35">
        <f>'GF + UG Iteration 1'!F167</f>
        <v>0</v>
      </c>
      <c r="G167" s="36">
        <f>'GF + UG Iteration 1'!G167</f>
        <v>6.2662260340537754</v>
      </c>
      <c r="H167" s="38">
        <f>'GF + UG Iteration 1'!H167</f>
        <v>2015</v>
      </c>
      <c r="I167" s="35">
        <f t="shared" si="10"/>
        <v>28</v>
      </c>
      <c r="J167" s="36">
        <f t="shared" si="11"/>
        <v>22.89500796790503</v>
      </c>
      <c r="K167" s="38">
        <f t="shared" si="12"/>
        <v>2015</v>
      </c>
      <c r="M167" s="21">
        <f t="shared" si="13"/>
        <v>3.3322045101752038</v>
      </c>
      <c r="N167" s="21">
        <f t="shared" si="14"/>
        <v>3.130918894128436</v>
      </c>
    </row>
    <row r="168" spans="1:14" x14ac:dyDescent="0.2">
      <c r="A168" s="33">
        <f>'GF + UG Iteration 1'!A168</f>
        <v>435</v>
      </c>
      <c r="B168" s="34" t="str">
        <f>'GF + UG Iteration 1'!B168</f>
        <v>UG</v>
      </c>
      <c r="C168" s="35">
        <f>'GF + UG Iteration 1'!C168</f>
        <v>10.6</v>
      </c>
      <c r="D168" s="36">
        <f>'GF + UG Iteration 1'!P$16*(C168^'GF + UG Iteration 1'!P$15)</f>
        <v>9.7649053143251656</v>
      </c>
      <c r="E168" s="37">
        <f>'GF + UG Iteration 1'!E168</f>
        <v>1990</v>
      </c>
      <c r="F168" s="35">
        <f>'GF + UG Iteration 1'!F168</f>
        <v>8.4</v>
      </c>
      <c r="G168" s="36">
        <f>'GF + UG Iteration 1'!G168</f>
        <v>3.0773639102073269</v>
      </c>
      <c r="H168" s="38">
        <f>'GF + UG Iteration 1'!H168</f>
        <v>2004</v>
      </c>
      <c r="I168" s="35">
        <f t="shared" si="10"/>
        <v>19</v>
      </c>
      <c r="J168" s="36">
        <f t="shared" si="11"/>
        <v>12.842269224532492</v>
      </c>
      <c r="K168" s="38">
        <f t="shared" si="12"/>
        <v>2004</v>
      </c>
      <c r="M168" s="21">
        <f t="shared" si="13"/>
        <v>2.9444389791664403</v>
      </c>
      <c r="N168" s="21">
        <f t="shared" si="14"/>
        <v>2.5527420135293455</v>
      </c>
    </row>
    <row r="169" spans="1:14" x14ac:dyDescent="0.2">
      <c r="A169" s="33">
        <f>'GF + UG Iteration 1'!A169</f>
        <v>652</v>
      </c>
      <c r="B169" s="34" t="str">
        <f>'GF + UG Iteration 1'!B169</f>
        <v>UG</v>
      </c>
      <c r="C169" s="35">
        <f>'GF + UG Iteration 1'!C169</f>
        <v>10.195</v>
      </c>
      <c r="D169" s="36">
        <f>'GF + UG Iteration 1'!P$16*(C169^'GF + UG Iteration 1'!P$15)</f>
        <v>9.5586360516505895</v>
      </c>
      <c r="E169" s="37">
        <f>'GF + UG Iteration 1'!E169</f>
        <v>1986</v>
      </c>
      <c r="F169" s="35">
        <f>'GF + UG Iteration 1'!F169</f>
        <v>3.4049999999999994</v>
      </c>
      <c r="G169" s="36">
        <f>'GF + UG Iteration 1'!G169</f>
        <v>4.380227937072533</v>
      </c>
      <c r="H169" s="38">
        <f>'GF + UG Iteration 1'!H169</f>
        <v>2007</v>
      </c>
      <c r="I169" s="35">
        <f t="shared" si="10"/>
        <v>13.6</v>
      </c>
      <c r="J169" s="36">
        <f t="shared" si="11"/>
        <v>13.938863988723122</v>
      </c>
      <c r="K169" s="38">
        <f t="shared" si="12"/>
        <v>2007</v>
      </c>
      <c r="M169" s="21">
        <f t="shared" si="13"/>
        <v>2.6100697927420065</v>
      </c>
      <c r="N169" s="21">
        <f t="shared" si="14"/>
        <v>2.6346809090936527</v>
      </c>
    </row>
    <row r="170" spans="1:14" x14ac:dyDescent="0.2">
      <c r="A170" s="33">
        <f>'GF + UG Iteration 1'!A170</f>
        <v>366</v>
      </c>
      <c r="B170" s="34" t="str">
        <f>'GF + UG Iteration 1'!B170</f>
        <v>UG</v>
      </c>
      <c r="C170" s="35">
        <f>'GF + UG Iteration 1'!C170</f>
        <v>11.1</v>
      </c>
      <c r="D170" s="36">
        <f>'GF + UG Iteration 1'!P$16*(C170^'GF + UG Iteration 1'!P$15)</f>
        <v>10.014706846976436</v>
      </c>
      <c r="E170" s="37">
        <f>'GF + UG Iteration 1'!E170</f>
        <v>1981</v>
      </c>
      <c r="F170" s="35">
        <f>'GF + UG Iteration 1'!F170</f>
        <v>4.8000000000000007</v>
      </c>
      <c r="G170" s="36">
        <f>'GF + UG Iteration 1'!G170</f>
        <v>0.60207988766843201</v>
      </c>
      <c r="H170" s="38">
        <f>'GF + UG Iteration 1'!H170</f>
        <v>2003</v>
      </c>
      <c r="I170" s="35">
        <f t="shared" si="10"/>
        <v>15.9</v>
      </c>
      <c r="J170" s="36">
        <f t="shared" si="11"/>
        <v>10.616786734644869</v>
      </c>
      <c r="K170" s="38">
        <f t="shared" si="12"/>
        <v>2003</v>
      </c>
      <c r="M170" s="21">
        <f t="shared" si="13"/>
        <v>2.7663191092261861</v>
      </c>
      <c r="N170" s="21">
        <f t="shared" si="14"/>
        <v>2.3624364026718139</v>
      </c>
    </row>
    <row r="171" spans="1:14" x14ac:dyDescent="0.2">
      <c r="A171" s="33">
        <f>'GF + UG Iteration 1'!A171</f>
        <v>1640</v>
      </c>
      <c r="B171" s="34" t="str">
        <f>'GF + UG Iteration 1'!B171</f>
        <v>UG</v>
      </c>
      <c r="C171" s="35">
        <f>'GF + UG Iteration 1'!C171</f>
        <v>15.9</v>
      </c>
      <c r="D171" s="36">
        <f>'GF + UG Iteration 1'!P$16*(C171^'GF + UG Iteration 1'!P$15)</f>
        <v>12.194761633327747</v>
      </c>
      <c r="E171" s="37">
        <f>'GF + UG Iteration 1'!E171</f>
        <v>1981</v>
      </c>
      <c r="F171" s="35">
        <f>'GF + UG Iteration 1'!F171</f>
        <v>2.4999999999999982</v>
      </c>
      <c r="G171" s="36">
        <f>'GF + UG Iteration 1'!G171</f>
        <v>8.3244002844443177</v>
      </c>
      <c r="H171" s="38">
        <f>'GF + UG Iteration 1'!H171</f>
        <v>2015</v>
      </c>
      <c r="I171" s="35">
        <f t="shared" si="10"/>
        <v>18.399999999999999</v>
      </c>
      <c r="J171" s="36">
        <f t="shared" si="11"/>
        <v>20.519161917772067</v>
      </c>
      <c r="K171" s="38">
        <f t="shared" si="12"/>
        <v>2015</v>
      </c>
      <c r="M171" s="21">
        <f t="shared" si="13"/>
        <v>2.91235066461494</v>
      </c>
      <c r="N171" s="21">
        <f t="shared" si="14"/>
        <v>3.021359177254666</v>
      </c>
    </row>
    <row r="172" spans="1:14" x14ac:dyDescent="0.2">
      <c r="A172" s="33">
        <f>'GF + UG Iteration 1'!A172</f>
        <v>367</v>
      </c>
      <c r="B172" s="34" t="str">
        <f>'GF + UG Iteration 1'!B172</f>
        <v>UG</v>
      </c>
      <c r="C172" s="35">
        <f>'GF + UG Iteration 1'!C172</f>
        <v>11.211</v>
      </c>
      <c r="D172" s="36">
        <f>'GF + UG Iteration 1'!P$16*(C172^'GF + UG Iteration 1'!P$15)</f>
        <v>10.069468143166809</v>
      </c>
      <c r="E172" s="37">
        <f>'GF + UG Iteration 1'!E172</f>
        <v>1988</v>
      </c>
      <c r="F172" s="35">
        <f>'GF + UG Iteration 1'!F172</f>
        <v>1</v>
      </c>
      <c r="G172" s="36">
        <f>'GF + UG Iteration 1'!G172</f>
        <v>0.55588557988620213</v>
      </c>
      <c r="H172" s="38">
        <f>'GF + UG Iteration 1'!H172</f>
        <v>2004</v>
      </c>
      <c r="I172" s="35">
        <f t="shared" si="10"/>
        <v>12.211</v>
      </c>
      <c r="J172" s="36">
        <f t="shared" si="11"/>
        <v>10.62535372305301</v>
      </c>
      <c r="K172" s="38">
        <f t="shared" si="12"/>
        <v>2004</v>
      </c>
      <c r="M172" s="21">
        <f t="shared" si="13"/>
        <v>2.5023371848508846</v>
      </c>
      <c r="N172" s="21">
        <f t="shared" si="14"/>
        <v>2.3632430058377878</v>
      </c>
    </row>
    <row r="173" spans="1:14" x14ac:dyDescent="0.2">
      <c r="A173" s="33">
        <f>'GF + UG Iteration 1'!A173</f>
        <v>650</v>
      </c>
      <c r="B173" s="34" t="str">
        <f>'GF + UG Iteration 1'!B173</f>
        <v>UG</v>
      </c>
      <c r="C173" s="35">
        <f>'GF + UG Iteration 1'!C173</f>
        <v>23</v>
      </c>
      <c r="D173" s="36">
        <f>'GF + UG Iteration 1'!P$16*(C173^'GF + UG Iteration 1'!P$15)</f>
        <v>14.929359101124872</v>
      </c>
      <c r="E173" s="37">
        <f>'GF + UG Iteration 1'!E173</f>
        <v>1981</v>
      </c>
      <c r="F173" s="35">
        <f>'GF + UG Iteration 1'!F173</f>
        <v>0</v>
      </c>
      <c r="G173" s="36">
        <f>'GF + UG Iteration 1'!G173</f>
        <v>5.9476879309059552</v>
      </c>
      <c r="H173" s="38">
        <f>'GF + UG Iteration 1'!H173</f>
        <v>2007</v>
      </c>
      <c r="I173" s="35">
        <f t="shared" si="10"/>
        <v>23</v>
      </c>
      <c r="J173" s="36">
        <f t="shared" si="11"/>
        <v>20.877047032030827</v>
      </c>
      <c r="K173" s="38">
        <f t="shared" si="12"/>
        <v>2007</v>
      </c>
      <c r="M173" s="21">
        <f t="shared" si="13"/>
        <v>3.1354942159291497</v>
      </c>
      <c r="N173" s="21">
        <f t="shared" si="14"/>
        <v>3.0386503273438632</v>
      </c>
    </row>
    <row r="174" spans="1:14" x14ac:dyDescent="0.2">
      <c r="A174" s="33">
        <f>'GF + UG Iteration 1'!A174</f>
        <v>902</v>
      </c>
      <c r="B174" s="34" t="str">
        <f>'GF + UG Iteration 1'!B174</f>
        <v>UG</v>
      </c>
      <c r="C174" s="35">
        <f>'GF + UG Iteration 1'!C174</f>
        <v>19.2</v>
      </c>
      <c r="D174" s="36">
        <f>'GF + UG Iteration 1'!P$16*(C174^'GF + UG Iteration 1'!P$15)</f>
        <v>13.522598265555642</v>
      </c>
      <c r="E174" s="37">
        <f>'GF + UG Iteration 1'!E174</f>
        <v>2002</v>
      </c>
      <c r="F174" s="35">
        <f>'GF + UG Iteration 1'!F174</f>
        <v>13.500000000000004</v>
      </c>
      <c r="G174" s="36">
        <f>'GF + UG Iteration 1'!G174</f>
        <v>0.54699963688402187</v>
      </c>
      <c r="H174" s="38">
        <f>'GF + UG Iteration 1'!H174</f>
        <v>2009</v>
      </c>
      <c r="I174" s="35">
        <f t="shared" si="10"/>
        <v>32.700000000000003</v>
      </c>
      <c r="J174" s="36">
        <f t="shared" si="11"/>
        <v>14.069597902439664</v>
      </c>
      <c r="K174" s="38">
        <f t="shared" si="12"/>
        <v>2009</v>
      </c>
      <c r="M174" s="21">
        <f t="shared" si="13"/>
        <v>3.487375077903208</v>
      </c>
      <c r="N174" s="21">
        <f t="shared" si="14"/>
        <v>2.6440162923554311</v>
      </c>
    </row>
    <row r="175" spans="1:14" x14ac:dyDescent="0.2">
      <c r="A175" s="33">
        <f>'GF + UG Iteration 1'!A175</f>
        <v>1202</v>
      </c>
      <c r="B175" s="34" t="str">
        <f>'GF + UG Iteration 1'!B175</f>
        <v>UG</v>
      </c>
      <c r="C175" s="35">
        <f>'GF + UG Iteration 1'!C175</f>
        <v>19.399999999999999</v>
      </c>
      <c r="D175" s="36">
        <f>'GF + UG Iteration 1'!P$16*(C175^'GF + UG Iteration 1'!P$15)</f>
        <v>13.599614770474604</v>
      </c>
      <c r="E175" s="37">
        <f>'GF + UG Iteration 1'!E175</f>
        <v>1989</v>
      </c>
      <c r="F175" s="35">
        <f>'GF + UG Iteration 1'!F175</f>
        <v>1.6000000000000014</v>
      </c>
      <c r="G175" s="36">
        <f>'GF + UG Iteration 1'!G175</f>
        <v>10.745042225505973</v>
      </c>
      <c r="H175" s="38">
        <f>'GF + UG Iteration 1'!H175</f>
        <v>2012</v>
      </c>
      <c r="I175" s="35">
        <f t="shared" si="10"/>
        <v>21</v>
      </c>
      <c r="J175" s="36">
        <f t="shared" si="11"/>
        <v>24.344656995980579</v>
      </c>
      <c r="K175" s="38">
        <f t="shared" si="12"/>
        <v>2012</v>
      </c>
      <c r="M175" s="21">
        <f t="shared" si="13"/>
        <v>3.044522437723423</v>
      </c>
      <c r="N175" s="21">
        <f t="shared" si="14"/>
        <v>3.1923124002349605</v>
      </c>
    </row>
    <row r="176" spans="1:14" x14ac:dyDescent="0.2">
      <c r="A176" s="33">
        <f>'GF + UG Iteration 1'!A176</f>
        <v>1338</v>
      </c>
      <c r="B176" s="34" t="str">
        <f>'GF + UG Iteration 1'!B176</f>
        <v>UG</v>
      </c>
      <c r="C176" s="35">
        <f>'GF + UG Iteration 1'!C176</f>
        <v>7.5</v>
      </c>
      <c r="D176" s="36">
        <f>'GF + UG Iteration 1'!P$16*(C176^'GF + UG Iteration 1'!P$15)</f>
        <v>8.0784453689622282</v>
      </c>
      <c r="E176" s="37" t="str">
        <f>'GF + UG Iteration 1'!E176</f>
        <v>unknown</v>
      </c>
      <c r="F176" s="35">
        <f>'GF + UG Iteration 1'!F176</f>
        <v>2</v>
      </c>
      <c r="G176" s="36">
        <f>'GF + UG Iteration 1'!G176</f>
        <v>6.6635813355623759</v>
      </c>
      <c r="H176" s="38">
        <f>'GF + UG Iteration 1'!H176</f>
        <v>2013</v>
      </c>
      <c r="I176" s="35">
        <f t="shared" si="10"/>
        <v>9.5</v>
      </c>
      <c r="J176" s="36">
        <f t="shared" si="11"/>
        <v>14.742026704524605</v>
      </c>
      <c r="K176" s="38">
        <f t="shared" si="12"/>
        <v>2013</v>
      </c>
      <c r="M176" s="21">
        <f t="shared" si="13"/>
        <v>2.2512917986064953</v>
      </c>
      <c r="N176" s="21">
        <f t="shared" si="14"/>
        <v>2.6907023742241867</v>
      </c>
    </row>
    <row r="177" spans="1:14" x14ac:dyDescent="0.2">
      <c r="A177" s="33">
        <f>'GF + UG Iteration 1'!A177</f>
        <v>212</v>
      </c>
      <c r="B177" s="34" t="str">
        <f>'GF + UG Iteration 1'!B177</f>
        <v>UG</v>
      </c>
      <c r="C177" s="35">
        <f>'GF + UG Iteration 1'!C177</f>
        <v>36.549999999999997</v>
      </c>
      <c r="D177" s="36">
        <f>'GF + UG Iteration 1'!P$16*(C177^'GF + UG Iteration 1'!P$15)</f>
        <v>19.24353700527039</v>
      </c>
      <c r="E177" s="37">
        <f>'GF + UG Iteration 1'!E177</f>
        <v>1978</v>
      </c>
      <c r="F177" s="35">
        <f>'GF + UG Iteration 1'!F177</f>
        <v>28</v>
      </c>
      <c r="G177" s="36">
        <f>'GF + UG Iteration 1'!G177</f>
        <v>4.6264535731184777</v>
      </c>
      <c r="H177" s="38">
        <f>'GF + UG Iteration 1'!H177</f>
        <v>2003</v>
      </c>
      <c r="I177" s="35">
        <f t="shared" si="10"/>
        <v>64.55</v>
      </c>
      <c r="J177" s="36">
        <f t="shared" si="11"/>
        <v>23.869990578388869</v>
      </c>
      <c r="K177" s="38">
        <f t="shared" si="12"/>
        <v>2003</v>
      </c>
      <c r="M177" s="21">
        <f t="shared" si="13"/>
        <v>4.1674401172926512</v>
      </c>
      <c r="N177" s="21">
        <f t="shared" si="14"/>
        <v>3.1726220456455443</v>
      </c>
    </row>
    <row r="178" spans="1:14" x14ac:dyDescent="0.2">
      <c r="A178" s="33">
        <f>'GF + UG Iteration 1'!A178</f>
        <v>653</v>
      </c>
      <c r="B178" s="34" t="str">
        <f>'GF + UG Iteration 1'!B178</f>
        <v>UG</v>
      </c>
      <c r="C178" s="35">
        <f>'GF + UG Iteration 1'!C178</f>
        <v>64.55</v>
      </c>
      <c r="D178" s="36">
        <f>'GF + UG Iteration 1'!P$16*(C178^'GF + UG Iteration 1'!P$15)</f>
        <v>26.28185133620897</v>
      </c>
      <c r="E178" s="37">
        <f>'GF + UG Iteration 1'!E178</f>
        <v>1977</v>
      </c>
      <c r="F178" s="35">
        <f>'GF + UG Iteration 1'!F178</f>
        <v>1.3200000000000074</v>
      </c>
      <c r="G178" s="36">
        <f>'GF + UG Iteration 1'!G178</f>
        <v>0.56894692945086811</v>
      </c>
      <c r="H178" s="38">
        <f>'GF + UG Iteration 1'!H178</f>
        <v>2007</v>
      </c>
      <c r="I178" s="35">
        <f t="shared" si="10"/>
        <v>65.87</v>
      </c>
      <c r="J178" s="36">
        <f t="shared" si="11"/>
        <v>26.850798265659837</v>
      </c>
      <c r="K178" s="38">
        <f t="shared" si="12"/>
        <v>2007</v>
      </c>
      <c r="M178" s="21">
        <f t="shared" si="13"/>
        <v>4.1876831026526018</v>
      </c>
      <c r="N178" s="21">
        <f t="shared" si="14"/>
        <v>3.2902955510775413</v>
      </c>
    </row>
    <row r="179" spans="1:14" x14ac:dyDescent="0.2">
      <c r="A179" s="33">
        <f>'GF + UG Iteration 1'!A179</f>
        <v>1679</v>
      </c>
      <c r="B179" s="34" t="str">
        <f>'GF + UG Iteration 1'!B179</f>
        <v>UG</v>
      </c>
      <c r="C179" s="35">
        <f>'GF + UG Iteration 1'!C179</f>
        <v>65.87</v>
      </c>
      <c r="D179" s="36">
        <f>'GF + UG Iteration 1'!P$16*(C179^'GF + UG Iteration 1'!P$15)</f>
        <v>26.575045313716021</v>
      </c>
      <c r="E179" s="37">
        <f>'GF + UG Iteration 1'!E179</f>
        <v>1977</v>
      </c>
      <c r="F179" s="35">
        <f>'GF + UG Iteration 1'!F179</f>
        <v>0</v>
      </c>
      <c r="G179" s="36">
        <f>'GF + UG Iteration 1'!G179</f>
        <v>3.0359489017822221</v>
      </c>
      <c r="H179" s="38">
        <f>'GF + UG Iteration 1'!H179</f>
        <v>2016</v>
      </c>
      <c r="I179" s="35">
        <f t="shared" si="10"/>
        <v>65.87</v>
      </c>
      <c r="J179" s="36">
        <f t="shared" si="11"/>
        <v>29.610994215498245</v>
      </c>
      <c r="K179" s="38">
        <f t="shared" si="12"/>
        <v>2016</v>
      </c>
      <c r="M179" s="21">
        <f t="shared" si="13"/>
        <v>4.1876831026526018</v>
      </c>
      <c r="N179" s="21">
        <f t="shared" si="14"/>
        <v>3.3881457185676447</v>
      </c>
    </row>
    <row r="180" spans="1:14" x14ac:dyDescent="0.2">
      <c r="A180" s="33">
        <f>'GF + UG Iteration 1'!A180</f>
        <v>1382</v>
      </c>
      <c r="B180" s="34" t="str">
        <f>'GF + UG Iteration 1'!B180</f>
        <v>UG</v>
      </c>
      <c r="C180" s="35">
        <f>'GF + UG Iteration 1'!C180</f>
        <v>24.2</v>
      </c>
      <c r="D180" s="36">
        <f>'GF + UG Iteration 1'!P$16*(C180^'GF + UG Iteration 1'!P$15)</f>
        <v>15.351331237725566</v>
      </c>
      <c r="E180" s="37" t="str">
        <f>'GF + UG Iteration 1'!E180</f>
        <v>unknown</v>
      </c>
      <c r="F180" s="35">
        <f>'GF + UG Iteration 1'!F180</f>
        <v>11.900000000000002</v>
      </c>
      <c r="G180" s="36">
        <f>'GF + UG Iteration 1'!G180</f>
        <v>2.4484361075925429</v>
      </c>
      <c r="H180" s="38">
        <f>'GF + UG Iteration 1'!H180</f>
        <v>2013</v>
      </c>
      <c r="I180" s="35">
        <f t="shared" si="10"/>
        <v>36.1</v>
      </c>
      <c r="J180" s="36">
        <f t="shared" si="11"/>
        <v>17.799767345318109</v>
      </c>
      <c r="K180" s="38">
        <f t="shared" si="12"/>
        <v>2013</v>
      </c>
      <c r="M180" s="21">
        <f t="shared" si="13"/>
        <v>3.5862928653388351</v>
      </c>
      <c r="N180" s="21">
        <f t="shared" si="14"/>
        <v>2.8791853867248731</v>
      </c>
    </row>
    <row r="181" spans="1:14" x14ac:dyDescent="0.2">
      <c r="A181" s="33">
        <f>'GF + UG Iteration 1'!A181</f>
        <v>1638</v>
      </c>
      <c r="B181" s="34" t="str">
        <f>'GF + UG Iteration 1'!B181</f>
        <v>UG</v>
      </c>
      <c r="C181" s="35">
        <f>'GF + UG Iteration 1'!C181</f>
        <v>36.1</v>
      </c>
      <c r="D181" s="36">
        <f>'GF + UG Iteration 1'!P$16*(C181^'GF + UG Iteration 1'!P$15)</f>
        <v>19.113329154240777</v>
      </c>
      <c r="E181" s="37" t="str">
        <f>'GF + UG Iteration 1'!E181</f>
        <v>unknown</v>
      </c>
      <c r="F181" s="35">
        <f>'GF + UG Iteration 1'!F181</f>
        <v>0</v>
      </c>
      <c r="G181" s="36">
        <f>'GF + UG Iteration 1'!G181</f>
        <v>1.4307693737810239</v>
      </c>
      <c r="H181" s="38">
        <f>'GF + UG Iteration 1'!H181</f>
        <v>2015</v>
      </c>
      <c r="I181" s="35">
        <f t="shared" si="10"/>
        <v>36.1</v>
      </c>
      <c r="J181" s="36">
        <f t="shared" si="11"/>
        <v>20.544098528021802</v>
      </c>
      <c r="K181" s="38">
        <f t="shared" si="12"/>
        <v>2015</v>
      </c>
      <c r="M181" s="21">
        <f t="shared" si="13"/>
        <v>3.5862928653388351</v>
      </c>
      <c r="N181" s="21">
        <f t="shared" si="14"/>
        <v>3.0225737234472669</v>
      </c>
    </row>
    <row r="182" spans="1:14" x14ac:dyDescent="0.2">
      <c r="A182" s="33">
        <f>'GF + UG Iteration 1'!A182</f>
        <v>874</v>
      </c>
      <c r="B182" s="34" t="str">
        <f>'GF + UG Iteration 1'!B182</f>
        <v>UG</v>
      </c>
      <c r="C182" s="35">
        <f>'GF + UG Iteration 1'!C182</f>
        <v>6.4</v>
      </c>
      <c r="D182" s="36">
        <f>'GF + UG Iteration 1'!P$16*(C182^'GF + UG Iteration 1'!P$15)</f>
        <v>7.4059027060976117</v>
      </c>
      <c r="E182" s="37">
        <f>'GF + UG Iteration 1'!E182</f>
        <v>1997</v>
      </c>
      <c r="F182" s="35">
        <f>'GF + UG Iteration 1'!F182</f>
        <v>0.5</v>
      </c>
      <c r="G182" s="36">
        <f>'GF + UG Iteration 1'!G182</f>
        <v>3.6333602061432981</v>
      </c>
      <c r="H182" s="38">
        <f>'GF + UG Iteration 1'!H182</f>
        <v>2009</v>
      </c>
      <c r="I182" s="35">
        <f t="shared" si="10"/>
        <v>6.9</v>
      </c>
      <c r="J182" s="36">
        <f t="shared" si="11"/>
        <v>11.039262912240909</v>
      </c>
      <c r="K182" s="38">
        <f t="shared" si="12"/>
        <v>2009</v>
      </c>
      <c r="M182" s="21">
        <f t="shared" si="13"/>
        <v>1.9315214116032138</v>
      </c>
      <c r="N182" s="21">
        <f t="shared" si="14"/>
        <v>2.4014582734244847</v>
      </c>
    </row>
    <row r="183" spans="1:14" x14ac:dyDescent="0.2">
      <c r="A183" s="33">
        <f>'GF + UG Iteration 1'!A183</f>
        <v>491</v>
      </c>
      <c r="B183" s="34" t="str">
        <f>'GF + UG Iteration 1'!B183</f>
        <v>UG</v>
      </c>
      <c r="C183" s="35">
        <f>'GF + UG Iteration 1'!C183</f>
        <v>27.9</v>
      </c>
      <c r="D183" s="36">
        <f>'GF + UG Iteration 1'!P$16*(C183^'GF + UG Iteration 1'!P$15)</f>
        <v>16.596208266963252</v>
      </c>
      <c r="E183" s="37">
        <f>'GF + UG Iteration 1'!E183</f>
        <v>1984</v>
      </c>
      <c r="F183" s="35">
        <f>'GF + UG Iteration 1'!F183</f>
        <v>1</v>
      </c>
      <c r="G183" s="36">
        <f>'GF + UG Iteration 1'!G183</f>
        <v>0.19252271805052243</v>
      </c>
      <c r="H183" s="38">
        <f>'GF + UG Iteration 1'!H183</f>
        <v>2006</v>
      </c>
      <c r="I183" s="35">
        <f t="shared" si="10"/>
        <v>28.9</v>
      </c>
      <c r="J183" s="36">
        <f t="shared" si="11"/>
        <v>16.788730985013775</v>
      </c>
      <c r="K183" s="38">
        <f t="shared" si="12"/>
        <v>2006</v>
      </c>
      <c r="M183" s="21">
        <f t="shared" si="13"/>
        <v>3.3638415951183864</v>
      </c>
      <c r="N183" s="21">
        <f t="shared" si="14"/>
        <v>2.8207078866376492</v>
      </c>
    </row>
    <row r="184" spans="1:14" x14ac:dyDescent="0.2">
      <c r="A184" s="33">
        <f>'GF + UG Iteration 1'!A184</f>
        <v>1396</v>
      </c>
      <c r="B184" s="34" t="str">
        <f>'GF + UG Iteration 1'!B184</f>
        <v>UG</v>
      </c>
      <c r="C184" s="35">
        <f>'GF + UG Iteration 1'!C184</f>
        <v>20.6</v>
      </c>
      <c r="D184" s="36">
        <f>'GF + UG Iteration 1'!P$16*(C184^'GF + UG Iteration 1'!P$15)</f>
        <v>14.054376101615237</v>
      </c>
      <c r="E184" s="37">
        <f>'GF + UG Iteration 1'!E184</f>
        <v>2009</v>
      </c>
      <c r="F184" s="35">
        <f>'GF + UG Iteration 1'!F184</f>
        <v>5.3999999999999986</v>
      </c>
      <c r="G184" s="36">
        <f>'GF + UG Iteration 1'!G184</f>
        <v>0.37351117224616898</v>
      </c>
      <c r="H184" s="38">
        <f>'GF + UG Iteration 1'!H184</f>
        <v>2013</v>
      </c>
      <c r="I184" s="35">
        <f t="shared" ref="I184:I246" si="20">C184+F184</f>
        <v>26</v>
      </c>
      <c r="J184" s="36">
        <f t="shared" ref="J184:J246" si="21">D184+G184</f>
        <v>14.427887273861405</v>
      </c>
      <c r="K184" s="38">
        <f t="shared" ref="K184:K246" si="22">MAX(E184,H184)</f>
        <v>2013</v>
      </c>
      <c r="M184" s="21">
        <f t="shared" ref="M184:M246" si="23">LN(I184)</f>
        <v>3.2580965380214821</v>
      </c>
      <c r="N184" s="21">
        <f t="shared" ref="N184:N246" si="24">LN(J184)</f>
        <v>2.6691629499986695</v>
      </c>
    </row>
    <row r="185" spans="1:14" x14ac:dyDescent="0.2">
      <c r="A185" s="33">
        <f>'GF + UG Iteration 1'!A185</f>
        <v>1597</v>
      </c>
      <c r="B185" s="34" t="str">
        <f>'GF + UG Iteration 1'!B185</f>
        <v>UG</v>
      </c>
      <c r="C185" s="35">
        <f>'GF + UG Iteration 1'!C185</f>
        <v>26</v>
      </c>
      <c r="D185" s="36">
        <f>'GF + UG Iteration 1'!P$16*(C185^'GF + UG Iteration 1'!P$15)</f>
        <v>15.966947708856267</v>
      </c>
      <c r="E185" s="37">
        <f>'GF + UG Iteration 1'!E185</f>
        <v>2009</v>
      </c>
      <c r="F185" s="35">
        <f>'GF + UG Iteration 1'!F185</f>
        <v>27.299999999999997</v>
      </c>
      <c r="G185" s="36">
        <f>'GF + UG Iteration 1'!G185</f>
        <v>4.2355817632178319</v>
      </c>
      <c r="H185" s="38">
        <f>'GF + UG Iteration 1'!H185</f>
        <v>2015</v>
      </c>
      <c r="I185" s="35">
        <f t="shared" si="20"/>
        <v>53.3</v>
      </c>
      <c r="J185" s="36">
        <f t="shared" si="21"/>
        <v>20.202529472074097</v>
      </c>
      <c r="K185" s="38">
        <f t="shared" si="22"/>
        <v>2015</v>
      </c>
      <c r="M185" s="21">
        <f t="shared" si="23"/>
        <v>3.9759363311717988</v>
      </c>
      <c r="N185" s="21">
        <f t="shared" si="24"/>
        <v>3.0058078179574221</v>
      </c>
    </row>
    <row r="186" spans="1:14" x14ac:dyDescent="0.2">
      <c r="A186" s="33">
        <f>'GF + UG Iteration 1'!A186</f>
        <v>1292</v>
      </c>
      <c r="B186" s="34" t="str">
        <f>'GF + UG Iteration 1'!B186</f>
        <v>UG</v>
      </c>
      <c r="C186" s="35">
        <f>'GF + UG Iteration 1'!C186</f>
        <v>30.3</v>
      </c>
      <c r="D186" s="36">
        <f>'GF + UG Iteration 1'!P$16*(C186^'GF + UG Iteration 1'!P$15)</f>
        <v>17.36400141927178</v>
      </c>
      <c r="E186" s="37" t="str">
        <f>'GF + UG Iteration 1'!E186</f>
        <v>unknown</v>
      </c>
      <c r="F186" s="35">
        <f>'GF + UG Iteration 1'!F186</f>
        <v>2.4999999999999964</v>
      </c>
      <c r="G186" s="36">
        <f>'GF + UG Iteration 1'!G186</f>
        <v>4.47116983018676</v>
      </c>
      <c r="H186" s="38">
        <f>'GF + UG Iteration 1'!H186</f>
        <v>2013</v>
      </c>
      <c r="I186" s="35">
        <f t="shared" si="20"/>
        <v>32.799999999999997</v>
      </c>
      <c r="J186" s="36">
        <f t="shared" si="21"/>
        <v>21.83517124945854</v>
      </c>
      <c r="K186" s="38">
        <f t="shared" si="22"/>
        <v>2013</v>
      </c>
      <c r="M186" s="21">
        <f t="shared" si="23"/>
        <v>3.4904285153900978</v>
      </c>
      <c r="N186" s="21">
        <f t="shared" si="24"/>
        <v>3.0835220297947261</v>
      </c>
    </row>
    <row r="187" spans="1:14" x14ac:dyDescent="0.2">
      <c r="A187" s="33">
        <f>'GF + UG Iteration 1'!A187</f>
        <v>364</v>
      </c>
      <c r="B187" s="34" t="str">
        <f>'GF + UG Iteration 1'!B187</f>
        <v>UG</v>
      </c>
      <c r="C187" s="35">
        <f>'GF + UG Iteration 1'!C187</f>
        <v>44.904000000000003</v>
      </c>
      <c r="D187" s="36">
        <f>'GF + UG Iteration 1'!P$16*(C187^'GF + UG Iteration 1'!P$15)</f>
        <v>21.541626958976853</v>
      </c>
      <c r="E187" s="37">
        <f>'GF + UG Iteration 1'!E187</f>
        <v>1975</v>
      </c>
      <c r="F187" s="35">
        <f>'GF + UG Iteration 1'!F187</f>
        <v>2</v>
      </c>
      <c r="G187" s="36">
        <f>'GF + UG Iteration 1'!G187</f>
        <v>1.3174901179839253</v>
      </c>
      <c r="H187" s="38">
        <f>'GF + UG Iteration 1'!H187</f>
        <v>2004</v>
      </c>
      <c r="I187" s="35">
        <f t="shared" si="20"/>
        <v>46.904000000000003</v>
      </c>
      <c r="J187" s="36">
        <f t="shared" si="21"/>
        <v>22.859117076960779</v>
      </c>
      <c r="K187" s="38">
        <f t="shared" si="22"/>
        <v>2004</v>
      </c>
      <c r="M187" s="21">
        <f t="shared" si="23"/>
        <v>3.8481029596619138</v>
      </c>
      <c r="N187" s="21">
        <f t="shared" si="24"/>
        <v>3.1293500345656913</v>
      </c>
    </row>
    <row r="188" spans="1:14" x14ac:dyDescent="0.2">
      <c r="A188" s="33">
        <f>'GF + UG Iteration 1'!A188</f>
        <v>1306</v>
      </c>
      <c r="B188" s="34" t="str">
        <f>'GF + UG Iteration 1'!B188</f>
        <v>UG</v>
      </c>
      <c r="C188" s="35">
        <f>'GF + UG Iteration 1'!C188</f>
        <v>23.1</v>
      </c>
      <c r="D188" s="36">
        <f>'GF + UG Iteration 1'!P$16*(C188^'GF + UG Iteration 1'!P$15)</f>
        <v>14.964897723233411</v>
      </c>
      <c r="E188" s="37">
        <f>'GF + UG Iteration 1'!E188</f>
        <v>1985</v>
      </c>
      <c r="F188" s="35">
        <f>'GF + UG Iteration 1'!F188</f>
        <v>2.0999999999999979</v>
      </c>
      <c r="G188" s="36">
        <f>'GF + UG Iteration 1'!G188</f>
        <v>5.9848606370399509</v>
      </c>
      <c r="H188" s="38">
        <f>'GF + UG Iteration 1'!H188</f>
        <v>2013</v>
      </c>
      <c r="I188" s="35">
        <f t="shared" si="20"/>
        <v>25.2</v>
      </c>
      <c r="J188" s="36">
        <f t="shared" si="21"/>
        <v>20.949758360273364</v>
      </c>
      <c r="K188" s="38">
        <f t="shared" si="22"/>
        <v>2013</v>
      </c>
      <c r="M188" s="21">
        <f t="shared" si="23"/>
        <v>3.2268439945173775</v>
      </c>
      <c r="N188" s="21">
        <f t="shared" si="24"/>
        <v>3.0421271121857982</v>
      </c>
    </row>
    <row r="189" spans="1:14" x14ac:dyDescent="0.2">
      <c r="A189" s="33">
        <f>'GF + UG Iteration 1'!A189</f>
        <v>858</v>
      </c>
      <c r="B189" s="34" t="str">
        <f>'GF + UG Iteration 1'!B189</f>
        <v>UG</v>
      </c>
      <c r="C189" s="35">
        <f>'GF + UG Iteration 1'!C189</f>
        <v>28.4</v>
      </c>
      <c r="D189" s="36">
        <f>'GF + UG Iteration 1'!P$16*(C189^'GF + UG Iteration 1'!P$15)</f>
        <v>16.758553940800752</v>
      </c>
      <c r="E189" s="37">
        <f>'GF + UG Iteration 1'!E189</f>
        <v>2009</v>
      </c>
      <c r="F189" s="35">
        <f>'GF + UG Iteration 1'!F189</f>
        <v>13.300000000000004</v>
      </c>
      <c r="G189" s="36">
        <f>'GF + UG Iteration 1'!G189</f>
        <v>5.4358775042665943</v>
      </c>
      <c r="H189" s="38">
        <f>'GF + UG Iteration 1'!H189</f>
        <v>2010</v>
      </c>
      <c r="I189" s="35">
        <f t="shared" si="20"/>
        <v>41.7</v>
      </c>
      <c r="J189" s="36">
        <f t="shared" si="21"/>
        <v>22.194431445067345</v>
      </c>
      <c r="K189" s="38">
        <f t="shared" si="22"/>
        <v>2010</v>
      </c>
      <c r="M189" s="21">
        <f t="shared" si="23"/>
        <v>3.730501128804756</v>
      </c>
      <c r="N189" s="21">
        <f t="shared" si="24"/>
        <v>3.0998414216058934</v>
      </c>
    </row>
    <row r="190" spans="1:14" x14ac:dyDescent="0.2">
      <c r="A190" s="33">
        <f>'GF + UG Iteration 1'!A190</f>
        <v>1454</v>
      </c>
      <c r="B190" s="34" t="str">
        <f>'GF + UG Iteration 1'!B190</f>
        <v>UG</v>
      </c>
      <c r="C190" s="35">
        <f>'GF + UG Iteration 1'!C190</f>
        <v>41.7</v>
      </c>
      <c r="D190" s="36">
        <f>'GF + UG Iteration 1'!P$16*(C190^'GF + UG Iteration 1'!P$15)</f>
        <v>20.685191020822685</v>
      </c>
      <c r="E190" s="37">
        <f>'GF + UG Iteration 1'!E190</f>
        <v>2009</v>
      </c>
      <c r="F190" s="35">
        <f>'GF + UG Iteration 1'!F190</f>
        <v>5.6999999999999957</v>
      </c>
      <c r="G190" s="36">
        <f>'GF + UG Iteration 1'!G190</f>
        <v>0.45762240995573644</v>
      </c>
      <c r="H190" s="38">
        <f>'GF + UG Iteration 1'!H190</f>
        <v>2013</v>
      </c>
      <c r="I190" s="35">
        <f t="shared" si="20"/>
        <v>47.4</v>
      </c>
      <c r="J190" s="36">
        <f t="shared" si="21"/>
        <v>21.142813430778421</v>
      </c>
      <c r="K190" s="38">
        <f t="shared" si="22"/>
        <v>2013</v>
      </c>
      <c r="M190" s="21">
        <f t="shared" si="23"/>
        <v>3.858622228701031</v>
      </c>
      <c r="N190" s="21">
        <f t="shared" si="24"/>
        <v>3.0513000572434819</v>
      </c>
    </row>
    <row r="191" spans="1:14" x14ac:dyDescent="0.2">
      <c r="A191" s="33">
        <f>'GF + UG Iteration 1'!A191</f>
        <v>637</v>
      </c>
      <c r="B191" s="34" t="str">
        <f>'GF + UG Iteration 1'!B191</f>
        <v>UG</v>
      </c>
      <c r="C191" s="35">
        <f>'GF + UG Iteration 1'!C191</f>
        <v>15.499999999999998</v>
      </c>
      <c r="D191" s="36">
        <f>'GF + UG Iteration 1'!P$16*(C191^'GF + UG Iteration 1'!P$15)</f>
        <v>12.025662339222567</v>
      </c>
      <c r="E191" s="37">
        <f>'GF + UG Iteration 1'!E191</f>
        <v>1989</v>
      </c>
      <c r="F191" s="35">
        <f>'GF + UG Iteration 1'!F191</f>
        <v>8.4</v>
      </c>
      <c r="G191" s="36">
        <f>'GF + UG Iteration 1'!G191</f>
        <v>5.068859840469166</v>
      </c>
      <c r="H191" s="38">
        <f>'GF + UG Iteration 1'!H191</f>
        <v>2007</v>
      </c>
      <c r="I191" s="35">
        <f t="shared" si="20"/>
        <v>23.9</v>
      </c>
      <c r="J191" s="36">
        <f t="shared" si="21"/>
        <v>17.094522179691733</v>
      </c>
      <c r="K191" s="38">
        <f t="shared" si="22"/>
        <v>2007</v>
      </c>
      <c r="M191" s="21">
        <f t="shared" si="23"/>
        <v>3.1738784589374651</v>
      </c>
      <c r="N191" s="21">
        <f t="shared" si="24"/>
        <v>2.8387580718197736</v>
      </c>
    </row>
    <row r="192" spans="1:14" x14ac:dyDescent="0.2">
      <c r="A192" s="33">
        <f>'GF + UG Iteration 1'!A192</f>
        <v>1254</v>
      </c>
      <c r="B192" s="34" t="str">
        <f>'GF + UG Iteration 1'!B192</f>
        <v>UG</v>
      </c>
      <c r="C192" s="35">
        <f>'GF + UG Iteration 1'!C192</f>
        <v>23.9</v>
      </c>
      <c r="D192" s="36">
        <f>'GF + UG Iteration 1'!P$16*(C192^'GF + UG Iteration 1'!P$15)</f>
        <v>15.246741886366868</v>
      </c>
      <c r="E192" s="37">
        <f>'GF + UG Iteration 1'!E192</f>
        <v>1989</v>
      </c>
      <c r="F192" s="35">
        <f>'GF + UG Iteration 1'!F192</f>
        <v>15.399999999999999</v>
      </c>
      <c r="G192" s="36">
        <f>'GF + UG Iteration 1'!G192</f>
        <v>6.528436764593768</v>
      </c>
      <c r="H192" s="38">
        <f>'GF + UG Iteration 1'!H192</f>
        <v>2012</v>
      </c>
      <c r="I192" s="35">
        <f t="shared" si="20"/>
        <v>39.299999999999997</v>
      </c>
      <c r="J192" s="36">
        <f t="shared" si="21"/>
        <v>21.775178650960637</v>
      </c>
      <c r="K192" s="38">
        <f t="shared" si="22"/>
        <v>2012</v>
      </c>
      <c r="M192" s="21">
        <f t="shared" si="23"/>
        <v>3.6712245188752153</v>
      </c>
      <c r="N192" s="21">
        <f t="shared" si="24"/>
        <v>3.0807707271118283</v>
      </c>
    </row>
    <row r="193" spans="1:14" x14ac:dyDescent="0.2">
      <c r="A193" s="33">
        <f>'GF + UG Iteration 1'!A193</f>
        <v>734</v>
      </c>
      <c r="B193" s="34" t="str">
        <f>'GF + UG Iteration 1'!B193</f>
        <v>UG</v>
      </c>
      <c r="C193" s="35">
        <f>'GF + UG Iteration 1'!C193</f>
        <v>20</v>
      </c>
      <c r="D193" s="36">
        <f>'GF + UG Iteration 1'!P$16*(C193^'GF + UG Iteration 1'!P$15)</f>
        <v>13.828537196126735</v>
      </c>
      <c r="E193" s="37">
        <f>'GF + UG Iteration 1'!E193</f>
        <v>1974</v>
      </c>
      <c r="F193" s="35">
        <f>'GF + UG Iteration 1'!F193</f>
        <v>4.3999999999999986</v>
      </c>
      <c r="G193" s="36">
        <f>'GF + UG Iteration 1'!G193</f>
        <v>11.261124599264825</v>
      </c>
      <c r="H193" s="38">
        <f>'GF + UG Iteration 1'!H193</f>
        <v>2011</v>
      </c>
      <c r="I193" s="35">
        <f t="shared" ref="I193" si="25">C193+F193</f>
        <v>24.4</v>
      </c>
      <c r="J193" s="36">
        <f t="shared" ref="J193" si="26">D193+G193</f>
        <v>25.08966179539156</v>
      </c>
      <c r="K193" s="38">
        <f t="shared" ref="K193" si="27">MAX(E193,H193)</f>
        <v>2011</v>
      </c>
      <c r="M193" s="21">
        <f t="shared" ref="M193" si="28">LN(I193)</f>
        <v>3.1945831322991562</v>
      </c>
      <c r="N193" s="21">
        <f t="shared" ref="N193" si="29">LN(J193)</f>
        <v>3.2224558806299091</v>
      </c>
    </row>
    <row r="194" spans="1:14" x14ac:dyDescent="0.2">
      <c r="A194" s="33">
        <f>'GF + UG Iteration 1'!A194</f>
        <v>1594</v>
      </c>
      <c r="B194" s="34" t="str">
        <f>'GF + UG Iteration 1'!B194</f>
        <v>UG</v>
      </c>
      <c r="C194" s="35">
        <f>'GF + UG Iteration 1'!C194</f>
        <v>24.4</v>
      </c>
      <c r="D194" s="36">
        <f>'GF + UG Iteration 1'!P$16*(C194^'GF + UG Iteration 1'!P$15)</f>
        <v>15.420732174629391</v>
      </c>
      <c r="E194" s="37">
        <f>'GF + UG Iteration 1'!E194</f>
        <v>1974</v>
      </c>
      <c r="F194" s="35">
        <f>'GF + UG Iteration 1'!F194</f>
        <v>0</v>
      </c>
      <c r="G194" s="36">
        <f>'GF + UG Iteration 1'!G194</f>
        <v>17.2334453477478</v>
      </c>
      <c r="H194" s="38">
        <f>'GF + UG Iteration 1'!H194</f>
        <v>2017</v>
      </c>
      <c r="I194" s="35">
        <f t="shared" si="20"/>
        <v>24.4</v>
      </c>
      <c r="J194" s="36">
        <f t="shared" si="21"/>
        <v>32.654177522377189</v>
      </c>
      <c r="K194" s="38">
        <f t="shared" si="22"/>
        <v>2017</v>
      </c>
      <c r="M194" s="21">
        <f t="shared" si="23"/>
        <v>3.1945831322991562</v>
      </c>
      <c r="N194" s="21">
        <f t="shared" si="24"/>
        <v>3.4859727961556981</v>
      </c>
    </row>
    <row r="195" spans="1:14" x14ac:dyDescent="0.2">
      <c r="A195" s="33">
        <f>'GF + UG Iteration 1'!A195</f>
        <v>1674</v>
      </c>
      <c r="B195" s="34" t="str">
        <f>'GF + UG Iteration 1'!B195</f>
        <v>UG</v>
      </c>
      <c r="C195" s="35">
        <f>'GF + UG Iteration 1'!C195</f>
        <v>17.399999999999999</v>
      </c>
      <c r="D195" s="36">
        <f>'GF + UG Iteration 1'!P$16*(C195^'GF + UG Iteration 1'!P$15)</f>
        <v>12.81239431040739</v>
      </c>
      <c r="E195" s="37">
        <f>'GF + UG Iteration 1'!E195</f>
        <v>0</v>
      </c>
      <c r="F195" s="35">
        <f>'GF + UG Iteration 1'!F195</f>
        <v>3.7000000000000028</v>
      </c>
      <c r="G195" s="36">
        <f>'GF + UG Iteration 1'!G195</f>
        <v>10.327278566796926</v>
      </c>
      <c r="H195" s="38">
        <f>'GF + UG Iteration 1'!H195</f>
        <v>2016</v>
      </c>
      <c r="I195" s="35">
        <f t="shared" si="20"/>
        <v>21.1</v>
      </c>
      <c r="J195" s="36">
        <f t="shared" si="21"/>
        <v>23.139672877204315</v>
      </c>
      <c r="K195" s="38">
        <f t="shared" si="22"/>
        <v>2016</v>
      </c>
      <c r="M195" s="21">
        <f t="shared" si="23"/>
        <v>3.0492730404820207</v>
      </c>
      <c r="N195" s="21">
        <f t="shared" si="24"/>
        <v>3.1415485849847213</v>
      </c>
    </row>
    <row r="196" spans="1:14" x14ac:dyDescent="0.2">
      <c r="A196" s="33">
        <f>'GF + UG Iteration 1'!A196</f>
        <v>711</v>
      </c>
      <c r="B196" s="34" t="str">
        <f>'GF + UG Iteration 1'!B196</f>
        <v>UG</v>
      </c>
      <c r="C196" s="35">
        <f>'GF + UG Iteration 1'!C196</f>
        <v>11.5</v>
      </c>
      <c r="D196" s="36">
        <f>'GF + UG Iteration 1'!P$16*(C196^'GF + UG Iteration 1'!P$15)</f>
        <v>10.210906510368844</v>
      </c>
      <c r="E196" s="37">
        <f>'GF + UG Iteration 1'!E196</f>
        <v>1976</v>
      </c>
      <c r="F196" s="35">
        <f>'GF + UG Iteration 1'!F196</f>
        <v>13.7</v>
      </c>
      <c r="G196" s="36">
        <f>'GF + UG Iteration 1'!G196</f>
        <v>9.2617881543087019</v>
      </c>
      <c r="H196" s="38">
        <f>'GF + UG Iteration 1'!H196</f>
        <v>2009</v>
      </c>
      <c r="I196" s="35">
        <f t="shared" si="20"/>
        <v>25.2</v>
      </c>
      <c r="J196" s="36">
        <f t="shared" si="21"/>
        <v>19.472694664677547</v>
      </c>
      <c r="K196" s="38">
        <f t="shared" si="22"/>
        <v>2009</v>
      </c>
      <c r="M196" s="21">
        <f t="shared" si="23"/>
        <v>3.2268439945173775</v>
      </c>
      <c r="N196" s="21">
        <f t="shared" si="24"/>
        <v>2.96901321066417</v>
      </c>
    </row>
    <row r="197" spans="1:14" x14ac:dyDescent="0.2">
      <c r="A197" s="33">
        <f>'GF + UG Iteration 1'!A197</f>
        <v>408</v>
      </c>
      <c r="B197" s="34" t="str">
        <f>'GF + UG Iteration 1'!B197</f>
        <v>UG</v>
      </c>
      <c r="C197" s="35">
        <f>'GF + UG Iteration 1'!C197</f>
        <v>37.700000000000003</v>
      </c>
      <c r="D197" s="36">
        <f>'GF + UG Iteration 1'!P$16*(C197^'GF + UG Iteration 1'!P$15)</f>
        <v>19.573037569019228</v>
      </c>
      <c r="E197" s="37">
        <f>'GF + UG Iteration 1'!E197</f>
        <v>1976</v>
      </c>
      <c r="F197" s="35">
        <f>'GF + UG Iteration 1'!F197</f>
        <v>2.0419999999999945</v>
      </c>
      <c r="G197" s="36">
        <f>'GF + UG Iteration 1'!G197</f>
        <v>0.58015876995711901</v>
      </c>
      <c r="H197" s="38">
        <f>'GF + UG Iteration 1'!H197</f>
        <v>2004</v>
      </c>
      <c r="I197" s="35">
        <f t="shared" si="20"/>
        <v>39.741999999999997</v>
      </c>
      <c r="J197" s="36">
        <f t="shared" si="21"/>
        <v>20.153196338976347</v>
      </c>
      <c r="K197" s="38">
        <f t="shared" si="22"/>
        <v>2004</v>
      </c>
      <c r="M197" s="21">
        <f t="shared" si="23"/>
        <v>3.6824085629836243</v>
      </c>
      <c r="N197" s="21">
        <f t="shared" si="24"/>
        <v>3.0033629030572047</v>
      </c>
    </row>
    <row r="198" spans="1:14" x14ac:dyDescent="0.2">
      <c r="A198" s="33">
        <f>'GF + UG Iteration 1'!A198</f>
        <v>698</v>
      </c>
      <c r="B198" s="34" t="str">
        <f>'GF + UG Iteration 1'!B198</f>
        <v>UG</v>
      </c>
      <c r="C198" s="35">
        <f>'GF + UG Iteration 1'!C198</f>
        <v>39.700000000000003</v>
      </c>
      <c r="D198" s="36">
        <f>'GF + UG Iteration 1'!P$16*(C198^'GF + UG Iteration 1'!P$15)</f>
        <v>20.135447880190558</v>
      </c>
      <c r="E198" s="37">
        <f>'GF + UG Iteration 1'!E198</f>
        <v>1976</v>
      </c>
      <c r="F198" s="35">
        <f>'GF + UG Iteration 1'!F198</f>
        <v>20.9</v>
      </c>
      <c r="G198" s="36">
        <f>'GF + UG Iteration 1'!G198</f>
        <v>1.4406821685518079</v>
      </c>
      <c r="H198" s="38">
        <f>'GF + UG Iteration 1'!H198</f>
        <v>2007</v>
      </c>
      <c r="I198" s="35">
        <f t="shared" si="20"/>
        <v>60.6</v>
      </c>
      <c r="J198" s="36">
        <f t="shared" si="21"/>
        <v>21.576130048742364</v>
      </c>
      <c r="K198" s="38">
        <f t="shared" si="22"/>
        <v>2007</v>
      </c>
      <c r="M198" s="21">
        <f t="shared" si="23"/>
        <v>4.1042948930752692</v>
      </c>
      <c r="N198" s="21">
        <f t="shared" si="24"/>
        <v>3.0715876132915647</v>
      </c>
    </row>
    <row r="199" spans="1:14" x14ac:dyDescent="0.2">
      <c r="A199" s="33">
        <f>'GF + UG Iteration 1'!A199</f>
        <v>696</v>
      </c>
      <c r="B199" s="34" t="str">
        <f>'GF + UG Iteration 1'!B199</f>
        <v>UG</v>
      </c>
      <c r="C199" s="35">
        <f>'GF + UG Iteration 1'!C199</f>
        <v>9.1370000000000005</v>
      </c>
      <c r="D199" s="36">
        <f>'GF + UG Iteration 1'!P$16*(C199^'GF + UG Iteration 1'!P$15)</f>
        <v>9.001567574020406</v>
      </c>
      <c r="E199" s="37">
        <f>'GF + UG Iteration 1'!E199</f>
        <v>1981</v>
      </c>
      <c r="F199" s="35">
        <f>'GF + UG Iteration 1'!F199</f>
        <v>8.0629999999999988</v>
      </c>
      <c r="G199" s="36">
        <f>'GF + UG Iteration 1'!G199</f>
        <v>0.26810351472539734</v>
      </c>
      <c r="H199" s="38">
        <f>'GF + UG Iteration 1'!H199</f>
        <v>2007</v>
      </c>
      <c r="I199" s="35">
        <f t="shared" si="20"/>
        <v>17.2</v>
      </c>
      <c r="J199" s="36">
        <f t="shared" si="21"/>
        <v>9.2696710887458025</v>
      </c>
      <c r="K199" s="38">
        <f t="shared" si="22"/>
        <v>2007</v>
      </c>
      <c r="M199" s="21">
        <f t="shared" si="23"/>
        <v>2.8449093838194073</v>
      </c>
      <c r="N199" s="21">
        <f t="shared" si="24"/>
        <v>2.2267478976910939</v>
      </c>
    </row>
    <row r="200" spans="1:14" x14ac:dyDescent="0.2">
      <c r="A200" s="33">
        <f>'GF + UG Iteration 1'!A200</f>
        <v>1636</v>
      </c>
      <c r="B200" s="34" t="str">
        <f>'GF + UG Iteration 1'!B200</f>
        <v>UG</v>
      </c>
      <c r="C200" s="35">
        <f>'GF + UG Iteration 1'!C200</f>
        <v>17.2</v>
      </c>
      <c r="D200" s="36">
        <f>'GF + UG Iteration 1'!P$16*(C200^'GF + UG Iteration 1'!P$15)</f>
        <v>12.73147405932121</v>
      </c>
      <c r="E200" s="37">
        <f>'GF + UG Iteration 1'!E200</f>
        <v>1981</v>
      </c>
      <c r="F200" s="35">
        <f>'GF + UG Iteration 1'!F200</f>
        <v>0</v>
      </c>
      <c r="G200" s="36">
        <f>'GF + UG Iteration 1'!G200</f>
        <v>6.6058972937468434</v>
      </c>
      <c r="H200" s="38">
        <f>'GF + UG Iteration 1'!H200</f>
        <v>2015</v>
      </c>
      <c r="I200" s="35">
        <f t="shared" si="20"/>
        <v>17.2</v>
      </c>
      <c r="J200" s="36">
        <f t="shared" si="21"/>
        <v>19.337371353068054</v>
      </c>
      <c r="K200" s="38">
        <f t="shared" si="22"/>
        <v>2015</v>
      </c>
      <c r="M200" s="21">
        <f t="shared" si="23"/>
        <v>2.8449093838194073</v>
      </c>
      <c r="N200" s="21">
        <f t="shared" si="24"/>
        <v>2.9620395631591783</v>
      </c>
    </row>
    <row r="201" spans="1:14" x14ac:dyDescent="0.2">
      <c r="A201" s="33">
        <f>'GF + UG Iteration 1'!A201</f>
        <v>1185</v>
      </c>
      <c r="B201" s="34" t="str">
        <f>'GF + UG Iteration 1'!B201</f>
        <v>UG</v>
      </c>
      <c r="C201" s="35">
        <f>'GF + UG Iteration 1'!C201</f>
        <v>32.4</v>
      </c>
      <c r="D201" s="36">
        <f>'GF + UG Iteration 1'!P$16*(C201^'GF + UG Iteration 1'!P$15)</f>
        <v>18.013542114004817</v>
      </c>
      <c r="E201" s="37">
        <f>'GF + UG Iteration 1'!E201</f>
        <v>1988</v>
      </c>
      <c r="F201" s="35">
        <f>'GF + UG Iteration 1'!F201</f>
        <v>2.5</v>
      </c>
      <c r="G201" s="36">
        <f>'GF + UG Iteration 1'!G201</f>
        <v>2.8087836612562955</v>
      </c>
      <c r="H201" s="38">
        <f>'GF + UG Iteration 1'!H201</f>
        <v>2011</v>
      </c>
      <c r="I201" s="35">
        <f t="shared" si="20"/>
        <v>34.9</v>
      </c>
      <c r="J201" s="36">
        <f t="shared" si="21"/>
        <v>20.822325775261113</v>
      </c>
      <c r="K201" s="38">
        <f t="shared" si="22"/>
        <v>2011</v>
      </c>
      <c r="M201" s="21">
        <f t="shared" si="23"/>
        <v>3.5524868292083815</v>
      </c>
      <c r="N201" s="21">
        <f t="shared" si="24"/>
        <v>3.0360257656539753</v>
      </c>
    </row>
    <row r="202" spans="1:14" x14ac:dyDescent="0.2">
      <c r="A202" s="33">
        <f>'GF + UG Iteration 1'!A202</f>
        <v>568</v>
      </c>
      <c r="B202" s="34" t="str">
        <f>'GF + UG Iteration 1'!B202</f>
        <v>UG</v>
      </c>
      <c r="C202" s="35">
        <f>'GF + UG Iteration 1'!C202</f>
        <v>38.04</v>
      </c>
      <c r="D202" s="36">
        <f>'GF + UG Iteration 1'!P$16*(C202^'GF + UG Iteration 1'!P$15)</f>
        <v>19.669581931654854</v>
      </c>
      <c r="E202" s="37">
        <f>'GF + UG Iteration 1'!E202</f>
        <v>1978</v>
      </c>
      <c r="F202" s="35">
        <f>'GF + UG Iteration 1'!F202</f>
        <v>1</v>
      </c>
      <c r="G202" s="36">
        <f>'GF + UG Iteration 1'!G202</f>
        <v>2.8818936071529556E-2</v>
      </c>
      <c r="H202" s="38">
        <f>'GF + UG Iteration 1'!H202</f>
        <v>2006</v>
      </c>
      <c r="I202" s="35">
        <f t="shared" si="20"/>
        <v>39.04</v>
      </c>
      <c r="J202" s="36">
        <f t="shared" si="21"/>
        <v>19.698400867726384</v>
      </c>
      <c r="K202" s="38">
        <f t="shared" si="22"/>
        <v>2006</v>
      </c>
      <c r="M202" s="21">
        <f t="shared" si="23"/>
        <v>3.6645867615448919</v>
      </c>
      <c r="N202" s="21">
        <f t="shared" si="24"/>
        <v>2.9805374582220501</v>
      </c>
    </row>
    <row r="203" spans="1:14" x14ac:dyDescent="0.2">
      <c r="A203" s="33">
        <f>'GF + UG Iteration 1'!A203</f>
        <v>853</v>
      </c>
      <c r="B203" s="34" t="str">
        <f>'GF + UG Iteration 1'!B203</f>
        <v>UG</v>
      </c>
      <c r="C203" s="35">
        <f>'GF + UG Iteration 1'!C203</f>
        <v>20</v>
      </c>
      <c r="D203" s="36">
        <f>'GF + UG Iteration 1'!P$16*(C203^'GF + UG Iteration 1'!P$15)</f>
        <v>13.828537196126735</v>
      </c>
      <c r="E203" s="37">
        <f>'GF + UG Iteration 1'!E203</f>
        <v>1991</v>
      </c>
      <c r="F203" s="35">
        <f>'GF + UG Iteration 1'!F203</f>
        <v>21.700000000000003</v>
      </c>
      <c r="G203" s="36">
        <f>'GF + UG Iteration 1'!G203</f>
        <v>4.2556245512411124</v>
      </c>
      <c r="H203" s="38">
        <f>'GF + UG Iteration 1'!H203</f>
        <v>2009</v>
      </c>
      <c r="I203" s="35">
        <f t="shared" si="20"/>
        <v>41.7</v>
      </c>
      <c r="J203" s="36">
        <f t="shared" si="21"/>
        <v>18.084161747367848</v>
      </c>
      <c r="K203" s="38">
        <f t="shared" si="22"/>
        <v>2009</v>
      </c>
      <c r="M203" s="21">
        <f t="shared" si="23"/>
        <v>3.730501128804756</v>
      </c>
      <c r="N203" s="21">
        <f t="shared" si="24"/>
        <v>2.8950365136175225</v>
      </c>
    </row>
    <row r="204" spans="1:14" x14ac:dyDescent="0.2">
      <c r="A204" s="33">
        <f>'GF + UG Iteration 1'!A204</f>
        <v>1201</v>
      </c>
      <c r="B204" s="34" t="str">
        <f>'GF + UG Iteration 1'!B204</f>
        <v>UG</v>
      </c>
      <c r="C204" s="35">
        <f>'GF + UG Iteration 1'!C204</f>
        <v>13.3</v>
      </c>
      <c r="D204" s="36">
        <f>'GF + UG Iteration 1'!P$16*(C204^'GF + UG Iteration 1'!P$15)</f>
        <v>11.057964457029088</v>
      </c>
      <c r="E204" s="37" t="str">
        <f>'GF + UG Iteration 1'!E204</f>
        <v>unknown</v>
      </c>
      <c r="F204" s="35">
        <f>'GF + UG Iteration 1'!F204</f>
        <v>10.599999999999998</v>
      </c>
      <c r="G204" s="36">
        <f>'GF + UG Iteration 1'!G204</f>
        <v>7.6364894321569698</v>
      </c>
      <c r="H204" s="38">
        <f>'GF + UG Iteration 1'!H204</f>
        <v>2012</v>
      </c>
      <c r="I204" s="35">
        <f t="shared" si="20"/>
        <v>23.9</v>
      </c>
      <c r="J204" s="36">
        <f t="shared" si="21"/>
        <v>18.694453889186057</v>
      </c>
      <c r="K204" s="38">
        <f t="shared" si="22"/>
        <v>2012</v>
      </c>
      <c r="M204" s="21">
        <f t="shared" si="23"/>
        <v>3.1738784589374651</v>
      </c>
      <c r="N204" s="21">
        <f t="shared" si="24"/>
        <v>2.9282268964049805</v>
      </c>
    </row>
    <row r="205" spans="1:14" x14ac:dyDescent="0.2">
      <c r="A205" s="33">
        <f>'GF + UG Iteration 1'!A205</f>
        <v>654</v>
      </c>
      <c r="B205" s="34" t="str">
        <f>'GF + UG Iteration 1'!B205</f>
        <v>UG</v>
      </c>
      <c r="C205" s="35">
        <f>'GF + UG Iteration 1'!C205</f>
        <v>7.29</v>
      </c>
      <c r="D205" s="36">
        <f>'GF + UG Iteration 1'!P$16*(C205^'GF + UG Iteration 1'!P$15)</f>
        <v>7.9536851709953211</v>
      </c>
      <c r="E205" s="37">
        <f>'GF + UG Iteration 1'!E205</f>
        <v>1976</v>
      </c>
      <c r="F205" s="35">
        <f>'GF + UG Iteration 1'!F205</f>
        <v>4.4099999999999993</v>
      </c>
      <c r="G205" s="36">
        <f>'GF + UG Iteration 1'!G205</f>
        <v>0.73672544554632269</v>
      </c>
      <c r="H205" s="38">
        <f>'GF + UG Iteration 1'!H205</f>
        <v>2007</v>
      </c>
      <c r="I205" s="35">
        <f t="shared" si="20"/>
        <v>11.7</v>
      </c>
      <c r="J205" s="36">
        <f t="shared" si="21"/>
        <v>8.6904106165416444</v>
      </c>
      <c r="K205" s="38">
        <f t="shared" si="22"/>
        <v>2007</v>
      </c>
      <c r="M205" s="21">
        <f t="shared" si="23"/>
        <v>2.4595888418037104</v>
      </c>
      <c r="N205" s="21">
        <f t="shared" si="24"/>
        <v>2.1622201897768178</v>
      </c>
    </row>
    <row r="206" spans="1:14" x14ac:dyDescent="0.2">
      <c r="A206" s="33">
        <f>'GF + UG Iteration 1'!A206</f>
        <v>1394</v>
      </c>
      <c r="B206" s="34" t="str">
        <f>'GF + UG Iteration 1'!B206</f>
        <v>UG</v>
      </c>
      <c r="C206" s="35">
        <f>'GF + UG Iteration 1'!C206</f>
        <v>11.7</v>
      </c>
      <c r="D206" s="36">
        <f>'GF + UG Iteration 1'!P$16*(C206^'GF + UG Iteration 1'!P$15)</f>
        <v>10.307848923505592</v>
      </c>
      <c r="E206" s="37">
        <f>'GF + UG Iteration 1'!E206</f>
        <v>1976</v>
      </c>
      <c r="F206" s="35">
        <f>'GF + UG Iteration 1'!F206</f>
        <v>10</v>
      </c>
      <c r="G206" s="36">
        <f>'GF + UG Iteration 1'!G206</f>
        <v>5.0057806862702598</v>
      </c>
      <c r="H206" s="38">
        <f>'GF + UG Iteration 1'!H206</f>
        <v>2014</v>
      </c>
      <c r="I206" s="35">
        <f t="shared" si="20"/>
        <v>21.7</v>
      </c>
      <c r="J206" s="36">
        <f t="shared" si="21"/>
        <v>15.313629609775852</v>
      </c>
      <c r="K206" s="38">
        <f t="shared" si="22"/>
        <v>2014</v>
      </c>
      <c r="M206" s="21">
        <f t="shared" si="23"/>
        <v>3.0773122605464138</v>
      </c>
      <c r="N206" s="21">
        <f t="shared" si="24"/>
        <v>2.7287432560183822</v>
      </c>
    </row>
    <row r="207" spans="1:14" x14ac:dyDescent="0.2">
      <c r="A207" s="33">
        <f>'GF + UG Iteration 1'!A207</f>
        <v>1294</v>
      </c>
      <c r="B207" s="34" t="str">
        <f>'GF + UG Iteration 1'!B207</f>
        <v>UG</v>
      </c>
      <c r="C207" s="35">
        <f>'GF + UG Iteration 1'!C207</f>
        <v>8.5</v>
      </c>
      <c r="D207" s="36">
        <f>'GF + UG Iteration 1'!P$16*(C207^'GF + UG Iteration 1'!P$15)</f>
        <v>8.6520303714587161</v>
      </c>
      <c r="E207" s="37">
        <f>'GF + UG Iteration 1'!E207</f>
        <v>0</v>
      </c>
      <c r="F207" s="35">
        <f>'GF + UG Iteration 1'!F207</f>
        <v>1.5999999999999996</v>
      </c>
      <c r="G207" s="36">
        <f>'GF + UG Iteration 1'!G207</f>
        <v>4.5619922667121129</v>
      </c>
      <c r="H207" s="38">
        <f>'GF + UG Iteration 1'!H207</f>
        <v>2014</v>
      </c>
      <c r="I207" s="35">
        <f t="shared" si="20"/>
        <v>10.1</v>
      </c>
      <c r="J207" s="36">
        <f t="shared" si="21"/>
        <v>13.214022638170828</v>
      </c>
      <c r="K207" s="38">
        <f t="shared" si="22"/>
        <v>2014</v>
      </c>
      <c r="M207" s="21">
        <f t="shared" si="23"/>
        <v>2.3125354238472138</v>
      </c>
      <c r="N207" s="21">
        <f t="shared" si="24"/>
        <v>2.5812785868021422</v>
      </c>
    </row>
    <row r="208" spans="1:14" x14ac:dyDescent="0.2">
      <c r="A208" s="33">
        <f>'GF + UG Iteration 1'!A208</f>
        <v>1670</v>
      </c>
      <c r="B208" s="34" t="str">
        <f>'GF + UG Iteration 1'!B208</f>
        <v>UG</v>
      </c>
      <c r="C208" s="35">
        <f>'GF + UG Iteration 1'!C208</f>
        <v>31.45</v>
      </c>
      <c r="D208" s="36">
        <f>'GF + UG Iteration 1'!P$16*(C208^'GF + UG Iteration 1'!P$15)</f>
        <v>17.722134823021715</v>
      </c>
      <c r="E208" s="37">
        <f>'GF + UG Iteration 1'!E208</f>
        <v>0</v>
      </c>
      <c r="F208" s="35">
        <f>'GF + UG Iteration 1'!F208</f>
        <v>24.250000000000004</v>
      </c>
      <c r="G208" s="36">
        <f>'GF + UG Iteration 1'!G208</f>
        <v>2.7943521582603679</v>
      </c>
      <c r="H208" s="38">
        <f>'GF + UG Iteration 1'!H208</f>
        <v>2016</v>
      </c>
      <c r="I208" s="35">
        <f t="shared" si="20"/>
        <v>55.7</v>
      </c>
      <c r="J208" s="36">
        <f t="shared" si="21"/>
        <v>20.516486981282082</v>
      </c>
      <c r="K208" s="38">
        <f t="shared" si="22"/>
        <v>2016</v>
      </c>
      <c r="M208" s="21">
        <f t="shared" si="23"/>
        <v>4.0199801469332384</v>
      </c>
      <c r="N208" s="21">
        <f t="shared" si="24"/>
        <v>3.0212288059036316</v>
      </c>
    </row>
    <row r="209" spans="1:14" x14ac:dyDescent="0.2">
      <c r="A209" s="33">
        <f>'GF + UG Iteration 1'!A209</f>
        <v>579</v>
      </c>
      <c r="B209" s="34" t="str">
        <f>'GF + UG Iteration 1'!B209</f>
        <v>UG</v>
      </c>
      <c r="C209" s="35">
        <f>'GF + UG Iteration 1'!C209</f>
        <v>17.100000000000001</v>
      </c>
      <c r="D209" s="36">
        <f>'GF + UG Iteration 1'!P$16*(C209^'GF + UG Iteration 1'!P$15)</f>
        <v>12.690854487517019</v>
      </c>
      <c r="E209" s="37" t="str">
        <f>'GF + UG Iteration 1'!E209</f>
        <v>unknown</v>
      </c>
      <c r="F209" s="35">
        <f>'GF + UG Iteration 1'!F209</f>
        <v>11</v>
      </c>
      <c r="G209" s="36">
        <f>'GF + UG Iteration 1'!G209</f>
        <v>3.6516230200538073</v>
      </c>
      <c r="H209" s="38">
        <f>'GF + UG Iteration 1'!H209</f>
        <v>2008</v>
      </c>
      <c r="I209" s="35">
        <f t="shared" si="20"/>
        <v>28.1</v>
      </c>
      <c r="J209" s="36">
        <f t="shared" si="21"/>
        <v>16.342477507570827</v>
      </c>
      <c r="K209" s="38">
        <f t="shared" si="22"/>
        <v>2008</v>
      </c>
      <c r="M209" s="21">
        <f t="shared" si="23"/>
        <v>3.3357695763396999</v>
      </c>
      <c r="N209" s="21">
        <f t="shared" si="24"/>
        <v>2.793767700188722</v>
      </c>
    </row>
    <row r="210" spans="1:14" x14ac:dyDescent="0.2">
      <c r="A210" s="33">
        <f>'GF + UG Iteration 1'!A210</f>
        <v>1670</v>
      </c>
      <c r="B210" s="34" t="str">
        <f>'GF + UG Iteration 1'!B210</f>
        <v>UG</v>
      </c>
      <c r="C210" s="35">
        <f>'GF + UG Iteration 1'!C210</f>
        <v>18.79</v>
      </c>
      <c r="D210" s="36">
        <f>'GF + UG Iteration 1'!P$16*(C210^'GF + UG Iteration 1'!P$15)</f>
        <v>13.36357210268867</v>
      </c>
      <c r="E210" s="37">
        <f>'GF + UG Iteration 1'!E210</f>
        <v>0</v>
      </c>
      <c r="F210" s="35">
        <f>'GF + UG Iteration 1'!F210</f>
        <v>30.509999999999998</v>
      </c>
      <c r="G210" s="36">
        <f>'GF + UG Iteration 1'!G210</f>
        <v>18.363697996227653</v>
      </c>
      <c r="H210" s="38">
        <f>'GF + UG Iteration 1'!H210</f>
        <v>2016</v>
      </c>
      <c r="I210" s="35">
        <f t="shared" si="20"/>
        <v>49.3</v>
      </c>
      <c r="J210" s="36">
        <f t="shared" si="21"/>
        <v>31.727270098916321</v>
      </c>
      <c r="K210" s="38">
        <f t="shared" si="22"/>
        <v>2016</v>
      </c>
      <c r="M210" s="21">
        <f t="shared" si="23"/>
        <v>3.8979240810486444</v>
      </c>
      <c r="N210" s="21">
        <f t="shared" si="24"/>
        <v>3.4571765665618743</v>
      </c>
    </row>
    <row r="211" spans="1:14" x14ac:dyDescent="0.2">
      <c r="A211" s="33">
        <f>'GF + UG Iteration 1'!A211</f>
        <v>1083</v>
      </c>
      <c r="B211" s="34" t="str">
        <f>'GF + UG Iteration 1'!B211</f>
        <v>UG</v>
      </c>
      <c r="C211" s="35">
        <f>'GF + UG Iteration 1'!C211</f>
        <v>7.53</v>
      </c>
      <c r="D211" s="36">
        <f>'GF + UG Iteration 1'!P$16*(C211^'GF + UG Iteration 1'!P$15)</f>
        <v>8.0961386783473106</v>
      </c>
      <c r="E211" s="37">
        <f>'GF + UG Iteration 1'!E211</f>
        <v>1981</v>
      </c>
      <c r="F211" s="35">
        <f>'GF + UG Iteration 1'!F211</f>
        <v>5.87</v>
      </c>
      <c r="G211" s="36">
        <f>'GF + UG Iteration 1'!G211</f>
        <v>7.4125108979310461</v>
      </c>
      <c r="H211" s="38">
        <f>'GF + UG Iteration 1'!H211</f>
        <v>2011</v>
      </c>
      <c r="I211" s="35">
        <f t="shared" si="20"/>
        <v>13.4</v>
      </c>
      <c r="J211" s="36">
        <f t="shared" si="21"/>
        <v>15.508649576278357</v>
      </c>
      <c r="K211" s="38">
        <f t="shared" si="22"/>
        <v>2011</v>
      </c>
      <c r="M211" s="21">
        <f t="shared" si="23"/>
        <v>2.5952547069568657</v>
      </c>
      <c r="N211" s="21">
        <f t="shared" si="24"/>
        <v>2.7413979054596043</v>
      </c>
    </row>
    <row r="212" spans="1:14" x14ac:dyDescent="0.2">
      <c r="A212" s="33">
        <f>'GF + UG Iteration 1'!A212</f>
        <v>552</v>
      </c>
      <c r="B212" s="34" t="str">
        <f>'GF + UG Iteration 1'!B212</f>
        <v>UG</v>
      </c>
      <c r="C212" s="35">
        <f>'GF + UG Iteration 1'!C212</f>
        <v>20.229999999999997</v>
      </c>
      <c r="D212" s="36">
        <f>'GF + UG Iteration 1'!P$16*(C212^'GF + UG Iteration 1'!P$15)</f>
        <v>13.915465961655517</v>
      </c>
      <c r="E212" s="37">
        <f>'GF + UG Iteration 1'!E212</f>
        <v>1991</v>
      </c>
      <c r="F212" s="35">
        <f>'GF + UG Iteration 1'!F212</f>
        <v>10.470000000000002</v>
      </c>
      <c r="G212" s="36">
        <f>'GF + UG Iteration 1'!G212</f>
        <v>1.1457716756011658</v>
      </c>
      <c r="H212" s="38">
        <f>'GF + UG Iteration 1'!H212</f>
        <v>2006</v>
      </c>
      <c r="I212" s="35">
        <f t="shared" si="20"/>
        <v>30.7</v>
      </c>
      <c r="J212" s="36">
        <f t="shared" si="21"/>
        <v>15.061237637256683</v>
      </c>
      <c r="K212" s="38">
        <f t="shared" si="22"/>
        <v>2006</v>
      </c>
      <c r="M212" s="21">
        <f t="shared" si="23"/>
        <v>3.4242626545931514</v>
      </c>
      <c r="N212" s="21">
        <f t="shared" si="24"/>
        <v>2.7121243994238515</v>
      </c>
    </row>
    <row r="213" spans="1:14" x14ac:dyDescent="0.2">
      <c r="A213" s="33">
        <f>'GF + UG Iteration 1'!A213</f>
        <v>1311</v>
      </c>
      <c r="B213" s="34" t="str">
        <f>'GF + UG Iteration 1'!B213</f>
        <v>UG</v>
      </c>
      <c r="C213" s="35">
        <f>'GF + UG Iteration 1'!C213</f>
        <v>30.7</v>
      </c>
      <c r="D213" s="36">
        <f>'GF + UG Iteration 1'!P$16*(C213^'GF + UG Iteration 1'!P$15)</f>
        <v>17.489255288221358</v>
      </c>
      <c r="E213" s="37">
        <f>'GF + UG Iteration 1'!E213</f>
        <v>1991</v>
      </c>
      <c r="F213" s="35">
        <f>'GF + UG Iteration 1'!F213</f>
        <v>19.3</v>
      </c>
      <c r="G213" s="36">
        <f>'GF + UG Iteration 1'!G213</f>
        <v>5.9841430822776953</v>
      </c>
      <c r="H213" s="38">
        <f>'GF + UG Iteration 1'!H213</f>
        <v>2013</v>
      </c>
      <c r="I213" s="35">
        <f t="shared" si="20"/>
        <v>50</v>
      </c>
      <c r="J213" s="36">
        <f t="shared" si="21"/>
        <v>23.473398370499055</v>
      </c>
      <c r="K213" s="38">
        <f t="shared" si="22"/>
        <v>2013</v>
      </c>
      <c r="M213" s="21">
        <f t="shared" si="23"/>
        <v>3.912023005428146</v>
      </c>
      <c r="N213" s="21">
        <f t="shared" si="24"/>
        <v>3.1558677957379628</v>
      </c>
    </row>
    <row r="214" spans="1:14" x14ac:dyDescent="0.2">
      <c r="A214" s="33">
        <f>'GF + UG Iteration 1'!A214</f>
        <v>1078</v>
      </c>
      <c r="B214" s="34" t="str">
        <f>'GF + UG Iteration 1'!B214</f>
        <v>UG</v>
      </c>
      <c r="C214" s="35">
        <f>'GF + UG Iteration 1'!C214</f>
        <v>17.66</v>
      </c>
      <c r="D214" s="36">
        <f>'GF + UG Iteration 1'!P$16*(C214^'GF + UG Iteration 1'!P$15)</f>
        <v>12.916964825792091</v>
      </c>
      <c r="E214" s="37">
        <f>'GF + UG Iteration 1'!E214</f>
        <v>1957</v>
      </c>
      <c r="F214" s="35">
        <f>'GF + UG Iteration 1'!F214</f>
        <v>7.34</v>
      </c>
      <c r="G214" s="36">
        <f>'GF + UG Iteration 1'!G214</f>
        <v>1.0936387702296273</v>
      </c>
      <c r="H214" s="38">
        <f>'GF + UG Iteration 1'!H214</f>
        <v>2011</v>
      </c>
      <c r="I214" s="35">
        <f t="shared" si="20"/>
        <v>25</v>
      </c>
      <c r="J214" s="36">
        <f t="shared" si="21"/>
        <v>14.010603596021719</v>
      </c>
      <c r="K214" s="38">
        <f t="shared" si="22"/>
        <v>2011</v>
      </c>
      <c r="M214" s="21">
        <f t="shared" si="23"/>
        <v>3.2188758248682006</v>
      </c>
      <c r="N214" s="21">
        <f t="shared" si="24"/>
        <v>2.6398144426486772</v>
      </c>
    </row>
    <row r="215" spans="1:14" x14ac:dyDescent="0.2">
      <c r="A215" s="33">
        <f>'GF + UG Iteration 1'!A215</f>
        <v>495</v>
      </c>
      <c r="B215" s="34" t="str">
        <f>'GF + UG Iteration 1'!B215</f>
        <v>UG</v>
      </c>
      <c r="C215" s="35">
        <f>'GF + UG Iteration 1'!C215</f>
        <v>12.974</v>
      </c>
      <c r="D215" s="36">
        <f>'GF + UG Iteration 1'!P$16*(C215^'GF + UG Iteration 1'!P$15)</f>
        <v>10.908587993609061</v>
      </c>
      <c r="E215" s="37">
        <f>'GF + UG Iteration 1'!E215</f>
        <v>1982</v>
      </c>
      <c r="F215" s="35">
        <f>'GF + UG Iteration 1'!F215</f>
        <v>0</v>
      </c>
      <c r="G215" s="36">
        <f>'GF + UG Iteration 1'!G215</f>
        <v>3.5907902166068872</v>
      </c>
      <c r="H215" s="38">
        <f>'GF + UG Iteration 1'!H215</f>
        <v>2006</v>
      </c>
      <c r="I215" s="35">
        <f t="shared" si="20"/>
        <v>12.974</v>
      </c>
      <c r="J215" s="36">
        <f t="shared" si="21"/>
        <v>14.499378210215948</v>
      </c>
      <c r="K215" s="38">
        <f t="shared" si="22"/>
        <v>2006</v>
      </c>
      <c r="M215" s="21">
        <f t="shared" si="23"/>
        <v>2.5629473547908637</v>
      </c>
      <c r="N215" s="21">
        <f t="shared" si="24"/>
        <v>2.6741057664529948</v>
      </c>
    </row>
    <row r="216" spans="1:14" x14ac:dyDescent="0.2">
      <c r="A216" s="33">
        <f>'GF + UG Iteration 1'!A216</f>
        <v>383</v>
      </c>
      <c r="B216" s="34" t="str">
        <f>'GF + UG Iteration 1'!B216</f>
        <v>UG</v>
      </c>
      <c r="C216" s="35">
        <f>'GF + UG Iteration 1'!C216</f>
        <v>0.51</v>
      </c>
      <c r="D216" s="36">
        <f>'GF + UG Iteration 1'!P$16*(C216^'GF + UG Iteration 1'!P$15)</f>
        <v>1.8513753668479331</v>
      </c>
      <c r="E216" s="37">
        <f>'GF + UG Iteration 1'!E216</f>
        <v>1984</v>
      </c>
      <c r="F216" s="35">
        <f>'GF + UG Iteration 1'!F216</f>
        <v>8</v>
      </c>
      <c r="G216" s="36">
        <f>'GF + UG Iteration 1'!G216</f>
        <v>3.9501723720469593</v>
      </c>
      <c r="H216" s="38">
        <f>'GF + UG Iteration 1'!H216</f>
        <v>2005</v>
      </c>
      <c r="I216" s="35">
        <f t="shared" si="20"/>
        <v>8.51</v>
      </c>
      <c r="J216" s="36">
        <f t="shared" si="21"/>
        <v>5.8015477388948922</v>
      </c>
      <c r="K216" s="38">
        <f t="shared" si="22"/>
        <v>2005</v>
      </c>
      <c r="M216" s="21">
        <f t="shared" si="23"/>
        <v>2.1412419425852827</v>
      </c>
      <c r="N216" s="21">
        <f t="shared" si="24"/>
        <v>1.7581247334874381</v>
      </c>
    </row>
    <row r="217" spans="1:14" x14ac:dyDescent="0.2">
      <c r="A217" s="33">
        <f>'GF + UG Iteration 1'!A217</f>
        <v>1020</v>
      </c>
      <c r="B217" s="34" t="str">
        <f>'GF + UG Iteration 1'!B217</f>
        <v>UG</v>
      </c>
      <c r="C217" s="35">
        <f>'GF + UG Iteration 1'!C217</f>
        <v>13</v>
      </c>
      <c r="D217" s="36">
        <f>'GF + UG Iteration 1'!P$16*(C217^'GF + UG Iteration 1'!P$15)</f>
        <v>10.920563247674519</v>
      </c>
      <c r="E217" s="37">
        <f>'GF + UG Iteration 1'!E217</f>
        <v>1977</v>
      </c>
      <c r="F217" s="35">
        <f>'GF + UG Iteration 1'!F217</f>
        <v>9</v>
      </c>
      <c r="G217" s="36">
        <f>'GF + UG Iteration 1'!G217</f>
        <v>7.3449786888029998</v>
      </c>
      <c r="H217" s="38">
        <f>'GF + UG Iteration 1'!H217</f>
        <v>2010</v>
      </c>
      <c r="I217" s="35">
        <f t="shared" si="20"/>
        <v>22</v>
      </c>
      <c r="J217" s="36">
        <f t="shared" si="21"/>
        <v>18.265541936477518</v>
      </c>
      <c r="K217" s="38">
        <f t="shared" si="22"/>
        <v>2010</v>
      </c>
      <c r="M217" s="21">
        <f t="shared" si="23"/>
        <v>3.0910424533583161</v>
      </c>
      <c r="N217" s="21">
        <f t="shared" si="24"/>
        <v>2.9050163305696026</v>
      </c>
    </row>
    <row r="218" spans="1:14" x14ac:dyDescent="0.2">
      <c r="A218" s="33">
        <f>'GF + UG Iteration 1'!A218</f>
        <v>1364</v>
      </c>
      <c r="B218" s="34" t="str">
        <f>'GF + UG Iteration 1'!B218</f>
        <v>UG</v>
      </c>
      <c r="C218" s="35">
        <f>'GF + UG Iteration 1'!C218</f>
        <v>8.5</v>
      </c>
      <c r="D218" s="36">
        <f>'GF + UG Iteration 1'!P$16*(C218^'GF + UG Iteration 1'!P$15)</f>
        <v>8.6520303714587161</v>
      </c>
      <c r="E218" s="37">
        <f>'GF + UG Iteration 1'!E218</f>
        <v>0</v>
      </c>
      <c r="F218" s="35">
        <f>'GF + UG Iteration 1'!F218</f>
        <v>34</v>
      </c>
      <c r="G218" s="36">
        <f>'GF + UG Iteration 1'!G218</f>
        <v>8.7951197470845859</v>
      </c>
      <c r="H218" s="38">
        <f>'GF + UG Iteration 1'!H218</f>
        <v>2013</v>
      </c>
      <c r="I218" s="35">
        <f t="shared" si="20"/>
        <v>42.5</v>
      </c>
      <c r="J218" s="36">
        <f t="shared" si="21"/>
        <v>17.447150118543302</v>
      </c>
      <c r="K218" s="38">
        <f t="shared" si="22"/>
        <v>2013</v>
      </c>
      <c r="M218" s="21">
        <f t="shared" si="23"/>
        <v>3.7495040759303713</v>
      </c>
      <c r="N218" s="21">
        <f t="shared" si="24"/>
        <v>2.8591763183218419</v>
      </c>
    </row>
    <row r="219" spans="1:14" x14ac:dyDescent="0.2">
      <c r="A219" s="33">
        <f>'GF + UG Iteration 1'!A219</f>
        <v>503</v>
      </c>
      <c r="B219" s="34" t="str">
        <f>'GF + UG Iteration 1'!B219</f>
        <v>UG</v>
      </c>
      <c r="C219" s="35">
        <f>'GF + UG Iteration 1'!C219</f>
        <v>31</v>
      </c>
      <c r="D219" s="36">
        <f>'GF + UG Iteration 1'!P$16*(C219^'GF + UG Iteration 1'!P$15)</f>
        <v>17.582712299717432</v>
      </c>
      <c r="E219" s="37">
        <f>'GF + UG Iteration 1'!E219</f>
        <v>1972</v>
      </c>
      <c r="F219" s="35">
        <f>'GF + UG Iteration 1'!F219</f>
        <v>16</v>
      </c>
      <c r="G219" s="36">
        <f>'GF + UG Iteration 1'!G219</f>
        <v>3.8033222269089473</v>
      </c>
      <c r="H219" s="38">
        <f>'GF + UG Iteration 1'!H219</f>
        <v>2007</v>
      </c>
      <c r="I219" s="35">
        <f t="shared" si="20"/>
        <v>47</v>
      </c>
      <c r="J219" s="36">
        <f t="shared" si="21"/>
        <v>21.386034526626378</v>
      </c>
      <c r="K219" s="38">
        <f t="shared" si="22"/>
        <v>2007</v>
      </c>
      <c r="M219" s="21">
        <f t="shared" si="23"/>
        <v>3.8501476017100584</v>
      </c>
      <c r="N219" s="21">
        <f t="shared" si="24"/>
        <v>3.0627381167831</v>
      </c>
    </row>
    <row r="220" spans="1:14" x14ac:dyDescent="0.2">
      <c r="A220" s="33">
        <f>'GF + UG Iteration 1'!A220</f>
        <v>925</v>
      </c>
      <c r="B220" s="34" t="str">
        <f>'GF + UG Iteration 1'!B220</f>
        <v>UG</v>
      </c>
      <c r="C220" s="35">
        <f>'GF + UG Iteration 1'!C220</f>
        <v>47</v>
      </c>
      <c r="D220" s="36">
        <f>'GF + UG Iteration 1'!P$16*(C220^'GF + UG Iteration 1'!P$15)</f>
        <v>22.087000900779994</v>
      </c>
      <c r="E220" s="37">
        <f>'GF + UG Iteration 1'!E220</f>
        <v>1972</v>
      </c>
      <c r="F220" s="35">
        <f>'GF + UG Iteration 1'!F220</f>
        <v>9</v>
      </c>
      <c r="G220" s="36">
        <f>'GF + UG Iteration 1'!G220</f>
        <v>3.3164697860941139</v>
      </c>
      <c r="H220" s="38">
        <f>'GF + UG Iteration 1'!H220</f>
        <v>2011</v>
      </c>
      <c r="I220" s="35">
        <f t="shared" si="20"/>
        <v>56</v>
      </c>
      <c r="J220" s="36">
        <f t="shared" si="21"/>
        <v>25.403470686874108</v>
      </c>
      <c r="K220" s="38">
        <f t="shared" si="22"/>
        <v>2011</v>
      </c>
      <c r="M220" s="21">
        <f t="shared" si="23"/>
        <v>4.0253516907351496</v>
      </c>
      <c r="N220" s="21">
        <f t="shared" si="24"/>
        <v>3.2348858059054466</v>
      </c>
    </row>
    <row r="221" spans="1:14" x14ac:dyDescent="0.2">
      <c r="A221" s="33">
        <f>'GF + UG Iteration 1'!A221</f>
        <v>821</v>
      </c>
      <c r="B221" s="34" t="str">
        <f>'GF + UG Iteration 1'!B221</f>
        <v>UG</v>
      </c>
      <c r="C221" s="35">
        <f>'GF + UG Iteration 1'!C221</f>
        <v>25</v>
      </c>
      <c r="D221" s="36">
        <f>'GF + UG Iteration 1'!P$16*(C221^'GF + UG Iteration 1'!P$15)</f>
        <v>15.627407246181329</v>
      </c>
      <c r="E221" s="37">
        <f>'GF + UG Iteration 1'!E221</f>
        <v>2006</v>
      </c>
      <c r="F221" s="35">
        <f>'GF + UG Iteration 1'!F221</f>
        <v>32</v>
      </c>
      <c r="G221" s="36">
        <f>'GF + UG Iteration 1'!G221</f>
        <v>9.4177371403666275</v>
      </c>
      <c r="H221" s="38">
        <f>'GF + UG Iteration 1'!H221</f>
        <v>2011</v>
      </c>
      <c r="I221" s="35">
        <f t="shared" si="20"/>
        <v>57</v>
      </c>
      <c r="J221" s="36">
        <f t="shared" si="21"/>
        <v>25.045144386547957</v>
      </c>
      <c r="K221" s="38">
        <f t="shared" si="22"/>
        <v>2011</v>
      </c>
      <c r="M221" s="21">
        <f t="shared" si="23"/>
        <v>4.0430512678345503</v>
      </c>
      <c r="N221" s="21">
        <f t="shared" si="24"/>
        <v>3.2206799718777277</v>
      </c>
    </row>
    <row r="222" spans="1:14" x14ac:dyDescent="0.2">
      <c r="A222" s="33">
        <f>'GF + UG Iteration 1'!A222</f>
        <v>486</v>
      </c>
      <c r="B222" s="34" t="str">
        <f>'GF + UG Iteration 1'!B222</f>
        <v>UG</v>
      </c>
      <c r="C222" s="35">
        <f>'GF + UG Iteration 1'!C222</f>
        <v>10.81</v>
      </c>
      <c r="D222" s="36">
        <f>'GF + UG Iteration 1'!P$16*(C222^'GF + UG Iteration 1'!P$15)</f>
        <v>9.8704568511800517</v>
      </c>
      <c r="E222" s="37">
        <f>'GF + UG Iteration 1'!E222</f>
        <v>1993</v>
      </c>
      <c r="F222" s="35">
        <f>'GF + UG Iteration 1'!F222</f>
        <v>3.1399999999999988</v>
      </c>
      <c r="G222" s="36">
        <f>'GF + UG Iteration 1'!G222</f>
        <v>0.34692120274319505</v>
      </c>
      <c r="H222" s="38">
        <f>'GF + UG Iteration 1'!H222</f>
        <v>2005</v>
      </c>
      <c r="I222" s="35">
        <f t="shared" si="20"/>
        <v>13.95</v>
      </c>
      <c r="J222" s="36">
        <f t="shared" si="21"/>
        <v>10.217378053923246</v>
      </c>
      <c r="K222" s="38">
        <f t="shared" si="22"/>
        <v>2005</v>
      </c>
      <c r="M222" s="21">
        <f t="shared" si="23"/>
        <v>2.6354795082673745</v>
      </c>
      <c r="N222" s="21">
        <f t="shared" si="24"/>
        <v>2.324090001364103</v>
      </c>
    </row>
    <row r="223" spans="1:14" x14ac:dyDescent="0.2">
      <c r="A223" s="33">
        <f>'GF + UG Iteration 1'!A223</f>
        <v>779</v>
      </c>
      <c r="B223" s="34" t="str">
        <f>'GF + UG Iteration 1'!B223</f>
        <v>UG</v>
      </c>
      <c r="C223" s="35">
        <f>'GF + UG Iteration 1'!C223</f>
        <v>13.95</v>
      </c>
      <c r="D223" s="36">
        <f>'GF + UG Iteration 1'!P$16*(C223^'GF + UG Iteration 1'!P$15)</f>
        <v>11.350944798950138</v>
      </c>
      <c r="E223" s="37">
        <f>'GF + UG Iteration 1'!E223</f>
        <v>1993</v>
      </c>
      <c r="F223" s="35">
        <f>'GF + UG Iteration 1'!F223</f>
        <v>4.0500000000000007</v>
      </c>
      <c r="G223" s="36">
        <f>'GF + UG Iteration 1'!G223</f>
        <v>0.91575874480529229</v>
      </c>
      <c r="H223" s="38">
        <f>'GF + UG Iteration 1'!H223</f>
        <v>2008</v>
      </c>
      <c r="I223" s="35">
        <f t="shared" si="20"/>
        <v>18</v>
      </c>
      <c r="J223" s="36">
        <f t="shared" si="21"/>
        <v>12.26670354375543</v>
      </c>
      <c r="K223" s="38">
        <f t="shared" si="22"/>
        <v>2008</v>
      </c>
      <c r="M223" s="21">
        <f t="shared" si="23"/>
        <v>2.8903717578961645</v>
      </c>
      <c r="N223" s="21">
        <f t="shared" si="24"/>
        <v>2.5068885627866666</v>
      </c>
    </row>
    <row r="224" spans="1:14" x14ac:dyDescent="0.2">
      <c r="A224" s="33">
        <f>'GF + UG Iteration 1'!A224</f>
        <v>1416</v>
      </c>
      <c r="B224" s="34" t="str">
        <f>'GF + UG Iteration 1'!B224</f>
        <v>UG</v>
      </c>
      <c r="C224" s="35">
        <f>'GF + UG Iteration 1'!C224</f>
        <v>18</v>
      </c>
      <c r="D224" s="36">
        <f>'GF + UG Iteration 1'!P$16*(C224^'GF + UG Iteration 1'!P$15)</f>
        <v>13.052666700236895</v>
      </c>
      <c r="E224" s="37">
        <f>'GF + UG Iteration 1'!E224</f>
        <v>1993</v>
      </c>
      <c r="F224" s="35">
        <f>'GF + UG Iteration 1'!F224</f>
        <v>6</v>
      </c>
      <c r="G224" s="36">
        <f>'GF + UG Iteration 1'!G224</f>
        <v>1.4181567457767223</v>
      </c>
      <c r="H224" s="38">
        <f>'GF + UG Iteration 1'!H224</f>
        <v>2014</v>
      </c>
      <c r="I224" s="35">
        <f t="shared" si="20"/>
        <v>24</v>
      </c>
      <c r="J224" s="36">
        <f t="shared" si="21"/>
        <v>14.470823446013616</v>
      </c>
      <c r="K224" s="38">
        <f t="shared" si="22"/>
        <v>2014</v>
      </c>
      <c r="M224" s="21">
        <f t="shared" si="23"/>
        <v>3.1780538303479458</v>
      </c>
      <c r="N224" s="21">
        <f t="shared" si="24"/>
        <v>2.6721344461433603</v>
      </c>
    </row>
    <row r="225" spans="1:14" x14ac:dyDescent="0.2">
      <c r="A225" s="33">
        <f>'GF + UG Iteration 1'!A225</f>
        <v>554</v>
      </c>
      <c r="B225" s="34" t="str">
        <f>'GF + UG Iteration 1'!B225</f>
        <v>UG</v>
      </c>
      <c r="C225" s="35">
        <f>'GF + UG Iteration 1'!C225</f>
        <v>23</v>
      </c>
      <c r="D225" s="36">
        <f>'GF + UG Iteration 1'!P$16*(C225^'GF + UG Iteration 1'!P$15)</f>
        <v>14.929359101124872</v>
      </c>
      <c r="E225" s="37">
        <f>'GF + UG Iteration 1'!E225</f>
        <v>1968</v>
      </c>
      <c r="F225" s="35">
        <f>'GF + UG Iteration 1'!F225</f>
        <v>8.2600000000000016</v>
      </c>
      <c r="G225" s="36">
        <f>'GF + UG Iteration 1'!G225</f>
        <v>1.061095708813089</v>
      </c>
      <c r="H225" s="38">
        <f>'GF + UG Iteration 1'!H225</f>
        <v>2006</v>
      </c>
      <c r="I225" s="35">
        <f t="shared" si="20"/>
        <v>31.26</v>
      </c>
      <c r="J225" s="36">
        <f t="shared" si="21"/>
        <v>15.990454809937962</v>
      </c>
      <c r="K225" s="38">
        <f t="shared" si="22"/>
        <v>2006</v>
      </c>
      <c r="M225" s="21">
        <f t="shared" si="23"/>
        <v>3.4423393249933305</v>
      </c>
      <c r="N225" s="21">
        <f t="shared" si="24"/>
        <v>2.7719919698396036</v>
      </c>
    </row>
    <row r="226" spans="1:14" x14ac:dyDescent="0.2">
      <c r="A226" s="33">
        <f>'GF + UG Iteration 1'!A226</f>
        <v>1581</v>
      </c>
      <c r="B226" s="34" t="str">
        <f>'GF + UG Iteration 1'!B226</f>
        <v>UG</v>
      </c>
      <c r="C226" s="35">
        <f>'GF + UG Iteration 1'!C226</f>
        <v>7.44</v>
      </c>
      <c r="D226" s="36">
        <f>'GF + UG Iteration 1'!P$16*(C226^'GF + UG Iteration 1'!P$15)</f>
        <v>8.0429625164818148</v>
      </c>
      <c r="E226" s="37" t="str">
        <f>'GF + UG Iteration 1'!E226</f>
        <v>unknown</v>
      </c>
      <c r="F226" s="35">
        <f>'GF + UG Iteration 1'!F226</f>
        <v>9.36</v>
      </c>
      <c r="G226" s="36">
        <f>'GF + UG Iteration 1'!G226</f>
        <v>5.3848313505476417</v>
      </c>
      <c r="H226" s="38">
        <f>'GF + UG Iteration 1'!H226</f>
        <v>2015</v>
      </c>
      <c r="I226" s="35">
        <f t="shared" si="20"/>
        <v>16.8</v>
      </c>
      <c r="J226" s="36">
        <f t="shared" si="21"/>
        <v>13.427793867029457</v>
      </c>
      <c r="K226" s="38">
        <f t="shared" si="22"/>
        <v>2015</v>
      </c>
      <c r="M226" s="21">
        <f t="shared" si="23"/>
        <v>2.8213788864092133</v>
      </c>
      <c r="N226" s="21">
        <f t="shared" si="24"/>
        <v>2.5973267280191341</v>
      </c>
    </row>
    <row r="227" spans="1:14" x14ac:dyDescent="0.2">
      <c r="A227" s="33">
        <f>'GF + UG Iteration 1'!A227</f>
        <v>880</v>
      </c>
      <c r="B227" s="34" t="str">
        <f>'GF + UG Iteration 1'!B227</f>
        <v>UG</v>
      </c>
      <c r="C227" s="35">
        <f>'GF + UG Iteration 1'!C227</f>
        <v>8.9499999999999993</v>
      </c>
      <c r="D227" s="36">
        <f>'GF + UG Iteration 1'!P$16*(C227^'GF + UG Iteration 1'!P$15)</f>
        <v>8.9001312704196121</v>
      </c>
      <c r="E227" s="37">
        <f>'GF + UG Iteration 1'!E227</f>
        <v>1966</v>
      </c>
      <c r="F227" s="35">
        <f>'GF + UG Iteration 1'!F227</f>
        <v>2.0500000000000007</v>
      </c>
      <c r="G227" s="36">
        <f>'GF + UG Iteration 1'!G227</f>
        <v>4.5763928166345611</v>
      </c>
      <c r="H227" s="38">
        <f>'GF + UG Iteration 1'!H227</f>
        <v>2010</v>
      </c>
      <c r="I227" s="35">
        <f t="shared" si="20"/>
        <v>11</v>
      </c>
      <c r="J227" s="36">
        <f t="shared" si="21"/>
        <v>13.476524087054173</v>
      </c>
      <c r="K227" s="38">
        <f t="shared" si="22"/>
        <v>2010</v>
      </c>
      <c r="M227" s="21">
        <f t="shared" si="23"/>
        <v>2.3978952727983707</v>
      </c>
      <c r="N227" s="21">
        <f t="shared" si="24"/>
        <v>2.6009492151898583</v>
      </c>
    </row>
    <row r="228" spans="1:14" x14ac:dyDescent="0.2">
      <c r="A228" s="33">
        <f>'GF + UG Iteration 1'!A228</f>
        <v>1047</v>
      </c>
      <c r="B228" s="34" t="str">
        <f>'GF + UG Iteration 1'!B228</f>
        <v>UG</v>
      </c>
      <c r="C228" s="35">
        <f>'GF + UG Iteration 1'!C228</f>
        <v>10</v>
      </c>
      <c r="D228" s="36">
        <f>'GF + UG Iteration 1'!P$16*(C228^'GF + UG Iteration 1'!P$15)</f>
        <v>9.4580014807312924</v>
      </c>
      <c r="E228" s="37">
        <f>'GF + UG Iteration 1'!E228</f>
        <v>1965</v>
      </c>
      <c r="F228" s="35">
        <f>'GF + UG Iteration 1'!F228</f>
        <v>5</v>
      </c>
      <c r="G228" s="36">
        <f>'GF + UG Iteration 1'!G228</f>
        <v>6.2586429220605622</v>
      </c>
      <c r="H228" s="38">
        <f>'GF + UG Iteration 1'!H228</f>
        <v>2012</v>
      </c>
      <c r="I228" s="35">
        <f t="shared" si="20"/>
        <v>15</v>
      </c>
      <c r="J228" s="36">
        <f t="shared" si="21"/>
        <v>15.716644402791854</v>
      </c>
      <c r="K228" s="38">
        <f t="shared" si="22"/>
        <v>2012</v>
      </c>
      <c r="M228" s="21">
        <f t="shared" si="23"/>
        <v>2.7080502011022101</v>
      </c>
      <c r="N228" s="21">
        <f t="shared" si="24"/>
        <v>2.7547203038329529</v>
      </c>
    </row>
    <row r="229" spans="1:14" x14ac:dyDescent="0.2">
      <c r="A229" s="33">
        <f>'GF + UG Iteration 1'!A229</f>
        <v>1045</v>
      </c>
      <c r="B229" s="34" t="str">
        <f>'GF + UG Iteration 1'!B229</f>
        <v>UG</v>
      </c>
      <c r="C229" s="35">
        <f>'GF + UG Iteration 1'!C229</f>
        <v>24.065999999999999</v>
      </c>
      <c r="D229" s="36">
        <f>'GF + UG Iteration 1'!P$16*(C229^'GF + UG Iteration 1'!P$15)</f>
        <v>15.304687505182731</v>
      </c>
      <c r="E229" s="37">
        <f>'GF + UG Iteration 1'!E229</f>
        <v>1971</v>
      </c>
      <c r="F229" s="35">
        <f>'GF + UG Iteration 1'!F229</f>
        <v>7.9340000000000011</v>
      </c>
      <c r="G229" s="36">
        <f>'GF + UG Iteration 1'!G229</f>
        <v>3.8009199870921253</v>
      </c>
      <c r="H229" s="38">
        <f>'GF + UG Iteration 1'!H229</f>
        <v>2011</v>
      </c>
      <c r="I229" s="35">
        <f t="shared" si="20"/>
        <v>32</v>
      </c>
      <c r="J229" s="36">
        <f t="shared" si="21"/>
        <v>19.105607492274856</v>
      </c>
      <c r="K229" s="38">
        <f t="shared" si="22"/>
        <v>2011</v>
      </c>
      <c r="M229" s="21">
        <f t="shared" si="23"/>
        <v>3.4657359027997265</v>
      </c>
      <c r="N229" s="21">
        <f t="shared" si="24"/>
        <v>2.9499818779476294</v>
      </c>
    </row>
    <row r="230" spans="1:14" x14ac:dyDescent="0.2">
      <c r="A230" s="33">
        <f>'GF + UG Iteration 1'!A230</f>
        <v>1616</v>
      </c>
      <c r="B230" s="34" t="str">
        <f>'GF + UG Iteration 1'!B230</f>
        <v>UG</v>
      </c>
      <c r="C230" s="35">
        <f>'GF + UG Iteration 1'!C230</f>
        <v>21.68</v>
      </c>
      <c r="D230" s="36">
        <f>'GF + UG Iteration 1'!P$16*(C230^'GF + UG Iteration 1'!P$15)</f>
        <v>14.453523566324588</v>
      </c>
      <c r="E230" s="37" t="str">
        <f>'GF + UG Iteration 1'!E230</f>
        <v>unknown</v>
      </c>
      <c r="F230" s="35">
        <f>'GF + UG Iteration 1'!F230</f>
        <v>25.75</v>
      </c>
      <c r="G230" s="36">
        <f>'GF + UG Iteration 1'!G230</f>
        <v>0.84818580502502572</v>
      </c>
      <c r="H230" s="38">
        <f>'GF + UG Iteration 1'!H230</f>
        <v>2015</v>
      </c>
      <c r="I230" s="35">
        <f t="shared" si="20"/>
        <v>47.43</v>
      </c>
      <c r="J230" s="36">
        <f t="shared" si="21"/>
        <v>15.301709371349613</v>
      </c>
      <c r="K230" s="38">
        <f t="shared" si="22"/>
        <v>2015</v>
      </c>
      <c r="M230" s="21">
        <f t="shared" si="23"/>
        <v>3.8592549398894902</v>
      </c>
      <c r="N230" s="21">
        <f t="shared" si="24"/>
        <v>2.7279645457753929</v>
      </c>
    </row>
    <row r="231" spans="1:14" x14ac:dyDescent="0.2">
      <c r="A231" s="33">
        <f>'GF + UG Iteration 1'!A231</f>
        <v>362</v>
      </c>
      <c r="B231" s="34" t="str">
        <f>'GF + UG Iteration 1'!B231</f>
        <v>UG</v>
      </c>
      <c r="C231" s="35">
        <f>'GF + UG Iteration 1'!C231</f>
        <v>51.8</v>
      </c>
      <c r="D231" s="36">
        <f>'GF + UG Iteration 1'!P$16*(C231^'GF + UG Iteration 1'!P$15)</f>
        <v>23.296011631196052</v>
      </c>
      <c r="E231" s="37">
        <f>'GF + UG Iteration 1'!E231</f>
        <v>1971</v>
      </c>
      <c r="F231" s="35">
        <f>'GF + UG Iteration 1'!F231</f>
        <v>1</v>
      </c>
      <c r="G231" s="36">
        <f>'GF + UG Iteration 1'!G231</f>
        <v>0.78848028183233532</v>
      </c>
      <c r="H231" s="38">
        <f>'GF + UG Iteration 1'!H231</f>
        <v>2004</v>
      </c>
      <c r="I231" s="35">
        <f t="shared" si="20"/>
        <v>52.8</v>
      </c>
      <c r="J231" s="36">
        <f t="shared" si="21"/>
        <v>24.084491913028387</v>
      </c>
      <c r="K231" s="38">
        <f t="shared" si="22"/>
        <v>2004</v>
      </c>
      <c r="M231" s="21">
        <f t="shared" si="23"/>
        <v>3.9665111907122159</v>
      </c>
      <c r="N231" s="21">
        <f t="shared" si="24"/>
        <v>3.1815681442826871</v>
      </c>
    </row>
    <row r="232" spans="1:14" x14ac:dyDescent="0.2">
      <c r="A232" s="33">
        <f>'GF + UG Iteration 1'!A232</f>
        <v>924</v>
      </c>
      <c r="B232" s="34" t="str">
        <f>'GF + UG Iteration 1'!B232</f>
        <v>UG</v>
      </c>
      <c r="C232" s="35">
        <f>'GF + UG Iteration 1'!C232</f>
        <v>45.94</v>
      </c>
      <c r="D232" s="36">
        <f>'GF + UG Iteration 1'!P$16*(C232^'GF + UG Iteration 1'!P$15)</f>
        <v>21.812597058198271</v>
      </c>
      <c r="E232" s="37">
        <f>'GF + UG Iteration 1'!E232</f>
        <v>1982</v>
      </c>
      <c r="F232" s="35">
        <f>'GF + UG Iteration 1'!F232</f>
        <v>6.0600000000000023</v>
      </c>
      <c r="G232" s="36">
        <f>'GF + UG Iteration 1'!G232</f>
        <v>1.4264307906682692</v>
      </c>
      <c r="H232" s="38">
        <f>'GF + UG Iteration 1'!H232</f>
        <v>2010</v>
      </c>
      <c r="I232" s="35">
        <f t="shared" si="20"/>
        <v>52</v>
      </c>
      <c r="J232" s="36">
        <f t="shared" si="21"/>
        <v>23.239027848866542</v>
      </c>
      <c r="K232" s="38">
        <f t="shared" si="22"/>
        <v>2010</v>
      </c>
      <c r="M232" s="21">
        <f t="shared" si="23"/>
        <v>3.9512437185814275</v>
      </c>
      <c r="N232" s="21">
        <f t="shared" si="24"/>
        <v>3.1458331001649915</v>
      </c>
    </row>
    <row r="233" spans="1:14" x14ac:dyDescent="0.2">
      <c r="A233" s="33">
        <f>'GF + UG Iteration 1'!A233</f>
        <v>1241</v>
      </c>
      <c r="B233" s="34" t="str">
        <f>'GF + UG Iteration 1'!B233</f>
        <v>UG</v>
      </c>
      <c r="C233" s="35">
        <f>'GF + UG Iteration 1'!C233</f>
        <v>20.29</v>
      </c>
      <c r="D233" s="36">
        <f>'GF + UG Iteration 1'!P$16*(C233^'GF + UG Iteration 1'!P$15)</f>
        <v>13.938069458762264</v>
      </c>
      <c r="E233" s="37" t="str">
        <f>'GF + UG Iteration 1'!E233</f>
        <v>unknown</v>
      </c>
      <c r="F233" s="35">
        <f>'GF + UG Iteration 1'!F233</f>
        <v>6</v>
      </c>
      <c r="G233" s="36">
        <f>'GF + UG Iteration 1'!G233</f>
        <v>2.625007735639064</v>
      </c>
      <c r="H233" s="38">
        <f>'GF + UG Iteration 1'!H233</f>
        <v>2012</v>
      </c>
      <c r="I233" s="35">
        <f t="shared" si="20"/>
        <v>26.29</v>
      </c>
      <c r="J233" s="36">
        <f t="shared" si="21"/>
        <v>16.563077194401327</v>
      </c>
      <c r="K233" s="38">
        <f t="shared" si="22"/>
        <v>2012</v>
      </c>
      <c r="M233" s="21">
        <f t="shared" si="23"/>
        <v>3.2691886387417899</v>
      </c>
      <c r="N233" s="21">
        <f t="shared" si="24"/>
        <v>2.8071759526125</v>
      </c>
    </row>
    <row r="234" spans="1:14" x14ac:dyDescent="0.2">
      <c r="A234" s="33">
        <f>'GF + UG Iteration 1'!A234</f>
        <v>438</v>
      </c>
      <c r="B234" s="34" t="str">
        <f>'GF + UG Iteration 1'!B234</f>
        <v>UG</v>
      </c>
      <c r="C234" s="35">
        <f>'GF + UG Iteration 1'!C234</f>
        <v>8.2460000000000004</v>
      </c>
      <c r="D234" s="36">
        <f>'GF + UG Iteration 1'!P$16*(C234^'GF + UG Iteration 1'!P$15)</f>
        <v>8.5093672049693883</v>
      </c>
      <c r="E234" s="37">
        <f>'GF + UG Iteration 1'!E234</f>
        <v>1978</v>
      </c>
      <c r="F234" s="35">
        <f>'GF + UG Iteration 1'!F234</f>
        <v>1</v>
      </c>
      <c r="G234" s="36">
        <f>'GF + UG Iteration 1'!G234</f>
        <v>0.18095315250984781</v>
      </c>
      <c r="H234" s="38">
        <f>'GF + UG Iteration 1'!H234</f>
        <v>2004</v>
      </c>
      <c r="I234" s="35">
        <f t="shared" si="20"/>
        <v>9.2460000000000004</v>
      </c>
      <c r="J234" s="36">
        <f t="shared" si="21"/>
        <v>8.6903203574792354</v>
      </c>
      <c r="K234" s="38">
        <f t="shared" si="22"/>
        <v>2004</v>
      </c>
      <c r="M234" s="21">
        <f t="shared" si="23"/>
        <v>2.2241910255660335</v>
      </c>
      <c r="N234" s="21">
        <f t="shared" si="24"/>
        <v>2.1622098036702098</v>
      </c>
    </row>
    <row r="235" spans="1:14" x14ac:dyDescent="0.2">
      <c r="A235" s="33">
        <f>'GF + UG Iteration 1'!A235</f>
        <v>748</v>
      </c>
      <c r="B235" s="34" t="str">
        <f>'GF + UG Iteration 1'!B235</f>
        <v>UG</v>
      </c>
      <c r="C235" s="35">
        <f>'GF + UG Iteration 1'!C235</f>
        <v>25.541</v>
      </c>
      <c r="D235" s="36">
        <f>'GF + UG Iteration 1'!P$16*(C235^'GF + UG Iteration 1'!P$15)</f>
        <v>15.811845297694154</v>
      </c>
      <c r="E235" s="37">
        <f>'GF + UG Iteration 1'!E235</f>
        <v>1995</v>
      </c>
      <c r="F235" s="35">
        <f>'GF + UG Iteration 1'!F235</f>
        <v>1</v>
      </c>
      <c r="G235" s="36">
        <f>'GF + UG Iteration 1'!G235</f>
        <v>0.38858476644316492</v>
      </c>
      <c r="H235" s="38">
        <f>'GF + UG Iteration 1'!H235</f>
        <v>2008</v>
      </c>
      <c r="I235" s="35">
        <f t="shared" si="20"/>
        <v>26.541</v>
      </c>
      <c r="J235" s="36">
        <f t="shared" si="21"/>
        <v>16.200430064137318</v>
      </c>
      <c r="K235" s="38">
        <f t="shared" si="22"/>
        <v>2008</v>
      </c>
      <c r="M235" s="21">
        <f t="shared" si="23"/>
        <v>3.2786907071693587</v>
      </c>
      <c r="N235" s="21">
        <f t="shared" si="24"/>
        <v>2.7850377890549387</v>
      </c>
    </row>
    <row r="236" spans="1:14" x14ac:dyDescent="0.2">
      <c r="A236" s="33">
        <f>'GF + UG Iteration 1'!A236</f>
        <v>1319</v>
      </c>
      <c r="B236" s="34" t="str">
        <f>'GF + UG Iteration 1'!B236</f>
        <v>UG</v>
      </c>
      <c r="C236" s="35">
        <f>'GF + UG Iteration 1'!C236</f>
        <v>15.71</v>
      </c>
      <c r="D236" s="36">
        <f>'GF + UG Iteration 1'!P$16*(C236^'GF + UG Iteration 1'!P$15)</f>
        <v>12.11468218728989</v>
      </c>
      <c r="E236" s="37">
        <f>'GF + UG Iteration 1'!E236</f>
        <v>0</v>
      </c>
      <c r="F236" s="35">
        <f>'GF + UG Iteration 1'!F236</f>
        <v>4.2899999999999991</v>
      </c>
      <c r="G236" s="36">
        <f>'GF + UG Iteration 1'!G236</f>
        <v>3.2376779482440865</v>
      </c>
      <c r="H236" s="38">
        <f>'GF + UG Iteration 1'!H236</f>
        <v>2014</v>
      </c>
      <c r="I236" s="35">
        <f t="shared" si="20"/>
        <v>20</v>
      </c>
      <c r="J236" s="36">
        <f t="shared" si="21"/>
        <v>15.352360135533978</v>
      </c>
      <c r="K236" s="38">
        <f t="shared" si="22"/>
        <v>2014</v>
      </c>
      <c r="M236" s="21">
        <f t="shared" si="23"/>
        <v>2.9957322735539909</v>
      </c>
      <c r="N236" s="21">
        <f t="shared" si="24"/>
        <v>2.7312692169720689</v>
      </c>
    </row>
    <row r="237" spans="1:14" x14ac:dyDescent="0.2">
      <c r="A237" s="33">
        <f>'GF + UG Iteration 1'!A237</f>
        <v>892</v>
      </c>
      <c r="B237" s="34" t="str">
        <f>'GF + UG Iteration 1'!B237</f>
        <v>UG</v>
      </c>
      <c r="C237" s="35">
        <f>'GF + UG Iteration 1'!C237</f>
        <v>13.05</v>
      </c>
      <c r="D237" s="36">
        <f>'GF + UG Iteration 1'!P$16*(C237^'GF + UG Iteration 1'!P$15)</f>
        <v>10.943562198958931</v>
      </c>
      <c r="E237" s="37">
        <f>'GF + UG Iteration 1'!E237</f>
        <v>1972</v>
      </c>
      <c r="F237" s="35">
        <f>'GF + UG Iteration 1'!F237</f>
        <v>0</v>
      </c>
      <c r="G237" s="36">
        <f>'GF + UG Iteration 1'!G237</f>
        <v>3.2490818561124843</v>
      </c>
      <c r="H237" s="38">
        <f>'GF + UG Iteration 1'!H237</f>
        <v>2011</v>
      </c>
      <c r="I237" s="35">
        <f t="shared" si="20"/>
        <v>13.05</v>
      </c>
      <c r="J237" s="36">
        <f t="shared" si="21"/>
        <v>14.192644055071415</v>
      </c>
      <c r="K237" s="38">
        <f t="shared" si="22"/>
        <v>2011</v>
      </c>
      <c r="M237" s="21">
        <f t="shared" si="23"/>
        <v>2.5687881337687024</v>
      </c>
      <c r="N237" s="21">
        <f t="shared" si="24"/>
        <v>2.6527238060955316</v>
      </c>
    </row>
    <row r="238" spans="1:14" x14ac:dyDescent="0.2">
      <c r="A238" s="33">
        <f>'GF + UG Iteration 1'!A238</f>
        <v>504</v>
      </c>
      <c r="B238" s="34" t="str">
        <f>'GF + UG Iteration 1'!B238</f>
        <v>UG</v>
      </c>
      <c r="C238" s="35">
        <f>'GF + UG Iteration 1'!C238</f>
        <v>10.496</v>
      </c>
      <c r="D238" s="36">
        <f>'GF + UG Iteration 1'!P$16*(C238^'GF + UG Iteration 1'!P$15)</f>
        <v>9.7122823624470449</v>
      </c>
      <c r="E238" s="37">
        <f>'GF + UG Iteration 1'!E238</f>
        <v>2007</v>
      </c>
      <c r="F238" s="35">
        <f>'GF + UG Iteration 1'!F238</f>
        <v>0</v>
      </c>
      <c r="G238" s="36">
        <f>'GF + UG Iteration 1'!G238</f>
        <v>2.1923137026225539</v>
      </c>
      <c r="H238" s="38">
        <f>'GF + UG Iteration 1'!H238</f>
        <v>2006</v>
      </c>
      <c r="I238" s="35">
        <f t="shared" si="20"/>
        <v>10.496</v>
      </c>
      <c r="J238" s="36">
        <f t="shared" si="21"/>
        <v>11.904596065069599</v>
      </c>
      <c r="K238" s="38">
        <f t="shared" si="22"/>
        <v>2007</v>
      </c>
      <c r="M238" s="21">
        <f t="shared" si="23"/>
        <v>2.3509942322017334</v>
      </c>
      <c r="N238" s="21">
        <f t="shared" si="24"/>
        <v>2.4769245495076389</v>
      </c>
    </row>
    <row r="239" spans="1:14" x14ac:dyDescent="0.2">
      <c r="A239" s="33">
        <f>'GF + UG Iteration 1'!A239</f>
        <v>618</v>
      </c>
      <c r="B239" s="34" t="str">
        <f>'GF + UG Iteration 1'!B239</f>
        <v>UG</v>
      </c>
      <c r="C239" s="35">
        <f>'GF + UG Iteration 1'!C239</f>
        <v>11</v>
      </c>
      <c r="D239" s="36">
        <f>'GF + UG Iteration 1'!P$16*(C239^'GF + UG Iteration 1'!P$15)</f>
        <v>9.9651600409343697</v>
      </c>
      <c r="E239" s="37">
        <f>'GF + UG Iteration 1'!E239</f>
        <v>1995</v>
      </c>
      <c r="F239" s="35">
        <f>'GF + UG Iteration 1'!F239</f>
        <v>11.5</v>
      </c>
      <c r="G239" s="36">
        <f>'GF + UG Iteration 1'!G239</f>
        <v>2.3464649770982668</v>
      </c>
      <c r="H239" s="38">
        <f>'GF + UG Iteration 1'!H239</f>
        <v>2006</v>
      </c>
      <c r="I239" s="35">
        <f t="shared" si="20"/>
        <v>22.5</v>
      </c>
      <c r="J239" s="36">
        <f t="shared" si="21"/>
        <v>12.311625018032636</v>
      </c>
      <c r="K239" s="38">
        <f t="shared" si="22"/>
        <v>2006</v>
      </c>
      <c r="M239" s="21">
        <f t="shared" si="23"/>
        <v>3.1135153092103742</v>
      </c>
      <c r="N239" s="21">
        <f t="shared" si="24"/>
        <v>2.5105439394477362</v>
      </c>
    </row>
    <row r="240" spans="1:14" x14ac:dyDescent="0.2">
      <c r="A240" s="33">
        <f>'GF + UG Iteration 1'!A240</f>
        <v>712</v>
      </c>
      <c r="B240" s="34" t="str">
        <f>'GF + UG Iteration 1'!B240</f>
        <v>UG</v>
      </c>
      <c r="C240" s="35">
        <f>'GF + UG Iteration 1'!C240</f>
        <v>7.5</v>
      </c>
      <c r="D240" s="36">
        <f>'GF + UG Iteration 1'!P$16*(C240^'GF + UG Iteration 1'!P$15)</f>
        <v>8.0784453689622282</v>
      </c>
      <c r="E240" s="37">
        <f>'GF + UG Iteration 1'!E240</f>
        <v>1980</v>
      </c>
      <c r="F240" s="35">
        <f>'GF + UG Iteration 1'!F240</f>
        <v>1</v>
      </c>
      <c r="G240" s="36">
        <f>'GF + UG Iteration 1'!G240</f>
        <v>7.8904141673966368</v>
      </c>
      <c r="H240" s="38">
        <f>'GF + UG Iteration 1'!H240</f>
        <v>2011</v>
      </c>
      <c r="I240" s="35">
        <f t="shared" si="20"/>
        <v>8.5</v>
      </c>
      <c r="J240" s="36">
        <f t="shared" si="21"/>
        <v>15.968859536358865</v>
      </c>
      <c r="K240" s="38">
        <f t="shared" si="22"/>
        <v>2011</v>
      </c>
      <c r="M240" s="21">
        <f t="shared" si="23"/>
        <v>2.1400661634962708</v>
      </c>
      <c r="N240" s="21">
        <f t="shared" si="24"/>
        <v>2.7706405468001853</v>
      </c>
    </row>
    <row r="241" spans="1:14" x14ac:dyDescent="0.2">
      <c r="A241" s="33">
        <f>'GF + UG Iteration 1'!A241</f>
        <v>726</v>
      </c>
      <c r="B241" s="34" t="str">
        <f>'GF + UG Iteration 1'!B241</f>
        <v>UG</v>
      </c>
      <c r="C241" s="35">
        <f>'GF + UG Iteration 1'!C241</f>
        <v>25.635400000000001</v>
      </c>
      <c r="D241" s="36">
        <f>'GF + UG Iteration 1'!P$16*(C241^'GF + UG Iteration 1'!P$15)</f>
        <v>15.843846602772079</v>
      </c>
      <c r="E241" s="37">
        <f>'GF + UG Iteration 1'!E241</f>
        <v>1982</v>
      </c>
      <c r="F241" s="35">
        <f>'GF + UG Iteration 1'!F241</f>
        <v>5.3645999999999994</v>
      </c>
      <c r="G241" s="36">
        <f>'GF + UG Iteration 1'!G241</f>
        <v>1.031633192087684</v>
      </c>
      <c r="H241" s="38">
        <f>'GF + UG Iteration 1'!H241</f>
        <v>2008</v>
      </c>
      <c r="I241" s="35">
        <f t="shared" si="20"/>
        <v>31</v>
      </c>
      <c r="J241" s="36">
        <f t="shared" si="21"/>
        <v>16.875479794859764</v>
      </c>
      <c r="K241" s="38">
        <f t="shared" si="22"/>
        <v>2008</v>
      </c>
      <c r="M241" s="21">
        <f t="shared" si="23"/>
        <v>3.4339872044851463</v>
      </c>
      <c r="N241" s="21">
        <f t="shared" si="24"/>
        <v>2.8258616686423896</v>
      </c>
    </row>
    <row r="242" spans="1:14" x14ac:dyDescent="0.2">
      <c r="A242" s="33">
        <f>'GF + UG Iteration 1'!A242</f>
        <v>530</v>
      </c>
      <c r="B242" s="34" t="str">
        <f>'GF + UG Iteration 1'!B242</f>
        <v>UG</v>
      </c>
      <c r="C242" s="35">
        <f>'GF + UG Iteration 1'!C242</f>
        <v>25</v>
      </c>
      <c r="D242" s="36">
        <f>'GF + UG Iteration 1'!P$16*(C242^'GF + UG Iteration 1'!P$15)</f>
        <v>15.627407246181329</v>
      </c>
      <c r="E242" s="37">
        <f>'GF + UG Iteration 1'!E242</f>
        <v>1982</v>
      </c>
      <c r="F242" s="35">
        <f>'GF + UG Iteration 1'!F242</f>
        <v>20</v>
      </c>
      <c r="G242" s="36">
        <f>'GF + UG Iteration 1'!G242</f>
        <v>4.5022608459814819</v>
      </c>
      <c r="H242" s="38">
        <f>'GF + UG Iteration 1'!H242</f>
        <v>2006</v>
      </c>
      <c r="I242" s="35">
        <f t="shared" si="20"/>
        <v>45</v>
      </c>
      <c r="J242" s="36">
        <f t="shared" si="21"/>
        <v>20.12966809216281</v>
      </c>
      <c r="K242" s="38">
        <f t="shared" si="22"/>
        <v>2006</v>
      </c>
      <c r="M242" s="21">
        <f t="shared" si="23"/>
        <v>3.8066624897703196</v>
      </c>
      <c r="N242" s="21">
        <f t="shared" si="24"/>
        <v>3.0021947512973282</v>
      </c>
    </row>
    <row r="243" spans="1:14" x14ac:dyDescent="0.2">
      <c r="A243" s="33">
        <f>'GF + UG Iteration 1'!A243</f>
        <v>755</v>
      </c>
      <c r="B243" s="34" t="str">
        <f>'GF + UG Iteration 1'!B243</f>
        <v>UG</v>
      </c>
      <c r="C243" s="35">
        <f>'GF + UG Iteration 1'!C243</f>
        <v>8.6980000000000004</v>
      </c>
      <c r="D243" s="36">
        <f>'GF + UG Iteration 1'!P$16*(C243^'GF + UG Iteration 1'!P$15)</f>
        <v>8.7619084251981665</v>
      </c>
      <c r="E243" s="37">
        <f>'GF + UG Iteration 1'!E243</f>
        <v>1983</v>
      </c>
      <c r="F243" s="35">
        <f>'GF + UG Iteration 1'!F243</f>
        <v>3.3019999999999996</v>
      </c>
      <c r="G243" s="36">
        <f>'GF + UG Iteration 1'!G243</f>
        <v>0.74649134624932623</v>
      </c>
      <c r="H243" s="38">
        <f>'GF + UG Iteration 1'!H243</f>
        <v>2008</v>
      </c>
      <c r="I243" s="35">
        <f t="shared" si="20"/>
        <v>12</v>
      </c>
      <c r="J243" s="36">
        <f t="shared" si="21"/>
        <v>9.5083997714474933</v>
      </c>
      <c r="K243" s="38">
        <f t="shared" si="22"/>
        <v>2008</v>
      </c>
      <c r="M243" s="21">
        <f t="shared" si="23"/>
        <v>2.4849066497880004</v>
      </c>
      <c r="N243" s="21">
        <f t="shared" si="24"/>
        <v>2.2521755944120594</v>
      </c>
    </row>
    <row r="244" spans="1:14" x14ac:dyDescent="0.2">
      <c r="A244" s="33">
        <f>'GF + UG Iteration 1'!A244</f>
        <v>1081</v>
      </c>
      <c r="B244" s="34" t="str">
        <f>'GF + UG Iteration 1'!B244</f>
        <v>UG</v>
      </c>
      <c r="C244" s="35">
        <f>'GF + UG Iteration 1'!C244</f>
        <v>12</v>
      </c>
      <c r="D244" s="36">
        <f>'GF + UG Iteration 1'!P$16*(C244^'GF + UG Iteration 1'!P$15)</f>
        <v>10.451869274666356</v>
      </c>
      <c r="E244" s="37">
        <f>'GF + UG Iteration 1'!E244</f>
        <v>1983</v>
      </c>
      <c r="F244" s="35">
        <f>'GF + UG Iteration 1'!F244</f>
        <v>4</v>
      </c>
      <c r="G244" s="36">
        <f>'GF + UG Iteration 1'!G244</f>
        <v>0.74615854172219498</v>
      </c>
      <c r="H244" s="38">
        <f>'GF + UG Iteration 1'!H244</f>
        <v>2010</v>
      </c>
      <c r="I244" s="35">
        <f t="shared" si="20"/>
        <v>16</v>
      </c>
      <c r="J244" s="36">
        <f t="shared" si="21"/>
        <v>11.198027816388551</v>
      </c>
      <c r="K244" s="38">
        <f t="shared" si="22"/>
        <v>2010</v>
      </c>
      <c r="M244" s="21">
        <f t="shared" si="23"/>
        <v>2.7725887222397811</v>
      </c>
      <c r="N244" s="21">
        <f t="shared" si="24"/>
        <v>2.4157376749733173</v>
      </c>
    </row>
    <row r="245" spans="1:14" x14ac:dyDescent="0.2">
      <c r="A245" s="33">
        <f>'GF + UG Iteration 1'!A245</f>
        <v>307</v>
      </c>
      <c r="B245" s="34" t="str">
        <f>'GF + UG Iteration 1'!B245</f>
        <v>UG</v>
      </c>
      <c r="C245" s="35">
        <f>'GF + UG Iteration 1'!C245</f>
        <v>9.07</v>
      </c>
      <c r="D245" s="36">
        <f>'GF + UG Iteration 1'!P$16*(C245^'GF + UG Iteration 1'!P$15)</f>
        <v>8.9653329117783258</v>
      </c>
      <c r="E245" s="37">
        <f>'GF + UG Iteration 1'!E245</f>
        <v>1985</v>
      </c>
      <c r="F245" s="35">
        <f>'GF + UG Iteration 1'!F245</f>
        <v>1.0019999999999989</v>
      </c>
      <c r="G245" s="36">
        <f>'GF + UG Iteration 1'!G245</f>
        <v>2.5230801807757093</v>
      </c>
      <c r="H245" s="38">
        <f>'GF + UG Iteration 1'!H245</f>
        <v>2003</v>
      </c>
      <c r="I245" s="35">
        <f t="shared" si="20"/>
        <v>10.071999999999999</v>
      </c>
      <c r="J245" s="36">
        <f t="shared" si="21"/>
        <v>11.488413092554035</v>
      </c>
      <c r="K245" s="38">
        <f t="shared" si="22"/>
        <v>2003</v>
      </c>
      <c r="M245" s="21">
        <f t="shared" si="23"/>
        <v>2.3097592967420462</v>
      </c>
      <c r="N245" s="21">
        <f t="shared" si="24"/>
        <v>2.4413389702730597</v>
      </c>
    </row>
    <row r="246" spans="1:14" x14ac:dyDescent="0.2">
      <c r="A246" s="33">
        <f>'GF + UG Iteration 1'!A246</f>
        <v>1466</v>
      </c>
      <c r="B246" s="34" t="str">
        <f>'GF + UG Iteration 1'!B246</f>
        <v>UG</v>
      </c>
      <c r="C246" s="35">
        <f>'GF + UG Iteration 1'!C246</f>
        <v>10.07</v>
      </c>
      <c r="D246" s="36">
        <f>'GF + UG Iteration 1'!P$16*(C246^'GF + UG Iteration 1'!P$15)</f>
        <v>9.4942279056457597</v>
      </c>
      <c r="E246" s="37">
        <f>'GF + UG Iteration 1'!E246</f>
        <v>1985</v>
      </c>
      <c r="F246" s="35">
        <f>'GF + UG Iteration 1'!F246</f>
        <v>4.93</v>
      </c>
      <c r="G246" s="36">
        <f>'GF + UG Iteration 1'!G246</f>
        <v>4.634839878669343</v>
      </c>
      <c r="H246" s="38">
        <f>'GF + UG Iteration 1'!H246</f>
        <v>2015</v>
      </c>
      <c r="I246" s="35">
        <f t="shared" si="20"/>
        <v>15</v>
      </c>
      <c r="J246" s="36">
        <f t="shared" si="21"/>
        <v>14.129067784315103</v>
      </c>
      <c r="K246" s="38">
        <f t="shared" si="22"/>
        <v>2015</v>
      </c>
      <c r="M246" s="21">
        <f t="shared" si="23"/>
        <v>2.7080502011022101</v>
      </c>
      <c r="N246" s="21">
        <f t="shared" si="24"/>
        <v>2.6482342203031344</v>
      </c>
    </row>
    <row r="247" spans="1:14" x14ac:dyDescent="0.2">
      <c r="A247" s="33">
        <f>'GF + UG Iteration 1'!A247</f>
        <v>1091</v>
      </c>
      <c r="B247" s="34" t="str">
        <f>'GF + UG Iteration 1'!B247</f>
        <v>UG</v>
      </c>
      <c r="C247" s="35">
        <f>'GF + UG Iteration 1'!C247</f>
        <v>16.059999999999999</v>
      </c>
      <c r="D247" s="36">
        <f>'GF + UG Iteration 1'!P$16*(C247^'GF + UG Iteration 1'!P$15)</f>
        <v>12.261862097652166</v>
      </c>
      <c r="E247" s="37">
        <f>'GF + UG Iteration 1'!E247</f>
        <v>1982</v>
      </c>
      <c r="F247" s="35">
        <f>'GF + UG Iteration 1'!F247</f>
        <v>24.34</v>
      </c>
      <c r="G247" s="36">
        <f>'GF + UG Iteration 1'!G247</f>
        <v>7.6638380518522098</v>
      </c>
      <c r="H247" s="38">
        <f>'GF + UG Iteration 1'!H247</f>
        <v>2011</v>
      </c>
      <c r="I247" s="35">
        <f t="shared" ref="I247:I292" si="30">C247+F247</f>
        <v>40.4</v>
      </c>
      <c r="J247" s="36">
        <f t="shared" ref="J247:J292" si="31">D247+G247</f>
        <v>19.925700149504376</v>
      </c>
      <c r="K247" s="38">
        <f t="shared" ref="K247:K292" si="32">MAX(E247,H247)</f>
        <v>2011</v>
      </c>
      <c r="M247" s="21">
        <f t="shared" ref="M247:M292" si="33">LN(I247)</f>
        <v>3.6988297849671046</v>
      </c>
      <c r="N247" s="21">
        <f t="shared" ref="N247:N292" si="34">LN(J247)</f>
        <v>2.9920103633063064</v>
      </c>
    </row>
    <row r="248" spans="1:14" x14ac:dyDescent="0.2">
      <c r="A248" s="33">
        <f>'GF + UG Iteration 1'!A248</f>
        <v>666</v>
      </c>
      <c r="B248" s="34" t="str">
        <f>'GF + UG Iteration 1'!B248</f>
        <v>UG</v>
      </c>
      <c r="C248" s="35">
        <f>'GF + UG Iteration 1'!C248</f>
        <v>25.92</v>
      </c>
      <c r="D248" s="36">
        <f>'GF + UG Iteration 1'!P$16*(C248^'GF + UG Iteration 1'!P$15)</f>
        <v>15.940004201169121</v>
      </c>
      <c r="E248" s="37">
        <f>'GF + UG Iteration 1'!E248</f>
        <v>1987</v>
      </c>
      <c r="F248" s="35">
        <f>'GF + UG Iteration 1'!F248</f>
        <v>14.079999999999998</v>
      </c>
      <c r="G248" s="36">
        <f>'GF + UG Iteration 1'!G248</f>
        <v>3.6887760601263184</v>
      </c>
      <c r="H248" s="38">
        <f>'GF + UG Iteration 1'!H248</f>
        <v>2008</v>
      </c>
      <c r="I248" s="35">
        <f t="shared" si="30"/>
        <v>40</v>
      </c>
      <c r="J248" s="36">
        <f t="shared" si="31"/>
        <v>19.628780261295439</v>
      </c>
      <c r="K248" s="38">
        <f t="shared" si="32"/>
        <v>2008</v>
      </c>
      <c r="M248" s="21">
        <f t="shared" si="33"/>
        <v>3.6888794541139363</v>
      </c>
      <c r="N248" s="21">
        <f t="shared" si="34"/>
        <v>2.9769968698980867</v>
      </c>
    </row>
    <row r="249" spans="1:14" x14ac:dyDescent="0.2">
      <c r="A249" s="33">
        <f>'GF + UG Iteration 1'!A249</f>
        <v>556</v>
      </c>
      <c r="B249" s="34" t="str">
        <f>'GF + UG Iteration 1'!B249</f>
        <v>UG</v>
      </c>
      <c r="C249" s="35">
        <f>'GF + UG Iteration 1'!C249</f>
        <v>8.6560000000000006</v>
      </c>
      <c r="D249" s="36">
        <f>'GF + UG Iteration 1'!P$16*(C249^'GF + UG Iteration 1'!P$15)</f>
        <v>8.7386962084575952</v>
      </c>
      <c r="E249" s="37">
        <f>'GF + UG Iteration 1'!E249</f>
        <v>1985</v>
      </c>
      <c r="F249" s="35">
        <f>'GF + UG Iteration 1'!F249</f>
        <v>4.3439999999999994</v>
      </c>
      <c r="G249" s="36">
        <f>'GF + UG Iteration 1'!G249</f>
        <v>3.2483692675760008</v>
      </c>
      <c r="H249" s="38">
        <f>'GF + UG Iteration 1'!H249</f>
        <v>2007</v>
      </c>
      <c r="I249" s="35">
        <f t="shared" si="30"/>
        <v>13</v>
      </c>
      <c r="J249" s="36">
        <f t="shared" si="31"/>
        <v>11.987065476033596</v>
      </c>
      <c r="K249" s="38">
        <f t="shared" si="32"/>
        <v>2007</v>
      </c>
      <c r="M249" s="21">
        <f t="shared" si="33"/>
        <v>2.5649493574615367</v>
      </c>
      <c r="N249" s="21">
        <f t="shared" si="34"/>
        <v>2.4838281914636191</v>
      </c>
    </row>
    <row r="250" spans="1:14" x14ac:dyDescent="0.2">
      <c r="A250" s="33">
        <f>'GF + UG Iteration 1'!A250</f>
        <v>452</v>
      </c>
      <c r="B250" s="34" t="str">
        <f>'GF + UG Iteration 1'!B250</f>
        <v>UG</v>
      </c>
      <c r="C250" s="35">
        <f>'GF + UG Iteration 1'!C250</f>
        <v>10.781000000000001</v>
      </c>
      <c r="D250" s="36">
        <f>'GF + UG Iteration 1'!P$16*(C250^'GF + UG Iteration 1'!P$15)</f>
        <v>9.8559361904545959</v>
      </c>
      <c r="E250" s="37">
        <f>'GF + UG Iteration 1'!E250</f>
        <v>1986</v>
      </c>
      <c r="F250" s="35">
        <f>'GF + UG Iteration 1'!F250</f>
        <v>3.6189999999999998</v>
      </c>
      <c r="G250" s="36">
        <f>'GF + UG Iteration 1'!G250</f>
        <v>3.4437072461958511</v>
      </c>
      <c r="H250" s="38">
        <f>'GF + UG Iteration 1'!H250</f>
        <v>2005</v>
      </c>
      <c r="I250" s="35">
        <f t="shared" si="30"/>
        <v>14.4</v>
      </c>
      <c r="J250" s="36">
        <f t="shared" si="31"/>
        <v>13.299643436650447</v>
      </c>
      <c r="K250" s="38">
        <f t="shared" si="32"/>
        <v>2005</v>
      </c>
      <c r="M250" s="21">
        <f t="shared" si="33"/>
        <v>2.6672282065819548</v>
      </c>
      <c r="N250" s="21">
        <f t="shared" si="34"/>
        <v>2.5877372255939304</v>
      </c>
    </row>
    <row r="251" spans="1:14" x14ac:dyDescent="0.2">
      <c r="A251" s="33">
        <f>'GF + UG Iteration 1'!A251</f>
        <v>613</v>
      </c>
      <c r="B251" s="34" t="str">
        <f>'GF + UG Iteration 1'!B251</f>
        <v>UG</v>
      </c>
      <c r="C251" s="35">
        <f>'GF + UG Iteration 1'!C251</f>
        <v>6.2</v>
      </c>
      <c r="D251" s="36">
        <f>'GF + UG Iteration 1'!P$16*(C251^'GF + UG Iteration 1'!P$15)</f>
        <v>7.278157561225294</v>
      </c>
      <c r="E251" s="37">
        <f>'GF + UG Iteration 1'!E251</f>
        <v>1999</v>
      </c>
      <c r="F251" s="35">
        <f>'GF + UG Iteration 1'!F251</f>
        <v>2.2000000000000002</v>
      </c>
      <c r="G251" s="36">
        <f>'GF + UG Iteration 1'!G251</f>
        <v>0.43131820582676678</v>
      </c>
      <c r="H251" s="38">
        <f>'GF + UG Iteration 1'!H251</f>
        <v>2006</v>
      </c>
      <c r="I251" s="35">
        <f t="shared" si="30"/>
        <v>8.4</v>
      </c>
      <c r="J251" s="36">
        <f t="shared" si="31"/>
        <v>7.7094757670520604</v>
      </c>
      <c r="K251" s="38">
        <f t="shared" si="32"/>
        <v>2006</v>
      </c>
      <c r="M251" s="21">
        <f t="shared" si="33"/>
        <v>2.1282317058492679</v>
      </c>
      <c r="N251" s="21">
        <f t="shared" si="34"/>
        <v>2.0424501913662798</v>
      </c>
    </row>
    <row r="252" spans="1:14" x14ac:dyDescent="0.2">
      <c r="A252" s="33">
        <f>'GF + UG Iteration 1'!A252</f>
        <v>778</v>
      </c>
      <c r="B252" s="34" t="str">
        <f>'GF + UG Iteration 1'!B252</f>
        <v>UG</v>
      </c>
      <c r="C252" s="35">
        <f>'GF + UG Iteration 1'!C252</f>
        <v>0.1</v>
      </c>
      <c r="D252" s="36">
        <f>'GF + UG Iteration 1'!P$16*(C252^'GF + UG Iteration 1'!P$15)</f>
        <v>0.75808310017519365</v>
      </c>
      <c r="E252" s="37">
        <f>'GF + UG Iteration 1'!E252</f>
        <v>1988</v>
      </c>
      <c r="F252" s="35">
        <f>'GF + UG Iteration 1'!F252</f>
        <v>1.9</v>
      </c>
      <c r="G252" s="36">
        <f>'GF + UG Iteration 1'!G252</f>
        <v>0.48701021540648831</v>
      </c>
      <c r="H252" s="38">
        <f>'GF + UG Iteration 1'!H252</f>
        <v>2008</v>
      </c>
      <c r="I252" s="35">
        <f t="shared" si="30"/>
        <v>2</v>
      </c>
      <c r="J252" s="36">
        <f t="shared" si="31"/>
        <v>1.2450933155816819</v>
      </c>
      <c r="K252" s="38">
        <f t="shared" si="32"/>
        <v>2008</v>
      </c>
      <c r="M252" s="21">
        <f t="shared" si="33"/>
        <v>0.69314718055994529</v>
      </c>
      <c r="N252" s="21">
        <f t="shared" si="34"/>
        <v>0.21921047938233287</v>
      </c>
    </row>
    <row r="253" spans="1:14" x14ac:dyDescent="0.2">
      <c r="A253" s="33">
        <f>'GF + UG Iteration 1'!A253</f>
        <v>1571</v>
      </c>
      <c r="B253" s="34" t="str">
        <f>'GF + UG Iteration 1'!B253</f>
        <v>UG</v>
      </c>
      <c r="C253" s="35">
        <f>'GF + UG Iteration 1'!C253</f>
        <v>2</v>
      </c>
      <c r="D253" s="36">
        <f>'GF + UG Iteration 1'!P$16*(C253^'GF + UG Iteration 1'!P$15)</f>
        <v>3.9150287974723184</v>
      </c>
      <c r="E253" s="37">
        <f>'GF + UG Iteration 1'!E253</f>
        <v>1988</v>
      </c>
      <c r="F253" s="35">
        <f>'GF + UG Iteration 1'!F253</f>
        <v>11</v>
      </c>
      <c r="G253" s="36">
        <f>'GF + UG Iteration 1'!G253</f>
        <v>1.5920457896917759</v>
      </c>
      <c r="H253" s="38">
        <f>'GF + UG Iteration 1'!H253</f>
        <v>2016</v>
      </c>
      <c r="I253" s="35">
        <f t="shared" si="30"/>
        <v>13</v>
      </c>
      <c r="J253" s="36">
        <f t="shared" si="31"/>
        <v>5.5070745871640945</v>
      </c>
      <c r="K253" s="38">
        <f t="shared" si="32"/>
        <v>2016</v>
      </c>
      <c r="M253" s="21">
        <f t="shared" si="33"/>
        <v>2.5649493574615367</v>
      </c>
      <c r="N253" s="21">
        <f t="shared" si="34"/>
        <v>1.7060335542532865</v>
      </c>
    </row>
    <row r="254" spans="1:14" x14ac:dyDescent="0.2">
      <c r="A254" s="33">
        <f>'GF + UG Iteration 1'!A254</f>
        <v>525</v>
      </c>
      <c r="B254" s="34" t="str">
        <f>'GF + UG Iteration 1'!B254</f>
        <v>UG</v>
      </c>
      <c r="C254" s="35">
        <f>'GF + UG Iteration 1'!C254</f>
        <v>11.55</v>
      </c>
      <c r="D254" s="36">
        <f>'GF + UG Iteration 1'!P$16*(C254^'GF + UG Iteration 1'!P$15)</f>
        <v>10.235213082767542</v>
      </c>
      <c r="E254" s="37">
        <f>'GF + UG Iteration 1'!E254</f>
        <v>1995</v>
      </c>
      <c r="F254" s="35">
        <f>'GF + UG Iteration 1'!F254</f>
        <v>14</v>
      </c>
      <c r="G254" s="36">
        <f>'GF + UG Iteration 1'!G254</f>
        <v>2.107818995325883</v>
      </c>
      <c r="H254" s="38">
        <f>'GF + UG Iteration 1'!H254</f>
        <v>2006</v>
      </c>
      <c r="I254" s="35">
        <f t="shared" si="30"/>
        <v>25.55</v>
      </c>
      <c r="J254" s="36">
        <f t="shared" si="31"/>
        <v>12.343032078093426</v>
      </c>
      <c r="K254" s="38">
        <f t="shared" si="32"/>
        <v>2006</v>
      </c>
      <c r="M254" s="21">
        <f t="shared" si="33"/>
        <v>3.2406373166497136</v>
      </c>
      <c r="N254" s="21">
        <f t="shared" si="34"/>
        <v>2.5130916996479411</v>
      </c>
    </row>
    <row r="255" spans="1:14" x14ac:dyDescent="0.2">
      <c r="A255" s="33">
        <f>'GF + UG Iteration 1'!A255</f>
        <v>1324</v>
      </c>
      <c r="B255" s="34" t="str">
        <f>'GF + UG Iteration 1'!B255</f>
        <v>UG</v>
      </c>
      <c r="C255" s="35">
        <f>'GF + UG Iteration 1'!C255</f>
        <v>15.8</v>
      </c>
      <c r="D255" s="36">
        <f>'GF + UG Iteration 1'!P$16*(C255^'GF + UG Iteration 1'!P$15)</f>
        <v>12.152668800712647</v>
      </c>
      <c r="E255" s="37">
        <f>'GF + UG Iteration 1'!E255</f>
        <v>2012</v>
      </c>
      <c r="F255" s="35">
        <f>'GF + UG Iteration 1'!F255</f>
        <v>12.3</v>
      </c>
      <c r="G255" s="36">
        <f>'GF + UG Iteration 1'!G255</f>
        <v>2.2692987542218521</v>
      </c>
      <c r="H255" s="38">
        <f>'GF + UG Iteration 1'!H255</f>
        <v>2014</v>
      </c>
      <c r="I255" s="35">
        <f t="shared" si="30"/>
        <v>28.1</v>
      </c>
      <c r="J255" s="36">
        <f t="shared" si="31"/>
        <v>14.421967554934499</v>
      </c>
      <c r="K255" s="38">
        <f t="shared" si="32"/>
        <v>2014</v>
      </c>
      <c r="M255" s="21">
        <f t="shared" si="33"/>
        <v>3.3357695763396999</v>
      </c>
      <c r="N255" s="21">
        <f t="shared" si="34"/>
        <v>2.6687525687995186</v>
      </c>
    </row>
    <row r="256" spans="1:14" x14ac:dyDescent="0.2">
      <c r="A256" s="33">
        <f>'GF + UG Iteration 1'!A256</f>
        <v>511</v>
      </c>
      <c r="B256" s="34" t="str">
        <f>'GF + UG Iteration 1'!B256</f>
        <v>UG</v>
      </c>
      <c r="C256" s="35">
        <f>'GF + UG Iteration 1'!C256</f>
        <v>13.95</v>
      </c>
      <c r="D256" s="36">
        <f>'GF + UG Iteration 1'!P$16*(C256^'GF + UG Iteration 1'!P$15)</f>
        <v>11.350944798950138</v>
      </c>
      <c r="E256" s="37">
        <f>'GF + UG Iteration 1'!E256</f>
        <v>2004</v>
      </c>
      <c r="F256" s="35">
        <f>'GF + UG Iteration 1'!F256</f>
        <v>4.0500000000000007</v>
      </c>
      <c r="G256" s="36">
        <f>'GF + UG Iteration 1'!G256</f>
        <v>0.42903557118440139</v>
      </c>
      <c r="H256" s="38">
        <f>'GF + UG Iteration 1'!H256</f>
        <v>2004</v>
      </c>
      <c r="I256" s="35">
        <f t="shared" si="30"/>
        <v>18</v>
      </c>
      <c r="J256" s="36">
        <f t="shared" si="31"/>
        <v>11.77998037013454</v>
      </c>
      <c r="K256" s="38">
        <f t="shared" si="32"/>
        <v>2004</v>
      </c>
      <c r="M256" s="21">
        <f t="shared" si="33"/>
        <v>2.8903717578961645</v>
      </c>
      <c r="N256" s="21">
        <f t="shared" si="34"/>
        <v>2.4664015118497722</v>
      </c>
    </row>
    <row r="257" spans="1:14" x14ac:dyDescent="0.2">
      <c r="A257" s="33">
        <f>'GF + UG Iteration 1'!A257</f>
        <v>1094</v>
      </c>
      <c r="B257" s="34" t="str">
        <f>'GF + UG Iteration 1'!B257</f>
        <v>UG</v>
      </c>
      <c r="C257" s="35">
        <f>'GF + UG Iteration 1'!C257</f>
        <v>18</v>
      </c>
      <c r="D257" s="36">
        <f>'GF + UG Iteration 1'!P$16*(C257^'GF + UG Iteration 1'!P$15)</f>
        <v>13.052666700236895</v>
      </c>
      <c r="E257" s="37">
        <f>'GF + UG Iteration 1'!E257</f>
        <v>2004</v>
      </c>
      <c r="F257" s="35">
        <f>'GF + UG Iteration 1'!F257</f>
        <v>6</v>
      </c>
      <c r="G257" s="36">
        <f>'GF + UG Iteration 1'!G257</f>
        <v>1.0646458657975095</v>
      </c>
      <c r="H257" s="38">
        <f>'GF + UG Iteration 1'!H257</f>
        <v>2011</v>
      </c>
      <c r="I257" s="35">
        <f t="shared" si="30"/>
        <v>24</v>
      </c>
      <c r="J257" s="36">
        <f t="shared" si="31"/>
        <v>14.117312566034403</v>
      </c>
      <c r="K257" s="38">
        <f t="shared" si="32"/>
        <v>2011</v>
      </c>
      <c r="M257" s="21">
        <f t="shared" si="33"/>
        <v>3.1780538303479458</v>
      </c>
      <c r="N257" s="21">
        <f t="shared" si="34"/>
        <v>2.6474018857658561</v>
      </c>
    </row>
    <row r="258" spans="1:14" x14ac:dyDescent="0.2">
      <c r="A258" s="33">
        <f>'GF + UG Iteration 1'!A258</f>
        <v>775</v>
      </c>
      <c r="B258" s="34" t="str">
        <f>'GF + UG Iteration 1'!B258</f>
        <v>UG</v>
      </c>
      <c r="C258" s="35">
        <f>'GF + UG Iteration 1'!C258</f>
        <v>8</v>
      </c>
      <c r="D258" s="36">
        <f>'GF + UG Iteration 1'!P$16*(C258^'GF + UG Iteration 1'!P$15)</f>
        <v>8.369291413281239</v>
      </c>
      <c r="E258" s="37">
        <f>'GF + UG Iteration 1'!E258</f>
        <v>2002</v>
      </c>
      <c r="F258" s="35">
        <f>'GF + UG Iteration 1'!F258</f>
        <v>7</v>
      </c>
      <c r="G258" s="36">
        <f>'GF + UG Iteration 1'!G258</f>
        <v>1.4058744428987999</v>
      </c>
      <c r="H258" s="38">
        <f>'GF + UG Iteration 1'!H258</f>
        <v>2008</v>
      </c>
      <c r="I258" s="35">
        <f t="shared" si="30"/>
        <v>15</v>
      </c>
      <c r="J258" s="36">
        <f t="shared" si="31"/>
        <v>9.7751658561800383</v>
      </c>
      <c r="K258" s="38">
        <f t="shared" si="32"/>
        <v>2008</v>
      </c>
      <c r="M258" s="21">
        <f t="shared" si="33"/>
        <v>2.7080502011022101</v>
      </c>
      <c r="N258" s="21">
        <f t="shared" si="34"/>
        <v>2.2798450731116322</v>
      </c>
    </row>
    <row r="259" spans="1:14" x14ac:dyDescent="0.2">
      <c r="A259" s="33">
        <f>'GF + UG Iteration 1'!A259</f>
        <v>1646</v>
      </c>
      <c r="B259" s="34" t="str">
        <f>'GF + UG Iteration 1'!B259</f>
        <v>UG</v>
      </c>
      <c r="C259" s="35">
        <f>'GF + UG Iteration 1'!C259</f>
        <v>2.88</v>
      </c>
      <c r="D259" s="36">
        <f>'GF + UG Iteration 1'!P$16*(C259^'GF + UG Iteration 1'!P$15)</f>
        <v>4.7810594503477386</v>
      </c>
      <c r="E259" s="37" t="str">
        <f>'GF + UG Iteration 1'!E259</f>
        <v>unknown</v>
      </c>
      <c r="F259" s="35">
        <f>'GF + UG Iteration 1'!F259</f>
        <v>3.5200000000000005</v>
      </c>
      <c r="G259" s="36">
        <f>'GF + UG Iteration 1'!G259</f>
        <v>6.6895680450065891</v>
      </c>
      <c r="H259" s="38">
        <f>'GF + UG Iteration 1'!H259</f>
        <v>2016</v>
      </c>
      <c r="I259" s="35">
        <f t="shared" si="30"/>
        <v>6.4</v>
      </c>
      <c r="J259" s="36">
        <f t="shared" si="31"/>
        <v>11.470627495354329</v>
      </c>
      <c r="K259" s="38">
        <f t="shared" si="32"/>
        <v>2016</v>
      </c>
      <c r="M259" s="21">
        <f t="shared" si="33"/>
        <v>1.8562979903656263</v>
      </c>
      <c r="N259" s="21">
        <f t="shared" si="34"/>
        <v>2.4397896371735892</v>
      </c>
    </row>
    <row r="260" spans="1:14" x14ac:dyDescent="0.2">
      <c r="A260" s="33">
        <f>'GF + UG Iteration 1'!A260</f>
        <v>467</v>
      </c>
      <c r="B260" s="34" t="str">
        <f>'GF + UG Iteration 1'!B260</f>
        <v>UG</v>
      </c>
      <c r="C260" s="35">
        <f>'GF + UG Iteration 1'!C260</f>
        <v>5.7</v>
      </c>
      <c r="D260" s="36">
        <f>'GF + UG Iteration 1'!P$16*(C260^'GF + UG Iteration 1'!P$15)</f>
        <v>6.9503827405118432</v>
      </c>
      <c r="E260" s="37">
        <f>'GF + UG Iteration 1'!E260</f>
        <v>1996</v>
      </c>
      <c r="F260" s="35">
        <f>'GF + UG Iteration 1'!F260</f>
        <v>7.8999999999999995</v>
      </c>
      <c r="G260" s="36">
        <f>'GF + UG Iteration 1'!G260</f>
        <v>3.4855022233326953</v>
      </c>
      <c r="H260" s="38">
        <f>'GF + UG Iteration 1'!H260</f>
        <v>2005</v>
      </c>
      <c r="I260" s="35">
        <f t="shared" si="30"/>
        <v>13.6</v>
      </c>
      <c r="J260" s="36">
        <f t="shared" si="31"/>
        <v>10.435884963844538</v>
      </c>
      <c r="K260" s="38">
        <f t="shared" si="32"/>
        <v>2005</v>
      </c>
      <c r="M260" s="21">
        <f t="shared" si="33"/>
        <v>2.6100697927420065</v>
      </c>
      <c r="N260" s="21">
        <f t="shared" si="34"/>
        <v>2.3452503442015145</v>
      </c>
    </row>
    <row r="261" spans="1:14" x14ac:dyDescent="0.2">
      <c r="A261" s="33">
        <f>'GF + UG Iteration 1'!A261</f>
        <v>437</v>
      </c>
      <c r="B261" s="34" t="str">
        <f>'GF + UG Iteration 1'!B261</f>
        <v>UG</v>
      </c>
      <c r="C261" s="35">
        <f>'GF + UG Iteration 1'!C261</f>
        <v>23</v>
      </c>
      <c r="D261" s="36">
        <f>'GF + UG Iteration 1'!P$16*(C261^'GF + UG Iteration 1'!P$15)</f>
        <v>14.929359101124872</v>
      </c>
      <c r="E261" s="37">
        <f>'GF + UG Iteration 1'!E261</f>
        <v>2001</v>
      </c>
      <c r="F261" s="35">
        <f>'GF + UG Iteration 1'!F261</f>
        <v>17</v>
      </c>
      <c r="G261" s="36">
        <f>'GF + UG Iteration 1'!G261</f>
        <v>3.6313804067567292</v>
      </c>
      <c r="H261" s="38">
        <f>'GF + UG Iteration 1'!H261</f>
        <v>2008</v>
      </c>
      <c r="I261" s="35">
        <f t="shared" si="30"/>
        <v>40</v>
      </c>
      <c r="J261" s="36">
        <f t="shared" si="31"/>
        <v>18.5607395078816</v>
      </c>
      <c r="K261" s="38">
        <f t="shared" si="32"/>
        <v>2008</v>
      </c>
      <c r="M261" s="21">
        <f t="shared" si="33"/>
        <v>3.6888794541139363</v>
      </c>
      <c r="N261" s="21">
        <f t="shared" si="34"/>
        <v>2.9210485707389515</v>
      </c>
    </row>
    <row r="262" spans="1:14" x14ac:dyDescent="0.2">
      <c r="A262" s="33">
        <f>'GF + UG Iteration 1'!A262</f>
        <v>1233</v>
      </c>
      <c r="B262" s="34" t="str">
        <f>'GF + UG Iteration 1'!B262</f>
        <v>UG</v>
      </c>
      <c r="C262" s="35">
        <f>'GF + UG Iteration 1'!C262</f>
        <v>40</v>
      </c>
      <c r="D262" s="36">
        <f>'GF + UG Iteration 1'!P$16*(C262^'GF + UG Iteration 1'!P$15)</f>
        <v>20.218694337725456</v>
      </c>
      <c r="E262" s="37">
        <f>'GF + UG Iteration 1'!E262</f>
        <v>2001</v>
      </c>
      <c r="F262" s="35">
        <f>'GF + UG Iteration 1'!F262</f>
        <v>10</v>
      </c>
      <c r="G262" s="36">
        <f>'GF + UG Iteration 1'!G262</f>
        <v>3.8904117673360803</v>
      </c>
      <c r="H262" s="38">
        <f>'GF + UG Iteration 1'!H262</f>
        <v>2011</v>
      </c>
      <c r="I262" s="35">
        <f t="shared" si="30"/>
        <v>50</v>
      </c>
      <c r="J262" s="36">
        <f t="shared" si="31"/>
        <v>24.109106105061535</v>
      </c>
      <c r="K262" s="38">
        <f t="shared" si="32"/>
        <v>2011</v>
      </c>
      <c r="M262" s="21">
        <f t="shared" si="33"/>
        <v>3.912023005428146</v>
      </c>
      <c r="N262" s="21">
        <f t="shared" si="34"/>
        <v>3.1825896158135789</v>
      </c>
    </row>
    <row r="263" spans="1:14" x14ac:dyDescent="0.2">
      <c r="A263" s="33">
        <f>'GF + UG Iteration 1'!A263</f>
        <v>361</v>
      </c>
      <c r="B263" s="34" t="str">
        <f>'GF + UG Iteration 1'!B263</f>
        <v>UG</v>
      </c>
      <c r="C263" s="35">
        <f>'GF + UG Iteration 1'!C263</f>
        <v>12.22</v>
      </c>
      <c r="D263" s="36">
        <f>'GF + UG Iteration 1'!P$16*(C263^'GF + UG Iteration 1'!P$15)</f>
        <v>10.556452379354942</v>
      </c>
      <c r="E263" s="37">
        <f>'GF + UG Iteration 1'!E263</f>
        <v>1986</v>
      </c>
      <c r="F263" s="35">
        <f>'GF + UG Iteration 1'!F263</f>
        <v>12.999999999999998</v>
      </c>
      <c r="G263" s="36">
        <f>'GF + UG Iteration 1'!G263</f>
        <v>1.1719780512644304</v>
      </c>
      <c r="H263" s="38">
        <f>'GF + UG Iteration 1'!H263</f>
        <v>2002</v>
      </c>
      <c r="I263" s="35">
        <f t="shared" si="30"/>
        <v>25.22</v>
      </c>
      <c r="J263" s="36">
        <f t="shared" si="31"/>
        <v>11.728430430619373</v>
      </c>
      <c r="K263" s="38">
        <f t="shared" si="32"/>
        <v>2002</v>
      </c>
      <c r="M263" s="21">
        <f t="shared" si="33"/>
        <v>3.2276373305367736</v>
      </c>
      <c r="N263" s="21">
        <f t="shared" si="34"/>
        <v>2.4620158455809364</v>
      </c>
    </row>
    <row r="264" spans="1:14" x14ac:dyDescent="0.2">
      <c r="A264" s="33">
        <f>'GF + UG Iteration 1'!A264</f>
        <v>645</v>
      </c>
      <c r="B264" s="34" t="str">
        <f>'GF + UG Iteration 1'!B264</f>
        <v>UG</v>
      </c>
      <c r="C264" s="35">
        <f>'GF + UG Iteration 1'!C264</f>
        <v>25.22</v>
      </c>
      <c r="D264" s="36">
        <f>'GF + UG Iteration 1'!P$16*(C264^'GF + UG Iteration 1'!P$15)</f>
        <v>15.702625290083299</v>
      </c>
      <c r="E264" s="37">
        <f>'GF + UG Iteration 1'!E264</f>
        <v>1986</v>
      </c>
      <c r="F264" s="35">
        <f>'GF + UG Iteration 1'!F264</f>
        <v>1</v>
      </c>
      <c r="G264" s="36">
        <f>'GF + UG Iteration 1'!G264</f>
        <v>0.22667756309168191</v>
      </c>
      <c r="H264" s="38">
        <f>'GF + UG Iteration 1'!H264</f>
        <v>2006</v>
      </c>
      <c r="I264" s="35">
        <f t="shared" si="30"/>
        <v>26.22</v>
      </c>
      <c r="J264" s="36">
        <f t="shared" si="31"/>
        <v>15.929302853174981</v>
      </c>
      <c r="K264" s="38">
        <f t="shared" si="32"/>
        <v>2006</v>
      </c>
      <c r="M264" s="21">
        <f t="shared" si="33"/>
        <v>3.2665224783355535</v>
      </c>
      <c r="N264" s="21">
        <f t="shared" si="34"/>
        <v>2.7681603598240203</v>
      </c>
    </row>
    <row r="265" spans="1:14" x14ac:dyDescent="0.2">
      <c r="A265" s="33">
        <f>'GF + UG Iteration 1'!A265</f>
        <v>720</v>
      </c>
      <c r="B265" s="34" t="str">
        <f>'GF + UG Iteration 1'!B265</f>
        <v>UG</v>
      </c>
      <c r="C265" s="35">
        <f>'GF + UG Iteration 1'!C265</f>
        <v>5.29</v>
      </c>
      <c r="D265" s="36">
        <f>'GF + UG Iteration 1'!P$16*(C265^'GF + UG Iteration 1'!P$15)</f>
        <v>6.6717792734920982</v>
      </c>
      <c r="E265" s="37">
        <f>'GF + UG Iteration 1'!E265</f>
        <v>1974</v>
      </c>
      <c r="F265" s="35">
        <f>'GF + UG Iteration 1'!F265</f>
        <v>3.9099999999999993</v>
      </c>
      <c r="G265" s="36">
        <f>'GF + UG Iteration 1'!G265</f>
        <v>3.214674226156069</v>
      </c>
      <c r="H265" s="38">
        <f>'GF + UG Iteration 1'!H265</f>
        <v>2009</v>
      </c>
      <c r="I265" s="35">
        <f t="shared" si="30"/>
        <v>9.1999999999999993</v>
      </c>
      <c r="J265" s="36">
        <f t="shared" si="31"/>
        <v>9.8864534996481677</v>
      </c>
      <c r="K265" s="38">
        <f t="shared" si="32"/>
        <v>2009</v>
      </c>
      <c r="M265" s="21">
        <f t="shared" si="33"/>
        <v>2.2192034840549946</v>
      </c>
      <c r="N265" s="21">
        <f t="shared" si="34"/>
        <v>2.2911654867486972</v>
      </c>
    </row>
    <row r="266" spans="1:14" x14ac:dyDescent="0.2">
      <c r="A266" s="33">
        <f>'GF + UG Iteration 1'!A266</f>
        <v>1554</v>
      </c>
      <c r="B266" s="34" t="str">
        <f>'GF + UG Iteration 1'!B266</f>
        <v>UG</v>
      </c>
      <c r="C266" s="35">
        <f>'GF + UG Iteration 1'!C266</f>
        <v>18</v>
      </c>
      <c r="D266" s="36">
        <f>'GF + UG Iteration 1'!P$16*(C266^'GF + UG Iteration 1'!P$15)</f>
        <v>13.052666700236895</v>
      </c>
      <c r="E266" s="37">
        <f>'GF + UG Iteration 1'!E266</f>
        <v>2013</v>
      </c>
      <c r="F266" s="35">
        <f>'GF + UG Iteration 1'!F266</f>
        <v>13</v>
      </c>
      <c r="G266" s="36">
        <f>'GF + UG Iteration 1'!G266</f>
        <v>4.0040929633677633</v>
      </c>
      <c r="H266" s="38">
        <f>'GF + UG Iteration 1'!H266</f>
        <v>2015</v>
      </c>
      <c r="I266" s="35">
        <f t="shared" si="30"/>
        <v>31</v>
      </c>
      <c r="J266" s="36">
        <f t="shared" si="31"/>
        <v>17.056759663604659</v>
      </c>
      <c r="K266" s="38">
        <f t="shared" si="32"/>
        <v>2015</v>
      </c>
      <c r="M266" s="21">
        <f t="shared" si="33"/>
        <v>3.4339872044851463</v>
      </c>
      <c r="N266" s="21">
        <f t="shared" si="34"/>
        <v>2.8365465863680313</v>
      </c>
    </row>
    <row r="267" spans="1:14" x14ac:dyDescent="0.2">
      <c r="A267" s="33">
        <f>'GF + UG Iteration 1'!A267</f>
        <v>1570</v>
      </c>
      <c r="B267" s="34" t="str">
        <f>'GF + UG Iteration 1'!B267</f>
        <v>UG</v>
      </c>
      <c r="C267" s="35">
        <f>'GF + UG Iteration 1'!C267</f>
        <v>12</v>
      </c>
      <c r="D267" s="36">
        <f>'GF + UG Iteration 1'!P$16*(C267^'GF + UG Iteration 1'!P$15)</f>
        <v>10.451869274666356</v>
      </c>
      <c r="E267" s="37">
        <f>'GF + UG Iteration 1'!E267</f>
        <v>0</v>
      </c>
      <c r="F267" s="35">
        <f>'GF + UG Iteration 1'!F267</f>
        <v>7</v>
      </c>
      <c r="G267" s="36">
        <f>'GF + UG Iteration 1'!G267</f>
        <v>5.7128729653456798</v>
      </c>
      <c r="H267" s="38">
        <f>'GF + UG Iteration 1'!H267</f>
        <v>2016</v>
      </c>
      <c r="I267" s="35">
        <f t="shared" si="30"/>
        <v>19</v>
      </c>
      <c r="J267" s="36">
        <f t="shared" si="31"/>
        <v>16.164742240012036</v>
      </c>
      <c r="K267" s="38">
        <f t="shared" si="32"/>
        <v>2016</v>
      </c>
      <c r="M267" s="21">
        <f t="shared" si="33"/>
        <v>2.9444389791664403</v>
      </c>
      <c r="N267" s="21">
        <f t="shared" si="34"/>
        <v>2.7828324654896113</v>
      </c>
    </row>
    <row r="268" spans="1:14" x14ac:dyDescent="0.2">
      <c r="A268" s="33">
        <f>'GF + UG Iteration 1'!A268</f>
        <v>1280</v>
      </c>
      <c r="B268" s="34" t="str">
        <f>'GF + UG Iteration 1'!B268</f>
        <v>UG</v>
      </c>
      <c r="C268" s="35">
        <f>'GF + UG Iteration 1'!C268</f>
        <v>10</v>
      </c>
      <c r="D268" s="36">
        <f>'GF + UG Iteration 1'!P$16*(C268^'GF + UG Iteration 1'!P$15)</f>
        <v>9.4580014807312924</v>
      </c>
      <c r="E268" s="37">
        <f>'GF + UG Iteration 1'!E268</f>
        <v>0</v>
      </c>
      <c r="F268" s="35">
        <f>'GF + UG Iteration 1'!F268</f>
        <v>10</v>
      </c>
      <c r="G268" s="36">
        <f>'GF + UG Iteration 1'!G268</f>
        <v>3.9567117678399111</v>
      </c>
      <c r="H268" s="38">
        <f>'GF + UG Iteration 1'!H268</f>
        <v>2013</v>
      </c>
      <c r="I268" s="35">
        <f t="shared" si="30"/>
        <v>20</v>
      </c>
      <c r="J268" s="36">
        <f t="shared" si="31"/>
        <v>13.414713248571204</v>
      </c>
      <c r="K268" s="38">
        <f t="shared" si="32"/>
        <v>2013</v>
      </c>
      <c r="M268" s="21">
        <f t="shared" si="33"/>
        <v>2.9957322735539909</v>
      </c>
      <c r="N268" s="21">
        <f t="shared" si="34"/>
        <v>2.5963521082164949</v>
      </c>
    </row>
    <row r="269" spans="1:14" x14ac:dyDescent="0.2">
      <c r="A269" s="33">
        <f>'GF + UG Iteration 1'!A269</f>
        <v>659</v>
      </c>
      <c r="B269" s="34" t="str">
        <f>'GF + UG Iteration 1'!B269</f>
        <v>UG</v>
      </c>
      <c r="C269" s="35">
        <f>'GF + UG Iteration 1'!C269</f>
        <v>51</v>
      </c>
      <c r="D269" s="36">
        <f>'GF + UG Iteration 1'!P$16*(C269^'GF + UG Iteration 1'!P$15)</f>
        <v>23.098141822434169</v>
      </c>
      <c r="E269" s="37">
        <f>'GF + UG Iteration 1'!E269</f>
        <v>1974</v>
      </c>
      <c r="F269" s="35">
        <f>'GF + UG Iteration 1'!F269</f>
        <v>7</v>
      </c>
      <c r="G269" s="36">
        <f>'GF + UG Iteration 1'!G269</f>
        <v>0.19038861907506671</v>
      </c>
      <c r="H269" s="38">
        <f>'GF + UG Iteration 1'!H269</f>
        <v>2006</v>
      </c>
      <c r="I269" s="35">
        <f t="shared" si="30"/>
        <v>58</v>
      </c>
      <c r="J269" s="36">
        <f t="shared" si="31"/>
        <v>23.288530441509234</v>
      </c>
      <c r="K269" s="38">
        <f t="shared" si="32"/>
        <v>2006</v>
      </c>
      <c r="M269" s="21">
        <f t="shared" si="33"/>
        <v>4.0604430105464191</v>
      </c>
      <c r="N269" s="21">
        <f t="shared" si="34"/>
        <v>3.1479609836448108</v>
      </c>
    </row>
    <row r="270" spans="1:14" x14ac:dyDescent="0.2">
      <c r="A270" s="33">
        <f>'GF + UG Iteration 1'!A270</f>
        <v>1240</v>
      </c>
      <c r="B270" s="34" t="str">
        <f>'GF + UG Iteration 1'!B270</f>
        <v>UG</v>
      </c>
      <c r="C270" s="35">
        <f>'GF + UG Iteration 1'!C270</f>
        <v>9</v>
      </c>
      <c r="D270" s="36">
        <f>'GF + UG Iteration 1'!P$16*(C270^'GF + UG Iteration 1'!P$15)</f>
        <v>8.9273463438280771</v>
      </c>
      <c r="E270" s="37">
        <f>'GF + UG Iteration 1'!E270</f>
        <v>0</v>
      </c>
      <c r="F270" s="35">
        <f>'GF + UG Iteration 1'!F270</f>
        <v>12</v>
      </c>
      <c r="G270" s="36">
        <f>'GF + UG Iteration 1'!G270</f>
        <v>2.4762389627807444</v>
      </c>
      <c r="H270" s="38">
        <f>'GF + UG Iteration 1'!H270</f>
        <v>2013</v>
      </c>
      <c r="I270" s="35">
        <f t="shared" si="30"/>
        <v>21</v>
      </c>
      <c r="J270" s="36">
        <f t="shared" si="31"/>
        <v>11.403585306608822</v>
      </c>
      <c r="K270" s="38">
        <f t="shared" si="32"/>
        <v>2013</v>
      </c>
      <c r="M270" s="21">
        <f t="shared" si="33"/>
        <v>3.044522437723423</v>
      </c>
      <c r="N270" s="21">
        <f t="shared" si="34"/>
        <v>2.4339278065352303</v>
      </c>
    </row>
    <row r="271" spans="1:14" x14ac:dyDescent="0.2">
      <c r="A271" s="33">
        <f>'GF + UG Iteration 1'!A271</f>
        <v>317</v>
      </c>
      <c r="B271" s="34" t="str">
        <f>'GF + UG Iteration 1'!B271</f>
        <v>UG</v>
      </c>
      <c r="C271" s="35">
        <f>'GF + UG Iteration 1'!C271</f>
        <v>26.67</v>
      </c>
      <c r="D271" s="36">
        <f>'GF + UG Iteration 1'!P$16*(C271^'GF + UG Iteration 1'!P$15)</f>
        <v>16.191145556168014</v>
      </c>
      <c r="E271" s="37">
        <f>'GF + UG Iteration 1'!E271</f>
        <v>1978</v>
      </c>
      <c r="F271" s="35">
        <f>'GF + UG Iteration 1'!F271</f>
        <v>8.4600000000000009</v>
      </c>
      <c r="G271" s="36">
        <f>'GF + UG Iteration 1'!G271</f>
        <v>3.7336154837609361</v>
      </c>
      <c r="H271" s="38">
        <f>'GF + UG Iteration 1'!H271</f>
        <v>2002</v>
      </c>
      <c r="I271" s="35">
        <f t="shared" si="30"/>
        <v>35.130000000000003</v>
      </c>
      <c r="J271" s="36">
        <f t="shared" si="31"/>
        <v>19.924761039928949</v>
      </c>
      <c r="K271" s="38">
        <f t="shared" si="32"/>
        <v>2002</v>
      </c>
      <c r="M271" s="21">
        <f t="shared" si="33"/>
        <v>3.5590554662777358</v>
      </c>
      <c r="N271" s="21">
        <f t="shared" si="34"/>
        <v>2.9919632316271452</v>
      </c>
    </row>
    <row r="272" spans="1:14" x14ac:dyDescent="0.2">
      <c r="A272" s="33">
        <f>'GF + UG Iteration 1'!A272</f>
        <v>1510</v>
      </c>
      <c r="B272" s="34" t="str">
        <f>'GF + UG Iteration 1'!B272</f>
        <v>UG</v>
      </c>
      <c r="C272" s="35">
        <f>'GF + UG Iteration 1'!C272</f>
        <v>35.130000000000003</v>
      </c>
      <c r="D272" s="36">
        <f>'GF + UG Iteration 1'!P$16*(C272^'GF + UG Iteration 1'!P$15)</f>
        <v>18.830139180379259</v>
      </c>
      <c r="E272" s="37">
        <f>'GF + UG Iteration 1'!E272</f>
        <v>1978</v>
      </c>
      <c r="F272" s="35">
        <f>'GF + UG Iteration 1'!F272</f>
        <v>0</v>
      </c>
      <c r="G272" s="36">
        <f>'GF + UG Iteration 1'!G272</f>
        <v>1.0378442790997116</v>
      </c>
      <c r="H272" s="38">
        <f>'GF + UG Iteration 1'!H272</f>
        <v>2014</v>
      </c>
      <c r="I272" s="35">
        <f t="shared" si="30"/>
        <v>35.130000000000003</v>
      </c>
      <c r="J272" s="36">
        <f t="shared" si="31"/>
        <v>19.867983459478971</v>
      </c>
      <c r="K272" s="38">
        <f t="shared" si="32"/>
        <v>2014</v>
      </c>
      <c r="M272" s="21">
        <f t="shared" si="33"/>
        <v>3.5590554662777358</v>
      </c>
      <c r="N272" s="21">
        <f t="shared" si="34"/>
        <v>2.9891095647240697</v>
      </c>
    </row>
    <row r="273" spans="1:14" x14ac:dyDescent="0.2">
      <c r="A273" s="33">
        <f>'GF + UG Iteration 1'!A273</f>
        <v>1678</v>
      </c>
      <c r="B273" s="34" t="str">
        <f>'GF + UG Iteration 1'!B273</f>
        <v>UG</v>
      </c>
      <c r="C273" s="35">
        <f>'GF + UG Iteration 1'!C273</f>
        <v>71.19</v>
      </c>
      <c r="D273" s="36">
        <f>'GF + UG Iteration 1'!P$16*(C273^'GF + UG Iteration 1'!P$15)</f>
        <v>27.730658000597323</v>
      </c>
      <c r="E273" s="37">
        <f>'GF + UG Iteration 1'!E273</f>
        <v>0</v>
      </c>
      <c r="F273" s="35">
        <f>'GF + UG Iteration 1'!F273</f>
        <v>3.8100000000000023</v>
      </c>
      <c r="G273" s="36">
        <f>'GF + UG Iteration 1'!G273</f>
        <v>0.1876880715541229</v>
      </c>
      <c r="H273" s="38">
        <f>'GF + UG Iteration 1'!H273</f>
        <v>2015</v>
      </c>
      <c r="I273" s="35">
        <f t="shared" si="30"/>
        <v>75</v>
      </c>
      <c r="J273" s="36">
        <f t="shared" si="31"/>
        <v>27.918346072151447</v>
      </c>
      <c r="K273" s="38">
        <f t="shared" si="32"/>
        <v>2015</v>
      </c>
      <c r="M273" s="21">
        <f t="shared" si="33"/>
        <v>4.3174881135363101</v>
      </c>
      <c r="N273" s="21">
        <f t="shared" si="34"/>
        <v>3.329284038036068</v>
      </c>
    </row>
    <row r="274" spans="1:14" x14ac:dyDescent="0.2">
      <c r="A274" s="33">
        <f>'GF + UG Iteration 1'!A274</f>
        <v>409</v>
      </c>
      <c r="B274" s="34" t="str">
        <f>'GF + UG Iteration 1'!B274</f>
        <v>UG</v>
      </c>
      <c r="C274" s="35">
        <f>'GF + UG Iteration 1'!C274</f>
        <v>50.9</v>
      </c>
      <c r="D274" s="36">
        <f>'GF + UG Iteration 1'!P$16*(C274^'GF + UG Iteration 1'!P$15)</f>
        <v>23.07330976436748</v>
      </c>
      <c r="E274" s="37" t="str">
        <f>'GF + UG Iteration 1'!E274</f>
        <v>unknown</v>
      </c>
      <c r="F274" s="35">
        <f>'GF + UG Iteration 1'!F274</f>
        <v>0</v>
      </c>
      <c r="G274" s="36">
        <f>'GF + UG Iteration 1'!G274</f>
        <v>6.9500275644125207</v>
      </c>
      <c r="H274" s="38">
        <f>'GF + UG Iteration 1'!H274</f>
        <v>2004</v>
      </c>
      <c r="I274" s="35">
        <f t="shared" si="30"/>
        <v>50.9</v>
      </c>
      <c r="J274" s="36">
        <f t="shared" si="31"/>
        <v>30.023337328780002</v>
      </c>
      <c r="K274" s="38">
        <f t="shared" si="32"/>
        <v>2004</v>
      </c>
      <c r="M274" s="21">
        <f t="shared" si="33"/>
        <v>3.929862923556477</v>
      </c>
      <c r="N274" s="21">
        <f t="shared" si="34"/>
        <v>3.4019749902055834</v>
      </c>
    </row>
    <row r="275" spans="1:14" x14ac:dyDescent="0.2">
      <c r="A275" s="33">
        <f>'GF + UG Iteration 1'!A275</f>
        <v>620</v>
      </c>
      <c r="B275" s="34" t="str">
        <f>'GF + UG Iteration 1'!B275</f>
        <v>UG</v>
      </c>
      <c r="C275" s="35">
        <f>'GF + UG Iteration 1'!C275</f>
        <v>66.040000000000006</v>
      </c>
      <c r="D275" s="36">
        <f>'GF + UG Iteration 1'!P$16*(C275^'GF + UG Iteration 1'!P$15)</f>
        <v>26.612611360843744</v>
      </c>
      <c r="E275" s="37" t="str">
        <f>'GF + UG Iteration 1'!E275</f>
        <v>unknown</v>
      </c>
      <c r="F275" s="35">
        <f>'GF + UG Iteration 1'!F275</f>
        <v>1</v>
      </c>
      <c r="G275" s="36">
        <f>'GF + UG Iteration 1'!G275</f>
        <v>5.2327101351069411E-2</v>
      </c>
      <c r="H275" s="38">
        <f>'GF + UG Iteration 1'!H275</f>
        <v>2006</v>
      </c>
      <c r="I275" s="35">
        <f t="shared" si="30"/>
        <v>67.040000000000006</v>
      </c>
      <c r="J275" s="36">
        <f t="shared" si="31"/>
        <v>26.664938462194812</v>
      </c>
      <c r="K275" s="38">
        <f t="shared" si="32"/>
        <v>2006</v>
      </c>
      <c r="M275" s="21">
        <f t="shared" si="33"/>
        <v>4.2052894561738281</v>
      </c>
      <c r="N275" s="21">
        <f t="shared" si="34"/>
        <v>3.2833495362379699</v>
      </c>
    </row>
    <row r="276" spans="1:14" x14ac:dyDescent="0.2">
      <c r="A276" s="33">
        <f>'GF + UG Iteration 1'!A276</f>
        <v>1085</v>
      </c>
      <c r="B276" s="34" t="str">
        <f>'GF + UG Iteration 1'!B276</f>
        <v>UG</v>
      </c>
      <c r="C276" s="35">
        <f>'GF + UG Iteration 1'!C276</f>
        <v>67.040000000000006</v>
      </c>
      <c r="D276" s="36">
        <f>'GF + UG Iteration 1'!P$16*(C276^'GF + UG Iteration 1'!P$15)</f>
        <v>26.832709254640527</v>
      </c>
      <c r="E276" s="37" t="str">
        <f>'GF + UG Iteration 1'!E276</f>
        <v>unknown</v>
      </c>
      <c r="F276" s="35">
        <f>'GF + UG Iteration 1'!F276</f>
        <v>2</v>
      </c>
      <c r="G276" s="36">
        <f>'GF + UG Iteration 1'!G276</f>
        <v>7.9312358901564406E-2</v>
      </c>
      <c r="H276" s="38">
        <f>'GF + UG Iteration 1'!H276</f>
        <v>2010</v>
      </c>
      <c r="I276" s="35">
        <f t="shared" si="30"/>
        <v>69.040000000000006</v>
      </c>
      <c r="J276" s="36">
        <f t="shared" si="31"/>
        <v>26.912021613542091</v>
      </c>
      <c r="K276" s="38">
        <f t="shared" si="32"/>
        <v>2010</v>
      </c>
      <c r="M276" s="21">
        <f t="shared" si="33"/>
        <v>4.234686046775173</v>
      </c>
      <c r="N276" s="21">
        <f t="shared" si="34"/>
        <v>3.2925730869093472</v>
      </c>
    </row>
    <row r="277" spans="1:14" x14ac:dyDescent="0.2">
      <c r="A277" s="33">
        <f>'GF + UG Iteration 1'!A277</f>
        <v>589</v>
      </c>
      <c r="B277" s="34" t="str">
        <f>'GF + UG Iteration 1'!B277</f>
        <v>UG</v>
      </c>
      <c r="C277" s="35">
        <f>'GF + UG Iteration 1'!C277</f>
        <v>36.963000000000001</v>
      </c>
      <c r="D277" s="36">
        <f>'GF + UG Iteration 1'!P$16*(C277^'GF + UG Iteration 1'!P$15)</f>
        <v>19.362402691840355</v>
      </c>
      <c r="E277" s="37">
        <f>'GF + UG Iteration 1'!E277</f>
        <v>1974</v>
      </c>
      <c r="F277" s="35">
        <f>'GF + UG Iteration 1'!F277</f>
        <v>0</v>
      </c>
      <c r="G277" s="36">
        <f>'GF + UG Iteration 1'!G277</f>
        <v>3.2007376892660457E-2</v>
      </c>
      <c r="H277" s="38">
        <f>'GF + UG Iteration 1'!H277</f>
        <v>2005</v>
      </c>
      <c r="I277" s="35">
        <f t="shared" si="30"/>
        <v>36.963000000000001</v>
      </c>
      <c r="J277" s="36">
        <f t="shared" si="31"/>
        <v>19.394410068733016</v>
      </c>
      <c r="K277" s="38">
        <f t="shared" si="32"/>
        <v>2005</v>
      </c>
      <c r="M277" s="21">
        <f t="shared" si="33"/>
        <v>3.609917412310641</v>
      </c>
      <c r="N277" s="21">
        <f t="shared" si="34"/>
        <v>2.964984883761792</v>
      </c>
    </row>
    <row r="278" spans="1:14" x14ac:dyDescent="0.2">
      <c r="A278" s="33">
        <f>'GF + UG Iteration 1'!A278</f>
        <v>836</v>
      </c>
      <c r="B278" s="34" t="str">
        <f>'GF + UG Iteration 1'!B278</f>
        <v>UG</v>
      </c>
      <c r="C278" s="35">
        <f>'GF + UG Iteration 1'!C278</f>
        <v>33.963000000000001</v>
      </c>
      <c r="D278" s="36">
        <f>'GF + UG Iteration 1'!P$16*(C278^'GF + UG Iteration 1'!P$15)</f>
        <v>18.484708703444834</v>
      </c>
      <c r="E278" s="37">
        <f>'GF + UG Iteration 1'!E278</f>
        <v>1974</v>
      </c>
      <c r="F278" s="35">
        <f>'GF + UG Iteration 1'!F278</f>
        <v>10.036999999999999</v>
      </c>
      <c r="G278" s="36">
        <f>'GF + UG Iteration 1'!G278</f>
        <v>0.20824846319974696</v>
      </c>
      <c r="H278" s="38">
        <f>'GF + UG Iteration 1'!H278</f>
        <v>2008</v>
      </c>
      <c r="I278" s="35">
        <f t="shared" si="30"/>
        <v>44</v>
      </c>
      <c r="J278" s="36">
        <f t="shared" si="31"/>
        <v>18.692957166644582</v>
      </c>
      <c r="K278" s="38">
        <f t="shared" si="32"/>
        <v>2008</v>
      </c>
      <c r="M278" s="21">
        <f t="shared" si="33"/>
        <v>3.784189633918261</v>
      </c>
      <c r="N278" s="21">
        <f t="shared" si="34"/>
        <v>2.9281468308160559</v>
      </c>
    </row>
    <row r="279" spans="1:14" x14ac:dyDescent="0.2">
      <c r="A279" s="33">
        <f>'GF + UG Iteration 1'!A279</f>
        <v>1417</v>
      </c>
      <c r="B279" s="34" t="str">
        <f>'GF + UG Iteration 1'!B279</f>
        <v>UG</v>
      </c>
      <c r="C279" s="35">
        <f>'GF + UG Iteration 1'!C279</f>
        <v>53.176000000000002</v>
      </c>
      <c r="D279" s="36">
        <f>'GF + UG Iteration 1'!P$16*(C279^'GF + UG Iteration 1'!P$15)</f>
        <v>23.633145077350736</v>
      </c>
      <c r="E279" s="37">
        <f>'GF + UG Iteration 1'!E279</f>
        <v>0</v>
      </c>
      <c r="F279" s="35">
        <f>'GF + UG Iteration 1'!F279</f>
        <v>2.8239999999999981</v>
      </c>
      <c r="G279" s="36">
        <f>'GF + UG Iteration 1'!G279</f>
        <v>0.36631755287404399</v>
      </c>
      <c r="H279" s="38">
        <f>'GF + UG Iteration 1'!H279</f>
        <v>2013</v>
      </c>
      <c r="I279" s="35">
        <f t="shared" si="30"/>
        <v>56</v>
      </c>
      <c r="J279" s="36">
        <f t="shared" si="31"/>
        <v>23.99946263022478</v>
      </c>
      <c r="K279" s="38">
        <f t="shared" si="32"/>
        <v>2013</v>
      </c>
      <c r="M279" s="21">
        <f t="shared" si="33"/>
        <v>4.0253516907351496</v>
      </c>
      <c r="N279" s="21">
        <f t="shared" si="34"/>
        <v>3.1780314396899758</v>
      </c>
    </row>
    <row r="280" spans="1:14" x14ac:dyDescent="0.2">
      <c r="A280" s="33">
        <f>'GF + UG Iteration 1'!A280</f>
        <v>1575</v>
      </c>
      <c r="B280" s="34" t="str">
        <f>'GF + UG Iteration 1'!B280</f>
        <v>UG</v>
      </c>
      <c r="C280" s="35">
        <f>'GF + UG Iteration 1'!C280</f>
        <v>107.8</v>
      </c>
      <c r="D280" s="36">
        <f>'GF + UG Iteration 1'!P$16*(C280^'GF + UG Iteration 1'!P$15)</f>
        <v>34.811047067778958</v>
      </c>
      <c r="E280" s="37">
        <f>'GF + UG Iteration 1'!E280</f>
        <v>0</v>
      </c>
      <c r="F280" s="35">
        <f>'GF + UG Iteration 1'!F280</f>
        <v>2.2000000000000028</v>
      </c>
      <c r="G280" s="36">
        <f>'GF + UG Iteration 1'!G280</f>
        <v>8.4606138058298655E-2</v>
      </c>
      <c r="H280" s="38">
        <f>'GF + UG Iteration 1'!H280</f>
        <v>2014</v>
      </c>
      <c r="I280" s="35">
        <f t="shared" si="30"/>
        <v>110</v>
      </c>
      <c r="J280" s="36">
        <f t="shared" si="31"/>
        <v>34.895653205837256</v>
      </c>
      <c r="K280" s="38">
        <f t="shared" si="32"/>
        <v>2014</v>
      </c>
      <c r="M280" s="21">
        <f t="shared" si="33"/>
        <v>4.7004803657924166</v>
      </c>
      <c r="N280" s="21">
        <f t="shared" si="34"/>
        <v>3.5523622714753791</v>
      </c>
    </row>
    <row r="281" spans="1:14" x14ac:dyDescent="0.2">
      <c r="A281" s="33">
        <f>'GF + UG Iteration 1'!A281</f>
        <v>1480</v>
      </c>
      <c r="B281" s="34" t="str">
        <f>'GF + UG Iteration 1'!B281</f>
        <v>UG</v>
      </c>
      <c r="C281" s="35">
        <f>'GF + UG Iteration 1'!C281</f>
        <v>92</v>
      </c>
      <c r="D281" s="36">
        <f>'GF + UG Iteration 1'!P$16*(C281^'GF + UG Iteration 1'!P$15)</f>
        <v>31.91500328465208</v>
      </c>
      <c r="E281" s="37">
        <f>'GF + UG Iteration 1'!E281</f>
        <v>0</v>
      </c>
      <c r="F281" s="35">
        <f>'GF + UG Iteration 1'!F281</f>
        <v>9</v>
      </c>
      <c r="G281" s="36">
        <f>'GF + UG Iteration 1'!G281</f>
        <v>1.4186292000498641</v>
      </c>
      <c r="H281" s="38">
        <f>'GF + UG Iteration 1'!H281</f>
        <v>2015</v>
      </c>
      <c r="I281" s="35">
        <f t="shared" si="30"/>
        <v>101</v>
      </c>
      <c r="J281" s="36">
        <f t="shared" si="31"/>
        <v>33.333632484701944</v>
      </c>
      <c r="K281" s="38">
        <f t="shared" si="32"/>
        <v>2015</v>
      </c>
      <c r="M281" s="21">
        <f t="shared" si="33"/>
        <v>4.6151205168412597</v>
      </c>
      <c r="N281" s="21">
        <f t="shared" si="34"/>
        <v>3.5065668718207692</v>
      </c>
    </row>
    <row r="282" spans="1:14" x14ac:dyDescent="0.2">
      <c r="A282" s="33">
        <f>'GF + UG Iteration 1'!A282</f>
        <v>1644</v>
      </c>
      <c r="B282" s="34" t="str">
        <f>'GF + UG Iteration 1'!B282</f>
        <v>UG</v>
      </c>
      <c r="C282" s="35">
        <f>'GF + UG Iteration 1'!C282</f>
        <v>25</v>
      </c>
      <c r="D282" s="36">
        <f>'GF + UG Iteration 1'!P$16*(C282^'GF + UG Iteration 1'!P$15)</f>
        <v>15.627407246181329</v>
      </c>
      <c r="E282" s="37">
        <f>'GF + UG Iteration 1'!E282</f>
        <v>0</v>
      </c>
      <c r="F282" s="35">
        <f>'GF + UG Iteration 1'!F282</f>
        <v>14</v>
      </c>
      <c r="G282" s="36">
        <f>'GF + UG Iteration 1'!G282</f>
        <v>6.4881768587089867</v>
      </c>
      <c r="H282" s="38">
        <f>'GF + UG Iteration 1'!H282</f>
        <v>2016</v>
      </c>
      <c r="I282" s="35">
        <f t="shared" si="30"/>
        <v>39</v>
      </c>
      <c r="J282" s="36">
        <f t="shared" si="31"/>
        <v>22.115584104890317</v>
      </c>
      <c r="K282" s="38">
        <f t="shared" si="32"/>
        <v>2016</v>
      </c>
      <c r="M282" s="21">
        <f t="shared" si="33"/>
        <v>3.6635616461296463</v>
      </c>
      <c r="N282" s="21">
        <f t="shared" si="34"/>
        <v>3.0962825231302253</v>
      </c>
    </row>
    <row r="283" spans="1:14" x14ac:dyDescent="0.2">
      <c r="A283" s="33">
        <f>'GF + UG Iteration 1'!A283</f>
        <v>1276</v>
      </c>
      <c r="B283" s="34" t="str">
        <f>'GF + UG Iteration 1'!B283</f>
        <v>UG</v>
      </c>
      <c r="C283" s="35">
        <f>'GF + UG Iteration 1'!C283</f>
        <v>34</v>
      </c>
      <c r="D283" s="36">
        <f>'GF + UG Iteration 1'!P$16*(C283^'GF + UG Iteration 1'!P$15)</f>
        <v>18.495742238741464</v>
      </c>
      <c r="E283" s="37" t="str">
        <f>'GF + UG Iteration 1'!E283</f>
        <v>unknown</v>
      </c>
      <c r="F283" s="35">
        <f>'GF + UG Iteration 1'!F283</f>
        <v>4</v>
      </c>
      <c r="G283" s="36">
        <f>'GF + UG Iteration 1'!G283</f>
        <v>0.69755192087391271</v>
      </c>
      <c r="H283" s="38">
        <f>'GF + UG Iteration 1'!H283</f>
        <v>2012</v>
      </c>
      <c r="I283" s="35">
        <f t="shared" si="30"/>
        <v>38</v>
      </c>
      <c r="J283" s="36">
        <f t="shared" si="31"/>
        <v>19.193294159615377</v>
      </c>
      <c r="K283" s="38">
        <f t="shared" si="32"/>
        <v>2012</v>
      </c>
      <c r="M283" s="21">
        <f t="shared" si="33"/>
        <v>3.6375861597263857</v>
      </c>
      <c r="N283" s="21">
        <f t="shared" si="34"/>
        <v>2.9545609555073442</v>
      </c>
    </row>
    <row r="284" spans="1:14" x14ac:dyDescent="0.2">
      <c r="A284" s="33">
        <f>'GF + UG Iteration 1'!A284</f>
        <v>823</v>
      </c>
      <c r="B284" s="34" t="str">
        <f>'GF + UG Iteration 1'!B284</f>
        <v>UG</v>
      </c>
      <c r="C284" s="35">
        <f>'GF + UG Iteration 1'!C284</f>
        <v>10</v>
      </c>
      <c r="D284" s="36">
        <f>'GF + UG Iteration 1'!P$16*(C284^'GF + UG Iteration 1'!P$15)</f>
        <v>9.4580014807312924</v>
      </c>
      <c r="E284" s="37" t="str">
        <f>'GF + UG Iteration 1'!E284</f>
        <v>unknown</v>
      </c>
      <c r="F284" s="35">
        <f>'GF + UG Iteration 1'!F284</f>
        <v>25</v>
      </c>
      <c r="G284" s="36">
        <f>'GF + UG Iteration 1'!G284</f>
        <v>8.3156614233786232</v>
      </c>
      <c r="H284" s="38">
        <f>'GF + UG Iteration 1'!H284</f>
        <v>2009</v>
      </c>
      <c r="I284" s="35">
        <f t="shared" si="30"/>
        <v>35</v>
      </c>
      <c r="J284" s="36">
        <f t="shared" si="31"/>
        <v>17.773662904109916</v>
      </c>
      <c r="K284" s="38">
        <f t="shared" si="32"/>
        <v>2009</v>
      </c>
      <c r="M284" s="21">
        <f t="shared" si="33"/>
        <v>3.5553480614894135</v>
      </c>
      <c r="N284" s="21">
        <f t="shared" si="34"/>
        <v>2.87771774946241</v>
      </c>
    </row>
    <row r="285" spans="1:14" x14ac:dyDescent="0.2">
      <c r="A285" s="33">
        <f>'GF + UG Iteration 1'!A285</f>
        <v>1601</v>
      </c>
      <c r="B285" s="34" t="str">
        <f>'GF + UG Iteration 1'!B285</f>
        <v>UG</v>
      </c>
      <c r="C285" s="35">
        <f>'GF + UG Iteration 1'!C285</f>
        <v>77</v>
      </c>
      <c r="D285" s="36">
        <f>'GF + UG Iteration 1'!P$16*(C285^'GF + UG Iteration 1'!P$15)</f>
        <v>28.94895495820662</v>
      </c>
      <c r="E285" s="37">
        <f>'GF + UG Iteration 1'!E285</f>
        <v>0</v>
      </c>
      <c r="F285" s="35">
        <f>'GF + UG Iteration 1'!F285</f>
        <v>0</v>
      </c>
      <c r="G285" s="36">
        <f>'GF + UG Iteration 1'!G285</f>
        <v>4.0094648670350015</v>
      </c>
      <c r="H285" s="38">
        <f>'GF + UG Iteration 1'!H285</f>
        <v>2015</v>
      </c>
      <c r="I285" s="35">
        <f t="shared" si="30"/>
        <v>77</v>
      </c>
      <c r="J285" s="36">
        <f t="shared" si="31"/>
        <v>32.95841982524162</v>
      </c>
      <c r="K285" s="38">
        <f t="shared" si="32"/>
        <v>2015</v>
      </c>
      <c r="M285" s="21">
        <f t="shared" si="33"/>
        <v>4.3438054218536841</v>
      </c>
      <c r="N285" s="21">
        <f t="shared" si="34"/>
        <v>3.4952467616966678</v>
      </c>
    </row>
    <row r="286" spans="1:14" x14ac:dyDescent="0.2">
      <c r="A286" s="33">
        <f>'GF + UG Iteration 1'!A286</f>
        <v>1046</v>
      </c>
      <c r="B286" s="34" t="str">
        <f>'GF + UG Iteration 1'!B286</f>
        <v>UG</v>
      </c>
      <c r="C286" s="35">
        <f>'GF + UG Iteration 1'!C286</f>
        <v>33</v>
      </c>
      <c r="D286" s="36">
        <f>'GF + UG Iteration 1'!P$16*(C286^'GF + UG Iteration 1'!P$15)</f>
        <v>18.19560170221704</v>
      </c>
      <c r="E286" s="37" t="str">
        <f>'GF + UG Iteration 1'!E286</f>
        <v>unknown</v>
      </c>
      <c r="F286" s="35">
        <f>'GF + UG Iteration 1'!F286</f>
        <v>17</v>
      </c>
      <c r="G286" s="36">
        <f>'GF + UG Iteration 1'!G286</f>
        <v>13.838101419471103</v>
      </c>
      <c r="H286" s="38">
        <f>'GF + UG Iteration 1'!H286</f>
        <v>2011</v>
      </c>
      <c r="I286" s="35">
        <f t="shared" si="30"/>
        <v>50</v>
      </c>
      <c r="J286" s="36">
        <f t="shared" si="31"/>
        <v>32.033703121688141</v>
      </c>
      <c r="K286" s="38">
        <f t="shared" si="32"/>
        <v>2011</v>
      </c>
      <c r="M286" s="21">
        <f t="shared" si="33"/>
        <v>3.912023005428146</v>
      </c>
      <c r="N286" s="21">
        <f t="shared" si="34"/>
        <v>3.4667885711027395</v>
      </c>
    </row>
    <row r="287" spans="1:14" x14ac:dyDescent="0.2">
      <c r="A287" s="33">
        <f>'GF + UG Iteration 1'!A287</f>
        <v>873</v>
      </c>
      <c r="B287" s="34" t="str">
        <f>'GF + UG Iteration 1'!B287</f>
        <v>UG</v>
      </c>
      <c r="C287" s="35">
        <f>'GF + UG Iteration 1'!C287</f>
        <v>38</v>
      </c>
      <c r="D287" s="36">
        <f>'GF + UG Iteration 1'!P$16*(C287^'GF + UG Iteration 1'!P$15)</f>
        <v>19.658244070769161</v>
      </c>
      <c r="E287" s="37" t="str">
        <f>'GF + UG Iteration 1'!E287</f>
        <v>unknown</v>
      </c>
      <c r="F287" s="35">
        <f>'GF + UG Iteration 1'!F287</f>
        <v>10</v>
      </c>
      <c r="G287" s="36">
        <f>'GF + UG Iteration 1'!G287</f>
        <v>10.835025062169574</v>
      </c>
      <c r="H287" s="38">
        <f>'GF + UG Iteration 1'!H287</f>
        <v>2011</v>
      </c>
      <c r="I287" s="35">
        <f t="shared" si="30"/>
        <v>48</v>
      </c>
      <c r="J287" s="36">
        <f t="shared" si="31"/>
        <v>30.493269132938735</v>
      </c>
      <c r="K287" s="38">
        <f t="shared" si="32"/>
        <v>2011</v>
      </c>
      <c r="M287" s="21">
        <f t="shared" si="33"/>
        <v>3.8712010109078911</v>
      </c>
      <c r="N287" s="21">
        <f t="shared" si="34"/>
        <v>3.4175059750930892</v>
      </c>
    </row>
    <row r="288" spans="1:14" x14ac:dyDescent="0.2">
      <c r="A288" s="33">
        <f>'GF + UG Iteration 1'!A288</f>
        <v>630</v>
      </c>
      <c r="B288" s="34" t="str">
        <f>'GF + UG Iteration 1'!B288</f>
        <v>UG</v>
      </c>
      <c r="C288" s="35">
        <f>'GF + UG Iteration 1'!C288</f>
        <v>36.4</v>
      </c>
      <c r="D288" s="36">
        <f>'GF + UG Iteration 1'!P$16*(C288^'GF + UG Iteration 1'!P$15)</f>
        <v>19.200215310853292</v>
      </c>
      <c r="E288" s="37" t="str">
        <f>'GF + UG Iteration 1'!E288</f>
        <v>unknown</v>
      </c>
      <c r="F288" s="35">
        <f>'GF + UG Iteration 1'!F288</f>
        <v>3.6000000000000014</v>
      </c>
      <c r="G288" s="36">
        <f>'GF + UG Iteration 1'!G288</f>
        <v>0.76181860016629799</v>
      </c>
      <c r="H288" s="38">
        <f>'GF + UG Iteration 1'!H288</f>
        <v>2007</v>
      </c>
      <c r="I288" s="35">
        <f t="shared" si="30"/>
        <v>40</v>
      </c>
      <c r="J288" s="36">
        <f t="shared" si="31"/>
        <v>19.962033911019589</v>
      </c>
      <c r="K288" s="38">
        <f t="shared" si="32"/>
        <v>2007</v>
      </c>
      <c r="M288" s="21">
        <f t="shared" si="33"/>
        <v>3.6888794541139363</v>
      </c>
      <c r="N288" s="21">
        <f t="shared" si="34"/>
        <v>2.9938321650416104</v>
      </c>
    </row>
    <row r="289" spans="1:20" x14ac:dyDescent="0.2">
      <c r="A289" s="33">
        <f>'GF + UG Iteration 1'!A289</f>
        <v>1107</v>
      </c>
      <c r="B289" s="34" t="str">
        <f>'GF + UG Iteration 1'!B289</f>
        <v>UG</v>
      </c>
      <c r="C289" s="35">
        <f>'GF + UG Iteration 1'!C289</f>
        <v>16</v>
      </c>
      <c r="D289" s="36">
        <f>'GF + UG Iteration 1'!P$16*(C289^'GF + UG Iteration 1'!P$15)</f>
        <v>12.236734985670052</v>
      </c>
      <c r="E289" s="37">
        <f>'GF + UG Iteration 1'!E289</f>
        <v>2010</v>
      </c>
      <c r="F289" s="35">
        <f>'GF + UG Iteration 1'!F289</f>
        <v>24</v>
      </c>
      <c r="G289" s="36">
        <f>'GF + UG Iteration 1'!G289</f>
        <v>7.7000094501504579</v>
      </c>
      <c r="H289" s="38">
        <f>'GF + UG Iteration 1'!H289</f>
        <v>2014</v>
      </c>
      <c r="I289" s="35">
        <f t="shared" si="30"/>
        <v>40</v>
      </c>
      <c r="J289" s="36">
        <f t="shared" si="31"/>
        <v>19.936744435820511</v>
      </c>
      <c r="K289" s="38">
        <f t="shared" si="32"/>
        <v>2014</v>
      </c>
      <c r="M289" s="21">
        <f t="shared" si="33"/>
        <v>3.6888794541139363</v>
      </c>
      <c r="N289" s="21">
        <f t="shared" si="34"/>
        <v>2.9925644831910057</v>
      </c>
    </row>
    <row r="290" spans="1:20" x14ac:dyDescent="0.2">
      <c r="A290" s="33">
        <f>'GF + UG Iteration 1'!A290</f>
        <v>682</v>
      </c>
      <c r="B290" s="34" t="str">
        <f>'GF + UG Iteration 1'!B290</f>
        <v>UG</v>
      </c>
      <c r="C290" s="35">
        <f>'GF + UG Iteration 1'!C290</f>
        <v>12</v>
      </c>
      <c r="D290" s="36">
        <f>'GF + UG Iteration 1'!P$16*(C290^'GF + UG Iteration 1'!P$15)</f>
        <v>10.451869274666356</v>
      </c>
      <c r="E290" s="37">
        <f>'GF + UG Iteration 1'!E290</f>
        <v>2005</v>
      </c>
      <c r="F290" s="35">
        <f>'GF + UG Iteration 1'!F290</f>
        <v>18</v>
      </c>
      <c r="G290" s="36">
        <f>'GF + UG Iteration 1'!G290</f>
        <v>4.2252233548626927</v>
      </c>
      <c r="H290" s="38">
        <f>'GF + UG Iteration 1'!H290</f>
        <v>2009</v>
      </c>
      <c r="I290" s="35">
        <f t="shared" ref="I290:I291" si="35">C290+F290</f>
        <v>30</v>
      </c>
      <c r="J290" s="36">
        <f t="shared" ref="J290:J291" si="36">D290+G290</f>
        <v>14.677092629529049</v>
      </c>
      <c r="K290" s="38">
        <f t="shared" ref="K290:K291" si="37">MAX(E290,H290)</f>
        <v>2009</v>
      </c>
      <c r="M290" s="21">
        <f t="shared" ref="M290:M291" si="38">LN(I290)</f>
        <v>3.4011973816621555</v>
      </c>
      <c r="N290" s="21">
        <f t="shared" ref="N290:N291" si="39">LN(J290)</f>
        <v>2.6862879538123243</v>
      </c>
    </row>
    <row r="291" spans="1:20" x14ac:dyDescent="0.2">
      <c r="A291" s="33">
        <f>'GF + UG Iteration 1'!A291</f>
        <v>677</v>
      </c>
      <c r="B291" s="34" t="str">
        <f>'GF + UG Iteration 1'!B291</f>
        <v>UG</v>
      </c>
      <c r="C291" s="35">
        <f>'GF + UG Iteration 1'!C291</f>
        <v>117</v>
      </c>
      <c r="D291" s="36">
        <f>'GF + UG Iteration 1'!P$16*(C291^'GF + UG Iteration 1'!P$15)</f>
        <v>36.409048215119789</v>
      </c>
      <c r="E291" s="37" t="str">
        <f>'GF + UG Iteration 1'!E291</f>
        <v>unknown</v>
      </c>
      <c r="F291" s="35">
        <f>'GF + UG Iteration 1'!F291</f>
        <v>0</v>
      </c>
      <c r="G291" s="36">
        <f>'GF + UG Iteration 1'!G291</f>
        <v>5.9672660834890454</v>
      </c>
      <c r="H291" s="38">
        <f>'GF + UG Iteration 1'!H291</f>
        <v>2009</v>
      </c>
      <c r="I291" s="35">
        <f t="shared" si="35"/>
        <v>117</v>
      </c>
      <c r="J291" s="36">
        <f t="shared" si="36"/>
        <v>42.376314298608833</v>
      </c>
      <c r="K291" s="38">
        <f t="shared" si="37"/>
        <v>2009</v>
      </c>
      <c r="M291" s="21">
        <f t="shared" si="38"/>
        <v>4.7621739347977563</v>
      </c>
      <c r="N291" s="21">
        <f t="shared" si="39"/>
        <v>3.7465895811160048</v>
      </c>
    </row>
    <row r="292" spans="1:20" x14ac:dyDescent="0.2">
      <c r="A292" s="33">
        <f>'GF + UG Iteration 1'!A292</f>
        <v>643</v>
      </c>
      <c r="B292" s="34" t="str">
        <f>'GF + UG Iteration 1'!B292</f>
        <v>UG</v>
      </c>
      <c r="C292" s="35">
        <f>'GF + UG Iteration 1'!C292</f>
        <v>53.37</v>
      </c>
      <c r="D292" s="36">
        <f>'GF + UG Iteration 1'!P$16*(C292^'GF + UG Iteration 1'!P$15)</f>
        <v>23.680358261984615</v>
      </c>
      <c r="E292" s="37" t="str">
        <f>'GF + UG Iteration 1'!E292</f>
        <v>unknown</v>
      </c>
      <c r="F292" s="35">
        <f>'GF + UG Iteration 1'!F292</f>
        <v>0.5</v>
      </c>
      <c r="G292" s="36">
        <f>'GF + UG Iteration 1'!G292</f>
        <v>4.4086715648995529</v>
      </c>
      <c r="H292" s="38">
        <f>'GF + UG Iteration 1'!H292</f>
        <v>2009</v>
      </c>
      <c r="I292" s="35">
        <f t="shared" si="30"/>
        <v>53.87</v>
      </c>
      <c r="J292" s="36">
        <f t="shared" si="31"/>
        <v>28.089029826884168</v>
      </c>
      <c r="K292" s="38">
        <f t="shared" si="32"/>
        <v>2009</v>
      </c>
      <c r="M292" s="21">
        <f t="shared" si="33"/>
        <v>3.9865737366924425</v>
      </c>
      <c r="N292" s="21">
        <f t="shared" si="34"/>
        <v>3.3353791024949295</v>
      </c>
    </row>
    <row r="294" spans="1:20" s="9" customFormat="1" x14ac:dyDescent="0.2">
      <c r="A294" s="26" t="s">
        <v>29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37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19</vt:i4>
      </vt:variant>
    </vt:vector>
  </HeadingPairs>
  <TitlesOfParts>
    <vt:vector size="42" baseType="lpstr">
      <vt:lpstr>Greenfield Projects</vt:lpstr>
      <vt:lpstr>Pre-AESO Projects</vt:lpstr>
      <vt:lpstr>Upgrade Projects</vt:lpstr>
      <vt:lpstr>Contract vs Installed</vt:lpstr>
      <vt:lpstr>2018 Escalator</vt:lpstr>
      <vt:lpstr>Cost Function</vt:lpstr>
      <vt:lpstr>Greenfield</vt:lpstr>
      <vt:lpstr>GF + UG Iteration 1</vt:lpstr>
      <vt:lpstr>GF + UG Iteration 2</vt:lpstr>
      <vt:lpstr>GF + UG Iteration 3</vt:lpstr>
      <vt:lpstr>GF + UG Iteration 4</vt:lpstr>
      <vt:lpstr>GF + UG Iteration 5</vt:lpstr>
      <vt:lpstr>GF + UG Iteration 6</vt:lpstr>
      <vt:lpstr>GF + UG Iteration 7</vt:lpstr>
      <vt:lpstr>GF + UG Iteration 8</vt:lpstr>
      <vt:lpstr>GF + UG Iteration 9</vt:lpstr>
      <vt:lpstr>GF + UG Iteration 10</vt:lpstr>
      <vt:lpstr>GF + UG Iteration 11</vt:lpstr>
      <vt:lpstr>GF + UG Iteration 12</vt:lpstr>
      <vt:lpstr>GF + UG Iteration 13</vt:lpstr>
      <vt:lpstr>GF + UG Iteration 14</vt:lpstr>
      <vt:lpstr>GF + UG Iteration 15</vt:lpstr>
      <vt:lpstr>Power Curve Model</vt:lpstr>
      <vt:lpstr>GreenfieldDB</vt:lpstr>
      <vt:lpstr>'Cost Function'!Print_Area</vt:lpstr>
      <vt:lpstr>'GF + UG Iteration 1'!Print_Titles</vt:lpstr>
      <vt:lpstr>'GF + UG Iteration 10'!Print_Titles</vt:lpstr>
      <vt:lpstr>'GF + UG Iteration 11'!Print_Titles</vt:lpstr>
      <vt:lpstr>'GF + UG Iteration 12'!Print_Titles</vt:lpstr>
      <vt:lpstr>'GF + UG Iteration 13'!Print_Titles</vt:lpstr>
      <vt:lpstr>'GF + UG Iteration 14'!Print_Titles</vt:lpstr>
      <vt:lpstr>'GF + UG Iteration 15'!Print_Titles</vt:lpstr>
      <vt:lpstr>'GF + UG Iteration 2'!Print_Titles</vt:lpstr>
      <vt:lpstr>'GF + UG Iteration 3'!Print_Titles</vt:lpstr>
      <vt:lpstr>'GF + UG Iteration 4'!Print_Titles</vt:lpstr>
      <vt:lpstr>'GF + UG Iteration 5'!Print_Titles</vt:lpstr>
      <vt:lpstr>'GF + UG Iteration 6'!Print_Titles</vt:lpstr>
      <vt:lpstr>'GF + UG Iteration 7'!Print_Titles</vt:lpstr>
      <vt:lpstr>'GF + UG Iteration 8'!Print_Titles</vt:lpstr>
      <vt:lpstr>'GF + UG Iteration 9'!Print_Titles</vt:lpstr>
      <vt:lpstr>Greenfield!Print_Titles</vt:lpstr>
      <vt:lpstr>UpgradeDB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2017-09-13T22:29:53Z</dcterms:created>
  <dcterms:modified xsi:type="dcterms:W3CDTF">2018-08-16T21:00:18Z</dcterms:modified>
</cp:coreProperties>
</file>